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报表\烧结\"/>
    </mc:Choice>
  </mc:AlternateContent>
  <bookViews>
    <workbookView xWindow="0" yWindow="0" windowWidth="23835" windowHeight="12465" tabRatio="734" firstSheet="2" activeTab="3"/>
  </bookViews>
  <sheets>
    <sheet name="主抽数据" sheetId="39" r:id="rId1"/>
    <sheet name="_zhuchou5_month_day" sheetId="42" r:id="rId2"/>
    <sheet name="_zhuchou6_month_day" sheetId="45" r:id="rId3"/>
    <sheet name="错峰用电" sheetId="41" r:id="rId4"/>
    <sheet name="_cuofeng5_month_day" sheetId="43" r:id="rId5"/>
    <sheet name="烧结分厂" sheetId="27" r:id="rId6"/>
    <sheet name="5烧主抽电耗" sheetId="31" r:id="rId7"/>
    <sheet name="_5shaozhuchou_month_day" sheetId="32" r:id="rId8"/>
    <sheet name="6烧主抽电耗" sheetId="38" r:id="rId9"/>
    <sheet name="_6shaozhuchou_month_day" sheetId="35" r:id="rId10"/>
    <sheet name="日报" sheetId="34" r:id="rId11"/>
    <sheet name="查询与汇总" sheetId="33" r:id="rId12"/>
    <sheet name="项目介绍" sheetId="40" r:id="rId13"/>
  </sheets>
  <definedNames>
    <definedName name="_xlnm._FilterDatabase" localSheetId="3" hidden="1">错峰用电!$W$53:$X$178</definedName>
  </definedNames>
  <calcPr calcId="152511"/>
</workbook>
</file>

<file path=xl/calcChain.xml><?xml version="1.0" encoding="utf-8"?>
<calcChain xmlns="http://schemas.openxmlformats.org/spreadsheetml/2006/main">
  <c r="W4" i="33" l="1"/>
  <c r="V4" i="33"/>
  <c r="U4" i="33"/>
  <c r="J4" i="33"/>
  <c r="I4" i="33"/>
  <c r="AG34" i="34"/>
  <c r="Z34" i="34"/>
  <c r="M34" i="34"/>
  <c r="A3" i="34"/>
  <c r="X97" i="38"/>
  <c r="AE95" i="38"/>
  <c r="AB95" i="38"/>
  <c r="AF95" i="38" s="1"/>
  <c r="AA95" i="38"/>
  <c r="U95" i="38"/>
  <c r="T95" i="38"/>
  <c r="I95" i="38"/>
  <c r="I94" i="38"/>
  <c r="I93" i="38"/>
  <c r="I92" i="38"/>
  <c r="I91" i="38"/>
  <c r="I90" i="38"/>
  <c r="I89" i="38"/>
  <c r="I88" i="38"/>
  <c r="I87" i="38"/>
  <c r="I86" i="38"/>
  <c r="I85" i="38"/>
  <c r="I84" i="38"/>
  <c r="I83" i="38"/>
  <c r="I82" i="38"/>
  <c r="I81" i="38"/>
  <c r="I80" i="38"/>
  <c r="I79" i="38"/>
  <c r="I78" i="38"/>
  <c r="I77" i="38"/>
  <c r="I76" i="38"/>
  <c r="I75" i="38"/>
  <c r="I74" i="38"/>
  <c r="I73" i="38"/>
  <c r="I72" i="38"/>
  <c r="I71" i="38"/>
  <c r="I70" i="38"/>
  <c r="I69" i="38"/>
  <c r="I68" i="38"/>
  <c r="I67" i="38"/>
  <c r="I66" i="38"/>
  <c r="I65" i="38"/>
  <c r="I64" i="38"/>
  <c r="I63" i="38"/>
  <c r="I62" i="38"/>
  <c r="I61" i="38"/>
  <c r="I60" i="38"/>
  <c r="I59" i="38"/>
  <c r="I58" i="38"/>
  <c r="I57" i="38"/>
  <c r="I56" i="38"/>
  <c r="I55" i="38"/>
  <c r="I54" i="38"/>
  <c r="I53" i="38"/>
  <c r="I52" i="38"/>
  <c r="I51" i="38"/>
  <c r="I50" i="38"/>
  <c r="I49" i="38"/>
  <c r="I48" i="38"/>
  <c r="I47" i="38"/>
  <c r="I46" i="38"/>
  <c r="I45" i="38"/>
  <c r="I44" i="38"/>
  <c r="I43" i="38"/>
  <c r="I42" i="38"/>
  <c r="I41" i="38"/>
  <c r="I40" i="38"/>
  <c r="I39" i="38"/>
  <c r="I38" i="38"/>
  <c r="I37" i="38"/>
  <c r="I36" i="38"/>
  <c r="I35" i="38"/>
  <c r="I34" i="38"/>
  <c r="I33" i="38"/>
  <c r="I32" i="38"/>
  <c r="I31" i="38"/>
  <c r="I30" i="38"/>
  <c r="I29" i="38"/>
  <c r="I28" i="38"/>
  <c r="I27" i="38"/>
  <c r="I26" i="38"/>
  <c r="I25" i="38"/>
  <c r="I24" i="38"/>
  <c r="G24" i="27" s="1"/>
  <c r="I23" i="38"/>
  <c r="I22" i="38"/>
  <c r="I21" i="38"/>
  <c r="G21" i="27" s="1"/>
  <c r="I20" i="38"/>
  <c r="G20" i="27" s="1"/>
  <c r="I19" i="38"/>
  <c r="I18" i="38"/>
  <c r="I17" i="38"/>
  <c r="I16" i="38"/>
  <c r="I15" i="38"/>
  <c r="AB14" i="38"/>
  <c r="AF14" i="38" s="1"/>
  <c r="I14" i="38"/>
  <c r="G14" i="27" s="1"/>
  <c r="I13" i="38"/>
  <c r="I12" i="38"/>
  <c r="E12" i="38"/>
  <c r="I11" i="38"/>
  <c r="G11" i="27" s="1"/>
  <c r="I10" i="38"/>
  <c r="B10" i="38"/>
  <c r="B13" i="38" s="1"/>
  <c r="B16" i="38" s="1"/>
  <c r="B19" i="38" s="1"/>
  <c r="B22" i="38" s="1"/>
  <c r="B25" i="38" s="1"/>
  <c r="B28" i="38" s="1"/>
  <c r="B31" i="38" s="1"/>
  <c r="B34" i="38" s="1"/>
  <c r="B37" i="38" s="1"/>
  <c r="B40" i="38" s="1"/>
  <c r="B43" i="38" s="1"/>
  <c r="B46" i="38" s="1"/>
  <c r="B49" i="38" s="1"/>
  <c r="B52" i="38" s="1"/>
  <c r="B55" i="38" s="1"/>
  <c r="B58" i="38" s="1"/>
  <c r="B61" i="38" s="1"/>
  <c r="B64" i="38" s="1"/>
  <c r="B67" i="38" s="1"/>
  <c r="B70" i="38" s="1"/>
  <c r="B73" i="38" s="1"/>
  <c r="B76" i="38" s="1"/>
  <c r="B79" i="38" s="1"/>
  <c r="B82" i="38" s="1"/>
  <c r="B85" i="38" s="1"/>
  <c r="B88" i="38" s="1"/>
  <c r="B91" i="38" s="1"/>
  <c r="B94" i="38" s="1"/>
  <c r="I9" i="38"/>
  <c r="E9" i="38"/>
  <c r="F9" i="38" s="1"/>
  <c r="I8" i="38"/>
  <c r="D8" i="38"/>
  <c r="D11" i="38" s="1"/>
  <c r="D14" i="38" s="1"/>
  <c r="D17" i="38" s="1"/>
  <c r="D20" i="38" s="1"/>
  <c r="D23" i="38" s="1"/>
  <c r="D26" i="38" s="1"/>
  <c r="D29" i="38" s="1"/>
  <c r="D32" i="38" s="1"/>
  <c r="D35" i="38" s="1"/>
  <c r="D38" i="38" s="1"/>
  <c r="D41" i="38" s="1"/>
  <c r="D44" i="38" s="1"/>
  <c r="D47" i="38" s="1"/>
  <c r="D50" i="38" s="1"/>
  <c r="D53" i="38" s="1"/>
  <c r="D56" i="38" s="1"/>
  <c r="D59" i="38" s="1"/>
  <c r="D62" i="38" s="1"/>
  <c r="D65" i="38" s="1"/>
  <c r="D68" i="38" s="1"/>
  <c r="D71" i="38" s="1"/>
  <c r="D74" i="38" s="1"/>
  <c r="D77" i="38" s="1"/>
  <c r="D80" i="38" s="1"/>
  <c r="D83" i="38" s="1"/>
  <c r="D86" i="38" s="1"/>
  <c r="D89" i="38" s="1"/>
  <c r="D92" i="38" s="1"/>
  <c r="D95" i="38" s="1"/>
  <c r="B8" i="38"/>
  <c r="B11" i="38" s="1"/>
  <c r="B14" i="38" s="1"/>
  <c r="B17" i="38" s="1"/>
  <c r="B20" i="38" s="1"/>
  <c r="B23" i="38" s="1"/>
  <c r="B26" i="38" s="1"/>
  <c r="B29" i="38" s="1"/>
  <c r="B32" i="38" s="1"/>
  <c r="B35" i="38" s="1"/>
  <c r="B38" i="38" s="1"/>
  <c r="B41" i="38" s="1"/>
  <c r="B44" i="38" s="1"/>
  <c r="B47" i="38" s="1"/>
  <c r="B50" i="38" s="1"/>
  <c r="B53" i="38" s="1"/>
  <c r="B56" i="38" s="1"/>
  <c r="B59" i="38" s="1"/>
  <c r="B62" i="38" s="1"/>
  <c r="B65" i="38" s="1"/>
  <c r="B68" i="38" s="1"/>
  <c r="B71" i="38" s="1"/>
  <c r="B74" i="38" s="1"/>
  <c r="B77" i="38" s="1"/>
  <c r="B80" i="38" s="1"/>
  <c r="B83" i="38" s="1"/>
  <c r="B86" i="38" s="1"/>
  <c r="B89" i="38" s="1"/>
  <c r="B92" i="38" s="1"/>
  <c r="B95" i="38" s="1"/>
  <c r="I7" i="38"/>
  <c r="G7" i="27" s="1"/>
  <c r="E7" i="38"/>
  <c r="F7" i="38" s="1"/>
  <c r="F7" i="31" s="1"/>
  <c r="D7" i="38"/>
  <c r="D10" i="38" s="1"/>
  <c r="D13" i="38" s="1"/>
  <c r="D16" i="38" s="1"/>
  <c r="D19" i="38" s="1"/>
  <c r="D22" i="38" s="1"/>
  <c r="D25" i="38" s="1"/>
  <c r="D28" i="38" s="1"/>
  <c r="D31" i="38" s="1"/>
  <c r="D34" i="38" s="1"/>
  <c r="D37" i="38" s="1"/>
  <c r="D40" i="38" s="1"/>
  <c r="D43" i="38" s="1"/>
  <c r="D46" i="38" s="1"/>
  <c r="D49" i="38" s="1"/>
  <c r="D52" i="38" s="1"/>
  <c r="D55" i="38" s="1"/>
  <c r="D58" i="38" s="1"/>
  <c r="D61" i="38" s="1"/>
  <c r="D64" i="38" s="1"/>
  <c r="D67" i="38" s="1"/>
  <c r="D70" i="38" s="1"/>
  <c r="D73" i="38" s="1"/>
  <c r="D76" i="38" s="1"/>
  <c r="D79" i="38" s="1"/>
  <c r="D82" i="38" s="1"/>
  <c r="D85" i="38" s="1"/>
  <c r="D88" i="38" s="1"/>
  <c r="D91" i="38" s="1"/>
  <c r="D94" i="38" s="1"/>
  <c r="B7" i="38"/>
  <c r="I6" i="38"/>
  <c r="F6" i="38"/>
  <c r="C8" i="39" s="1"/>
  <c r="AV8" i="39" s="1"/>
  <c r="D6" i="38"/>
  <c r="D9" i="38" s="1"/>
  <c r="D12" i="38" s="1"/>
  <c r="D15" i="38" s="1"/>
  <c r="D18" i="38" s="1"/>
  <c r="D21" i="38" s="1"/>
  <c r="D24" i="38" s="1"/>
  <c r="D27" i="38" s="1"/>
  <c r="D30" i="38" s="1"/>
  <c r="D33" i="38" s="1"/>
  <c r="D36" i="38" s="1"/>
  <c r="D39" i="38" s="1"/>
  <c r="D42" i="38" s="1"/>
  <c r="D45" i="38" s="1"/>
  <c r="D48" i="38" s="1"/>
  <c r="D51" i="38" s="1"/>
  <c r="D54" i="38" s="1"/>
  <c r="D57" i="38" s="1"/>
  <c r="D60" i="38" s="1"/>
  <c r="D63" i="38" s="1"/>
  <c r="D66" i="38" s="1"/>
  <c r="D69" i="38" s="1"/>
  <c r="D72" i="38" s="1"/>
  <c r="D75" i="38" s="1"/>
  <c r="D78" i="38" s="1"/>
  <c r="D81" i="38" s="1"/>
  <c r="D84" i="38" s="1"/>
  <c r="D87" i="38" s="1"/>
  <c r="D90" i="38" s="1"/>
  <c r="D93" i="38" s="1"/>
  <c r="D96" i="38" s="1"/>
  <c r="B6" i="38"/>
  <c r="B9" i="38" s="1"/>
  <c r="B12" i="38" s="1"/>
  <c r="B15" i="38" s="1"/>
  <c r="B18" i="38" s="1"/>
  <c r="B21" i="38" s="1"/>
  <c r="B24" i="38" s="1"/>
  <c r="B27" i="38" s="1"/>
  <c r="B30" i="38" s="1"/>
  <c r="B33" i="38" s="1"/>
  <c r="B36" i="38" s="1"/>
  <c r="B39" i="38" s="1"/>
  <c r="B42" i="38" s="1"/>
  <c r="B45" i="38" s="1"/>
  <c r="B48" i="38" s="1"/>
  <c r="B51" i="38" s="1"/>
  <c r="B54" i="38" s="1"/>
  <c r="B57" i="38" s="1"/>
  <c r="B60" i="38" s="1"/>
  <c r="B63" i="38" s="1"/>
  <c r="B66" i="38" s="1"/>
  <c r="B69" i="38" s="1"/>
  <c r="B72" i="38" s="1"/>
  <c r="B75" i="38" s="1"/>
  <c r="B78" i="38" s="1"/>
  <c r="B81" i="38" s="1"/>
  <c r="B84" i="38" s="1"/>
  <c r="B87" i="38" s="1"/>
  <c r="B90" i="38" s="1"/>
  <c r="B93" i="38" s="1"/>
  <c r="B96" i="38" s="1"/>
  <c r="I5" i="38"/>
  <c r="F5" i="38"/>
  <c r="F5" i="31" s="1"/>
  <c r="I4" i="38"/>
  <c r="E4" i="38"/>
  <c r="E5" i="38" s="1"/>
  <c r="E11" i="38" s="1"/>
  <c r="E11" i="31" s="1"/>
  <c r="I3" i="38"/>
  <c r="G3" i="27" s="1"/>
  <c r="F3" i="38"/>
  <c r="A3" i="38"/>
  <c r="A4" i="38" s="1"/>
  <c r="X97" i="31"/>
  <c r="M97" i="31"/>
  <c r="I95" i="31"/>
  <c r="I94" i="31"/>
  <c r="I93" i="31"/>
  <c r="G93" i="27" s="1"/>
  <c r="I92" i="31"/>
  <c r="G92" i="27" s="1"/>
  <c r="I91" i="31"/>
  <c r="I90" i="31"/>
  <c r="I89" i="31"/>
  <c r="G89" i="27" s="1"/>
  <c r="I88" i="31"/>
  <c r="G88" i="27" s="1"/>
  <c r="I87" i="31"/>
  <c r="I86" i="31"/>
  <c r="I85" i="31"/>
  <c r="G85" i="27" s="1"/>
  <c r="I84" i="31"/>
  <c r="G84" i="27" s="1"/>
  <c r="I83" i="31"/>
  <c r="I82" i="31"/>
  <c r="I81" i="31"/>
  <c r="G81" i="27" s="1"/>
  <c r="I80" i="31"/>
  <c r="G80" i="27" s="1"/>
  <c r="I79" i="31"/>
  <c r="I78" i="31"/>
  <c r="I77" i="31"/>
  <c r="G77" i="27" s="1"/>
  <c r="I76" i="31"/>
  <c r="G76" i="27" s="1"/>
  <c r="I75" i="31"/>
  <c r="I74" i="31"/>
  <c r="I73" i="31"/>
  <c r="G73" i="27" s="1"/>
  <c r="I72" i="31"/>
  <c r="G72" i="27" s="1"/>
  <c r="I71" i="31"/>
  <c r="I70" i="31"/>
  <c r="I69" i="31"/>
  <c r="G69" i="27" s="1"/>
  <c r="I68" i="31"/>
  <c r="G68" i="27" s="1"/>
  <c r="I67" i="31"/>
  <c r="I66" i="31"/>
  <c r="I65" i="31"/>
  <c r="G65" i="27" s="1"/>
  <c r="I64" i="31"/>
  <c r="G64" i="27" s="1"/>
  <c r="I63" i="31"/>
  <c r="I62" i="31"/>
  <c r="I61" i="31"/>
  <c r="G61" i="27" s="1"/>
  <c r="I60" i="31"/>
  <c r="G60" i="27" s="1"/>
  <c r="I59" i="31"/>
  <c r="I58" i="31"/>
  <c r="I57" i="31"/>
  <c r="G57" i="27" s="1"/>
  <c r="I56" i="31"/>
  <c r="G56" i="27" s="1"/>
  <c r="I55" i="31"/>
  <c r="I54" i="31"/>
  <c r="I53" i="31"/>
  <c r="G53" i="27" s="1"/>
  <c r="I52" i="31"/>
  <c r="G52" i="27" s="1"/>
  <c r="I51" i="31"/>
  <c r="I50" i="31"/>
  <c r="I49" i="31"/>
  <c r="G49" i="27" s="1"/>
  <c r="I48" i="31"/>
  <c r="G48" i="27" s="1"/>
  <c r="I47" i="31"/>
  <c r="I46" i="31"/>
  <c r="I45" i="31"/>
  <c r="G45" i="27" s="1"/>
  <c r="I44" i="31"/>
  <c r="G44" i="27" s="1"/>
  <c r="I43" i="31"/>
  <c r="I42" i="31"/>
  <c r="I41" i="31"/>
  <c r="G41" i="27" s="1"/>
  <c r="I40" i="31"/>
  <c r="G40" i="27" s="1"/>
  <c r="I39" i="31"/>
  <c r="I38" i="31"/>
  <c r="I37" i="31"/>
  <c r="G37" i="27" s="1"/>
  <c r="I36" i="31"/>
  <c r="G36" i="27" s="1"/>
  <c r="I35" i="31"/>
  <c r="I34" i="31"/>
  <c r="I33" i="31"/>
  <c r="G33" i="27" s="1"/>
  <c r="I32" i="31"/>
  <c r="G32" i="27" s="1"/>
  <c r="I31" i="31"/>
  <c r="I30" i="31"/>
  <c r="I29" i="31"/>
  <c r="G29" i="27" s="1"/>
  <c r="I28" i="31"/>
  <c r="G28" i="27" s="1"/>
  <c r="I27" i="31"/>
  <c r="I26" i="31"/>
  <c r="I25" i="31"/>
  <c r="G25" i="27" s="1"/>
  <c r="I24" i="31"/>
  <c r="AH23" i="31"/>
  <c r="I23" i="31"/>
  <c r="I22" i="31"/>
  <c r="I21" i="31"/>
  <c r="I20" i="31"/>
  <c r="B20" i="31"/>
  <c r="B23" i="31" s="1"/>
  <c r="B26" i="31" s="1"/>
  <c r="B29" i="31" s="1"/>
  <c r="B32" i="31" s="1"/>
  <c r="B35" i="31" s="1"/>
  <c r="B38" i="31" s="1"/>
  <c r="B41" i="31" s="1"/>
  <c r="B44" i="31" s="1"/>
  <c r="B47" i="31" s="1"/>
  <c r="B50" i="31" s="1"/>
  <c r="B53" i="31" s="1"/>
  <c r="B56" i="31" s="1"/>
  <c r="B59" i="31" s="1"/>
  <c r="B62" i="31" s="1"/>
  <c r="B65" i="31" s="1"/>
  <c r="B68" i="31" s="1"/>
  <c r="B71" i="31" s="1"/>
  <c r="B74" i="31" s="1"/>
  <c r="B77" i="31" s="1"/>
  <c r="B80" i="31" s="1"/>
  <c r="B83" i="31" s="1"/>
  <c r="B86" i="31" s="1"/>
  <c r="B89" i="31" s="1"/>
  <c r="B92" i="31" s="1"/>
  <c r="B95" i="31" s="1"/>
  <c r="I19" i="31"/>
  <c r="G19" i="27" s="1"/>
  <c r="I18" i="31"/>
  <c r="G18" i="27" s="1"/>
  <c r="I17" i="31"/>
  <c r="I16" i="31"/>
  <c r="I15" i="31"/>
  <c r="I14" i="31"/>
  <c r="I13" i="31"/>
  <c r="G13" i="27" s="1"/>
  <c r="I12" i="31"/>
  <c r="G12" i="27" s="1"/>
  <c r="E12" i="31"/>
  <c r="I11" i="31"/>
  <c r="I10" i="31"/>
  <c r="B10" i="31"/>
  <c r="B13" i="31" s="1"/>
  <c r="B16" i="31" s="1"/>
  <c r="B19" i="31" s="1"/>
  <c r="B22" i="31" s="1"/>
  <c r="B25" i="31" s="1"/>
  <c r="B28" i="31" s="1"/>
  <c r="B31" i="31" s="1"/>
  <c r="B34" i="31" s="1"/>
  <c r="B37" i="31" s="1"/>
  <c r="B40" i="31" s="1"/>
  <c r="B43" i="31" s="1"/>
  <c r="B46" i="31" s="1"/>
  <c r="B49" i="31" s="1"/>
  <c r="B52" i="31" s="1"/>
  <c r="B55" i="31" s="1"/>
  <c r="B58" i="31" s="1"/>
  <c r="B61" i="31" s="1"/>
  <c r="B64" i="31" s="1"/>
  <c r="B67" i="31" s="1"/>
  <c r="B70" i="31" s="1"/>
  <c r="B73" i="31" s="1"/>
  <c r="B76" i="31" s="1"/>
  <c r="B79" i="31" s="1"/>
  <c r="B82" i="31" s="1"/>
  <c r="B85" i="31" s="1"/>
  <c r="B88" i="31" s="1"/>
  <c r="B91" i="31" s="1"/>
  <c r="B94" i="31" s="1"/>
  <c r="I9" i="31"/>
  <c r="G9" i="27" s="1"/>
  <c r="F9" i="31"/>
  <c r="E9" i="31"/>
  <c r="D9" i="31"/>
  <c r="D12" i="31" s="1"/>
  <c r="D15" i="31" s="1"/>
  <c r="D18" i="31" s="1"/>
  <c r="D21" i="31" s="1"/>
  <c r="D24" i="31" s="1"/>
  <c r="D27" i="31" s="1"/>
  <c r="D30" i="31" s="1"/>
  <c r="D33" i="31" s="1"/>
  <c r="D36" i="31" s="1"/>
  <c r="D39" i="31" s="1"/>
  <c r="D42" i="31" s="1"/>
  <c r="D45" i="31" s="1"/>
  <c r="D48" i="31" s="1"/>
  <c r="D51" i="31" s="1"/>
  <c r="D54" i="31" s="1"/>
  <c r="D57" i="31" s="1"/>
  <c r="D60" i="31" s="1"/>
  <c r="D63" i="31" s="1"/>
  <c r="D66" i="31" s="1"/>
  <c r="D69" i="31" s="1"/>
  <c r="D72" i="31" s="1"/>
  <c r="D75" i="31" s="1"/>
  <c r="D78" i="31" s="1"/>
  <c r="D81" i="31" s="1"/>
  <c r="D84" i="31" s="1"/>
  <c r="D87" i="31" s="1"/>
  <c r="D90" i="31" s="1"/>
  <c r="D93" i="31" s="1"/>
  <c r="I8" i="31"/>
  <c r="G8" i="27" s="1"/>
  <c r="D8" i="31"/>
  <c r="D11" i="31" s="1"/>
  <c r="D14" i="31" s="1"/>
  <c r="D17" i="31" s="1"/>
  <c r="D20" i="31" s="1"/>
  <c r="D23" i="31" s="1"/>
  <c r="D26" i="31" s="1"/>
  <c r="D29" i="31" s="1"/>
  <c r="D32" i="31" s="1"/>
  <c r="D35" i="31" s="1"/>
  <c r="D38" i="31" s="1"/>
  <c r="D41" i="31" s="1"/>
  <c r="D44" i="31" s="1"/>
  <c r="D47" i="31" s="1"/>
  <c r="D50" i="31" s="1"/>
  <c r="D53" i="31" s="1"/>
  <c r="D56" i="31" s="1"/>
  <c r="D59" i="31" s="1"/>
  <c r="D62" i="31" s="1"/>
  <c r="D65" i="31" s="1"/>
  <c r="D68" i="31" s="1"/>
  <c r="D71" i="31" s="1"/>
  <c r="D74" i="31" s="1"/>
  <c r="D77" i="31" s="1"/>
  <c r="D80" i="31" s="1"/>
  <c r="D83" i="31" s="1"/>
  <c r="D86" i="31" s="1"/>
  <c r="D89" i="31" s="1"/>
  <c r="D92" i="31" s="1"/>
  <c r="D95" i="31" s="1"/>
  <c r="B8" i="31"/>
  <c r="B11" i="31" s="1"/>
  <c r="B14" i="31" s="1"/>
  <c r="B17" i="31" s="1"/>
  <c r="I7" i="31"/>
  <c r="D7" i="31"/>
  <c r="D10" i="31" s="1"/>
  <c r="D13" i="31" s="1"/>
  <c r="D16" i="31" s="1"/>
  <c r="D19" i="31" s="1"/>
  <c r="D22" i="31" s="1"/>
  <c r="D25" i="31" s="1"/>
  <c r="D28" i="31" s="1"/>
  <c r="D31" i="31" s="1"/>
  <c r="D34" i="31" s="1"/>
  <c r="D37" i="31" s="1"/>
  <c r="D40" i="31" s="1"/>
  <c r="D43" i="31" s="1"/>
  <c r="D46" i="31" s="1"/>
  <c r="D49" i="31" s="1"/>
  <c r="D52" i="31" s="1"/>
  <c r="D55" i="31" s="1"/>
  <c r="D58" i="31" s="1"/>
  <c r="D61" i="31" s="1"/>
  <c r="D64" i="31" s="1"/>
  <c r="D67" i="31" s="1"/>
  <c r="D70" i="31" s="1"/>
  <c r="D73" i="31" s="1"/>
  <c r="D76" i="31" s="1"/>
  <c r="D79" i="31" s="1"/>
  <c r="D82" i="31" s="1"/>
  <c r="D85" i="31" s="1"/>
  <c r="D88" i="31" s="1"/>
  <c r="D91" i="31" s="1"/>
  <c r="D94" i="31" s="1"/>
  <c r="B7" i="31"/>
  <c r="I6" i="31"/>
  <c r="E6" i="31"/>
  <c r="D6" i="31"/>
  <c r="B6" i="31"/>
  <c r="B9" i="31" s="1"/>
  <c r="B12" i="31" s="1"/>
  <c r="B15" i="31" s="1"/>
  <c r="B18" i="31" s="1"/>
  <c r="B21" i="31" s="1"/>
  <c r="B24" i="31" s="1"/>
  <c r="B27" i="31" s="1"/>
  <c r="B30" i="31" s="1"/>
  <c r="B33" i="31" s="1"/>
  <c r="B36" i="31" s="1"/>
  <c r="B39" i="31" s="1"/>
  <c r="B42" i="31" s="1"/>
  <c r="B45" i="31" s="1"/>
  <c r="B48" i="31" s="1"/>
  <c r="B51" i="31" s="1"/>
  <c r="B54" i="31" s="1"/>
  <c r="B57" i="31" s="1"/>
  <c r="B60" i="31" s="1"/>
  <c r="B63" i="31" s="1"/>
  <c r="B66" i="31" s="1"/>
  <c r="B69" i="31" s="1"/>
  <c r="B72" i="31" s="1"/>
  <c r="B75" i="31" s="1"/>
  <c r="B78" i="31" s="1"/>
  <c r="B81" i="31" s="1"/>
  <c r="B84" i="31" s="1"/>
  <c r="B87" i="31" s="1"/>
  <c r="B90" i="31" s="1"/>
  <c r="B93" i="31" s="1"/>
  <c r="I5" i="31"/>
  <c r="E5" i="31"/>
  <c r="I4" i="31"/>
  <c r="G4" i="27" s="1"/>
  <c r="I3" i="31"/>
  <c r="F3" i="31"/>
  <c r="E3" i="31"/>
  <c r="A3" i="31"/>
  <c r="I97" i="27"/>
  <c r="L97" i="27" s="1"/>
  <c r="N97" i="27" s="1"/>
  <c r="H97" i="27"/>
  <c r="G94" i="27"/>
  <c r="G90" i="27"/>
  <c r="G86" i="27"/>
  <c r="G82" i="27"/>
  <c r="G78" i="27"/>
  <c r="G74" i="27"/>
  <c r="G70" i="27"/>
  <c r="G66" i="27"/>
  <c r="G62" i="27"/>
  <c r="G58" i="27"/>
  <c r="G54" i="27"/>
  <c r="G50" i="27"/>
  <c r="G46" i="27"/>
  <c r="G42" i="27"/>
  <c r="G39" i="27"/>
  <c r="G38" i="27"/>
  <c r="G35" i="27"/>
  <c r="G34" i="27"/>
  <c r="G31" i="27"/>
  <c r="G30" i="27"/>
  <c r="G27" i="27"/>
  <c r="G26" i="27"/>
  <c r="G23" i="27"/>
  <c r="G22" i="27"/>
  <c r="G17" i="27"/>
  <c r="G15" i="27"/>
  <c r="E12" i="27"/>
  <c r="D11" i="27"/>
  <c r="D14" i="27" s="1"/>
  <c r="D17" i="27" s="1"/>
  <c r="D20" i="27" s="1"/>
  <c r="D23" i="27" s="1"/>
  <c r="D26" i="27" s="1"/>
  <c r="D29" i="27" s="1"/>
  <c r="D32" i="27" s="1"/>
  <c r="D35" i="27" s="1"/>
  <c r="D38" i="27" s="1"/>
  <c r="D41" i="27" s="1"/>
  <c r="D44" i="27" s="1"/>
  <c r="D47" i="27" s="1"/>
  <c r="D50" i="27" s="1"/>
  <c r="D53" i="27" s="1"/>
  <c r="D56" i="27" s="1"/>
  <c r="D59" i="27" s="1"/>
  <c r="D62" i="27" s="1"/>
  <c r="D65" i="27" s="1"/>
  <c r="D68" i="27" s="1"/>
  <c r="D71" i="27" s="1"/>
  <c r="D74" i="27" s="1"/>
  <c r="D77" i="27" s="1"/>
  <c r="D80" i="27" s="1"/>
  <c r="D83" i="27" s="1"/>
  <c r="D86" i="27" s="1"/>
  <c r="D89" i="27" s="1"/>
  <c r="D92" i="27" s="1"/>
  <c r="D95" i="27" s="1"/>
  <c r="G10" i="27"/>
  <c r="F9" i="27"/>
  <c r="E9" i="27"/>
  <c r="D8" i="27"/>
  <c r="B8" i="27"/>
  <c r="B11" i="27" s="1"/>
  <c r="B14" i="27" s="1"/>
  <c r="B17" i="27" s="1"/>
  <c r="B20" i="27" s="1"/>
  <c r="B23" i="27" s="1"/>
  <c r="B26" i="27" s="1"/>
  <c r="B29" i="27" s="1"/>
  <c r="B32" i="27" s="1"/>
  <c r="B35" i="27" s="1"/>
  <c r="B38" i="27" s="1"/>
  <c r="B41" i="27" s="1"/>
  <c r="B44" i="27" s="1"/>
  <c r="B47" i="27" s="1"/>
  <c r="B50" i="27" s="1"/>
  <c r="B53" i="27" s="1"/>
  <c r="B56" i="27" s="1"/>
  <c r="B59" i="27" s="1"/>
  <c r="B62" i="27" s="1"/>
  <c r="B65" i="27" s="1"/>
  <c r="B68" i="27" s="1"/>
  <c r="B71" i="27" s="1"/>
  <c r="B74" i="27" s="1"/>
  <c r="B77" i="27" s="1"/>
  <c r="B80" i="27" s="1"/>
  <c r="B83" i="27" s="1"/>
  <c r="B86" i="27" s="1"/>
  <c r="B89" i="27" s="1"/>
  <c r="B92" i="27" s="1"/>
  <c r="B95" i="27" s="1"/>
  <c r="D7" i="27"/>
  <c r="D10" i="27" s="1"/>
  <c r="D13" i="27" s="1"/>
  <c r="D16" i="27" s="1"/>
  <c r="D19" i="27" s="1"/>
  <c r="D22" i="27" s="1"/>
  <c r="D25" i="27" s="1"/>
  <c r="D28" i="27" s="1"/>
  <c r="D31" i="27" s="1"/>
  <c r="D34" i="27" s="1"/>
  <c r="D37" i="27" s="1"/>
  <c r="D40" i="27" s="1"/>
  <c r="D43" i="27" s="1"/>
  <c r="D46" i="27" s="1"/>
  <c r="D49" i="27" s="1"/>
  <c r="D52" i="27" s="1"/>
  <c r="D55" i="27" s="1"/>
  <c r="D58" i="27" s="1"/>
  <c r="D61" i="27" s="1"/>
  <c r="D64" i="27" s="1"/>
  <c r="D67" i="27" s="1"/>
  <c r="D70" i="27" s="1"/>
  <c r="D73" i="27" s="1"/>
  <c r="D76" i="27" s="1"/>
  <c r="D79" i="27" s="1"/>
  <c r="D82" i="27" s="1"/>
  <c r="D85" i="27" s="1"/>
  <c r="D88" i="27" s="1"/>
  <c r="D91" i="27" s="1"/>
  <c r="D94" i="27" s="1"/>
  <c r="B7" i="27"/>
  <c r="B10" i="27" s="1"/>
  <c r="B13" i="27" s="1"/>
  <c r="B16" i="27" s="1"/>
  <c r="B19" i="27" s="1"/>
  <c r="B22" i="27" s="1"/>
  <c r="B25" i="27" s="1"/>
  <c r="B28" i="27" s="1"/>
  <c r="B31" i="27" s="1"/>
  <c r="B34" i="27" s="1"/>
  <c r="B37" i="27" s="1"/>
  <c r="B40" i="27" s="1"/>
  <c r="B43" i="27" s="1"/>
  <c r="B46" i="27" s="1"/>
  <c r="B49" i="27" s="1"/>
  <c r="B52" i="27" s="1"/>
  <c r="B55" i="27" s="1"/>
  <c r="B58" i="27" s="1"/>
  <c r="B61" i="27" s="1"/>
  <c r="B64" i="27" s="1"/>
  <c r="B67" i="27" s="1"/>
  <c r="B70" i="27" s="1"/>
  <c r="B73" i="27" s="1"/>
  <c r="B76" i="27" s="1"/>
  <c r="B79" i="27" s="1"/>
  <c r="B82" i="27" s="1"/>
  <c r="B85" i="27" s="1"/>
  <c r="B88" i="27" s="1"/>
  <c r="B91" i="27" s="1"/>
  <c r="B94" i="27" s="1"/>
  <c r="E6" i="27"/>
  <c r="D6" i="27"/>
  <c r="D9" i="27" s="1"/>
  <c r="D12" i="27" s="1"/>
  <c r="D15" i="27" s="1"/>
  <c r="D18" i="27" s="1"/>
  <c r="D21" i="27" s="1"/>
  <c r="D24" i="27" s="1"/>
  <c r="D27" i="27" s="1"/>
  <c r="D30" i="27" s="1"/>
  <c r="D33" i="27" s="1"/>
  <c r="D36" i="27" s="1"/>
  <c r="D39" i="27" s="1"/>
  <c r="D42" i="27" s="1"/>
  <c r="D45" i="27" s="1"/>
  <c r="D48" i="27" s="1"/>
  <c r="D51" i="27" s="1"/>
  <c r="D54" i="27" s="1"/>
  <c r="D57" i="27" s="1"/>
  <c r="D60" i="27" s="1"/>
  <c r="D63" i="27" s="1"/>
  <c r="D66" i="27" s="1"/>
  <c r="D69" i="27" s="1"/>
  <c r="D72" i="27" s="1"/>
  <c r="D75" i="27" s="1"/>
  <c r="D78" i="27" s="1"/>
  <c r="D81" i="27" s="1"/>
  <c r="D84" i="27" s="1"/>
  <c r="D87" i="27" s="1"/>
  <c r="D90" i="27" s="1"/>
  <c r="D93" i="27" s="1"/>
  <c r="D96" i="27" s="1"/>
  <c r="B6" i="27"/>
  <c r="B9" i="27" s="1"/>
  <c r="B12" i="27" s="1"/>
  <c r="B15" i="27" s="1"/>
  <c r="B18" i="27" s="1"/>
  <c r="B21" i="27" s="1"/>
  <c r="B24" i="27" s="1"/>
  <c r="B27" i="27" s="1"/>
  <c r="B30" i="27" s="1"/>
  <c r="B33" i="27" s="1"/>
  <c r="B36" i="27" s="1"/>
  <c r="B39" i="27" s="1"/>
  <c r="B42" i="27" s="1"/>
  <c r="B45" i="27" s="1"/>
  <c r="B48" i="27" s="1"/>
  <c r="B51" i="27" s="1"/>
  <c r="B54" i="27" s="1"/>
  <c r="B57" i="27" s="1"/>
  <c r="B60" i="27" s="1"/>
  <c r="B63" i="27" s="1"/>
  <c r="B66" i="27" s="1"/>
  <c r="B69" i="27" s="1"/>
  <c r="B72" i="27" s="1"/>
  <c r="B75" i="27" s="1"/>
  <c r="B78" i="27" s="1"/>
  <c r="B81" i="27" s="1"/>
  <c r="B84" i="27" s="1"/>
  <c r="B87" i="27" s="1"/>
  <c r="B90" i="27" s="1"/>
  <c r="B93" i="27" s="1"/>
  <c r="B96" i="27" s="1"/>
  <c r="E5" i="27"/>
  <c r="F3" i="27"/>
  <c r="E3" i="27"/>
  <c r="C3" i="27"/>
  <c r="A3" i="27"/>
  <c r="A6" i="27" s="1"/>
  <c r="V191" i="41"/>
  <c r="K191" i="41"/>
  <c r="J191" i="41"/>
  <c r="E191" i="41"/>
  <c r="V190" i="41"/>
  <c r="K190" i="41"/>
  <c r="J190" i="41"/>
  <c r="V189" i="41"/>
  <c r="Q189" i="41"/>
  <c r="P189" i="41"/>
  <c r="O189" i="41"/>
  <c r="N189" i="41"/>
  <c r="K189" i="41"/>
  <c r="J189" i="41"/>
  <c r="AF188" i="41"/>
  <c r="V188" i="41"/>
  <c r="AE188" i="41" s="1"/>
  <c r="Q188" i="41"/>
  <c r="P188" i="41"/>
  <c r="O188" i="41"/>
  <c r="N188" i="41"/>
  <c r="K188" i="41"/>
  <c r="J188" i="41"/>
  <c r="V187" i="41"/>
  <c r="AF187" i="41" s="1"/>
  <c r="P187" i="41"/>
  <c r="O187" i="41"/>
  <c r="N187" i="41"/>
  <c r="K187" i="41"/>
  <c r="J187" i="41"/>
  <c r="V186" i="41"/>
  <c r="AC186" i="41" s="1"/>
  <c r="Q186" i="41"/>
  <c r="P186" i="41"/>
  <c r="O186" i="41"/>
  <c r="N186" i="41"/>
  <c r="K186" i="41"/>
  <c r="J186" i="41"/>
  <c r="V185" i="41"/>
  <c r="AE185" i="41" s="1"/>
  <c r="Q185" i="41"/>
  <c r="P185" i="41"/>
  <c r="O185" i="41"/>
  <c r="N185" i="41"/>
  <c r="K185" i="41"/>
  <c r="J185" i="41"/>
  <c r="V184" i="41"/>
  <c r="P184" i="41"/>
  <c r="O184" i="41"/>
  <c r="N184" i="41"/>
  <c r="K184" i="41"/>
  <c r="J184" i="41"/>
  <c r="V183" i="41"/>
  <c r="Q183" i="41"/>
  <c r="P183" i="41"/>
  <c r="O183" i="41"/>
  <c r="N183" i="41"/>
  <c r="K183" i="41"/>
  <c r="J183" i="41"/>
  <c r="V182" i="41"/>
  <c r="AE182" i="41" s="1"/>
  <c r="Q182" i="41"/>
  <c r="P182" i="41"/>
  <c r="O182" i="41"/>
  <c r="N182" i="41"/>
  <c r="K182" i="41"/>
  <c r="J182" i="41"/>
  <c r="V181" i="41"/>
  <c r="AF181" i="41" s="1"/>
  <c r="P181" i="41"/>
  <c r="O181" i="41"/>
  <c r="N181" i="41"/>
  <c r="K181" i="41"/>
  <c r="J181" i="41"/>
  <c r="V180" i="41"/>
  <c r="AC180" i="41" s="1"/>
  <c r="Q180" i="41"/>
  <c r="P180" i="41"/>
  <c r="O180" i="41"/>
  <c r="N180" i="41"/>
  <c r="K180" i="41"/>
  <c r="J180" i="41"/>
  <c r="V179" i="41"/>
  <c r="AE179" i="41" s="1"/>
  <c r="Q179" i="41"/>
  <c r="P179" i="41"/>
  <c r="O179" i="41"/>
  <c r="N179" i="41"/>
  <c r="K179" i="41"/>
  <c r="J179" i="41"/>
  <c r="V178" i="41"/>
  <c r="P178" i="41"/>
  <c r="O178" i="41"/>
  <c r="N178" i="41"/>
  <c r="K178" i="41"/>
  <c r="J178" i="41"/>
  <c r="V177" i="41"/>
  <c r="Q177" i="41"/>
  <c r="P177" i="41"/>
  <c r="O177" i="41"/>
  <c r="N177" i="41"/>
  <c r="K177" i="41"/>
  <c r="J177" i="41"/>
  <c r="V176" i="41"/>
  <c r="AE176" i="41" s="1"/>
  <c r="Q176" i="41"/>
  <c r="P176" i="41"/>
  <c r="O176" i="41"/>
  <c r="N176" i="41"/>
  <c r="K176" i="41"/>
  <c r="J176" i="41"/>
  <c r="V175" i="41"/>
  <c r="AF175" i="41" s="1"/>
  <c r="P175" i="41"/>
  <c r="O175" i="41"/>
  <c r="N175" i="41"/>
  <c r="K175" i="41"/>
  <c r="J175" i="41"/>
  <c r="V174" i="41"/>
  <c r="AC174" i="41" s="1"/>
  <c r="Q174" i="41"/>
  <c r="P174" i="41"/>
  <c r="O174" i="41"/>
  <c r="N174" i="41"/>
  <c r="K174" i="41"/>
  <c r="J174" i="41"/>
  <c r="V173" i="41"/>
  <c r="AE173" i="41" s="1"/>
  <c r="Q173" i="41"/>
  <c r="P173" i="41"/>
  <c r="O173" i="41"/>
  <c r="N173" i="41"/>
  <c r="K173" i="41"/>
  <c r="J173" i="41"/>
  <c r="V172" i="41"/>
  <c r="P172" i="41"/>
  <c r="O172" i="41"/>
  <c r="N172" i="41"/>
  <c r="K172" i="41"/>
  <c r="J172" i="41"/>
  <c r="V171" i="41"/>
  <c r="Q171" i="41"/>
  <c r="P171" i="41"/>
  <c r="O171" i="41"/>
  <c r="N171" i="41"/>
  <c r="K171" i="41"/>
  <c r="J171" i="41"/>
  <c r="V170" i="41"/>
  <c r="AE170" i="41" s="1"/>
  <c r="Q170" i="41"/>
  <c r="P170" i="41"/>
  <c r="O170" i="41"/>
  <c r="N170" i="41"/>
  <c r="K170" i="41"/>
  <c r="J170" i="41"/>
  <c r="V169" i="41"/>
  <c r="AF169" i="41" s="1"/>
  <c r="P169" i="41"/>
  <c r="O169" i="41"/>
  <c r="N169" i="41"/>
  <c r="K169" i="41"/>
  <c r="J169" i="41"/>
  <c r="V168" i="41"/>
  <c r="AC168" i="41" s="1"/>
  <c r="Q168" i="41"/>
  <c r="P168" i="41"/>
  <c r="O168" i="41"/>
  <c r="N168" i="41"/>
  <c r="K168" i="41"/>
  <c r="J168" i="41"/>
  <c r="V167" i="41"/>
  <c r="AE167" i="41" s="1"/>
  <c r="Q167" i="41"/>
  <c r="P167" i="41"/>
  <c r="O167" i="41"/>
  <c r="N167" i="41"/>
  <c r="K167" i="41"/>
  <c r="J167" i="41"/>
  <c r="V166" i="41"/>
  <c r="P166" i="41"/>
  <c r="O166" i="41"/>
  <c r="N166" i="41"/>
  <c r="K166" i="41"/>
  <c r="J166" i="41"/>
  <c r="V165" i="41"/>
  <c r="Q165" i="41"/>
  <c r="P165" i="41"/>
  <c r="O165" i="41"/>
  <c r="N165" i="41"/>
  <c r="K165" i="41"/>
  <c r="J165" i="41"/>
  <c r="AF164" i="41"/>
  <c r="V164" i="41"/>
  <c r="AE164" i="41" s="1"/>
  <c r="Q164" i="41"/>
  <c r="P164" i="41"/>
  <c r="O164" i="41"/>
  <c r="N164" i="41"/>
  <c r="K164" i="41"/>
  <c r="J164" i="41"/>
  <c r="V163" i="41"/>
  <c r="P163" i="41"/>
  <c r="O163" i="41"/>
  <c r="N163" i="41"/>
  <c r="K163" i="41"/>
  <c r="J163" i="41"/>
  <c r="V162" i="41"/>
  <c r="AC162" i="41" s="1"/>
  <c r="Q162" i="41"/>
  <c r="P162" i="41"/>
  <c r="O162" i="41"/>
  <c r="N162" i="41"/>
  <c r="K162" i="41"/>
  <c r="J162" i="41"/>
  <c r="V161" i="41"/>
  <c r="AE161" i="41" s="1"/>
  <c r="Q161" i="41"/>
  <c r="P161" i="41"/>
  <c r="O161" i="41"/>
  <c r="N161" i="41"/>
  <c r="K161" i="41"/>
  <c r="J161" i="41"/>
  <c r="V160" i="41"/>
  <c r="P160" i="41"/>
  <c r="O160" i="41"/>
  <c r="N160" i="41"/>
  <c r="K160" i="41"/>
  <c r="J160" i="41"/>
  <c r="V159" i="41"/>
  <c r="Q159" i="41"/>
  <c r="P159" i="41"/>
  <c r="O159" i="41"/>
  <c r="N159" i="41"/>
  <c r="K159" i="41"/>
  <c r="J159" i="41"/>
  <c r="AF158" i="41"/>
  <c r="AD158" i="41"/>
  <c r="V158" i="41"/>
  <c r="AE158" i="41" s="1"/>
  <c r="Q158" i="41"/>
  <c r="P158" i="41"/>
  <c r="O158" i="41"/>
  <c r="N158" i="41"/>
  <c r="K158" i="41"/>
  <c r="J158" i="41"/>
  <c r="V157" i="41"/>
  <c r="AF157" i="41" s="1"/>
  <c r="P157" i="41"/>
  <c r="O157" i="41"/>
  <c r="N157" i="41"/>
  <c r="K157" i="41"/>
  <c r="J157" i="41"/>
  <c r="V156" i="41"/>
  <c r="AC156" i="41" s="1"/>
  <c r="Q156" i="41"/>
  <c r="P156" i="41"/>
  <c r="O156" i="41"/>
  <c r="N156" i="41"/>
  <c r="K156" i="41"/>
  <c r="J156" i="41"/>
  <c r="V155" i="41"/>
  <c r="AE155" i="41" s="1"/>
  <c r="Q155" i="41"/>
  <c r="P155" i="41"/>
  <c r="O155" i="41"/>
  <c r="N155" i="41"/>
  <c r="K155" i="41"/>
  <c r="J155" i="41"/>
  <c r="V154" i="41"/>
  <c r="P154" i="41"/>
  <c r="O154" i="41"/>
  <c r="N154" i="41"/>
  <c r="K154" i="41"/>
  <c r="J154" i="41"/>
  <c r="AC153" i="41"/>
  <c r="V153" i="41"/>
  <c r="Q153" i="41"/>
  <c r="P153" i="41"/>
  <c r="O153" i="41"/>
  <c r="N153" i="41"/>
  <c r="K153" i="41"/>
  <c r="J153" i="41"/>
  <c r="AF152" i="41"/>
  <c r="V152" i="41"/>
  <c r="AE152" i="41" s="1"/>
  <c r="Q152" i="41"/>
  <c r="P152" i="41"/>
  <c r="O152" i="41"/>
  <c r="N152" i="41"/>
  <c r="K152" i="41"/>
  <c r="J152" i="41"/>
  <c r="V151" i="41"/>
  <c r="P151" i="41"/>
  <c r="O151" i="41"/>
  <c r="N151" i="41"/>
  <c r="K151" i="41"/>
  <c r="J151" i="41"/>
  <c r="V150" i="41"/>
  <c r="AC150" i="41" s="1"/>
  <c r="Q150" i="41"/>
  <c r="P150" i="41"/>
  <c r="O150" i="41"/>
  <c r="N150" i="41"/>
  <c r="K150" i="41"/>
  <c r="J150" i="41"/>
  <c r="V149" i="41"/>
  <c r="AE149" i="41" s="1"/>
  <c r="Q149" i="41"/>
  <c r="P149" i="41"/>
  <c r="O149" i="41"/>
  <c r="N149" i="41"/>
  <c r="K149" i="41"/>
  <c r="J149" i="41"/>
  <c r="V148" i="41"/>
  <c r="P148" i="41"/>
  <c r="O148" i="41"/>
  <c r="N148" i="41"/>
  <c r="K148" i="41"/>
  <c r="J148" i="41"/>
  <c r="V147" i="41"/>
  <c r="Q147" i="41"/>
  <c r="P147" i="41"/>
  <c r="O147" i="41"/>
  <c r="N147" i="41"/>
  <c r="K147" i="41"/>
  <c r="J147" i="41"/>
  <c r="AF146" i="41"/>
  <c r="AD146" i="41"/>
  <c r="V146" i="41"/>
  <c r="AE146" i="41" s="1"/>
  <c r="Q146" i="41"/>
  <c r="P146" i="41"/>
  <c r="O146" i="41"/>
  <c r="N146" i="41"/>
  <c r="K146" i="41"/>
  <c r="J146" i="41"/>
  <c r="V145" i="41"/>
  <c r="AF145" i="41" s="1"/>
  <c r="P145" i="41"/>
  <c r="O145" i="41"/>
  <c r="N145" i="41"/>
  <c r="K145" i="41"/>
  <c r="J145" i="41"/>
  <c r="V144" i="41"/>
  <c r="AC144" i="41" s="1"/>
  <c r="Q144" i="41"/>
  <c r="P144" i="41"/>
  <c r="O144" i="41"/>
  <c r="N144" i="41"/>
  <c r="K144" i="41"/>
  <c r="J144" i="41"/>
  <c r="V143" i="41"/>
  <c r="AE143" i="41" s="1"/>
  <c r="Q143" i="41"/>
  <c r="P143" i="41"/>
  <c r="O143" i="41"/>
  <c r="N143" i="41"/>
  <c r="K143" i="41"/>
  <c r="J143" i="41"/>
  <c r="V142" i="41"/>
  <c r="P142" i="41"/>
  <c r="O142" i="41"/>
  <c r="N142" i="41"/>
  <c r="K142" i="41"/>
  <c r="J142" i="41"/>
  <c r="AC141" i="41"/>
  <c r="V141" i="41"/>
  <c r="Q141" i="41"/>
  <c r="P141" i="41"/>
  <c r="O141" i="41"/>
  <c r="N141" i="41"/>
  <c r="K141" i="41"/>
  <c r="J141" i="41"/>
  <c r="AF140" i="41"/>
  <c r="V140" i="41"/>
  <c r="AE140" i="41" s="1"/>
  <c r="Q140" i="41"/>
  <c r="P140" i="41"/>
  <c r="O140" i="41"/>
  <c r="N140" i="41"/>
  <c r="K140" i="41"/>
  <c r="J140" i="41"/>
  <c r="V139" i="41"/>
  <c r="P139" i="41"/>
  <c r="O139" i="41"/>
  <c r="N139" i="41"/>
  <c r="K139" i="41"/>
  <c r="J139" i="41"/>
  <c r="V138" i="41"/>
  <c r="AC138" i="41" s="1"/>
  <c r="Q138" i="41"/>
  <c r="P138" i="41"/>
  <c r="O138" i="41"/>
  <c r="N138" i="41"/>
  <c r="K138" i="41"/>
  <c r="J138" i="41"/>
  <c r="V137" i="41"/>
  <c r="AE137" i="41" s="1"/>
  <c r="Q137" i="41"/>
  <c r="P137" i="41"/>
  <c r="O137" i="41"/>
  <c r="N137" i="41"/>
  <c r="K137" i="41"/>
  <c r="J137" i="41"/>
  <c r="V136" i="41"/>
  <c r="AD136" i="41" s="1"/>
  <c r="P136" i="41"/>
  <c r="O136" i="41"/>
  <c r="N136" i="41"/>
  <c r="K136" i="41"/>
  <c r="J136" i="41"/>
  <c r="V135" i="41"/>
  <c r="Q135" i="41"/>
  <c r="P135" i="41"/>
  <c r="O135" i="41"/>
  <c r="N135" i="41"/>
  <c r="K135" i="41"/>
  <c r="J135" i="41"/>
  <c r="V134" i="41"/>
  <c r="AE134" i="41" s="1"/>
  <c r="Q134" i="41"/>
  <c r="P134" i="41"/>
  <c r="O134" i="41"/>
  <c r="N134" i="41"/>
  <c r="K134" i="41"/>
  <c r="J134" i="41"/>
  <c r="V133" i="41"/>
  <c r="AF133" i="41" s="1"/>
  <c r="P133" i="41"/>
  <c r="O133" i="41"/>
  <c r="N133" i="41"/>
  <c r="K133" i="41"/>
  <c r="J133" i="41"/>
  <c r="V132" i="41"/>
  <c r="AC132" i="41" s="1"/>
  <c r="Q132" i="41"/>
  <c r="P132" i="41"/>
  <c r="O132" i="41"/>
  <c r="N132" i="41"/>
  <c r="K132" i="41"/>
  <c r="J132" i="41"/>
  <c r="V131" i="41"/>
  <c r="AE131" i="41" s="1"/>
  <c r="Q131" i="41"/>
  <c r="P131" i="41"/>
  <c r="O131" i="41"/>
  <c r="N131" i="41"/>
  <c r="K131" i="41"/>
  <c r="J131" i="41"/>
  <c r="V130" i="41"/>
  <c r="P130" i="41"/>
  <c r="O130" i="41"/>
  <c r="N130" i="41"/>
  <c r="K130" i="41"/>
  <c r="J130" i="41"/>
  <c r="V129" i="41"/>
  <c r="AC129" i="41" s="1"/>
  <c r="Q129" i="41"/>
  <c r="P129" i="41"/>
  <c r="O129" i="41"/>
  <c r="N129" i="41"/>
  <c r="K129" i="41"/>
  <c r="J129" i="41"/>
  <c r="V128" i="41"/>
  <c r="AE128" i="41" s="1"/>
  <c r="Q128" i="41"/>
  <c r="P128" i="41"/>
  <c r="O128" i="41"/>
  <c r="N128" i="41"/>
  <c r="K128" i="41"/>
  <c r="J128" i="41"/>
  <c r="V127" i="41"/>
  <c r="P127" i="41"/>
  <c r="O127" i="41"/>
  <c r="N127" i="41"/>
  <c r="K127" i="41"/>
  <c r="J127" i="41"/>
  <c r="V126" i="41"/>
  <c r="AC126" i="41" s="1"/>
  <c r="Q126" i="41"/>
  <c r="P126" i="41"/>
  <c r="O126" i="41"/>
  <c r="N126" i="41"/>
  <c r="K126" i="41"/>
  <c r="J126" i="41"/>
  <c r="V125" i="41"/>
  <c r="AE125" i="41" s="1"/>
  <c r="Q125" i="41"/>
  <c r="P125" i="41"/>
  <c r="O125" i="41"/>
  <c r="N125" i="41"/>
  <c r="K125" i="41"/>
  <c r="J125" i="41"/>
  <c r="V124" i="41"/>
  <c r="P124" i="41"/>
  <c r="O124" i="41"/>
  <c r="N124" i="41"/>
  <c r="K124" i="41"/>
  <c r="J124" i="41"/>
  <c r="V123" i="41"/>
  <c r="Q123" i="41"/>
  <c r="P123" i="41"/>
  <c r="O123" i="41"/>
  <c r="N123" i="41"/>
  <c r="K123" i="41"/>
  <c r="J123" i="41"/>
  <c r="AF122" i="41"/>
  <c r="V122" i="41"/>
  <c r="AE122" i="41" s="1"/>
  <c r="Q122" i="41"/>
  <c r="P122" i="41"/>
  <c r="O122" i="41"/>
  <c r="N122" i="41"/>
  <c r="K122" i="41"/>
  <c r="J122" i="41"/>
  <c r="V121" i="41"/>
  <c r="AF121" i="41" s="1"/>
  <c r="P121" i="41"/>
  <c r="O121" i="41"/>
  <c r="N121" i="41"/>
  <c r="K121" i="41"/>
  <c r="J121" i="41"/>
  <c r="V120" i="41"/>
  <c r="AC120" i="41" s="1"/>
  <c r="Q120" i="41"/>
  <c r="P120" i="41"/>
  <c r="O120" i="41"/>
  <c r="N120" i="41"/>
  <c r="K120" i="41"/>
  <c r="J120" i="41"/>
  <c r="V119" i="41"/>
  <c r="AE119" i="41" s="1"/>
  <c r="Q119" i="41"/>
  <c r="P119" i="41"/>
  <c r="O119" i="41"/>
  <c r="N119" i="41"/>
  <c r="K119" i="41"/>
  <c r="J119" i="41"/>
  <c r="V118" i="41"/>
  <c r="P118" i="41"/>
  <c r="O118" i="41"/>
  <c r="N118" i="41"/>
  <c r="K118" i="41"/>
  <c r="J118" i="41"/>
  <c r="V117" i="41"/>
  <c r="AC117" i="41" s="1"/>
  <c r="Q117" i="41"/>
  <c r="P117" i="41"/>
  <c r="O117" i="41"/>
  <c r="N117" i="41"/>
  <c r="K117" i="41"/>
  <c r="J117" i="41"/>
  <c r="V116" i="41"/>
  <c r="AE116" i="41" s="1"/>
  <c r="Q116" i="41"/>
  <c r="P116" i="41"/>
  <c r="O116" i="41"/>
  <c r="N116" i="41"/>
  <c r="K116" i="41"/>
  <c r="J116" i="41"/>
  <c r="V115" i="41"/>
  <c r="P115" i="41"/>
  <c r="O115" i="41"/>
  <c r="N115" i="41"/>
  <c r="K115" i="41"/>
  <c r="J115" i="41"/>
  <c r="V114" i="41"/>
  <c r="AC114" i="41" s="1"/>
  <c r="Q114" i="41"/>
  <c r="P114" i="41"/>
  <c r="O114" i="41"/>
  <c r="N114" i="41"/>
  <c r="K114" i="41"/>
  <c r="J114" i="41"/>
  <c r="V113" i="41"/>
  <c r="AE113" i="41" s="1"/>
  <c r="Q113" i="41"/>
  <c r="P113" i="41"/>
  <c r="O113" i="41"/>
  <c r="N113" i="41"/>
  <c r="K113" i="41"/>
  <c r="J113" i="41"/>
  <c r="V112" i="41"/>
  <c r="P112" i="41"/>
  <c r="O112" i="41"/>
  <c r="N112" i="41"/>
  <c r="K112" i="41"/>
  <c r="J112" i="41"/>
  <c r="V111" i="41"/>
  <c r="Q111" i="41"/>
  <c r="P111" i="41"/>
  <c r="O111" i="41"/>
  <c r="N111" i="41"/>
  <c r="K111" i="41"/>
  <c r="J111" i="41"/>
  <c r="V110" i="41"/>
  <c r="AE110" i="41" s="1"/>
  <c r="Q110" i="41"/>
  <c r="P110" i="41"/>
  <c r="O110" i="41"/>
  <c r="N110" i="41"/>
  <c r="K110" i="41"/>
  <c r="J110" i="41"/>
  <c r="V109" i="41"/>
  <c r="AF109" i="41" s="1"/>
  <c r="P109" i="41"/>
  <c r="O109" i="41"/>
  <c r="N109" i="41"/>
  <c r="K109" i="41"/>
  <c r="J109" i="41"/>
  <c r="V108" i="41"/>
  <c r="AC108" i="41" s="1"/>
  <c r="Q108" i="41"/>
  <c r="P108" i="41"/>
  <c r="O108" i="41"/>
  <c r="N108" i="41"/>
  <c r="K108" i="41"/>
  <c r="J108" i="41"/>
  <c r="V107" i="41"/>
  <c r="AE107" i="41" s="1"/>
  <c r="Q107" i="41"/>
  <c r="P107" i="41"/>
  <c r="O107" i="41"/>
  <c r="N107" i="41"/>
  <c r="K107" i="41"/>
  <c r="J107" i="41"/>
  <c r="V106" i="41"/>
  <c r="P106" i="41"/>
  <c r="O106" i="41"/>
  <c r="N106" i="41"/>
  <c r="K106" i="41"/>
  <c r="J106" i="41"/>
  <c r="V105" i="41"/>
  <c r="AC105" i="41" s="1"/>
  <c r="Q105" i="41"/>
  <c r="P105" i="41"/>
  <c r="O105" i="41"/>
  <c r="N105" i="41"/>
  <c r="K105" i="41"/>
  <c r="J105" i="41"/>
  <c r="V104" i="41"/>
  <c r="AE104" i="41" s="1"/>
  <c r="Q104" i="41"/>
  <c r="P104" i="41"/>
  <c r="O104" i="41"/>
  <c r="N104" i="41"/>
  <c r="K104" i="41"/>
  <c r="J104" i="41"/>
  <c r="V103" i="41"/>
  <c r="P103" i="41"/>
  <c r="O103" i="41"/>
  <c r="N103" i="41"/>
  <c r="K103" i="41"/>
  <c r="J103" i="41"/>
  <c r="V102" i="41"/>
  <c r="AC102" i="41" s="1"/>
  <c r="Q102" i="41"/>
  <c r="P102" i="41"/>
  <c r="O102" i="41"/>
  <c r="N102" i="41"/>
  <c r="K102" i="41"/>
  <c r="J102" i="41"/>
  <c r="V101" i="41"/>
  <c r="AE101" i="41" s="1"/>
  <c r="Q101" i="41"/>
  <c r="P101" i="41"/>
  <c r="O101" i="41"/>
  <c r="N101" i="41"/>
  <c r="K101" i="41"/>
  <c r="J101" i="41"/>
  <c r="V100" i="41"/>
  <c r="P100" i="41"/>
  <c r="O100" i="41"/>
  <c r="N100" i="41"/>
  <c r="K100" i="41"/>
  <c r="J100" i="41"/>
  <c r="V99" i="41"/>
  <c r="Q99" i="41"/>
  <c r="P99" i="41"/>
  <c r="O99" i="41"/>
  <c r="N99" i="41"/>
  <c r="K99" i="41"/>
  <c r="J99" i="41"/>
  <c r="V98" i="41"/>
  <c r="AE98" i="41" s="1"/>
  <c r="Q98" i="41"/>
  <c r="P98" i="41"/>
  <c r="O98" i="41"/>
  <c r="N98" i="41"/>
  <c r="K98" i="41"/>
  <c r="J98" i="41"/>
  <c r="V97" i="41"/>
  <c r="AF97" i="41" s="1"/>
  <c r="P97" i="41"/>
  <c r="O97" i="41"/>
  <c r="N97" i="41"/>
  <c r="K97" i="41"/>
  <c r="J97" i="41"/>
  <c r="V96" i="41"/>
  <c r="AC96" i="41" s="1"/>
  <c r="Q96" i="41"/>
  <c r="P96" i="41"/>
  <c r="O96" i="41"/>
  <c r="N96" i="41"/>
  <c r="K96" i="41"/>
  <c r="J96" i="41"/>
  <c r="V95" i="41"/>
  <c r="AE95" i="41" s="1"/>
  <c r="Q95" i="41"/>
  <c r="P95" i="41"/>
  <c r="O95" i="41"/>
  <c r="N95" i="41"/>
  <c r="K95" i="41"/>
  <c r="J95" i="41"/>
  <c r="V94" i="41"/>
  <c r="P94" i="41"/>
  <c r="O94" i="41"/>
  <c r="N94" i="41"/>
  <c r="K94" i="41"/>
  <c r="J94" i="41"/>
  <c r="V93" i="41"/>
  <c r="AC93" i="41" s="1"/>
  <c r="Q93" i="41"/>
  <c r="P93" i="41"/>
  <c r="O93" i="41"/>
  <c r="N93" i="41"/>
  <c r="K93" i="41"/>
  <c r="J93" i="41"/>
  <c r="V92" i="41"/>
  <c r="AE92" i="41" s="1"/>
  <c r="Q92" i="41"/>
  <c r="P92" i="41"/>
  <c r="O92" i="41"/>
  <c r="N92" i="41"/>
  <c r="K92" i="41"/>
  <c r="J92" i="41"/>
  <c r="V91" i="41"/>
  <c r="P91" i="41"/>
  <c r="O91" i="41"/>
  <c r="N91" i="41"/>
  <c r="K91" i="41"/>
  <c r="J91" i="41"/>
  <c r="V90" i="41"/>
  <c r="AC90" i="41" s="1"/>
  <c r="Q90" i="41"/>
  <c r="P90" i="41"/>
  <c r="O90" i="41"/>
  <c r="N90" i="41"/>
  <c r="K90" i="41"/>
  <c r="J90" i="41"/>
  <c r="V89" i="41"/>
  <c r="AE89" i="41" s="1"/>
  <c r="Q89" i="41"/>
  <c r="P89" i="41"/>
  <c r="O89" i="41"/>
  <c r="N89" i="41"/>
  <c r="K89" i="41"/>
  <c r="J89" i="41"/>
  <c r="V88" i="41"/>
  <c r="P88" i="41"/>
  <c r="O88" i="41"/>
  <c r="N88" i="41"/>
  <c r="K88" i="41"/>
  <c r="J88" i="41"/>
  <c r="V87" i="41"/>
  <c r="Q87" i="41"/>
  <c r="P87" i="41"/>
  <c r="O87" i="41"/>
  <c r="N87" i="41"/>
  <c r="K87" i="41"/>
  <c r="J87" i="41"/>
  <c r="V86" i="41"/>
  <c r="AE86" i="41" s="1"/>
  <c r="Q86" i="41"/>
  <c r="P86" i="41"/>
  <c r="O86" i="41"/>
  <c r="N86" i="41"/>
  <c r="K86" i="41"/>
  <c r="J86" i="41"/>
  <c r="V85" i="41"/>
  <c r="AF85" i="41" s="1"/>
  <c r="P85" i="41"/>
  <c r="O85" i="41"/>
  <c r="N85" i="41"/>
  <c r="K85" i="41"/>
  <c r="J85" i="41"/>
  <c r="V84" i="41"/>
  <c r="AC84" i="41" s="1"/>
  <c r="Q84" i="41"/>
  <c r="P84" i="41"/>
  <c r="O84" i="41"/>
  <c r="N84" i="41"/>
  <c r="K84" i="41"/>
  <c r="J84" i="41"/>
  <c r="V83" i="41"/>
  <c r="AE83" i="41" s="1"/>
  <c r="Q83" i="41"/>
  <c r="P83" i="41"/>
  <c r="O83" i="41"/>
  <c r="N83" i="41"/>
  <c r="K83" i="41"/>
  <c r="J83" i="41"/>
  <c r="V82" i="41"/>
  <c r="P82" i="41"/>
  <c r="O82" i="41"/>
  <c r="N82" i="41"/>
  <c r="K82" i="41"/>
  <c r="J82" i="41"/>
  <c r="V81" i="41"/>
  <c r="AC81" i="41" s="1"/>
  <c r="Q81" i="41"/>
  <c r="P81" i="41"/>
  <c r="O81" i="41"/>
  <c r="N81" i="41"/>
  <c r="K81" i="41"/>
  <c r="J81" i="41"/>
  <c r="V80" i="41"/>
  <c r="AE80" i="41" s="1"/>
  <c r="Q80" i="41"/>
  <c r="P80" i="41"/>
  <c r="O80" i="41"/>
  <c r="N80" i="41"/>
  <c r="K80" i="41"/>
  <c r="J80" i="41"/>
  <c r="V79" i="41"/>
  <c r="P79" i="41"/>
  <c r="O79" i="41"/>
  <c r="N79" i="41"/>
  <c r="K79" i="41"/>
  <c r="J79" i="41"/>
  <c r="V78" i="41"/>
  <c r="AC78" i="41" s="1"/>
  <c r="Q78" i="41"/>
  <c r="P78" i="41"/>
  <c r="O78" i="41"/>
  <c r="N78" i="41"/>
  <c r="K78" i="41"/>
  <c r="J78" i="41"/>
  <c r="V77" i="41"/>
  <c r="AE77" i="41" s="1"/>
  <c r="Q77" i="41"/>
  <c r="P77" i="41"/>
  <c r="O77" i="41"/>
  <c r="N77" i="41"/>
  <c r="K77" i="41"/>
  <c r="J77" i="41"/>
  <c r="V76" i="41"/>
  <c r="P76" i="41"/>
  <c r="O76" i="41"/>
  <c r="N76" i="41"/>
  <c r="K76" i="41"/>
  <c r="J76" i="41"/>
  <c r="V75" i="41"/>
  <c r="Q75" i="41"/>
  <c r="P75" i="41"/>
  <c r="O75" i="41"/>
  <c r="N75" i="41"/>
  <c r="K75" i="41"/>
  <c r="J75" i="41"/>
  <c r="AF74" i="41"/>
  <c r="V74" i="41"/>
  <c r="AE74" i="41" s="1"/>
  <c r="Q74" i="41"/>
  <c r="P74" i="41"/>
  <c r="O74" i="41"/>
  <c r="N74" i="41"/>
  <c r="K74" i="41"/>
  <c r="J74" i="41"/>
  <c r="V73" i="41"/>
  <c r="AF73" i="41" s="1"/>
  <c r="P73" i="41"/>
  <c r="O73" i="41"/>
  <c r="N73" i="41"/>
  <c r="K73" i="41"/>
  <c r="J73" i="41"/>
  <c r="V72" i="41"/>
  <c r="AC72" i="41" s="1"/>
  <c r="Q72" i="41"/>
  <c r="P72" i="41"/>
  <c r="O72" i="41"/>
  <c r="N72" i="41"/>
  <c r="K72" i="41"/>
  <c r="J72" i="41"/>
  <c r="V71" i="41"/>
  <c r="AE71" i="41" s="1"/>
  <c r="Q71" i="41"/>
  <c r="P71" i="41"/>
  <c r="O71" i="41"/>
  <c r="N71" i="41"/>
  <c r="K71" i="41"/>
  <c r="J71" i="41"/>
  <c r="V70" i="41"/>
  <c r="P70" i="41"/>
  <c r="O70" i="41"/>
  <c r="N70" i="41"/>
  <c r="K70" i="41"/>
  <c r="J70" i="41"/>
  <c r="V69" i="41"/>
  <c r="AC69" i="41" s="1"/>
  <c r="Q69" i="41"/>
  <c r="P69" i="41"/>
  <c r="O69" i="41"/>
  <c r="N69" i="41"/>
  <c r="K69" i="41"/>
  <c r="J69" i="41"/>
  <c r="V68" i="41"/>
  <c r="AE68" i="41" s="1"/>
  <c r="Q68" i="41"/>
  <c r="P68" i="41"/>
  <c r="O68" i="41"/>
  <c r="N68" i="41"/>
  <c r="K68" i="41"/>
  <c r="J68" i="41"/>
  <c r="V67" i="41"/>
  <c r="P67" i="41"/>
  <c r="O67" i="41"/>
  <c r="N67" i="41"/>
  <c r="K67" i="41"/>
  <c r="J67" i="41"/>
  <c r="V66" i="41"/>
  <c r="AC66" i="41" s="1"/>
  <c r="Q66" i="41"/>
  <c r="P66" i="41"/>
  <c r="O66" i="41"/>
  <c r="N66" i="41"/>
  <c r="K66" i="41"/>
  <c r="J66" i="41"/>
  <c r="V65" i="41"/>
  <c r="AE65" i="41" s="1"/>
  <c r="Q65" i="41"/>
  <c r="P65" i="41"/>
  <c r="O65" i="41"/>
  <c r="N65" i="41"/>
  <c r="K65" i="41"/>
  <c r="J65" i="41"/>
  <c r="V64" i="41"/>
  <c r="AC64" i="41" s="1"/>
  <c r="P64" i="41"/>
  <c r="O64" i="41"/>
  <c r="N64" i="41"/>
  <c r="K64" i="41"/>
  <c r="J64" i="41"/>
  <c r="V63" i="41"/>
  <c r="Q63" i="41"/>
  <c r="P63" i="41"/>
  <c r="O63" i="41"/>
  <c r="N63" i="41"/>
  <c r="K63" i="41"/>
  <c r="J63" i="41"/>
  <c r="V62" i="41"/>
  <c r="Q62" i="41"/>
  <c r="P62" i="41"/>
  <c r="O62" i="41"/>
  <c r="N62" i="41"/>
  <c r="K62" i="41"/>
  <c r="J62" i="41"/>
  <c r="AF61" i="41"/>
  <c r="V61" i="41"/>
  <c r="AE61" i="41" s="1"/>
  <c r="P61" i="41"/>
  <c r="O61" i="41"/>
  <c r="N61" i="41"/>
  <c r="K61" i="41"/>
  <c r="J61" i="41"/>
  <c r="V60" i="41"/>
  <c r="Q60" i="41"/>
  <c r="P60" i="41"/>
  <c r="O60" i="41"/>
  <c r="N60" i="41"/>
  <c r="K60" i="41"/>
  <c r="J60" i="41"/>
  <c r="V59" i="41"/>
  <c r="Q59" i="41"/>
  <c r="P59" i="41"/>
  <c r="O59" i="41"/>
  <c r="N59" i="41"/>
  <c r="K59" i="41"/>
  <c r="J59" i="41"/>
  <c r="V58" i="41"/>
  <c r="AD58" i="41" s="1"/>
  <c r="P58" i="41"/>
  <c r="O58" i="41"/>
  <c r="N58" i="41"/>
  <c r="K58" i="41"/>
  <c r="J58" i="41"/>
  <c r="V57" i="41"/>
  <c r="AF57" i="41" s="1"/>
  <c r="Q57" i="41"/>
  <c r="P57" i="41"/>
  <c r="O57" i="41"/>
  <c r="N57" i="41"/>
  <c r="K57" i="41"/>
  <c r="J57" i="41"/>
  <c r="V56" i="41"/>
  <c r="AC56" i="41" s="1"/>
  <c r="Q56" i="41"/>
  <c r="P56" i="41"/>
  <c r="O56" i="41"/>
  <c r="N56" i="41"/>
  <c r="K56" i="41"/>
  <c r="J56" i="41"/>
  <c r="V55" i="41"/>
  <c r="AD55" i="41" s="1"/>
  <c r="P55" i="41"/>
  <c r="O55" i="41"/>
  <c r="N55" i="41"/>
  <c r="K55" i="41"/>
  <c r="J55" i="41"/>
  <c r="V54" i="41"/>
  <c r="AD54" i="41" s="1"/>
  <c r="Q54" i="41"/>
  <c r="P54" i="41"/>
  <c r="O54" i="41"/>
  <c r="N54" i="41"/>
  <c r="K54" i="41"/>
  <c r="J54" i="41"/>
  <c r="V53" i="41"/>
  <c r="AE53" i="41" s="1"/>
  <c r="Q53" i="41"/>
  <c r="P53" i="41"/>
  <c r="O53" i="41"/>
  <c r="N53" i="41"/>
  <c r="K53" i="41"/>
  <c r="J53" i="41"/>
  <c r="V52" i="41"/>
  <c r="AE52" i="41" s="1"/>
  <c r="P52" i="41"/>
  <c r="O52" i="41"/>
  <c r="N52" i="41"/>
  <c r="K52" i="41"/>
  <c r="J52" i="41"/>
  <c r="V51" i="41"/>
  <c r="AC51" i="41" s="1"/>
  <c r="Q51" i="41"/>
  <c r="P51" i="41"/>
  <c r="O51" i="41"/>
  <c r="N51" i="41"/>
  <c r="K51" i="41"/>
  <c r="J51" i="41"/>
  <c r="V50" i="41"/>
  <c r="Q50" i="41"/>
  <c r="P50" i="41"/>
  <c r="O50" i="41"/>
  <c r="N50" i="41"/>
  <c r="K50" i="41"/>
  <c r="J50" i="41"/>
  <c r="V49" i="41"/>
  <c r="AC49" i="41" s="1"/>
  <c r="P49" i="41"/>
  <c r="O49" i="41"/>
  <c r="N49" i="41"/>
  <c r="K49" i="41"/>
  <c r="J49" i="41"/>
  <c r="V48" i="41"/>
  <c r="AC48" i="41" s="1"/>
  <c r="Q48" i="41"/>
  <c r="P48" i="41"/>
  <c r="O48" i="41"/>
  <c r="N48" i="41"/>
  <c r="K48" i="41"/>
  <c r="J48" i="41"/>
  <c r="V47" i="41"/>
  <c r="Q47" i="41"/>
  <c r="P47" i="41"/>
  <c r="O47" i="41"/>
  <c r="N47" i="41"/>
  <c r="K47" i="41"/>
  <c r="J47" i="41"/>
  <c r="V46" i="41"/>
  <c r="AD46" i="41" s="1"/>
  <c r="P46" i="41"/>
  <c r="O46" i="41"/>
  <c r="N46" i="41"/>
  <c r="K46" i="41"/>
  <c r="J46" i="41"/>
  <c r="V45" i="41"/>
  <c r="AF45" i="41" s="1"/>
  <c r="Q45" i="41"/>
  <c r="P45" i="41"/>
  <c r="O45" i="41"/>
  <c r="N45" i="41"/>
  <c r="K45" i="41"/>
  <c r="J45" i="41"/>
  <c r="V44" i="41"/>
  <c r="AF44" i="41" s="1"/>
  <c r="Q44" i="41"/>
  <c r="P44" i="41"/>
  <c r="O44" i="41"/>
  <c r="N44" i="41"/>
  <c r="K44" i="41"/>
  <c r="J44" i="41"/>
  <c r="V43" i="41"/>
  <c r="AD43" i="41" s="1"/>
  <c r="P43" i="41"/>
  <c r="O43" i="41"/>
  <c r="N43" i="41"/>
  <c r="K43" i="41"/>
  <c r="J43" i="41"/>
  <c r="V42" i="41"/>
  <c r="AE42" i="41" s="1"/>
  <c r="Q42" i="41"/>
  <c r="P42" i="41"/>
  <c r="O42" i="41"/>
  <c r="N42" i="41"/>
  <c r="K42" i="41"/>
  <c r="J42" i="41"/>
  <c r="V41" i="41"/>
  <c r="AE41" i="41" s="1"/>
  <c r="Q41" i="41"/>
  <c r="P41" i="41"/>
  <c r="O41" i="41"/>
  <c r="N41" i="41"/>
  <c r="K41" i="41"/>
  <c r="J41" i="41"/>
  <c r="V40" i="41"/>
  <c r="AC40" i="41" s="1"/>
  <c r="P40" i="41"/>
  <c r="O40" i="41"/>
  <c r="N40" i="41"/>
  <c r="K40" i="41"/>
  <c r="J40" i="41"/>
  <c r="V39" i="41"/>
  <c r="Q39" i="41"/>
  <c r="P39" i="41"/>
  <c r="O39" i="41"/>
  <c r="N39" i="41"/>
  <c r="K39" i="41"/>
  <c r="J39" i="41"/>
  <c r="V38" i="41"/>
  <c r="AC38" i="41" s="1"/>
  <c r="Q38" i="41"/>
  <c r="P38" i="41"/>
  <c r="O38" i="41"/>
  <c r="N38" i="41"/>
  <c r="K38" i="41"/>
  <c r="J38" i="41"/>
  <c r="V37" i="41"/>
  <c r="AC37" i="41" s="1"/>
  <c r="P37" i="41"/>
  <c r="O37" i="41"/>
  <c r="N37" i="41"/>
  <c r="K37" i="41"/>
  <c r="J37" i="41"/>
  <c r="V36" i="41"/>
  <c r="AC36" i="41" s="1"/>
  <c r="Q36" i="41"/>
  <c r="P36" i="41"/>
  <c r="O36" i="41"/>
  <c r="N36" i="41"/>
  <c r="K36" i="41"/>
  <c r="J36" i="41"/>
  <c r="V35" i="41"/>
  <c r="AE35" i="41" s="1"/>
  <c r="Q35" i="41"/>
  <c r="P35" i="41"/>
  <c r="O35" i="41"/>
  <c r="N35" i="41"/>
  <c r="K35" i="41"/>
  <c r="J35" i="41"/>
  <c r="V34" i="41"/>
  <c r="AD34" i="41" s="1"/>
  <c r="P34" i="41"/>
  <c r="O34" i="41"/>
  <c r="N34" i="41"/>
  <c r="K34" i="41"/>
  <c r="J34" i="41"/>
  <c r="V33" i="41"/>
  <c r="AC33" i="41" s="1"/>
  <c r="Q33" i="41"/>
  <c r="P33" i="41"/>
  <c r="O33" i="41"/>
  <c r="N33" i="41"/>
  <c r="K33" i="41"/>
  <c r="J33" i="41"/>
  <c r="V32" i="41"/>
  <c r="AC32" i="41" s="1"/>
  <c r="Q32" i="41"/>
  <c r="P32" i="41"/>
  <c r="O32" i="41"/>
  <c r="N32" i="41"/>
  <c r="K32" i="41"/>
  <c r="J32" i="41"/>
  <c r="V31" i="41"/>
  <c r="AC31" i="41" s="1"/>
  <c r="P31" i="41"/>
  <c r="O31" i="41"/>
  <c r="N31" i="41"/>
  <c r="K31" i="41"/>
  <c r="J31" i="41"/>
  <c r="V30" i="41"/>
  <c r="Q30" i="41"/>
  <c r="P30" i="41"/>
  <c r="O30" i="41"/>
  <c r="N30" i="41"/>
  <c r="K30" i="41"/>
  <c r="J30" i="41"/>
  <c r="V29" i="41"/>
  <c r="Q29" i="41"/>
  <c r="P29" i="41"/>
  <c r="O29" i="41"/>
  <c r="N29" i="41"/>
  <c r="K29" i="41"/>
  <c r="J29" i="41"/>
  <c r="V28" i="41"/>
  <c r="P28" i="41"/>
  <c r="O28" i="41"/>
  <c r="N28" i="41"/>
  <c r="K28" i="41"/>
  <c r="J28" i="41"/>
  <c r="V27" i="41"/>
  <c r="Q27" i="41"/>
  <c r="P27" i="41"/>
  <c r="O27" i="41"/>
  <c r="N27" i="41"/>
  <c r="K27" i="41"/>
  <c r="J27" i="41"/>
  <c r="V26" i="41"/>
  <c r="Q26" i="41"/>
  <c r="P26" i="41"/>
  <c r="O26" i="41"/>
  <c r="N26" i="41"/>
  <c r="K26" i="41"/>
  <c r="J26" i="41"/>
  <c r="V25" i="41"/>
  <c r="AC25" i="41" s="1"/>
  <c r="P25" i="41"/>
  <c r="O25" i="41"/>
  <c r="N25" i="41"/>
  <c r="K25" i="41"/>
  <c r="J25" i="41"/>
  <c r="V24" i="41"/>
  <c r="AC24" i="41" s="1"/>
  <c r="Q24" i="41"/>
  <c r="P24" i="41"/>
  <c r="O24" i="41"/>
  <c r="N24" i="41"/>
  <c r="K24" i="41"/>
  <c r="J24" i="41"/>
  <c r="V23" i="41"/>
  <c r="AC23" i="41" s="1"/>
  <c r="Q23" i="41"/>
  <c r="P23" i="41"/>
  <c r="O23" i="41"/>
  <c r="N23" i="41"/>
  <c r="K23" i="41"/>
  <c r="J23" i="41"/>
  <c r="V22" i="41"/>
  <c r="P22" i="41"/>
  <c r="O22" i="41"/>
  <c r="N22" i="41"/>
  <c r="K22" i="41"/>
  <c r="J22" i="41"/>
  <c r="V21" i="41"/>
  <c r="AC21" i="41" s="1"/>
  <c r="Q21" i="41"/>
  <c r="P21" i="41"/>
  <c r="O21" i="41"/>
  <c r="N21" i="41"/>
  <c r="K21" i="41"/>
  <c r="J21" i="41"/>
  <c r="V20" i="41"/>
  <c r="AC20" i="41" s="1"/>
  <c r="Q20" i="41"/>
  <c r="P20" i="41"/>
  <c r="O20" i="41"/>
  <c r="N20" i="41"/>
  <c r="K20" i="41"/>
  <c r="J20" i="41"/>
  <c r="V19" i="41"/>
  <c r="AC19" i="41" s="1"/>
  <c r="P19" i="41"/>
  <c r="O19" i="41"/>
  <c r="N19" i="41"/>
  <c r="K19" i="41"/>
  <c r="J19" i="41"/>
  <c r="V18" i="41"/>
  <c r="Q18" i="41"/>
  <c r="P18" i="41"/>
  <c r="O18" i="41"/>
  <c r="N18" i="41"/>
  <c r="K18" i="41"/>
  <c r="J18" i="41"/>
  <c r="V17" i="41"/>
  <c r="Q17" i="41"/>
  <c r="P17" i="41"/>
  <c r="O17" i="41"/>
  <c r="N17" i="41"/>
  <c r="K17" i="41"/>
  <c r="J17" i="41"/>
  <c r="V16" i="41"/>
  <c r="P16" i="41"/>
  <c r="O16" i="41"/>
  <c r="N16" i="41"/>
  <c r="K16" i="41"/>
  <c r="J16" i="41"/>
  <c r="V15" i="41"/>
  <c r="Q15" i="41"/>
  <c r="P15" i="41"/>
  <c r="O15" i="41"/>
  <c r="N15" i="41"/>
  <c r="K15" i="41"/>
  <c r="J15" i="41"/>
  <c r="V14" i="41"/>
  <c r="Q14" i="41"/>
  <c r="P14" i="41"/>
  <c r="O14" i="41"/>
  <c r="N14" i="41"/>
  <c r="K14" i="41"/>
  <c r="J14" i="41"/>
  <c r="V13" i="41"/>
  <c r="AC13" i="41" s="1"/>
  <c r="P13" i="41"/>
  <c r="O13" i="41"/>
  <c r="N13" i="41"/>
  <c r="K13" i="41"/>
  <c r="J13" i="41"/>
  <c r="V12" i="41"/>
  <c r="AC12" i="41" s="1"/>
  <c r="Q12" i="41"/>
  <c r="P12" i="41"/>
  <c r="O12" i="41"/>
  <c r="N12" i="41"/>
  <c r="K12" i="41"/>
  <c r="J12" i="41"/>
  <c r="V11" i="41"/>
  <c r="AC11" i="41" s="1"/>
  <c r="Q11" i="41"/>
  <c r="P11" i="41"/>
  <c r="O11" i="41"/>
  <c r="N11" i="41"/>
  <c r="K11" i="41"/>
  <c r="J11" i="41"/>
  <c r="V10" i="41"/>
  <c r="P10" i="41"/>
  <c r="O10" i="41"/>
  <c r="N10" i="41"/>
  <c r="K10" i="41"/>
  <c r="J10" i="41"/>
  <c r="A10" i="41"/>
  <c r="AE9" i="41"/>
  <c r="V9" i="41"/>
  <c r="AC9" i="41" s="1"/>
  <c r="Q9" i="41"/>
  <c r="P9" i="41"/>
  <c r="O9" i="41"/>
  <c r="N9" i="41"/>
  <c r="K9" i="41"/>
  <c r="J9" i="41"/>
  <c r="V8" i="41"/>
  <c r="Q8" i="41"/>
  <c r="P8" i="41"/>
  <c r="O8" i="41"/>
  <c r="N8" i="41"/>
  <c r="K8" i="41"/>
  <c r="J8" i="41"/>
  <c r="V7" i="41"/>
  <c r="AC7" i="41" s="1"/>
  <c r="P7" i="41"/>
  <c r="O7" i="41"/>
  <c r="N7" i="41"/>
  <c r="K7" i="41"/>
  <c r="J7" i="41"/>
  <c r="V6" i="41"/>
  <c r="AC6" i="41" s="1"/>
  <c r="Q6" i="41"/>
  <c r="P6" i="41"/>
  <c r="O6" i="41"/>
  <c r="N6" i="41"/>
  <c r="K6" i="41"/>
  <c r="J6" i="41"/>
  <c r="V5" i="41"/>
  <c r="AC5" i="41" s="1"/>
  <c r="Q5" i="41"/>
  <c r="P5" i="41"/>
  <c r="O5" i="41"/>
  <c r="N5" i="41"/>
  <c r="K5" i="41"/>
  <c r="J5" i="41"/>
  <c r="A5" i="41"/>
  <c r="D5" i="41" s="1"/>
  <c r="E4" i="41" s="1"/>
  <c r="V4" i="41"/>
  <c r="AD4" i="41" s="1"/>
  <c r="U4" i="41"/>
  <c r="P4" i="41"/>
  <c r="O4" i="41"/>
  <c r="N4" i="41"/>
  <c r="K4" i="41"/>
  <c r="J4" i="41"/>
  <c r="D4" i="41"/>
  <c r="L4" i="41" s="1"/>
  <c r="M4" i="41" s="1"/>
  <c r="C100" i="39"/>
  <c r="C99" i="39"/>
  <c r="AC98" i="39"/>
  <c r="AB94" i="38" s="1"/>
  <c r="AF94" i="38" s="1"/>
  <c r="AB98" i="39"/>
  <c r="AA94" i="38" s="1"/>
  <c r="AE94" i="38" s="1"/>
  <c r="AA98" i="39"/>
  <c r="U94" i="38" s="1"/>
  <c r="Z98" i="39"/>
  <c r="T94" i="38" s="1"/>
  <c r="W98" i="39"/>
  <c r="V98" i="39"/>
  <c r="AQ96" i="39" s="1"/>
  <c r="AS96" i="39" s="1"/>
  <c r="N98" i="39"/>
  <c r="M98" i="39"/>
  <c r="L98" i="39"/>
  <c r="K98" i="39"/>
  <c r="H98" i="39"/>
  <c r="G98" i="39"/>
  <c r="AR97" i="39"/>
  <c r="AQ97" i="39"/>
  <c r="AS97" i="39" s="1"/>
  <c r="AL97" i="39"/>
  <c r="AK97" i="39"/>
  <c r="AI97" i="39"/>
  <c r="AH97" i="39"/>
  <c r="AC97" i="39"/>
  <c r="AB93" i="38" s="1"/>
  <c r="AF93" i="38" s="1"/>
  <c r="AB97" i="39"/>
  <c r="AA93" i="38" s="1"/>
  <c r="AE93" i="38" s="1"/>
  <c r="AA97" i="39"/>
  <c r="U93" i="38" s="1"/>
  <c r="Z97" i="39"/>
  <c r="T93" i="38" s="1"/>
  <c r="W97" i="39"/>
  <c r="V97" i="39"/>
  <c r="AQ95" i="39" s="1"/>
  <c r="N97" i="39"/>
  <c r="AB95" i="31" s="1"/>
  <c r="AF95" i="31" s="1"/>
  <c r="M97" i="39"/>
  <c r="AA95" i="31" s="1"/>
  <c r="AE95" i="31" s="1"/>
  <c r="L97" i="39"/>
  <c r="U95" i="31" s="1"/>
  <c r="K97" i="39"/>
  <c r="T95" i="31" s="1"/>
  <c r="H97" i="39"/>
  <c r="AO97" i="39" s="1"/>
  <c r="G97" i="39"/>
  <c r="AN97" i="39" s="1"/>
  <c r="AR96" i="39"/>
  <c r="AL96" i="39"/>
  <c r="AK96" i="39"/>
  <c r="AI96" i="39"/>
  <c r="AH96" i="39"/>
  <c r="AJ96" i="39" s="1"/>
  <c r="AC96" i="39"/>
  <c r="AB92" i="38" s="1"/>
  <c r="AF92" i="38" s="1"/>
  <c r="AB96" i="39"/>
  <c r="AA92" i="38" s="1"/>
  <c r="AE92" i="38" s="1"/>
  <c r="AA96" i="39"/>
  <c r="U92" i="38" s="1"/>
  <c r="Z96" i="39"/>
  <c r="T92" i="38" s="1"/>
  <c r="W96" i="39"/>
  <c r="AR94" i="39" s="1"/>
  <c r="V96" i="39"/>
  <c r="N96" i="39"/>
  <c r="AB94" i="31" s="1"/>
  <c r="AF94" i="31" s="1"/>
  <c r="M96" i="39"/>
  <c r="AA94" i="31" s="1"/>
  <c r="AE94" i="31" s="1"/>
  <c r="L96" i="39"/>
  <c r="U94" i="31" s="1"/>
  <c r="K96" i="39"/>
  <c r="T94" i="31" s="1"/>
  <c r="H96" i="39"/>
  <c r="AO96" i="39" s="1"/>
  <c r="G96" i="39"/>
  <c r="AN96" i="39" s="1"/>
  <c r="AP96" i="39" s="1"/>
  <c r="AR95" i="39"/>
  <c r="AL95" i="39"/>
  <c r="AK95" i="39"/>
  <c r="AI95" i="39"/>
  <c r="AH95" i="39"/>
  <c r="AC95" i="39"/>
  <c r="AB91" i="38" s="1"/>
  <c r="AF91" i="38" s="1"/>
  <c r="AB95" i="39"/>
  <c r="AA91" i="38" s="1"/>
  <c r="AE91" i="38" s="1"/>
  <c r="AA95" i="39"/>
  <c r="U91" i="38" s="1"/>
  <c r="Z95" i="39"/>
  <c r="T91" i="38" s="1"/>
  <c r="W95" i="39"/>
  <c r="AR93" i="39" s="1"/>
  <c r="V95" i="39"/>
  <c r="N95" i="39"/>
  <c r="AB93" i="31" s="1"/>
  <c r="AF93" i="31" s="1"/>
  <c r="M95" i="39"/>
  <c r="AA93" i="31" s="1"/>
  <c r="AE93" i="31" s="1"/>
  <c r="L95" i="39"/>
  <c r="U93" i="31" s="1"/>
  <c r="K95" i="39"/>
  <c r="T93" i="31" s="1"/>
  <c r="H95" i="39"/>
  <c r="AO95" i="39" s="1"/>
  <c r="G95" i="39"/>
  <c r="AN95" i="39" s="1"/>
  <c r="AQ94" i="39"/>
  <c r="AL94" i="39"/>
  <c r="AK94" i="39"/>
  <c r="AM94" i="39" s="1"/>
  <c r="K92" i="27" s="1"/>
  <c r="AI94" i="39"/>
  <c r="AJ94" i="39" s="1"/>
  <c r="AH94" i="39"/>
  <c r="AC94" i="39"/>
  <c r="AB90" i="38" s="1"/>
  <c r="AF90" i="38" s="1"/>
  <c r="AB94" i="39"/>
  <c r="AA90" i="38" s="1"/>
  <c r="AE90" i="38" s="1"/>
  <c r="AA94" i="39"/>
  <c r="U90" i="38" s="1"/>
  <c r="Z94" i="39"/>
  <c r="T90" i="38" s="1"/>
  <c r="W94" i="39"/>
  <c r="V94" i="39"/>
  <c r="N94" i="39"/>
  <c r="AB92" i="31" s="1"/>
  <c r="AF92" i="31" s="1"/>
  <c r="M94" i="39"/>
  <c r="AA92" i="31" s="1"/>
  <c r="AE92" i="31" s="1"/>
  <c r="L94" i="39"/>
  <c r="U92" i="31" s="1"/>
  <c r="K94" i="39"/>
  <c r="T92" i="31" s="1"/>
  <c r="H94" i="39"/>
  <c r="AO94" i="39" s="1"/>
  <c r="G94" i="39"/>
  <c r="AN94" i="39" s="1"/>
  <c r="AQ93" i="39"/>
  <c r="AN93" i="39"/>
  <c r="AL93" i="39"/>
  <c r="AK93" i="39"/>
  <c r="AI93" i="39"/>
  <c r="AJ93" i="39" s="1"/>
  <c r="AH93" i="39"/>
  <c r="AC93" i="39"/>
  <c r="AB89" i="38" s="1"/>
  <c r="AF89" i="38" s="1"/>
  <c r="AB93" i="39"/>
  <c r="AA89" i="38" s="1"/>
  <c r="AE89" i="38" s="1"/>
  <c r="AA93" i="39"/>
  <c r="U89" i="38" s="1"/>
  <c r="Z93" i="39"/>
  <c r="T89" i="38" s="1"/>
  <c r="W93" i="39"/>
  <c r="V93" i="39"/>
  <c r="AQ91" i="39" s="1"/>
  <c r="N93" i="39"/>
  <c r="AB91" i="31" s="1"/>
  <c r="AF91" i="31" s="1"/>
  <c r="M93" i="39"/>
  <c r="AA91" i="31" s="1"/>
  <c r="AE91" i="31" s="1"/>
  <c r="L93" i="39"/>
  <c r="U91" i="31" s="1"/>
  <c r="K93" i="39"/>
  <c r="T91" i="31" s="1"/>
  <c r="H93" i="39"/>
  <c r="AO93" i="39" s="1"/>
  <c r="G93" i="39"/>
  <c r="AR92" i="39"/>
  <c r="AQ92" i="39"/>
  <c r="AS92" i="39" s="1"/>
  <c r="AL92" i="39"/>
  <c r="AM92" i="39" s="1"/>
  <c r="K90" i="27" s="1"/>
  <c r="AK92" i="39"/>
  <c r="AI92" i="39"/>
  <c r="AH92" i="39"/>
  <c r="AJ92" i="39" s="1"/>
  <c r="AC92" i="39"/>
  <c r="AB88" i="38" s="1"/>
  <c r="AF88" i="38" s="1"/>
  <c r="AB92" i="39"/>
  <c r="AA88" i="38" s="1"/>
  <c r="AE88" i="38" s="1"/>
  <c r="AA92" i="39"/>
  <c r="U88" i="38" s="1"/>
  <c r="Z92" i="39"/>
  <c r="T88" i="38" s="1"/>
  <c r="W92" i="39"/>
  <c r="AR90" i="39" s="1"/>
  <c r="V92" i="39"/>
  <c r="N92" i="39"/>
  <c r="AB90" i="31" s="1"/>
  <c r="AF90" i="31" s="1"/>
  <c r="M92" i="39"/>
  <c r="AA90" i="31" s="1"/>
  <c r="AE90" i="31" s="1"/>
  <c r="L92" i="39"/>
  <c r="U90" i="31" s="1"/>
  <c r="K92" i="39"/>
  <c r="T90" i="31" s="1"/>
  <c r="H92" i="39"/>
  <c r="AO92" i="39" s="1"/>
  <c r="G92" i="39"/>
  <c r="AN92" i="39" s="1"/>
  <c r="AP92" i="39" s="1"/>
  <c r="AR91" i="39"/>
  <c r="AL91" i="39"/>
  <c r="AK91" i="39"/>
  <c r="AI91" i="39"/>
  <c r="AH91" i="39"/>
  <c r="AC91" i="39"/>
  <c r="AB87" i="38" s="1"/>
  <c r="AF87" i="38" s="1"/>
  <c r="AB91" i="39"/>
  <c r="AA87" i="38" s="1"/>
  <c r="AE87" i="38" s="1"/>
  <c r="AA91" i="39"/>
  <c r="U87" i="38" s="1"/>
  <c r="Z91" i="39"/>
  <c r="T87" i="38" s="1"/>
  <c r="W91" i="39"/>
  <c r="V91" i="39"/>
  <c r="AQ89" i="39" s="1"/>
  <c r="N91" i="39"/>
  <c r="AB89" i="31" s="1"/>
  <c r="AF89" i="31" s="1"/>
  <c r="M91" i="39"/>
  <c r="AA89" i="31" s="1"/>
  <c r="AE89" i="31" s="1"/>
  <c r="L91" i="39"/>
  <c r="U89" i="31" s="1"/>
  <c r="K91" i="39"/>
  <c r="T89" i="31" s="1"/>
  <c r="H91" i="39"/>
  <c r="AO91" i="39" s="1"/>
  <c r="G91" i="39"/>
  <c r="AN91" i="39" s="1"/>
  <c r="AQ90" i="39"/>
  <c r="AL90" i="39"/>
  <c r="AK90" i="39"/>
  <c r="AM90" i="39" s="1"/>
  <c r="K88" i="27" s="1"/>
  <c r="AI90" i="39"/>
  <c r="AH90" i="39"/>
  <c r="AC90" i="39"/>
  <c r="AB86" i="38" s="1"/>
  <c r="AF86" i="38" s="1"/>
  <c r="AB90" i="39"/>
  <c r="AA86" i="38" s="1"/>
  <c r="AE86" i="38" s="1"/>
  <c r="AA90" i="39"/>
  <c r="U86" i="38" s="1"/>
  <c r="Z90" i="39"/>
  <c r="T86" i="38" s="1"/>
  <c r="W90" i="39"/>
  <c r="AR88" i="39" s="1"/>
  <c r="V90" i="39"/>
  <c r="AQ88" i="39" s="1"/>
  <c r="AS88" i="39" s="1"/>
  <c r="N90" i="39"/>
  <c r="AB88" i="31" s="1"/>
  <c r="AF88" i="31" s="1"/>
  <c r="M90" i="39"/>
  <c r="AA88" i="31" s="1"/>
  <c r="AE88" i="31" s="1"/>
  <c r="L90" i="39"/>
  <c r="U88" i="31" s="1"/>
  <c r="K90" i="39"/>
  <c r="T88" i="31" s="1"/>
  <c r="H90" i="39"/>
  <c r="AO90" i="39" s="1"/>
  <c r="G90" i="39"/>
  <c r="AN90" i="39" s="1"/>
  <c r="AP90" i="39" s="1"/>
  <c r="AR89" i="39"/>
  <c r="AN89" i="39"/>
  <c r="AL89" i="39"/>
  <c r="AK89" i="39"/>
  <c r="AI89" i="39"/>
  <c r="AJ89" i="39" s="1"/>
  <c r="AH89" i="39"/>
  <c r="AC89" i="39"/>
  <c r="AB85" i="38" s="1"/>
  <c r="AF85" i="38" s="1"/>
  <c r="AB89" i="39"/>
  <c r="AA85" i="38" s="1"/>
  <c r="AE85" i="38" s="1"/>
  <c r="AA89" i="39"/>
  <c r="U85" i="38" s="1"/>
  <c r="Z89" i="39"/>
  <c r="T85" i="38" s="1"/>
  <c r="W89" i="39"/>
  <c r="V89" i="39"/>
  <c r="AQ87" i="39" s="1"/>
  <c r="N89" i="39"/>
  <c r="AB87" i="31" s="1"/>
  <c r="AF87" i="31" s="1"/>
  <c r="M89" i="39"/>
  <c r="AA87" i="31" s="1"/>
  <c r="AE87" i="31" s="1"/>
  <c r="L89" i="39"/>
  <c r="U87" i="31" s="1"/>
  <c r="K89" i="39"/>
  <c r="T87" i="31" s="1"/>
  <c r="H89" i="39"/>
  <c r="AO89" i="39" s="1"/>
  <c r="G89" i="39"/>
  <c r="AL88" i="39"/>
  <c r="AM88" i="39" s="1"/>
  <c r="K86" i="27" s="1"/>
  <c r="AK88" i="39"/>
  <c r="AI88" i="39"/>
  <c r="AH88" i="39"/>
  <c r="AJ88" i="39" s="1"/>
  <c r="AC88" i="39"/>
  <c r="AB84" i="38" s="1"/>
  <c r="AF84" i="38" s="1"/>
  <c r="AB88" i="39"/>
  <c r="AA84" i="38" s="1"/>
  <c r="AE84" i="38" s="1"/>
  <c r="AA88" i="39"/>
  <c r="U84" i="38" s="1"/>
  <c r="Z88" i="39"/>
  <c r="T84" i="38" s="1"/>
  <c r="W88" i="39"/>
  <c r="AR86" i="39" s="1"/>
  <c r="V88" i="39"/>
  <c r="N88" i="39"/>
  <c r="AB86" i="31" s="1"/>
  <c r="AF86" i="31" s="1"/>
  <c r="M88" i="39"/>
  <c r="AA86" i="31" s="1"/>
  <c r="AE86" i="31" s="1"/>
  <c r="L88" i="39"/>
  <c r="U86" i="31" s="1"/>
  <c r="K88" i="39"/>
  <c r="T86" i="31" s="1"/>
  <c r="H88" i="39"/>
  <c r="AO88" i="39" s="1"/>
  <c r="G88" i="39"/>
  <c r="AN88" i="39" s="1"/>
  <c r="AP88" i="39" s="1"/>
  <c r="AR87" i="39"/>
  <c r="AL87" i="39"/>
  <c r="AK87" i="39"/>
  <c r="AI87" i="39"/>
  <c r="AH87" i="39"/>
  <c r="AC87" i="39"/>
  <c r="AB83" i="38" s="1"/>
  <c r="AF83" i="38" s="1"/>
  <c r="AB87" i="39"/>
  <c r="AA83" i="38" s="1"/>
  <c r="AE83" i="38" s="1"/>
  <c r="AA87" i="39"/>
  <c r="U83" i="38" s="1"/>
  <c r="Z87" i="39"/>
  <c r="T83" i="38" s="1"/>
  <c r="W87" i="39"/>
  <c r="V87" i="39"/>
  <c r="AQ85" i="39" s="1"/>
  <c r="N87" i="39"/>
  <c r="AB85" i="31" s="1"/>
  <c r="AF85" i="31" s="1"/>
  <c r="M87" i="39"/>
  <c r="AA85" i="31" s="1"/>
  <c r="AE85" i="31" s="1"/>
  <c r="L87" i="39"/>
  <c r="U85" i="31" s="1"/>
  <c r="K87" i="39"/>
  <c r="T85" i="31" s="1"/>
  <c r="H87" i="39"/>
  <c r="AO87" i="39" s="1"/>
  <c r="G87" i="39"/>
  <c r="AN87" i="39" s="1"/>
  <c r="AQ86" i="39"/>
  <c r="AL86" i="39"/>
  <c r="AK86" i="39"/>
  <c r="AM86" i="39" s="1"/>
  <c r="K84" i="27" s="1"/>
  <c r="AI86" i="39"/>
  <c r="AH86" i="39"/>
  <c r="AC86" i="39"/>
  <c r="AB82" i="38" s="1"/>
  <c r="AF82" i="38" s="1"/>
  <c r="AB86" i="39"/>
  <c r="AA82" i="38" s="1"/>
  <c r="AE82" i="38" s="1"/>
  <c r="AA86" i="39"/>
  <c r="U82" i="38" s="1"/>
  <c r="Z86" i="39"/>
  <c r="T82" i="38" s="1"/>
  <c r="W86" i="39"/>
  <c r="AR84" i="39" s="1"/>
  <c r="V86" i="39"/>
  <c r="AQ84" i="39" s="1"/>
  <c r="AS84" i="39" s="1"/>
  <c r="N86" i="39"/>
  <c r="AB84" i="31" s="1"/>
  <c r="AF84" i="31" s="1"/>
  <c r="M86" i="39"/>
  <c r="AA84" i="31" s="1"/>
  <c r="AE84" i="31" s="1"/>
  <c r="L86" i="39"/>
  <c r="U84" i="31" s="1"/>
  <c r="K86" i="39"/>
  <c r="T84" i="31" s="1"/>
  <c r="H86" i="39"/>
  <c r="AO86" i="39" s="1"/>
  <c r="G86" i="39"/>
  <c r="AN86" i="39" s="1"/>
  <c r="AP86" i="39" s="1"/>
  <c r="AR85" i="39"/>
  <c r="AL85" i="39"/>
  <c r="AK85" i="39"/>
  <c r="AI85" i="39"/>
  <c r="AH85" i="39"/>
  <c r="AC85" i="39"/>
  <c r="AB81" i="38" s="1"/>
  <c r="AF81" i="38" s="1"/>
  <c r="AB85" i="39"/>
  <c r="AA81" i="38" s="1"/>
  <c r="AE81" i="38" s="1"/>
  <c r="AA85" i="39"/>
  <c r="U81" i="38" s="1"/>
  <c r="Z85" i="39"/>
  <c r="T81" i="38" s="1"/>
  <c r="W85" i="39"/>
  <c r="V85" i="39"/>
  <c r="AQ83" i="39" s="1"/>
  <c r="N85" i="39"/>
  <c r="AB83" i="31" s="1"/>
  <c r="AF83" i="31" s="1"/>
  <c r="M85" i="39"/>
  <c r="AA83" i="31" s="1"/>
  <c r="AE83" i="31" s="1"/>
  <c r="L85" i="39"/>
  <c r="U83" i="31" s="1"/>
  <c r="K85" i="39"/>
  <c r="T83" i="31" s="1"/>
  <c r="H85" i="39"/>
  <c r="AO85" i="39" s="1"/>
  <c r="G85" i="39"/>
  <c r="AN85" i="39" s="1"/>
  <c r="AL84" i="39"/>
  <c r="AK84" i="39"/>
  <c r="AI84" i="39"/>
  <c r="AH84" i="39"/>
  <c r="AJ84" i="39" s="1"/>
  <c r="AC84" i="39"/>
  <c r="AB80" i="38" s="1"/>
  <c r="AF80" i="38" s="1"/>
  <c r="AB84" i="39"/>
  <c r="AA80" i="38" s="1"/>
  <c r="AE80" i="38" s="1"/>
  <c r="AA84" i="39"/>
  <c r="U80" i="38" s="1"/>
  <c r="Z84" i="39"/>
  <c r="T80" i="38" s="1"/>
  <c r="W84" i="39"/>
  <c r="AR82" i="39" s="1"/>
  <c r="V84" i="39"/>
  <c r="N84" i="39"/>
  <c r="AB82" i="31" s="1"/>
  <c r="AF82" i="31" s="1"/>
  <c r="M84" i="39"/>
  <c r="AA82" i="31" s="1"/>
  <c r="AE82" i="31" s="1"/>
  <c r="L84" i="39"/>
  <c r="U82" i="31" s="1"/>
  <c r="K84" i="39"/>
  <c r="T82" i="31" s="1"/>
  <c r="H84" i="39"/>
  <c r="AO84" i="39" s="1"/>
  <c r="G84" i="39"/>
  <c r="AN84" i="39" s="1"/>
  <c r="AP84" i="39" s="1"/>
  <c r="AR83" i="39"/>
  <c r="AL83" i="39"/>
  <c r="AK83" i="39"/>
  <c r="AI83" i="39"/>
  <c r="AH83" i="39"/>
  <c r="AC83" i="39"/>
  <c r="AB79" i="38" s="1"/>
  <c r="AF79" i="38" s="1"/>
  <c r="AB83" i="39"/>
  <c r="AA79" i="38" s="1"/>
  <c r="AE79" i="38" s="1"/>
  <c r="AA83" i="39"/>
  <c r="U79" i="38" s="1"/>
  <c r="Z83" i="39"/>
  <c r="T79" i="38" s="1"/>
  <c r="W83" i="39"/>
  <c r="AR81" i="39" s="1"/>
  <c r="V83" i="39"/>
  <c r="N83" i="39"/>
  <c r="AB81" i="31" s="1"/>
  <c r="AF81" i="31" s="1"/>
  <c r="M83" i="39"/>
  <c r="AA81" i="31" s="1"/>
  <c r="AE81" i="31" s="1"/>
  <c r="L83" i="39"/>
  <c r="U81" i="31" s="1"/>
  <c r="K83" i="39"/>
  <c r="T81" i="31" s="1"/>
  <c r="H83" i="39"/>
  <c r="AO83" i="39" s="1"/>
  <c r="G83" i="39"/>
  <c r="AN83" i="39" s="1"/>
  <c r="AQ82" i="39"/>
  <c r="AL82" i="39"/>
  <c r="AK82" i="39"/>
  <c r="AM82" i="39" s="1"/>
  <c r="K80" i="27" s="1"/>
  <c r="AI82" i="39"/>
  <c r="AJ82" i="39" s="1"/>
  <c r="AH82" i="39"/>
  <c r="AC82" i="39"/>
  <c r="AB78" i="38" s="1"/>
  <c r="AF78" i="38" s="1"/>
  <c r="AB82" i="39"/>
  <c r="AA78" i="38" s="1"/>
  <c r="AE78" i="38" s="1"/>
  <c r="AA82" i="39"/>
  <c r="U78" i="38" s="1"/>
  <c r="Z82" i="39"/>
  <c r="T78" i="38" s="1"/>
  <c r="W82" i="39"/>
  <c r="AR80" i="39" s="1"/>
  <c r="V82" i="39"/>
  <c r="AQ80" i="39" s="1"/>
  <c r="N82" i="39"/>
  <c r="AB80" i="31" s="1"/>
  <c r="AF80" i="31" s="1"/>
  <c r="M82" i="39"/>
  <c r="AA80" i="31" s="1"/>
  <c r="AE80" i="31" s="1"/>
  <c r="L82" i="39"/>
  <c r="U80" i="31" s="1"/>
  <c r="K82" i="39"/>
  <c r="T80" i="31" s="1"/>
  <c r="H82" i="39"/>
  <c r="AO82" i="39" s="1"/>
  <c r="G82" i="39"/>
  <c r="AN82" i="39" s="1"/>
  <c r="AQ81" i="39"/>
  <c r="AL81" i="39"/>
  <c r="AK81" i="39"/>
  <c r="AI81" i="39"/>
  <c r="AH81" i="39"/>
  <c r="AC81" i="39"/>
  <c r="AB77" i="38" s="1"/>
  <c r="AF77" i="38" s="1"/>
  <c r="AB81" i="39"/>
  <c r="AA77" i="38" s="1"/>
  <c r="AE77" i="38" s="1"/>
  <c r="AA81" i="39"/>
  <c r="U77" i="38" s="1"/>
  <c r="Z81" i="39"/>
  <c r="T77" i="38" s="1"/>
  <c r="W81" i="39"/>
  <c r="V81" i="39"/>
  <c r="N81" i="39"/>
  <c r="AB79" i="31" s="1"/>
  <c r="AF79" i="31" s="1"/>
  <c r="M81" i="39"/>
  <c r="AA79" i="31" s="1"/>
  <c r="AE79" i="31" s="1"/>
  <c r="L81" i="39"/>
  <c r="U79" i="31" s="1"/>
  <c r="K81" i="39"/>
  <c r="T79" i="31" s="1"/>
  <c r="H81" i="39"/>
  <c r="AO81" i="39" s="1"/>
  <c r="G81" i="39"/>
  <c r="AN81" i="39" s="1"/>
  <c r="AL80" i="39"/>
  <c r="AK80" i="39"/>
  <c r="AI80" i="39"/>
  <c r="AH80" i="39"/>
  <c r="AC80" i="39"/>
  <c r="AB76" i="38" s="1"/>
  <c r="AF76" i="38" s="1"/>
  <c r="AB80" i="39"/>
  <c r="AA76" i="38" s="1"/>
  <c r="AE76" i="38" s="1"/>
  <c r="AA80" i="39"/>
  <c r="U76" i="38" s="1"/>
  <c r="Z80" i="39"/>
  <c r="T76" i="38" s="1"/>
  <c r="W80" i="39"/>
  <c r="AR78" i="39" s="1"/>
  <c r="V80" i="39"/>
  <c r="AQ78" i="39" s="1"/>
  <c r="N80" i="39"/>
  <c r="AB78" i="31" s="1"/>
  <c r="AF78" i="31" s="1"/>
  <c r="M80" i="39"/>
  <c r="AA78" i="31" s="1"/>
  <c r="AE78" i="31" s="1"/>
  <c r="L80" i="39"/>
  <c r="U78" i="31" s="1"/>
  <c r="K80" i="39"/>
  <c r="T78" i="31" s="1"/>
  <c r="H80" i="39"/>
  <c r="AO80" i="39" s="1"/>
  <c r="G80" i="39"/>
  <c r="AN80" i="39" s="1"/>
  <c r="AR79" i="39"/>
  <c r="AQ79" i="39"/>
  <c r="AS79" i="39" s="1"/>
  <c r="AL79" i="39"/>
  <c r="AK79" i="39"/>
  <c r="AI79" i="39"/>
  <c r="AH79" i="39"/>
  <c r="AJ79" i="39" s="1"/>
  <c r="AC79" i="39"/>
  <c r="AB75" i="38" s="1"/>
  <c r="AF75" i="38" s="1"/>
  <c r="AB79" i="39"/>
  <c r="AA75" i="38" s="1"/>
  <c r="AE75" i="38" s="1"/>
  <c r="AA79" i="39"/>
  <c r="U75" i="38" s="1"/>
  <c r="Z79" i="39"/>
  <c r="T75" i="38" s="1"/>
  <c r="W79" i="39"/>
  <c r="AR77" i="39" s="1"/>
  <c r="V79" i="39"/>
  <c r="N79" i="39"/>
  <c r="AB77" i="31" s="1"/>
  <c r="AF77" i="31" s="1"/>
  <c r="M79" i="39"/>
  <c r="AA77" i="31" s="1"/>
  <c r="AE77" i="31" s="1"/>
  <c r="L79" i="39"/>
  <c r="U77" i="31" s="1"/>
  <c r="K79" i="39"/>
  <c r="T77" i="31" s="1"/>
  <c r="H79" i="39"/>
  <c r="AO79" i="39" s="1"/>
  <c r="G79" i="39"/>
  <c r="AN79" i="39" s="1"/>
  <c r="AP79" i="39" s="1"/>
  <c r="AM78" i="39"/>
  <c r="K76" i="27" s="1"/>
  <c r="AL78" i="39"/>
  <c r="AK78" i="39"/>
  <c r="AI78" i="39"/>
  <c r="AH78" i="39"/>
  <c r="AC78" i="39"/>
  <c r="AB74" i="38" s="1"/>
  <c r="AF74" i="38" s="1"/>
  <c r="AB78" i="39"/>
  <c r="AA74" i="38" s="1"/>
  <c r="AE74" i="38" s="1"/>
  <c r="AA78" i="39"/>
  <c r="U74" i="38" s="1"/>
  <c r="Z78" i="39"/>
  <c r="T74" i="38" s="1"/>
  <c r="W78" i="39"/>
  <c r="V78" i="39"/>
  <c r="N78" i="39"/>
  <c r="AB76" i="31" s="1"/>
  <c r="AF76" i="31" s="1"/>
  <c r="M78" i="39"/>
  <c r="AA76" i="31" s="1"/>
  <c r="AE76" i="31" s="1"/>
  <c r="L78" i="39"/>
  <c r="U76" i="31" s="1"/>
  <c r="K78" i="39"/>
  <c r="T76" i="31" s="1"/>
  <c r="H78" i="39"/>
  <c r="AO78" i="39" s="1"/>
  <c r="G78" i="39"/>
  <c r="AN78" i="39" s="1"/>
  <c r="AP78" i="39" s="1"/>
  <c r="AQ77" i="39"/>
  <c r="AL77" i="39"/>
  <c r="AK77" i="39"/>
  <c r="AI77" i="39"/>
  <c r="AH77" i="39"/>
  <c r="AC77" i="39"/>
  <c r="AB73" i="38" s="1"/>
  <c r="AF73" i="38" s="1"/>
  <c r="AB77" i="39"/>
  <c r="AA73" i="38" s="1"/>
  <c r="AE73" i="38" s="1"/>
  <c r="AA77" i="39"/>
  <c r="U73" i="38" s="1"/>
  <c r="Z77" i="39"/>
  <c r="T73" i="38" s="1"/>
  <c r="W77" i="39"/>
  <c r="AR75" i="39" s="1"/>
  <c r="V77" i="39"/>
  <c r="AQ75" i="39" s="1"/>
  <c r="N77" i="39"/>
  <c r="AB75" i="31" s="1"/>
  <c r="AF75" i="31" s="1"/>
  <c r="M77" i="39"/>
  <c r="AA75" i="31" s="1"/>
  <c r="AE75" i="31" s="1"/>
  <c r="L77" i="39"/>
  <c r="U75" i="31" s="1"/>
  <c r="K77" i="39"/>
  <c r="T75" i="31" s="1"/>
  <c r="H77" i="39"/>
  <c r="AO77" i="39" s="1"/>
  <c r="G77" i="39"/>
  <c r="AN77" i="39" s="1"/>
  <c r="AP77" i="39" s="1"/>
  <c r="AR76" i="39"/>
  <c r="AQ76" i="39"/>
  <c r="AS76" i="39" s="1"/>
  <c r="AL76" i="39"/>
  <c r="AK76" i="39"/>
  <c r="AI76" i="39"/>
  <c r="AH76" i="39"/>
  <c r="AJ76" i="39" s="1"/>
  <c r="AC76" i="39"/>
  <c r="AB72" i="38" s="1"/>
  <c r="AF72" i="38" s="1"/>
  <c r="AB76" i="39"/>
  <c r="AA72" i="38" s="1"/>
  <c r="AE72" i="38" s="1"/>
  <c r="AA76" i="39"/>
  <c r="U72" i="38" s="1"/>
  <c r="Z76" i="39"/>
  <c r="T72" i="38" s="1"/>
  <c r="W76" i="39"/>
  <c r="AR74" i="39" s="1"/>
  <c r="V76" i="39"/>
  <c r="AQ74" i="39" s="1"/>
  <c r="N76" i="39"/>
  <c r="AB74" i="31" s="1"/>
  <c r="AF74" i="31" s="1"/>
  <c r="M76" i="39"/>
  <c r="AA74" i="31" s="1"/>
  <c r="AE74" i="31" s="1"/>
  <c r="L76" i="39"/>
  <c r="U74" i="31" s="1"/>
  <c r="K76" i="39"/>
  <c r="T74" i="31" s="1"/>
  <c r="H76" i="39"/>
  <c r="AO76" i="39" s="1"/>
  <c r="G76" i="39"/>
  <c r="AN76" i="39" s="1"/>
  <c r="AP76" i="39" s="1"/>
  <c r="AL75" i="39"/>
  <c r="AK75" i="39"/>
  <c r="AI75" i="39"/>
  <c r="AH75" i="39"/>
  <c r="AC75" i="39"/>
  <c r="AB71" i="38" s="1"/>
  <c r="AF71" i="38" s="1"/>
  <c r="AB75" i="39"/>
  <c r="AA71" i="38" s="1"/>
  <c r="AE71" i="38" s="1"/>
  <c r="AA75" i="39"/>
  <c r="U71" i="38" s="1"/>
  <c r="Z75" i="39"/>
  <c r="T71" i="38" s="1"/>
  <c r="W75" i="39"/>
  <c r="V75" i="39"/>
  <c r="AQ73" i="39" s="1"/>
  <c r="AS73" i="39" s="1"/>
  <c r="N75" i="39"/>
  <c r="AB73" i="31" s="1"/>
  <c r="AF73" i="31" s="1"/>
  <c r="M75" i="39"/>
  <c r="AA73" i="31" s="1"/>
  <c r="AE73" i="31" s="1"/>
  <c r="L75" i="39"/>
  <c r="U73" i="31" s="1"/>
  <c r="K75" i="39"/>
  <c r="T73" i="31" s="1"/>
  <c r="H75" i="39"/>
  <c r="AO75" i="39" s="1"/>
  <c r="G75" i="39"/>
  <c r="AN75" i="39" s="1"/>
  <c r="AL74" i="39"/>
  <c r="AM74" i="39" s="1"/>
  <c r="K72" i="27" s="1"/>
  <c r="AK74" i="39"/>
  <c r="AI74" i="39"/>
  <c r="AH74" i="39"/>
  <c r="AC74" i="39"/>
  <c r="AB70" i="38" s="1"/>
  <c r="AF70" i="38" s="1"/>
  <c r="AB74" i="39"/>
  <c r="AA70" i="38" s="1"/>
  <c r="AE70" i="38" s="1"/>
  <c r="AA74" i="39"/>
  <c r="U70" i="38" s="1"/>
  <c r="Z74" i="39"/>
  <c r="T70" i="38" s="1"/>
  <c r="W74" i="39"/>
  <c r="AR72" i="39" s="1"/>
  <c r="V74" i="39"/>
  <c r="N74" i="39"/>
  <c r="AB72" i="31" s="1"/>
  <c r="AF72" i="31" s="1"/>
  <c r="M74" i="39"/>
  <c r="AA72" i="31" s="1"/>
  <c r="AE72" i="31" s="1"/>
  <c r="L74" i="39"/>
  <c r="U72" i="31" s="1"/>
  <c r="K74" i="39"/>
  <c r="T72" i="31" s="1"/>
  <c r="H74" i="39"/>
  <c r="AO74" i="39" s="1"/>
  <c r="G74" i="39"/>
  <c r="AN74" i="39" s="1"/>
  <c r="AP74" i="39" s="1"/>
  <c r="AR73" i="39"/>
  <c r="AL73" i="39"/>
  <c r="AK73" i="39"/>
  <c r="AI73" i="39"/>
  <c r="AH73" i="39"/>
  <c r="AC73" i="39"/>
  <c r="AB69" i="38" s="1"/>
  <c r="AF69" i="38" s="1"/>
  <c r="AB73" i="39"/>
  <c r="AA69" i="38" s="1"/>
  <c r="AE69" i="38" s="1"/>
  <c r="AA73" i="39"/>
  <c r="U69" i="38" s="1"/>
  <c r="Z73" i="39"/>
  <c r="T69" i="38" s="1"/>
  <c r="W73" i="39"/>
  <c r="V73" i="39"/>
  <c r="AQ71" i="39" s="1"/>
  <c r="AS71" i="39" s="1"/>
  <c r="N73" i="39"/>
  <c r="AB71" i="31" s="1"/>
  <c r="AF71" i="31" s="1"/>
  <c r="M73" i="39"/>
  <c r="AA71" i="31" s="1"/>
  <c r="AE71" i="31" s="1"/>
  <c r="L73" i="39"/>
  <c r="U71" i="31" s="1"/>
  <c r="K73" i="39"/>
  <c r="T71" i="31" s="1"/>
  <c r="H73" i="39"/>
  <c r="AO73" i="39" s="1"/>
  <c r="G73" i="39"/>
  <c r="AN73" i="39" s="1"/>
  <c r="AQ72" i="39"/>
  <c r="AL72" i="39"/>
  <c r="AK72" i="39"/>
  <c r="AI72" i="39"/>
  <c r="AH72" i="39"/>
  <c r="AJ72" i="39" s="1"/>
  <c r="AC72" i="39"/>
  <c r="AB68" i="38" s="1"/>
  <c r="AF68" i="38" s="1"/>
  <c r="AB72" i="39"/>
  <c r="AA68" i="38" s="1"/>
  <c r="AE68" i="38" s="1"/>
  <c r="AA72" i="39"/>
  <c r="U68" i="38" s="1"/>
  <c r="Z72" i="39"/>
  <c r="T68" i="38" s="1"/>
  <c r="W72" i="39"/>
  <c r="AR70" i="39" s="1"/>
  <c r="V72" i="39"/>
  <c r="AQ70" i="39" s="1"/>
  <c r="N72" i="39"/>
  <c r="AB70" i="31" s="1"/>
  <c r="AF70" i="31" s="1"/>
  <c r="M72" i="39"/>
  <c r="AA70" i="31" s="1"/>
  <c r="AE70" i="31" s="1"/>
  <c r="L72" i="39"/>
  <c r="U70" i="31" s="1"/>
  <c r="K72" i="39"/>
  <c r="T70" i="31" s="1"/>
  <c r="H72" i="39"/>
  <c r="AO72" i="39" s="1"/>
  <c r="G72" i="39"/>
  <c r="AN72" i="39" s="1"/>
  <c r="AP72" i="39" s="1"/>
  <c r="AR71" i="39"/>
  <c r="AL71" i="39"/>
  <c r="AK71" i="39"/>
  <c r="AI71" i="39"/>
  <c r="AH71" i="39"/>
  <c r="AC71" i="39"/>
  <c r="AB67" i="38" s="1"/>
  <c r="AF67" i="38" s="1"/>
  <c r="AB71" i="39"/>
  <c r="AA67" i="38" s="1"/>
  <c r="AE67" i="38" s="1"/>
  <c r="AA71" i="39"/>
  <c r="U67" i="38" s="1"/>
  <c r="Z71" i="39"/>
  <c r="T67" i="38" s="1"/>
  <c r="W71" i="39"/>
  <c r="V71" i="39"/>
  <c r="N71" i="39"/>
  <c r="AB69" i="31" s="1"/>
  <c r="AF69" i="31" s="1"/>
  <c r="M71" i="39"/>
  <c r="AA69" i="31" s="1"/>
  <c r="AE69" i="31" s="1"/>
  <c r="L71" i="39"/>
  <c r="U69" i="31" s="1"/>
  <c r="K71" i="39"/>
  <c r="T69" i="31" s="1"/>
  <c r="H71" i="39"/>
  <c r="AO71" i="39" s="1"/>
  <c r="G71" i="39"/>
  <c r="AN71" i="39" s="1"/>
  <c r="AL70" i="39"/>
  <c r="AK70" i="39"/>
  <c r="AM70" i="39" s="1"/>
  <c r="K68" i="27" s="1"/>
  <c r="AI70" i="39"/>
  <c r="AH70" i="39"/>
  <c r="AC70" i="39"/>
  <c r="AB66" i="38" s="1"/>
  <c r="AF66" i="38" s="1"/>
  <c r="AB70" i="39"/>
  <c r="AA66" i="38" s="1"/>
  <c r="AE66" i="38" s="1"/>
  <c r="AA70" i="39"/>
  <c r="U66" i="38" s="1"/>
  <c r="Z70" i="39"/>
  <c r="T66" i="38" s="1"/>
  <c r="W70" i="39"/>
  <c r="AR68" i="39" s="1"/>
  <c r="V70" i="39"/>
  <c r="AQ68" i="39" s="1"/>
  <c r="AS68" i="39" s="1"/>
  <c r="N70" i="39"/>
  <c r="AB68" i="31" s="1"/>
  <c r="AF68" i="31" s="1"/>
  <c r="M70" i="39"/>
  <c r="AA68" i="31" s="1"/>
  <c r="AE68" i="31" s="1"/>
  <c r="L70" i="39"/>
  <c r="U68" i="31" s="1"/>
  <c r="K70" i="39"/>
  <c r="T68" i="31" s="1"/>
  <c r="H70" i="39"/>
  <c r="AO70" i="39" s="1"/>
  <c r="G70" i="39"/>
  <c r="AN70" i="39" s="1"/>
  <c r="AP70" i="39" s="1"/>
  <c r="AR69" i="39"/>
  <c r="AQ69" i="39"/>
  <c r="AS69" i="39" s="1"/>
  <c r="AL69" i="39"/>
  <c r="AK69" i="39"/>
  <c r="AI69" i="39"/>
  <c r="AH69" i="39"/>
  <c r="AJ69" i="39" s="1"/>
  <c r="AC69" i="39"/>
  <c r="AB65" i="38" s="1"/>
  <c r="AF65" i="38" s="1"/>
  <c r="AB69" i="39"/>
  <c r="AA65" i="38" s="1"/>
  <c r="AE65" i="38" s="1"/>
  <c r="AA69" i="39"/>
  <c r="U65" i="38" s="1"/>
  <c r="Z69" i="39"/>
  <c r="T65" i="38" s="1"/>
  <c r="W69" i="39"/>
  <c r="V69" i="39"/>
  <c r="N69" i="39"/>
  <c r="AB67" i="31" s="1"/>
  <c r="AF67" i="31" s="1"/>
  <c r="M69" i="39"/>
  <c r="AA67" i="31" s="1"/>
  <c r="AE67" i="31" s="1"/>
  <c r="L69" i="39"/>
  <c r="U67" i="31" s="1"/>
  <c r="K69" i="39"/>
  <c r="T67" i="31" s="1"/>
  <c r="H69" i="39"/>
  <c r="AO69" i="39" s="1"/>
  <c r="G69" i="39"/>
  <c r="AN69" i="39" s="1"/>
  <c r="AP69" i="39" s="1"/>
  <c r="AL68" i="39"/>
  <c r="AK68" i="39"/>
  <c r="AI68" i="39"/>
  <c r="AH68" i="39"/>
  <c r="AJ68" i="39" s="1"/>
  <c r="AC68" i="39"/>
  <c r="AB64" i="38" s="1"/>
  <c r="AF64" i="38" s="1"/>
  <c r="AB68" i="39"/>
  <c r="AA64" i="38" s="1"/>
  <c r="AE64" i="38" s="1"/>
  <c r="AA68" i="39"/>
  <c r="U64" i="38" s="1"/>
  <c r="Z68" i="39"/>
  <c r="T64" i="38" s="1"/>
  <c r="W68" i="39"/>
  <c r="AR66" i="39" s="1"/>
  <c r="V68" i="39"/>
  <c r="AQ66" i="39" s="1"/>
  <c r="N68" i="39"/>
  <c r="AB66" i="31" s="1"/>
  <c r="AF66" i="31" s="1"/>
  <c r="M68" i="39"/>
  <c r="AA66" i="31" s="1"/>
  <c r="AE66" i="31" s="1"/>
  <c r="L68" i="39"/>
  <c r="U66" i="31" s="1"/>
  <c r="K68" i="39"/>
  <c r="T66" i="31" s="1"/>
  <c r="H68" i="39"/>
  <c r="AO68" i="39" s="1"/>
  <c r="G68" i="39"/>
  <c r="AN68" i="39" s="1"/>
  <c r="AP68" i="39" s="1"/>
  <c r="AR67" i="39"/>
  <c r="AQ67" i="39"/>
  <c r="AS67" i="39" s="1"/>
  <c r="AL67" i="39"/>
  <c r="AK67" i="39"/>
  <c r="AI67" i="39"/>
  <c r="AH67" i="39"/>
  <c r="AJ67" i="39" s="1"/>
  <c r="AC67" i="39"/>
  <c r="AB63" i="38" s="1"/>
  <c r="AF63" i="38" s="1"/>
  <c r="AB67" i="39"/>
  <c r="AA63" i="38" s="1"/>
  <c r="AE63" i="38" s="1"/>
  <c r="AA67" i="39"/>
  <c r="U63" i="38" s="1"/>
  <c r="Z67" i="39"/>
  <c r="T63" i="38" s="1"/>
  <c r="W67" i="39"/>
  <c r="V67" i="39"/>
  <c r="N67" i="39"/>
  <c r="AB65" i="31" s="1"/>
  <c r="AF65" i="31" s="1"/>
  <c r="M67" i="39"/>
  <c r="AA65" i="31" s="1"/>
  <c r="AE65" i="31" s="1"/>
  <c r="L67" i="39"/>
  <c r="U65" i="31" s="1"/>
  <c r="K67" i="39"/>
  <c r="T65" i="31" s="1"/>
  <c r="H67" i="39"/>
  <c r="AO67" i="39" s="1"/>
  <c r="G67" i="39"/>
  <c r="AN67" i="39" s="1"/>
  <c r="AP67" i="39" s="1"/>
  <c r="AL66" i="39"/>
  <c r="AK66" i="39"/>
  <c r="AM66" i="39" s="1"/>
  <c r="K64" i="27" s="1"/>
  <c r="AI66" i="39"/>
  <c r="AH66" i="39"/>
  <c r="AC66" i="39"/>
  <c r="AB62" i="38" s="1"/>
  <c r="AF62" i="38" s="1"/>
  <c r="AB66" i="39"/>
  <c r="AA62" i="38" s="1"/>
  <c r="AE62" i="38" s="1"/>
  <c r="AA66" i="39"/>
  <c r="U62" i="38" s="1"/>
  <c r="Z66" i="39"/>
  <c r="T62" i="38" s="1"/>
  <c r="W66" i="39"/>
  <c r="AR64" i="39" s="1"/>
  <c r="V66" i="39"/>
  <c r="AQ64" i="39" s="1"/>
  <c r="AS64" i="39" s="1"/>
  <c r="N66" i="39"/>
  <c r="AB64" i="31" s="1"/>
  <c r="AF64" i="31" s="1"/>
  <c r="M66" i="39"/>
  <c r="AA64" i="31" s="1"/>
  <c r="AE64" i="31" s="1"/>
  <c r="L66" i="39"/>
  <c r="U64" i="31" s="1"/>
  <c r="K66" i="39"/>
  <c r="T64" i="31" s="1"/>
  <c r="H66" i="39"/>
  <c r="AO66" i="39" s="1"/>
  <c r="G66" i="39"/>
  <c r="AN66" i="39" s="1"/>
  <c r="AR65" i="39"/>
  <c r="AQ65" i="39"/>
  <c r="AS65" i="39" s="1"/>
  <c r="AL65" i="39"/>
  <c r="AK65" i="39"/>
  <c r="AI65" i="39"/>
  <c r="AH65" i="39"/>
  <c r="AJ65" i="39" s="1"/>
  <c r="AC65" i="39"/>
  <c r="AB61" i="38" s="1"/>
  <c r="AF61" i="38" s="1"/>
  <c r="AB65" i="39"/>
  <c r="AA61" i="38" s="1"/>
  <c r="AE61" i="38" s="1"/>
  <c r="AA65" i="39"/>
  <c r="U61" i="38" s="1"/>
  <c r="Z65" i="39"/>
  <c r="T61" i="38" s="1"/>
  <c r="W65" i="39"/>
  <c r="V65" i="39"/>
  <c r="N65" i="39"/>
  <c r="AB63" i="31" s="1"/>
  <c r="AF63" i="31" s="1"/>
  <c r="M65" i="39"/>
  <c r="AA63" i="31" s="1"/>
  <c r="AE63" i="31" s="1"/>
  <c r="L65" i="39"/>
  <c r="U63" i="31" s="1"/>
  <c r="K65" i="39"/>
  <c r="T63" i="31" s="1"/>
  <c r="H65" i="39"/>
  <c r="AO65" i="39" s="1"/>
  <c r="G65" i="39"/>
  <c r="AN65" i="39" s="1"/>
  <c r="AP65" i="39" s="1"/>
  <c r="AL64" i="39"/>
  <c r="AK64" i="39"/>
  <c r="AI64" i="39"/>
  <c r="AH64" i="39"/>
  <c r="AJ64" i="39" s="1"/>
  <c r="AC64" i="39"/>
  <c r="AB60" i="38" s="1"/>
  <c r="AF60" i="38" s="1"/>
  <c r="AB64" i="39"/>
  <c r="AA60" i="38" s="1"/>
  <c r="AE60" i="38" s="1"/>
  <c r="AA64" i="39"/>
  <c r="U60" i="38" s="1"/>
  <c r="Z64" i="39"/>
  <c r="T60" i="38" s="1"/>
  <c r="W64" i="39"/>
  <c r="AR62" i="39" s="1"/>
  <c r="V64" i="39"/>
  <c r="AQ62" i="39" s="1"/>
  <c r="N64" i="39"/>
  <c r="AB62" i="31" s="1"/>
  <c r="AF62" i="31" s="1"/>
  <c r="M64" i="39"/>
  <c r="AA62" i="31" s="1"/>
  <c r="AE62" i="31" s="1"/>
  <c r="L64" i="39"/>
  <c r="U62" i="31" s="1"/>
  <c r="K64" i="39"/>
  <c r="T62" i="31" s="1"/>
  <c r="H64" i="39"/>
  <c r="AO64" i="39" s="1"/>
  <c r="G64" i="39"/>
  <c r="AN64" i="39" s="1"/>
  <c r="AP64" i="39" s="1"/>
  <c r="AR63" i="39"/>
  <c r="AQ63" i="39"/>
  <c r="AS63" i="39" s="1"/>
  <c r="AL63" i="39"/>
  <c r="AK63" i="39"/>
  <c r="AI63" i="39"/>
  <c r="AH63" i="39"/>
  <c r="AJ63" i="39" s="1"/>
  <c r="AC63" i="39"/>
  <c r="AB59" i="38" s="1"/>
  <c r="AF59" i="38" s="1"/>
  <c r="AB63" i="39"/>
  <c r="AA59" i="38" s="1"/>
  <c r="AE59" i="38" s="1"/>
  <c r="AA63" i="39"/>
  <c r="U59" i="38" s="1"/>
  <c r="Z63" i="39"/>
  <c r="T59" i="38" s="1"/>
  <c r="W63" i="39"/>
  <c r="V63" i="39"/>
  <c r="N63" i="39"/>
  <c r="AB61" i="31" s="1"/>
  <c r="AF61" i="31" s="1"/>
  <c r="M63" i="39"/>
  <c r="AA61" i="31" s="1"/>
  <c r="AE61" i="31" s="1"/>
  <c r="L63" i="39"/>
  <c r="U61" i="31" s="1"/>
  <c r="K63" i="39"/>
  <c r="T61" i="31" s="1"/>
  <c r="H63" i="39"/>
  <c r="AO63" i="39" s="1"/>
  <c r="G63" i="39"/>
  <c r="AN63" i="39" s="1"/>
  <c r="AP63" i="39" s="1"/>
  <c r="AL62" i="39"/>
  <c r="AK62" i="39"/>
  <c r="AM62" i="39" s="1"/>
  <c r="K60" i="27" s="1"/>
  <c r="AI62" i="39"/>
  <c r="AH62" i="39"/>
  <c r="AC62" i="39"/>
  <c r="AB58" i="38" s="1"/>
  <c r="AF58" i="38" s="1"/>
  <c r="AB62" i="39"/>
  <c r="AA58" i="38" s="1"/>
  <c r="AE58" i="38" s="1"/>
  <c r="AA62" i="39"/>
  <c r="U58" i="38" s="1"/>
  <c r="Z62" i="39"/>
  <c r="T58" i="38" s="1"/>
  <c r="W62" i="39"/>
  <c r="V62" i="39"/>
  <c r="AQ60" i="39" s="1"/>
  <c r="AS60" i="39" s="1"/>
  <c r="N62" i="39"/>
  <c r="AB60" i="31" s="1"/>
  <c r="AF60" i="31" s="1"/>
  <c r="M62" i="39"/>
  <c r="AA60" i="31" s="1"/>
  <c r="AE60" i="31" s="1"/>
  <c r="L62" i="39"/>
  <c r="U60" i="31" s="1"/>
  <c r="K62" i="39"/>
  <c r="T60" i="31" s="1"/>
  <c r="H62" i="39"/>
  <c r="AO62" i="39" s="1"/>
  <c r="G62" i="39"/>
  <c r="AN62" i="39" s="1"/>
  <c r="AR61" i="39"/>
  <c r="AQ61" i="39"/>
  <c r="AS61" i="39" s="1"/>
  <c r="AL61" i="39"/>
  <c r="AM61" i="39" s="1"/>
  <c r="K59" i="27" s="1"/>
  <c r="AK61" i="39"/>
  <c r="AI61" i="39"/>
  <c r="AH61" i="39"/>
  <c r="AC61" i="39"/>
  <c r="AB57" i="38" s="1"/>
  <c r="AF57" i="38" s="1"/>
  <c r="AB61" i="39"/>
  <c r="AA57" i="38" s="1"/>
  <c r="AE57" i="38" s="1"/>
  <c r="AA61" i="39"/>
  <c r="U57" i="38" s="1"/>
  <c r="Z61" i="39"/>
  <c r="T57" i="38" s="1"/>
  <c r="W61" i="39"/>
  <c r="AR59" i="39" s="1"/>
  <c r="V61" i="39"/>
  <c r="N61" i="39"/>
  <c r="AB59" i="31" s="1"/>
  <c r="AF59" i="31" s="1"/>
  <c r="M61" i="39"/>
  <c r="AA59" i="31" s="1"/>
  <c r="AE59" i="31" s="1"/>
  <c r="L61" i="39"/>
  <c r="U59" i="31" s="1"/>
  <c r="K61" i="39"/>
  <c r="T59" i="31" s="1"/>
  <c r="H61" i="39"/>
  <c r="AO61" i="39" s="1"/>
  <c r="G61" i="39"/>
  <c r="AN61" i="39" s="1"/>
  <c r="AP61" i="39" s="1"/>
  <c r="AR60" i="39"/>
  <c r="AL60" i="39"/>
  <c r="AK60" i="39"/>
  <c r="AI60" i="39"/>
  <c r="AH60" i="39"/>
  <c r="AC60" i="39"/>
  <c r="AB56" i="38" s="1"/>
  <c r="AF56" i="38" s="1"/>
  <c r="AB60" i="39"/>
  <c r="AA56" i="38" s="1"/>
  <c r="AE56" i="38" s="1"/>
  <c r="AA60" i="39"/>
  <c r="U56" i="38" s="1"/>
  <c r="Z60" i="39"/>
  <c r="T56" i="38" s="1"/>
  <c r="W60" i="39"/>
  <c r="AR58" i="39" s="1"/>
  <c r="V60" i="39"/>
  <c r="AQ58" i="39" s="1"/>
  <c r="N60" i="39"/>
  <c r="AB58" i="31" s="1"/>
  <c r="AF58" i="31" s="1"/>
  <c r="M60" i="39"/>
  <c r="AA58" i="31" s="1"/>
  <c r="AE58" i="31" s="1"/>
  <c r="L60" i="39"/>
  <c r="U58" i="31" s="1"/>
  <c r="K60" i="39"/>
  <c r="T58" i="31" s="1"/>
  <c r="H60" i="39"/>
  <c r="AO60" i="39" s="1"/>
  <c r="G60" i="39"/>
  <c r="AN60" i="39" s="1"/>
  <c r="AQ59" i="39"/>
  <c r="AL59" i="39"/>
  <c r="AK59" i="39"/>
  <c r="AI59" i="39"/>
  <c r="AH59" i="39"/>
  <c r="AC59" i="39"/>
  <c r="AB55" i="38" s="1"/>
  <c r="AF55" i="38" s="1"/>
  <c r="AB59" i="39"/>
  <c r="AA55" i="38" s="1"/>
  <c r="AE55" i="38" s="1"/>
  <c r="AA59" i="39"/>
  <c r="U55" i="38" s="1"/>
  <c r="Z59" i="39"/>
  <c r="T55" i="38" s="1"/>
  <c r="W59" i="39"/>
  <c r="AR57" i="39" s="1"/>
  <c r="V59" i="39"/>
  <c r="N59" i="39"/>
  <c r="AB57" i="31" s="1"/>
  <c r="AF57" i="31" s="1"/>
  <c r="M59" i="39"/>
  <c r="AA57" i="31" s="1"/>
  <c r="AE57" i="31" s="1"/>
  <c r="L59" i="39"/>
  <c r="U57" i="31" s="1"/>
  <c r="K59" i="39"/>
  <c r="T57" i="31" s="1"/>
  <c r="H59" i="39"/>
  <c r="AO59" i="39" s="1"/>
  <c r="G59" i="39"/>
  <c r="AN59" i="39" s="1"/>
  <c r="AM58" i="39"/>
  <c r="K56" i="27" s="1"/>
  <c r="AL58" i="39"/>
  <c r="AK58" i="39"/>
  <c r="AI58" i="39"/>
  <c r="AH58" i="39"/>
  <c r="AC58" i="39"/>
  <c r="AB54" i="38" s="1"/>
  <c r="AF54" i="38" s="1"/>
  <c r="AB58" i="39"/>
  <c r="AA54" i="38" s="1"/>
  <c r="AE54" i="38" s="1"/>
  <c r="AA58" i="39"/>
  <c r="U54" i="38" s="1"/>
  <c r="Z58" i="39"/>
  <c r="T54" i="38" s="1"/>
  <c r="W58" i="39"/>
  <c r="V58" i="39"/>
  <c r="N58" i="39"/>
  <c r="AB56" i="31" s="1"/>
  <c r="AF56" i="31" s="1"/>
  <c r="M58" i="39"/>
  <c r="AA56" i="31" s="1"/>
  <c r="AE56" i="31" s="1"/>
  <c r="L58" i="39"/>
  <c r="U56" i="31" s="1"/>
  <c r="K58" i="39"/>
  <c r="T56" i="31" s="1"/>
  <c r="H58" i="39"/>
  <c r="AO58" i="39" s="1"/>
  <c r="G58" i="39"/>
  <c r="AN58" i="39" s="1"/>
  <c r="AP58" i="39" s="1"/>
  <c r="AQ57" i="39"/>
  <c r="AL57" i="39"/>
  <c r="AK57" i="39"/>
  <c r="AI57" i="39"/>
  <c r="AH57" i="39"/>
  <c r="AJ57" i="39" s="1"/>
  <c r="AC57" i="39"/>
  <c r="AB53" i="38" s="1"/>
  <c r="AF53" i="38" s="1"/>
  <c r="AB57" i="39"/>
  <c r="AA53" i="38" s="1"/>
  <c r="AE53" i="38" s="1"/>
  <c r="AA57" i="39"/>
  <c r="U53" i="38" s="1"/>
  <c r="Z57" i="39"/>
  <c r="T53" i="38" s="1"/>
  <c r="W57" i="39"/>
  <c r="AR55" i="39" s="1"/>
  <c r="V57" i="39"/>
  <c r="AQ55" i="39" s="1"/>
  <c r="N57" i="39"/>
  <c r="AB55" i="31" s="1"/>
  <c r="AF55" i="31" s="1"/>
  <c r="M57" i="39"/>
  <c r="AA55" i="31" s="1"/>
  <c r="AE55" i="31" s="1"/>
  <c r="L57" i="39"/>
  <c r="U55" i="31" s="1"/>
  <c r="K57" i="39"/>
  <c r="T55" i="31" s="1"/>
  <c r="H57" i="39"/>
  <c r="AO57" i="39" s="1"/>
  <c r="G57" i="39"/>
  <c r="AN57" i="39" s="1"/>
  <c r="AP57" i="39" s="1"/>
  <c r="AR56" i="39"/>
  <c r="AQ56" i="39"/>
  <c r="AS56" i="39" s="1"/>
  <c r="AL56" i="39"/>
  <c r="AK56" i="39"/>
  <c r="AI56" i="39"/>
  <c r="AH56" i="39"/>
  <c r="AJ56" i="39" s="1"/>
  <c r="AC56" i="39"/>
  <c r="AB52" i="38" s="1"/>
  <c r="AF52" i="38" s="1"/>
  <c r="AB56" i="39"/>
  <c r="AA52" i="38" s="1"/>
  <c r="AE52" i="38" s="1"/>
  <c r="AA56" i="39"/>
  <c r="U52" i="38" s="1"/>
  <c r="Z56" i="39"/>
  <c r="T52" i="38" s="1"/>
  <c r="W56" i="39"/>
  <c r="AR54" i="39" s="1"/>
  <c r="V56" i="39"/>
  <c r="N56" i="39"/>
  <c r="AB54" i="31" s="1"/>
  <c r="AF54" i="31" s="1"/>
  <c r="M56" i="39"/>
  <c r="AA54" i="31" s="1"/>
  <c r="AE54" i="31" s="1"/>
  <c r="L56" i="39"/>
  <c r="U54" i="31" s="1"/>
  <c r="K56" i="39"/>
  <c r="T54" i="31" s="1"/>
  <c r="H56" i="39"/>
  <c r="AO56" i="39" s="1"/>
  <c r="G56" i="39"/>
  <c r="AN56" i="39" s="1"/>
  <c r="AP56" i="39" s="1"/>
  <c r="AL55" i="39"/>
  <c r="AK55" i="39"/>
  <c r="AI55" i="39"/>
  <c r="AH55" i="39"/>
  <c r="AJ55" i="39" s="1"/>
  <c r="AC55" i="39"/>
  <c r="AB51" i="38" s="1"/>
  <c r="AF51" i="38" s="1"/>
  <c r="AB55" i="39"/>
  <c r="AA51" i="38" s="1"/>
  <c r="AE51" i="38" s="1"/>
  <c r="AA55" i="39"/>
  <c r="U51" i="38" s="1"/>
  <c r="Z55" i="39"/>
  <c r="T51" i="38" s="1"/>
  <c r="W55" i="39"/>
  <c r="AR53" i="39" s="1"/>
  <c r="V55" i="39"/>
  <c r="AQ53" i="39" s="1"/>
  <c r="N55" i="39"/>
  <c r="AB53" i="31" s="1"/>
  <c r="AF53" i="31" s="1"/>
  <c r="M55" i="39"/>
  <c r="AA53" i="31" s="1"/>
  <c r="AE53" i="31" s="1"/>
  <c r="L55" i="39"/>
  <c r="U53" i="31" s="1"/>
  <c r="K55" i="39"/>
  <c r="T53" i="31" s="1"/>
  <c r="H55" i="39"/>
  <c r="AO55" i="39" s="1"/>
  <c r="G55" i="39"/>
  <c r="AN55" i="39" s="1"/>
  <c r="AP55" i="39" s="1"/>
  <c r="AQ54" i="39"/>
  <c r="AL54" i="39"/>
  <c r="AK54" i="39"/>
  <c r="AM54" i="39" s="1"/>
  <c r="K52" i="27" s="1"/>
  <c r="AI54" i="39"/>
  <c r="AH54" i="39"/>
  <c r="AC54" i="39"/>
  <c r="AB50" i="38" s="1"/>
  <c r="AF50" i="38" s="1"/>
  <c r="AB54" i="39"/>
  <c r="AA50" i="38" s="1"/>
  <c r="AE50" i="38" s="1"/>
  <c r="AA54" i="39"/>
  <c r="U50" i="38" s="1"/>
  <c r="Z54" i="39"/>
  <c r="T50" i="38" s="1"/>
  <c r="W54" i="39"/>
  <c r="V54" i="39"/>
  <c r="N54" i="39"/>
  <c r="AB52" i="31" s="1"/>
  <c r="AF52" i="31" s="1"/>
  <c r="M54" i="39"/>
  <c r="AA52" i="31" s="1"/>
  <c r="AE52" i="31" s="1"/>
  <c r="L54" i="39"/>
  <c r="U52" i="31" s="1"/>
  <c r="K54" i="39"/>
  <c r="T52" i="31" s="1"/>
  <c r="H54" i="39"/>
  <c r="AO54" i="39" s="1"/>
  <c r="G54" i="39"/>
  <c r="AN54" i="39" s="1"/>
  <c r="AL53" i="39"/>
  <c r="AK53" i="39"/>
  <c r="AI53" i="39"/>
  <c r="AH53" i="39"/>
  <c r="AC53" i="39"/>
  <c r="AB49" i="38" s="1"/>
  <c r="AF49" i="38" s="1"/>
  <c r="AB53" i="39"/>
  <c r="AA49" i="38" s="1"/>
  <c r="AE49" i="38" s="1"/>
  <c r="AA53" i="39"/>
  <c r="U49" i="38" s="1"/>
  <c r="Z53" i="39"/>
  <c r="T49" i="38" s="1"/>
  <c r="W53" i="39"/>
  <c r="AR51" i="39" s="1"/>
  <c r="V53" i="39"/>
  <c r="AQ51" i="39" s="1"/>
  <c r="N53" i="39"/>
  <c r="AB51" i="31" s="1"/>
  <c r="AF51" i="31" s="1"/>
  <c r="M53" i="39"/>
  <c r="AA51" i="31" s="1"/>
  <c r="AE51" i="31" s="1"/>
  <c r="L53" i="39"/>
  <c r="U51" i="31" s="1"/>
  <c r="K53" i="39"/>
  <c r="T51" i="31" s="1"/>
  <c r="H53" i="39"/>
  <c r="AO53" i="39" s="1"/>
  <c r="G53" i="39"/>
  <c r="AN53" i="39" s="1"/>
  <c r="AR52" i="39"/>
  <c r="AQ52" i="39"/>
  <c r="AS52" i="39" s="1"/>
  <c r="AL52" i="39"/>
  <c r="AK52" i="39"/>
  <c r="AI52" i="39"/>
  <c r="AH52" i="39"/>
  <c r="AJ52" i="39" s="1"/>
  <c r="AC52" i="39"/>
  <c r="AB48" i="38" s="1"/>
  <c r="AF48" i="38" s="1"/>
  <c r="AB52" i="39"/>
  <c r="AA48" i="38" s="1"/>
  <c r="AE48" i="38" s="1"/>
  <c r="AA52" i="39"/>
  <c r="U48" i="38" s="1"/>
  <c r="Z52" i="39"/>
  <c r="T48" i="38" s="1"/>
  <c r="W52" i="39"/>
  <c r="AR50" i="39" s="1"/>
  <c r="V52" i="39"/>
  <c r="N52" i="39"/>
  <c r="AB50" i="31" s="1"/>
  <c r="AF50" i="31" s="1"/>
  <c r="M52" i="39"/>
  <c r="AA50" i="31" s="1"/>
  <c r="AE50" i="31" s="1"/>
  <c r="L52" i="39"/>
  <c r="U50" i="31" s="1"/>
  <c r="K52" i="39"/>
  <c r="T50" i="31" s="1"/>
  <c r="H52" i="39"/>
  <c r="AO52" i="39" s="1"/>
  <c r="G52" i="39"/>
  <c r="AN52" i="39" s="1"/>
  <c r="AP52" i="39" s="1"/>
  <c r="AL51" i="39"/>
  <c r="AK51" i="39"/>
  <c r="AI51" i="39"/>
  <c r="AH51" i="39"/>
  <c r="AC51" i="39"/>
  <c r="AB47" i="38" s="1"/>
  <c r="AF47" i="38" s="1"/>
  <c r="AB51" i="39"/>
  <c r="AA47" i="38" s="1"/>
  <c r="AE47" i="38" s="1"/>
  <c r="AA51" i="39"/>
  <c r="U47" i="38" s="1"/>
  <c r="Z51" i="39"/>
  <c r="T47" i="38" s="1"/>
  <c r="W51" i="39"/>
  <c r="V51" i="39"/>
  <c r="AQ49" i="39" s="1"/>
  <c r="N51" i="39"/>
  <c r="AB49" i="31" s="1"/>
  <c r="AF49" i="31" s="1"/>
  <c r="M51" i="39"/>
  <c r="AA49" i="31" s="1"/>
  <c r="AE49" i="31" s="1"/>
  <c r="L51" i="39"/>
  <c r="U49" i="31" s="1"/>
  <c r="K51" i="39"/>
  <c r="T49" i="31" s="1"/>
  <c r="H51" i="39"/>
  <c r="AO51" i="39" s="1"/>
  <c r="G51" i="39"/>
  <c r="AN51" i="39" s="1"/>
  <c r="AQ50" i="39"/>
  <c r="AL50" i="39"/>
  <c r="AM50" i="39" s="1"/>
  <c r="K48" i="27" s="1"/>
  <c r="AK50" i="39"/>
  <c r="AI50" i="39"/>
  <c r="AH50" i="39"/>
  <c r="AC50" i="39"/>
  <c r="AB46" i="38" s="1"/>
  <c r="AF46" i="38" s="1"/>
  <c r="AB50" i="39"/>
  <c r="AA46" i="38" s="1"/>
  <c r="AE46" i="38" s="1"/>
  <c r="AA50" i="39"/>
  <c r="U46" i="38" s="1"/>
  <c r="Z50" i="39"/>
  <c r="T46" i="38" s="1"/>
  <c r="W50" i="39"/>
  <c r="AR48" i="39" s="1"/>
  <c r="V50" i="39"/>
  <c r="N50" i="39"/>
  <c r="AB48" i="31" s="1"/>
  <c r="AF48" i="31" s="1"/>
  <c r="M50" i="39"/>
  <c r="AA48" i="31" s="1"/>
  <c r="AE48" i="31" s="1"/>
  <c r="L50" i="39"/>
  <c r="U48" i="31" s="1"/>
  <c r="K50" i="39"/>
  <c r="T48" i="31" s="1"/>
  <c r="H50" i="39"/>
  <c r="AO50" i="39" s="1"/>
  <c r="G50" i="39"/>
  <c r="AN50" i="39" s="1"/>
  <c r="AP50" i="39" s="1"/>
  <c r="AR49" i="39"/>
  <c r="AL49" i="39"/>
  <c r="AK49" i="39"/>
  <c r="AI49" i="39"/>
  <c r="AH49" i="39"/>
  <c r="AJ49" i="39" s="1"/>
  <c r="AC49" i="39"/>
  <c r="AB45" i="38" s="1"/>
  <c r="AF45" i="38" s="1"/>
  <c r="AB49" i="39"/>
  <c r="AA45" i="38" s="1"/>
  <c r="AE45" i="38" s="1"/>
  <c r="AA49" i="39"/>
  <c r="U45" i="38" s="1"/>
  <c r="Z49" i="39"/>
  <c r="T45" i="38" s="1"/>
  <c r="W49" i="39"/>
  <c r="V49" i="39"/>
  <c r="N49" i="39"/>
  <c r="AB47" i="31" s="1"/>
  <c r="AF47" i="31" s="1"/>
  <c r="M49" i="39"/>
  <c r="AA47" i="31" s="1"/>
  <c r="AE47" i="31" s="1"/>
  <c r="L49" i="39"/>
  <c r="U47" i="31" s="1"/>
  <c r="K49" i="39"/>
  <c r="T47" i="31" s="1"/>
  <c r="H49" i="39"/>
  <c r="AO49" i="39" s="1"/>
  <c r="G49" i="39"/>
  <c r="AN49" i="39" s="1"/>
  <c r="AP49" i="39" s="1"/>
  <c r="AQ48" i="39"/>
  <c r="AL48" i="39"/>
  <c r="AK48" i="39"/>
  <c r="AI48" i="39"/>
  <c r="AH48" i="39"/>
  <c r="AJ48" i="39" s="1"/>
  <c r="AC48" i="39"/>
  <c r="AB44" i="38" s="1"/>
  <c r="AF44" i="38" s="1"/>
  <c r="AB48" i="39"/>
  <c r="AA44" i="38" s="1"/>
  <c r="AE44" i="38" s="1"/>
  <c r="AA48" i="39"/>
  <c r="U44" i="38" s="1"/>
  <c r="Z48" i="39"/>
  <c r="T44" i="38" s="1"/>
  <c r="W48" i="39"/>
  <c r="AR46" i="39" s="1"/>
  <c r="V48" i="39"/>
  <c r="AQ46" i="39" s="1"/>
  <c r="N48" i="39"/>
  <c r="AB46" i="31" s="1"/>
  <c r="AF46" i="31" s="1"/>
  <c r="M48" i="39"/>
  <c r="AA46" i="31" s="1"/>
  <c r="AE46" i="31" s="1"/>
  <c r="L48" i="39"/>
  <c r="U46" i="31" s="1"/>
  <c r="K48" i="39"/>
  <c r="T46" i="31" s="1"/>
  <c r="H48" i="39"/>
  <c r="AO48" i="39" s="1"/>
  <c r="G48" i="39"/>
  <c r="AN48" i="39" s="1"/>
  <c r="AP48" i="39" s="1"/>
  <c r="AR47" i="39"/>
  <c r="AQ47" i="39"/>
  <c r="AS47" i="39" s="1"/>
  <c r="AL47" i="39"/>
  <c r="AK47" i="39"/>
  <c r="AI47" i="39"/>
  <c r="AH47" i="39"/>
  <c r="AJ47" i="39" s="1"/>
  <c r="AC47" i="39"/>
  <c r="AB43" i="38" s="1"/>
  <c r="AF43" i="38" s="1"/>
  <c r="AB47" i="39"/>
  <c r="AA43" i="38" s="1"/>
  <c r="AE43" i="38" s="1"/>
  <c r="AA47" i="39"/>
  <c r="U43" i="38" s="1"/>
  <c r="Z47" i="39"/>
  <c r="T43" i="38" s="1"/>
  <c r="W47" i="39"/>
  <c r="V47" i="39"/>
  <c r="AQ45" i="39" s="1"/>
  <c r="N47" i="39"/>
  <c r="AB45" i="31" s="1"/>
  <c r="AF45" i="31" s="1"/>
  <c r="M47" i="39"/>
  <c r="AA45" i="31" s="1"/>
  <c r="AE45" i="31" s="1"/>
  <c r="L47" i="39"/>
  <c r="U45" i="31" s="1"/>
  <c r="K47" i="39"/>
  <c r="T45" i="31" s="1"/>
  <c r="H47" i="39"/>
  <c r="AO47" i="39" s="1"/>
  <c r="G47" i="39"/>
  <c r="AN47" i="39" s="1"/>
  <c r="AP47" i="39" s="1"/>
  <c r="AL46" i="39"/>
  <c r="AK46" i="39"/>
  <c r="AM46" i="39" s="1"/>
  <c r="K44" i="27" s="1"/>
  <c r="AI46" i="39"/>
  <c r="AH46" i="39"/>
  <c r="AC46" i="39"/>
  <c r="AB42" i="38" s="1"/>
  <c r="AF42" i="38" s="1"/>
  <c r="AB46" i="39"/>
  <c r="AA42" i="38" s="1"/>
  <c r="AE42" i="38" s="1"/>
  <c r="AA46" i="39"/>
  <c r="U42" i="38" s="1"/>
  <c r="Z46" i="39"/>
  <c r="T42" i="38" s="1"/>
  <c r="W46" i="39"/>
  <c r="V46" i="39"/>
  <c r="N46" i="39"/>
  <c r="AB44" i="31" s="1"/>
  <c r="AF44" i="31" s="1"/>
  <c r="M46" i="39"/>
  <c r="AA44" i="31" s="1"/>
  <c r="AE44" i="31" s="1"/>
  <c r="L46" i="39"/>
  <c r="U44" i="31" s="1"/>
  <c r="K46" i="39"/>
  <c r="T44" i="31" s="1"/>
  <c r="H46" i="39"/>
  <c r="AO46" i="39" s="1"/>
  <c r="G46" i="39"/>
  <c r="AN46" i="39" s="1"/>
  <c r="AR45" i="39"/>
  <c r="AL45" i="39"/>
  <c r="AK45" i="39"/>
  <c r="AI45" i="39"/>
  <c r="AH45" i="39"/>
  <c r="AJ45" i="39" s="1"/>
  <c r="AC45" i="39"/>
  <c r="AB41" i="38" s="1"/>
  <c r="AF41" i="38" s="1"/>
  <c r="AB45" i="39"/>
  <c r="AA41" i="38" s="1"/>
  <c r="AE41" i="38" s="1"/>
  <c r="AA45" i="39"/>
  <c r="U41" i="38" s="1"/>
  <c r="Z45" i="39"/>
  <c r="T41" i="38" s="1"/>
  <c r="W45" i="39"/>
  <c r="AR43" i="39" s="1"/>
  <c r="V45" i="39"/>
  <c r="AQ43" i="39" s="1"/>
  <c r="AS43" i="39" s="1"/>
  <c r="N45" i="39"/>
  <c r="AB43" i="31" s="1"/>
  <c r="AF43" i="31" s="1"/>
  <c r="M45" i="39"/>
  <c r="AA43" i="31" s="1"/>
  <c r="AE43" i="31" s="1"/>
  <c r="L45" i="39"/>
  <c r="U43" i="31" s="1"/>
  <c r="K45" i="39"/>
  <c r="T43" i="31" s="1"/>
  <c r="H45" i="39"/>
  <c r="AO45" i="39" s="1"/>
  <c r="G45" i="39"/>
  <c r="AN45" i="39" s="1"/>
  <c r="AP45" i="39" s="1"/>
  <c r="AR44" i="39"/>
  <c r="AQ44" i="39"/>
  <c r="AS44" i="39" s="1"/>
  <c r="AL44" i="39"/>
  <c r="AK44" i="39"/>
  <c r="AI44" i="39"/>
  <c r="AH44" i="39"/>
  <c r="AJ44" i="39" s="1"/>
  <c r="AC44" i="39"/>
  <c r="AB40" i="38" s="1"/>
  <c r="AF40" i="38" s="1"/>
  <c r="AB44" i="39"/>
  <c r="AA40" i="38" s="1"/>
  <c r="AE40" i="38" s="1"/>
  <c r="AA44" i="39"/>
  <c r="U40" i="38" s="1"/>
  <c r="Z44" i="39"/>
  <c r="T40" i="38" s="1"/>
  <c r="W44" i="39"/>
  <c r="AR42" i="39" s="1"/>
  <c r="V44" i="39"/>
  <c r="N44" i="39"/>
  <c r="AB42" i="31" s="1"/>
  <c r="AF42" i="31" s="1"/>
  <c r="M44" i="39"/>
  <c r="AA42" i="31" s="1"/>
  <c r="AE42" i="31" s="1"/>
  <c r="L44" i="39"/>
  <c r="U42" i="31" s="1"/>
  <c r="K44" i="39"/>
  <c r="T42" i="31" s="1"/>
  <c r="H44" i="39"/>
  <c r="AO44" i="39" s="1"/>
  <c r="G44" i="39"/>
  <c r="AN44" i="39" s="1"/>
  <c r="AP44" i="39" s="1"/>
  <c r="AL43" i="39"/>
  <c r="AK43" i="39"/>
  <c r="AI43" i="39"/>
  <c r="AH43" i="39"/>
  <c r="AJ43" i="39" s="1"/>
  <c r="AC43" i="39"/>
  <c r="AB39" i="38" s="1"/>
  <c r="AF39" i="38" s="1"/>
  <c r="AB43" i="39"/>
  <c r="AA39" i="38" s="1"/>
  <c r="AE39" i="38" s="1"/>
  <c r="AA43" i="39"/>
  <c r="U39" i="38" s="1"/>
  <c r="Z43" i="39"/>
  <c r="T39" i="38" s="1"/>
  <c r="W43" i="39"/>
  <c r="V43" i="39"/>
  <c r="AQ41" i="39" s="1"/>
  <c r="AS41" i="39" s="1"/>
  <c r="N43" i="39"/>
  <c r="AB41" i="31" s="1"/>
  <c r="AF41" i="31" s="1"/>
  <c r="M43" i="39"/>
  <c r="AA41" i="31" s="1"/>
  <c r="AE41" i="31" s="1"/>
  <c r="L43" i="39"/>
  <c r="U41" i="31" s="1"/>
  <c r="K43" i="39"/>
  <c r="T41" i="31" s="1"/>
  <c r="H43" i="39"/>
  <c r="AO43" i="39" s="1"/>
  <c r="G43" i="39"/>
  <c r="AN43" i="39" s="1"/>
  <c r="AP43" i="39" s="1"/>
  <c r="AQ42" i="39"/>
  <c r="AL42" i="39"/>
  <c r="AK42" i="39"/>
  <c r="AI42" i="39"/>
  <c r="AH42" i="39"/>
  <c r="AC42" i="39"/>
  <c r="AB38" i="38" s="1"/>
  <c r="AF38" i="38" s="1"/>
  <c r="AB42" i="39"/>
  <c r="AA38" i="38" s="1"/>
  <c r="AE38" i="38" s="1"/>
  <c r="AA42" i="39"/>
  <c r="U38" i="38" s="1"/>
  <c r="Z42" i="39"/>
  <c r="T38" i="38" s="1"/>
  <c r="W42" i="39"/>
  <c r="AR40" i="39" s="1"/>
  <c r="V42" i="39"/>
  <c r="N42" i="39"/>
  <c r="AB40" i="31" s="1"/>
  <c r="AF40" i="31" s="1"/>
  <c r="M42" i="39"/>
  <c r="AA40" i="31" s="1"/>
  <c r="AE40" i="31" s="1"/>
  <c r="L42" i="39"/>
  <c r="U40" i="31" s="1"/>
  <c r="K42" i="39"/>
  <c r="T40" i="31" s="1"/>
  <c r="H42" i="39"/>
  <c r="AO42" i="39" s="1"/>
  <c r="G42" i="39"/>
  <c r="AN42" i="39" s="1"/>
  <c r="AP42" i="39" s="1"/>
  <c r="AR41" i="39"/>
  <c r="AL41" i="39"/>
  <c r="AK41" i="39"/>
  <c r="AJ41" i="39"/>
  <c r="AI41" i="39"/>
  <c r="AH41" i="39"/>
  <c r="AC41" i="39"/>
  <c r="AB37" i="38" s="1"/>
  <c r="AF37" i="38" s="1"/>
  <c r="AB41" i="39"/>
  <c r="AA37" i="38" s="1"/>
  <c r="AE37" i="38" s="1"/>
  <c r="AA41" i="39"/>
  <c r="U37" i="38" s="1"/>
  <c r="Z41" i="39"/>
  <c r="T37" i="38" s="1"/>
  <c r="W41" i="39"/>
  <c r="AR39" i="39" s="1"/>
  <c r="V41" i="39"/>
  <c r="AQ39" i="39" s="1"/>
  <c r="N41" i="39"/>
  <c r="AB39" i="31" s="1"/>
  <c r="AF39" i="31" s="1"/>
  <c r="M41" i="39"/>
  <c r="AA39" i="31" s="1"/>
  <c r="AE39" i="31" s="1"/>
  <c r="L41" i="39"/>
  <c r="U39" i="31" s="1"/>
  <c r="K41" i="39"/>
  <c r="T39" i="31" s="1"/>
  <c r="H41" i="39"/>
  <c r="AO41" i="39" s="1"/>
  <c r="G41" i="39"/>
  <c r="AN41" i="39" s="1"/>
  <c r="AP41" i="39" s="1"/>
  <c r="AQ40" i="39"/>
  <c r="AL40" i="39"/>
  <c r="AK40" i="39"/>
  <c r="AI40" i="39"/>
  <c r="AH40" i="39"/>
  <c r="AJ40" i="39" s="1"/>
  <c r="AC40" i="39"/>
  <c r="AB36" i="38" s="1"/>
  <c r="AF36" i="38" s="1"/>
  <c r="AB40" i="39"/>
  <c r="AA36" i="38" s="1"/>
  <c r="AE36" i="38" s="1"/>
  <c r="AA40" i="39"/>
  <c r="U36" i="38" s="1"/>
  <c r="Z40" i="39"/>
  <c r="T36" i="38" s="1"/>
  <c r="W40" i="39"/>
  <c r="AR38" i="39" s="1"/>
  <c r="V40" i="39"/>
  <c r="N40" i="39"/>
  <c r="AB38" i="31" s="1"/>
  <c r="AF38" i="31" s="1"/>
  <c r="M40" i="39"/>
  <c r="AA38" i="31" s="1"/>
  <c r="AE38" i="31" s="1"/>
  <c r="L40" i="39"/>
  <c r="U38" i="31" s="1"/>
  <c r="K40" i="39"/>
  <c r="T38" i="31" s="1"/>
  <c r="H40" i="39"/>
  <c r="AO40" i="39" s="1"/>
  <c r="G40" i="39"/>
  <c r="AN40" i="39" s="1"/>
  <c r="AP40" i="39" s="1"/>
  <c r="AL39" i="39"/>
  <c r="AK39" i="39"/>
  <c r="AI39" i="39"/>
  <c r="AH39" i="39"/>
  <c r="AC39" i="39"/>
  <c r="AB35" i="38" s="1"/>
  <c r="AF35" i="38" s="1"/>
  <c r="AB39" i="39"/>
  <c r="AA35" i="38" s="1"/>
  <c r="AE35" i="38" s="1"/>
  <c r="AA39" i="39"/>
  <c r="U35" i="38" s="1"/>
  <c r="Z39" i="39"/>
  <c r="T35" i="38" s="1"/>
  <c r="W39" i="39"/>
  <c r="V39" i="39"/>
  <c r="AQ37" i="39" s="1"/>
  <c r="N39" i="39"/>
  <c r="AB37" i="31" s="1"/>
  <c r="AF37" i="31" s="1"/>
  <c r="M39" i="39"/>
  <c r="AA37" i="31" s="1"/>
  <c r="AE37" i="31" s="1"/>
  <c r="L39" i="39"/>
  <c r="U37" i="31" s="1"/>
  <c r="K39" i="39"/>
  <c r="T37" i="31" s="1"/>
  <c r="H39" i="39"/>
  <c r="AO39" i="39" s="1"/>
  <c r="G39" i="39"/>
  <c r="AN39" i="39" s="1"/>
  <c r="AQ38" i="39"/>
  <c r="AL38" i="39"/>
  <c r="AK38" i="39"/>
  <c r="AI38" i="39"/>
  <c r="AH38" i="39"/>
  <c r="AC38" i="39"/>
  <c r="AB34" i="38" s="1"/>
  <c r="AF34" i="38" s="1"/>
  <c r="AB38" i="39"/>
  <c r="AA34" i="38" s="1"/>
  <c r="AE34" i="38" s="1"/>
  <c r="AA38" i="39"/>
  <c r="U34" i="38" s="1"/>
  <c r="Z38" i="39"/>
  <c r="T34" i="38" s="1"/>
  <c r="W38" i="39"/>
  <c r="AR36" i="39" s="1"/>
  <c r="V38" i="39"/>
  <c r="AQ36" i="39" s="1"/>
  <c r="N38" i="39"/>
  <c r="AB36" i="31" s="1"/>
  <c r="AF36" i="31" s="1"/>
  <c r="M38" i="39"/>
  <c r="AA36" i="31" s="1"/>
  <c r="AE36" i="31" s="1"/>
  <c r="L38" i="39"/>
  <c r="U36" i="31" s="1"/>
  <c r="K38" i="39"/>
  <c r="T36" i="31" s="1"/>
  <c r="H38" i="39"/>
  <c r="AO38" i="39" s="1"/>
  <c r="G38" i="39"/>
  <c r="AN38" i="39" s="1"/>
  <c r="AR37" i="39"/>
  <c r="AL37" i="39"/>
  <c r="AK37" i="39"/>
  <c r="AI37" i="39"/>
  <c r="AH37" i="39"/>
  <c r="AC37" i="39"/>
  <c r="AB33" i="38" s="1"/>
  <c r="AF33" i="38" s="1"/>
  <c r="AB37" i="39"/>
  <c r="AA33" i="38" s="1"/>
  <c r="AE33" i="38" s="1"/>
  <c r="AA37" i="39"/>
  <c r="U33" i="38" s="1"/>
  <c r="Z37" i="39"/>
  <c r="T33" i="38" s="1"/>
  <c r="W37" i="39"/>
  <c r="AR35" i="39" s="1"/>
  <c r="V37" i="39"/>
  <c r="N37" i="39"/>
  <c r="AB35" i="31" s="1"/>
  <c r="AF35" i="31" s="1"/>
  <c r="M37" i="39"/>
  <c r="AA35" i="31" s="1"/>
  <c r="AE35" i="31" s="1"/>
  <c r="L37" i="39"/>
  <c r="U35" i="31" s="1"/>
  <c r="K37" i="39"/>
  <c r="T35" i="31" s="1"/>
  <c r="H37" i="39"/>
  <c r="AO37" i="39" s="1"/>
  <c r="G37" i="39"/>
  <c r="AN37" i="39" s="1"/>
  <c r="AL36" i="39"/>
  <c r="AK36" i="39"/>
  <c r="AM36" i="39" s="1"/>
  <c r="K34" i="27" s="1"/>
  <c r="AI36" i="39"/>
  <c r="AH36" i="39"/>
  <c r="AC36" i="39"/>
  <c r="AB32" i="38" s="1"/>
  <c r="AF32" i="38" s="1"/>
  <c r="AB36" i="39"/>
  <c r="AA32" i="38" s="1"/>
  <c r="AE32" i="38" s="1"/>
  <c r="AA36" i="39"/>
  <c r="U32" i="38" s="1"/>
  <c r="Z36" i="39"/>
  <c r="T32" i="38" s="1"/>
  <c r="W36" i="39"/>
  <c r="AR34" i="39" s="1"/>
  <c r="V36" i="39"/>
  <c r="AQ34" i="39" s="1"/>
  <c r="N36" i="39"/>
  <c r="AB34" i="31" s="1"/>
  <c r="AF34" i="31" s="1"/>
  <c r="M36" i="39"/>
  <c r="AA34" i="31" s="1"/>
  <c r="AE34" i="31" s="1"/>
  <c r="L36" i="39"/>
  <c r="U34" i="31" s="1"/>
  <c r="K36" i="39"/>
  <c r="T34" i="31" s="1"/>
  <c r="H36" i="39"/>
  <c r="AO36" i="39" s="1"/>
  <c r="G36" i="39"/>
  <c r="AN36" i="39" s="1"/>
  <c r="AQ35" i="39"/>
  <c r="AO35" i="39"/>
  <c r="AL35" i="39"/>
  <c r="AK35" i="39"/>
  <c r="AI35" i="39"/>
  <c r="AH35" i="39"/>
  <c r="AJ35" i="39" s="1"/>
  <c r="AC35" i="39"/>
  <c r="AB31" i="38" s="1"/>
  <c r="AF31" i="38" s="1"/>
  <c r="AB35" i="39"/>
  <c r="AA31" i="38" s="1"/>
  <c r="AE31" i="38" s="1"/>
  <c r="AA35" i="39"/>
  <c r="U31" i="38" s="1"/>
  <c r="Z35" i="39"/>
  <c r="T31" i="38" s="1"/>
  <c r="W35" i="39"/>
  <c r="AR33" i="39" s="1"/>
  <c r="V35" i="39"/>
  <c r="N35" i="39"/>
  <c r="AB33" i="31" s="1"/>
  <c r="AF33" i="31" s="1"/>
  <c r="M35" i="39"/>
  <c r="AA33" i="31" s="1"/>
  <c r="AE33" i="31" s="1"/>
  <c r="L35" i="39"/>
  <c r="U33" i="31" s="1"/>
  <c r="K35" i="39"/>
  <c r="T33" i="31" s="1"/>
  <c r="H35" i="39"/>
  <c r="G35" i="39"/>
  <c r="AN35" i="39" s="1"/>
  <c r="AP35" i="39" s="1"/>
  <c r="AL34" i="39"/>
  <c r="AK34" i="39"/>
  <c r="AM34" i="39" s="1"/>
  <c r="K32" i="27" s="1"/>
  <c r="AI34" i="39"/>
  <c r="AH34" i="39"/>
  <c r="AC34" i="39"/>
  <c r="AB30" i="38" s="1"/>
  <c r="AF30" i="38" s="1"/>
  <c r="AB34" i="39"/>
  <c r="AA30" i="38" s="1"/>
  <c r="AE30" i="38" s="1"/>
  <c r="AA34" i="39"/>
  <c r="U30" i="38" s="1"/>
  <c r="Z34" i="39"/>
  <c r="T30" i="38" s="1"/>
  <c r="W34" i="39"/>
  <c r="AR32" i="39" s="1"/>
  <c r="V34" i="39"/>
  <c r="N34" i="39"/>
  <c r="AB32" i="31" s="1"/>
  <c r="AF32" i="31" s="1"/>
  <c r="M34" i="39"/>
  <c r="AA32" i="31" s="1"/>
  <c r="AE32" i="31" s="1"/>
  <c r="L34" i="39"/>
  <c r="U32" i="31" s="1"/>
  <c r="K34" i="39"/>
  <c r="T32" i="31" s="1"/>
  <c r="H34" i="39"/>
  <c r="AO34" i="39" s="1"/>
  <c r="G34" i="39"/>
  <c r="AN34" i="39" s="1"/>
  <c r="AQ33" i="39"/>
  <c r="AO33" i="39"/>
  <c r="AL33" i="39"/>
  <c r="AK33" i="39"/>
  <c r="AI33" i="39"/>
  <c r="AH33" i="39"/>
  <c r="AJ33" i="39" s="1"/>
  <c r="AC33" i="39"/>
  <c r="AB29" i="38" s="1"/>
  <c r="AF29" i="38" s="1"/>
  <c r="AB33" i="39"/>
  <c r="AA29" i="38" s="1"/>
  <c r="AE29" i="38" s="1"/>
  <c r="AA33" i="39"/>
  <c r="U29" i="38" s="1"/>
  <c r="Z33" i="39"/>
  <c r="T29" i="38" s="1"/>
  <c r="W33" i="39"/>
  <c r="AR31" i="39" s="1"/>
  <c r="V33" i="39"/>
  <c r="N33" i="39"/>
  <c r="AB31" i="31" s="1"/>
  <c r="AF31" i="31" s="1"/>
  <c r="M33" i="39"/>
  <c r="AA31" i="31" s="1"/>
  <c r="AE31" i="31" s="1"/>
  <c r="L33" i="39"/>
  <c r="U31" i="31" s="1"/>
  <c r="K33" i="39"/>
  <c r="T31" i="31" s="1"/>
  <c r="H33" i="39"/>
  <c r="G33" i="39"/>
  <c r="AN33" i="39" s="1"/>
  <c r="AP33" i="39" s="1"/>
  <c r="AQ32" i="39"/>
  <c r="AL32" i="39"/>
  <c r="AK32" i="39"/>
  <c r="AI32" i="39"/>
  <c r="AH32" i="39"/>
  <c r="AC32" i="39"/>
  <c r="AB28" i="38" s="1"/>
  <c r="AF28" i="38" s="1"/>
  <c r="AB32" i="39"/>
  <c r="AA28" i="38" s="1"/>
  <c r="AE28" i="38" s="1"/>
  <c r="AA32" i="39"/>
  <c r="U28" i="38" s="1"/>
  <c r="Z32" i="39"/>
  <c r="T28" i="38" s="1"/>
  <c r="W32" i="39"/>
  <c r="AR30" i="39" s="1"/>
  <c r="V32" i="39"/>
  <c r="N32" i="39"/>
  <c r="AB30" i="31" s="1"/>
  <c r="AF30" i="31" s="1"/>
  <c r="M32" i="39"/>
  <c r="AA30" i="31" s="1"/>
  <c r="AE30" i="31" s="1"/>
  <c r="L32" i="39"/>
  <c r="U30" i="31" s="1"/>
  <c r="K32" i="39"/>
  <c r="T30" i="31" s="1"/>
  <c r="H32" i="39"/>
  <c r="AO32" i="39" s="1"/>
  <c r="G32" i="39"/>
  <c r="AN32" i="39" s="1"/>
  <c r="AQ31" i="39"/>
  <c r="AL31" i="39"/>
  <c r="AK31" i="39"/>
  <c r="AI31" i="39"/>
  <c r="AH31" i="39"/>
  <c r="AC31" i="39"/>
  <c r="AB27" i="38" s="1"/>
  <c r="AF27" i="38" s="1"/>
  <c r="AB31" i="39"/>
  <c r="AA27" i="38" s="1"/>
  <c r="AE27" i="38" s="1"/>
  <c r="AA31" i="39"/>
  <c r="U27" i="38" s="1"/>
  <c r="Z31" i="39"/>
  <c r="T27" i="38" s="1"/>
  <c r="W31" i="39"/>
  <c r="AR29" i="39" s="1"/>
  <c r="V31" i="39"/>
  <c r="N31" i="39"/>
  <c r="AB29" i="31" s="1"/>
  <c r="AF29" i="31" s="1"/>
  <c r="M31" i="39"/>
  <c r="AA29" i="31" s="1"/>
  <c r="AE29" i="31" s="1"/>
  <c r="L31" i="39"/>
  <c r="U29" i="31" s="1"/>
  <c r="K31" i="39"/>
  <c r="T29" i="31" s="1"/>
  <c r="H31" i="39"/>
  <c r="AO31" i="39" s="1"/>
  <c r="G31" i="39"/>
  <c r="AN31" i="39" s="1"/>
  <c r="AQ30" i="39"/>
  <c r="AL30" i="39"/>
  <c r="AK30" i="39"/>
  <c r="AM30" i="39" s="1"/>
  <c r="K28" i="27" s="1"/>
  <c r="AI30" i="39"/>
  <c r="AH30" i="39"/>
  <c r="AC30" i="39"/>
  <c r="AB26" i="38" s="1"/>
  <c r="AF26" i="38" s="1"/>
  <c r="AB30" i="39"/>
  <c r="AA26" i="38" s="1"/>
  <c r="AE26" i="38" s="1"/>
  <c r="AA30" i="39"/>
  <c r="U26" i="38" s="1"/>
  <c r="Z30" i="39"/>
  <c r="T26" i="38" s="1"/>
  <c r="W30" i="39"/>
  <c r="AR28" i="39" s="1"/>
  <c r="V30" i="39"/>
  <c r="AQ28" i="39" s="1"/>
  <c r="N30" i="39"/>
  <c r="AB28" i="31" s="1"/>
  <c r="AF28" i="31" s="1"/>
  <c r="M30" i="39"/>
  <c r="AA28" i="31" s="1"/>
  <c r="AE28" i="31" s="1"/>
  <c r="L30" i="39"/>
  <c r="U28" i="31" s="1"/>
  <c r="K30" i="39"/>
  <c r="T28" i="31" s="1"/>
  <c r="H30" i="39"/>
  <c r="AO30" i="39" s="1"/>
  <c r="G30" i="39"/>
  <c r="AN30" i="39" s="1"/>
  <c r="AQ29" i="39"/>
  <c r="AO29" i="39"/>
  <c r="AL29" i="39"/>
  <c r="AK29" i="39"/>
  <c r="AI29" i="39"/>
  <c r="AH29" i="39"/>
  <c r="AJ29" i="39" s="1"/>
  <c r="AC29" i="39"/>
  <c r="AB25" i="38" s="1"/>
  <c r="AF25" i="38" s="1"/>
  <c r="AB29" i="39"/>
  <c r="AA25" i="38" s="1"/>
  <c r="AE25" i="38" s="1"/>
  <c r="AA29" i="39"/>
  <c r="U25" i="38" s="1"/>
  <c r="Z29" i="39"/>
  <c r="T25" i="38" s="1"/>
  <c r="W29" i="39"/>
  <c r="AR27" i="39" s="1"/>
  <c r="V29" i="39"/>
  <c r="N29" i="39"/>
  <c r="AB27" i="31" s="1"/>
  <c r="AF27" i="31" s="1"/>
  <c r="M29" i="39"/>
  <c r="AA27" i="31" s="1"/>
  <c r="AE27" i="31" s="1"/>
  <c r="L29" i="39"/>
  <c r="U27" i="31" s="1"/>
  <c r="K29" i="39"/>
  <c r="T27" i="31" s="1"/>
  <c r="H29" i="39"/>
  <c r="G29" i="39"/>
  <c r="AN29" i="39" s="1"/>
  <c r="AP29" i="39" s="1"/>
  <c r="AL28" i="39"/>
  <c r="AK28" i="39"/>
  <c r="AM28" i="39" s="1"/>
  <c r="K26" i="27" s="1"/>
  <c r="AI28" i="39"/>
  <c r="AH28" i="39"/>
  <c r="AC28" i="39"/>
  <c r="AB24" i="38" s="1"/>
  <c r="AF24" i="38" s="1"/>
  <c r="AB28" i="39"/>
  <c r="AA24" i="38" s="1"/>
  <c r="AE24" i="38" s="1"/>
  <c r="AA28" i="39"/>
  <c r="U24" i="38" s="1"/>
  <c r="Z28" i="39"/>
  <c r="T24" i="38" s="1"/>
  <c r="W28" i="39"/>
  <c r="AR26" i="39" s="1"/>
  <c r="V28" i="39"/>
  <c r="N28" i="39"/>
  <c r="AB26" i="31" s="1"/>
  <c r="AF26" i="31" s="1"/>
  <c r="M28" i="39"/>
  <c r="AA26" i="31" s="1"/>
  <c r="AE26" i="31" s="1"/>
  <c r="L28" i="39"/>
  <c r="U26" i="31" s="1"/>
  <c r="K28" i="39"/>
  <c r="T26" i="31" s="1"/>
  <c r="H28" i="39"/>
  <c r="AO28" i="39" s="1"/>
  <c r="G28" i="39"/>
  <c r="AN28" i="39" s="1"/>
  <c r="AQ27" i="39"/>
  <c r="AL27" i="39"/>
  <c r="AK27" i="39"/>
  <c r="AI27" i="39"/>
  <c r="AH27" i="39"/>
  <c r="AC27" i="39"/>
  <c r="AB23" i="38" s="1"/>
  <c r="AF23" i="38" s="1"/>
  <c r="AB27" i="39"/>
  <c r="AA23" i="38" s="1"/>
  <c r="AE23" i="38" s="1"/>
  <c r="AA27" i="39"/>
  <c r="U23" i="38" s="1"/>
  <c r="Z27" i="39"/>
  <c r="T23" i="38" s="1"/>
  <c r="W27" i="39"/>
  <c r="AR25" i="39" s="1"/>
  <c r="V27" i="39"/>
  <c r="N27" i="39"/>
  <c r="AB25" i="31" s="1"/>
  <c r="AF25" i="31" s="1"/>
  <c r="M27" i="39"/>
  <c r="AA25" i="31" s="1"/>
  <c r="AE25" i="31" s="1"/>
  <c r="L27" i="39"/>
  <c r="U25" i="31" s="1"/>
  <c r="K27" i="39"/>
  <c r="T25" i="31" s="1"/>
  <c r="H27" i="39"/>
  <c r="AO27" i="39" s="1"/>
  <c r="G27" i="39"/>
  <c r="AN27" i="39" s="1"/>
  <c r="AQ26" i="39"/>
  <c r="AL26" i="39"/>
  <c r="AK26" i="39"/>
  <c r="AI26" i="39"/>
  <c r="AH26" i="39"/>
  <c r="AC26" i="39"/>
  <c r="AB22" i="38" s="1"/>
  <c r="AF22" i="38" s="1"/>
  <c r="AB26" i="39"/>
  <c r="AA22" i="38" s="1"/>
  <c r="AE22" i="38" s="1"/>
  <c r="AA26" i="39"/>
  <c r="U22" i="38" s="1"/>
  <c r="Z26" i="39"/>
  <c r="T22" i="38" s="1"/>
  <c r="W26" i="39"/>
  <c r="AR24" i="39" s="1"/>
  <c r="V26" i="39"/>
  <c r="N26" i="39"/>
  <c r="AB24" i="31" s="1"/>
  <c r="AF24" i="31" s="1"/>
  <c r="M26" i="39"/>
  <c r="AA24" i="31" s="1"/>
  <c r="AE24" i="31" s="1"/>
  <c r="L26" i="39"/>
  <c r="U24" i="31" s="1"/>
  <c r="K26" i="39"/>
  <c r="T24" i="31" s="1"/>
  <c r="H26" i="39"/>
  <c r="AO26" i="39" s="1"/>
  <c r="G26" i="39"/>
  <c r="AN26" i="39" s="1"/>
  <c r="AQ25" i="39"/>
  <c r="AL25" i="39"/>
  <c r="AK25" i="39"/>
  <c r="AI25" i="39"/>
  <c r="AH25" i="39"/>
  <c r="AC25" i="39"/>
  <c r="AB21" i="38" s="1"/>
  <c r="AF21" i="38" s="1"/>
  <c r="AB25" i="39"/>
  <c r="AA21" i="38" s="1"/>
  <c r="AE21" i="38" s="1"/>
  <c r="AA25" i="39"/>
  <c r="U21" i="38" s="1"/>
  <c r="Z25" i="39"/>
  <c r="T21" i="38" s="1"/>
  <c r="W25" i="39"/>
  <c r="AR23" i="39" s="1"/>
  <c r="V25" i="39"/>
  <c r="N25" i="39"/>
  <c r="AB23" i="31" s="1"/>
  <c r="AF23" i="31" s="1"/>
  <c r="M25" i="39"/>
  <c r="AA23" i="31" s="1"/>
  <c r="AE23" i="31" s="1"/>
  <c r="L25" i="39"/>
  <c r="U23" i="31" s="1"/>
  <c r="K25" i="39"/>
  <c r="T23" i="31" s="1"/>
  <c r="H25" i="39"/>
  <c r="AO25" i="39" s="1"/>
  <c r="G25" i="39"/>
  <c r="AN25" i="39" s="1"/>
  <c r="AQ24" i="39"/>
  <c r="AL24" i="39"/>
  <c r="AK24" i="39"/>
  <c r="AI24" i="39"/>
  <c r="AH24" i="39"/>
  <c r="AC24" i="39"/>
  <c r="AB20" i="38" s="1"/>
  <c r="AF20" i="38" s="1"/>
  <c r="AB24" i="39"/>
  <c r="AA20" i="38" s="1"/>
  <c r="AE20" i="38" s="1"/>
  <c r="AA24" i="39"/>
  <c r="U20" i="38" s="1"/>
  <c r="Z24" i="39"/>
  <c r="T20" i="38" s="1"/>
  <c r="W24" i="39"/>
  <c r="AR22" i="39" s="1"/>
  <c r="V24" i="39"/>
  <c r="N24" i="39"/>
  <c r="AB22" i="31" s="1"/>
  <c r="AF22" i="31" s="1"/>
  <c r="M24" i="39"/>
  <c r="AA22" i="31" s="1"/>
  <c r="AE22" i="31" s="1"/>
  <c r="L24" i="39"/>
  <c r="U22" i="31" s="1"/>
  <c r="K24" i="39"/>
  <c r="T22" i="31" s="1"/>
  <c r="H24" i="39"/>
  <c r="AO24" i="39" s="1"/>
  <c r="G24" i="39"/>
  <c r="AN24" i="39" s="1"/>
  <c r="AQ23" i="39"/>
  <c r="AL23" i="39"/>
  <c r="AK23" i="39"/>
  <c r="AI23" i="39"/>
  <c r="AH23" i="39"/>
  <c r="AC23" i="39"/>
  <c r="AB19" i="38" s="1"/>
  <c r="AF19" i="38" s="1"/>
  <c r="AB23" i="39"/>
  <c r="AA19" i="38" s="1"/>
  <c r="AE19" i="38" s="1"/>
  <c r="AA23" i="39"/>
  <c r="U19" i="38" s="1"/>
  <c r="Z23" i="39"/>
  <c r="T19" i="38" s="1"/>
  <c r="W23" i="39"/>
  <c r="AR21" i="39" s="1"/>
  <c r="V23" i="39"/>
  <c r="N23" i="39"/>
  <c r="AB21" i="31" s="1"/>
  <c r="AF21" i="31" s="1"/>
  <c r="M23" i="39"/>
  <c r="AA21" i="31" s="1"/>
  <c r="AE21" i="31" s="1"/>
  <c r="L23" i="39"/>
  <c r="U21" i="31" s="1"/>
  <c r="K23" i="39"/>
  <c r="T21" i="31" s="1"/>
  <c r="H23" i="39"/>
  <c r="AO23" i="39" s="1"/>
  <c r="G23" i="39"/>
  <c r="AN23" i="39" s="1"/>
  <c r="AQ22" i="39"/>
  <c r="AL22" i="39"/>
  <c r="AK22" i="39"/>
  <c r="AI22" i="39"/>
  <c r="AH22" i="39"/>
  <c r="AC22" i="39"/>
  <c r="AB22" i="39"/>
  <c r="AA22" i="39"/>
  <c r="Z22" i="39"/>
  <c r="W22" i="39"/>
  <c r="V22" i="39"/>
  <c r="N22" i="39"/>
  <c r="AB20" i="31" s="1"/>
  <c r="AF20" i="31" s="1"/>
  <c r="M22" i="39"/>
  <c r="AA20" i="31" s="1"/>
  <c r="AE20" i="31" s="1"/>
  <c r="L22" i="39"/>
  <c r="U20" i="31" s="1"/>
  <c r="K22" i="39"/>
  <c r="T20" i="31" s="1"/>
  <c r="H22" i="39"/>
  <c r="AO22" i="39" s="1"/>
  <c r="G22" i="39"/>
  <c r="AN22" i="39" s="1"/>
  <c r="AQ21" i="39"/>
  <c r="AL21" i="39"/>
  <c r="AK21" i="39"/>
  <c r="AI21" i="39"/>
  <c r="AH21" i="39"/>
  <c r="AC21" i="39"/>
  <c r="AB21" i="39"/>
  <c r="AA21" i="39"/>
  <c r="Z21" i="39"/>
  <c r="W21" i="39"/>
  <c r="V21" i="39"/>
  <c r="N21" i="39"/>
  <c r="AB19" i="31" s="1"/>
  <c r="AF19" i="31" s="1"/>
  <c r="M21" i="39"/>
  <c r="AA19" i="31" s="1"/>
  <c r="AE19" i="31" s="1"/>
  <c r="L21" i="39"/>
  <c r="U19" i="31" s="1"/>
  <c r="K21" i="39"/>
  <c r="T19" i="31" s="1"/>
  <c r="H21" i="39"/>
  <c r="AO21" i="39" s="1"/>
  <c r="G21" i="39"/>
  <c r="AN21" i="39" s="1"/>
  <c r="AL20" i="39"/>
  <c r="AK20" i="39"/>
  <c r="AM20" i="39" s="1"/>
  <c r="K18" i="27" s="1"/>
  <c r="AI20" i="39"/>
  <c r="AH20" i="39"/>
  <c r="AC20" i="39"/>
  <c r="AB18" i="38" s="1"/>
  <c r="AF18" i="38" s="1"/>
  <c r="AB20" i="39"/>
  <c r="AA18" i="38" s="1"/>
  <c r="AE18" i="38" s="1"/>
  <c r="AA20" i="39"/>
  <c r="U18" i="38" s="1"/>
  <c r="Z20" i="39"/>
  <c r="T18" i="38" s="1"/>
  <c r="W20" i="39"/>
  <c r="AR20" i="39" s="1"/>
  <c r="V20" i="39"/>
  <c r="AQ20" i="39" s="1"/>
  <c r="N20" i="39"/>
  <c r="AB18" i="31" s="1"/>
  <c r="AF18" i="31" s="1"/>
  <c r="M20" i="39"/>
  <c r="AA18" i="31" s="1"/>
  <c r="AE18" i="31" s="1"/>
  <c r="L20" i="39"/>
  <c r="U18" i="31" s="1"/>
  <c r="K20" i="39"/>
  <c r="T18" i="31" s="1"/>
  <c r="H20" i="39"/>
  <c r="AO20" i="39" s="1"/>
  <c r="G20" i="39"/>
  <c r="AN20" i="39" s="1"/>
  <c r="AQ19" i="39"/>
  <c r="AO19" i="39"/>
  <c r="AL19" i="39"/>
  <c r="AK19" i="39"/>
  <c r="AI19" i="39"/>
  <c r="AH19" i="39"/>
  <c r="AJ19" i="39" s="1"/>
  <c r="AC19" i="39"/>
  <c r="AB17" i="38" s="1"/>
  <c r="AF17" i="38" s="1"/>
  <c r="AB19" i="39"/>
  <c r="AA17" i="38" s="1"/>
  <c r="AE17" i="38" s="1"/>
  <c r="AA19" i="39"/>
  <c r="U17" i="38" s="1"/>
  <c r="Z19" i="39"/>
  <c r="T17" i="38" s="1"/>
  <c r="W19" i="39"/>
  <c r="AR19" i="39" s="1"/>
  <c r="V19" i="39"/>
  <c r="N19" i="39"/>
  <c r="AB17" i="31" s="1"/>
  <c r="AF17" i="31" s="1"/>
  <c r="M19" i="39"/>
  <c r="AA17" i="31" s="1"/>
  <c r="AE17" i="31" s="1"/>
  <c r="L19" i="39"/>
  <c r="U17" i="31" s="1"/>
  <c r="K19" i="39"/>
  <c r="T17" i="31" s="1"/>
  <c r="H19" i="39"/>
  <c r="G19" i="39"/>
  <c r="AN19" i="39" s="1"/>
  <c r="AP19" i="39" s="1"/>
  <c r="AL18" i="39"/>
  <c r="AK18" i="39"/>
  <c r="AM18" i="39" s="1"/>
  <c r="K16" i="27" s="1"/>
  <c r="AI18" i="39"/>
  <c r="AH18" i="39"/>
  <c r="AC18" i="39"/>
  <c r="AB16" i="38" s="1"/>
  <c r="AF16" i="38" s="1"/>
  <c r="AB18" i="39"/>
  <c r="AA16" i="38" s="1"/>
  <c r="AE16" i="38" s="1"/>
  <c r="AA18" i="39"/>
  <c r="U16" i="38" s="1"/>
  <c r="Z18" i="39"/>
  <c r="T16" i="38" s="1"/>
  <c r="W18" i="39"/>
  <c r="AR18" i="39" s="1"/>
  <c r="V18" i="39"/>
  <c r="AQ18" i="39" s="1"/>
  <c r="N18" i="39"/>
  <c r="AB16" i="31" s="1"/>
  <c r="AF16" i="31" s="1"/>
  <c r="M18" i="39"/>
  <c r="AA16" i="31" s="1"/>
  <c r="AE16" i="31" s="1"/>
  <c r="L18" i="39"/>
  <c r="U16" i="31" s="1"/>
  <c r="K18" i="39"/>
  <c r="T16" i="31" s="1"/>
  <c r="H18" i="39"/>
  <c r="AO18" i="39" s="1"/>
  <c r="G18" i="39"/>
  <c r="AN18" i="39" s="1"/>
  <c r="AO17" i="39"/>
  <c r="AL17" i="39"/>
  <c r="AK17" i="39"/>
  <c r="AI17" i="39"/>
  <c r="AH17" i="39"/>
  <c r="AJ17" i="39" s="1"/>
  <c r="AC17" i="39"/>
  <c r="AB15" i="38" s="1"/>
  <c r="AF15" i="38" s="1"/>
  <c r="AB17" i="39"/>
  <c r="AA15" i="38" s="1"/>
  <c r="AE15" i="38" s="1"/>
  <c r="AA17" i="39"/>
  <c r="U15" i="38" s="1"/>
  <c r="Z17" i="39"/>
  <c r="T15" i="38" s="1"/>
  <c r="W17" i="39"/>
  <c r="AR17" i="39" s="1"/>
  <c r="V17" i="39"/>
  <c r="AQ17" i="39" s="1"/>
  <c r="N17" i="39"/>
  <c r="AB15" i="31" s="1"/>
  <c r="AF15" i="31" s="1"/>
  <c r="M17" i="39"/>
  <c r="AA15" i="31" s="1"/>
  <c r="AE15" i="31" s="1"/>
  <c r="L17" i="39"/>
  <c r="U15" i="31" s="1"/>
  <c r="K17" i="39"/>
  <c r="T15" i="31" s="1"/>
  <c r="H17" i="39"/>
  <c r="G17" i="39"/>
  <c r="AN17" i="39" s="1"/>
  <c r="AP17" i="39" s="1"/>
  <c r="AQ16" i="39"/>
  <c r="AL16" i="39"/>
  <c r="AK16" i="39"/>
  <c r="AI16" i="39"/>
  <c r="AH16" i="39"/>
  <c r="AJ16" i="39" s="1"/>
  <c r="AC16" i="39"/>
  <c r="AB10" i="38" s="1"/>
  <c r="AF10" i="38" s="1"/>
  <c r="AB16" i="39"/>
  <c r="AA14" i="38" s="1"/>
  <c r="AE14" i="38" s="1"/>
  <c r="AA16" i="39"/>
  <c r="U14" i="38" s="1"/>
  <c r="Z16" i="39"/>
  <c r="T14" i="38" s="1"/>
  <c r="W16" i="39"/>
  <c r="AR16" i="39" s="1"/>
  <c r="V16" i="39"/>
  <c r="N16" i="39"/>
  <c r="AB14" i="31" s="1"/>
  <c r="AF14" i="31" s="1"/>
  <c r="M16" i="39"/>
  <c r="AA14" i="31" s="1"/>
  <c r="AE14" i="31" s="1"/>
  <c r="L16" i="39"/>
  <c r="U14" i="31" s="1"/>
  <c r="K16" i="39"/>
  <c r="T14" i="31" s="1"/>
  <c r="H16" i="39"/>
  <c r="AO16" i="39" s="1"/>
  <c r="G16" i="39"/>
  <c r="AN16" i="39" s="1"/>
  <c r="AP16" i="39" s="1"/>
  <c r="AL15" i="39"/>
  <c r="AK15" i="39"/>
  <c r="AI15" i="39"/>
  <c r="AH15" i="39"/>
  <c r="AC15" i="39"/>
  <c r="AB13" i="38" s="1"/>
  <c r="AF13" i="38" s="1"/>
  <c r="AB15" i="39"/>
  <c r="AA13" i="38" s="1"/>
  <c r="AE13" i="38" s="1"/>
  <c r="AA15" i="39"/>
  <c r="U13" i="38" s="1"/>
  <c r="Z15" i="39"/>
  <c r="T13" i="38" s="1"/>
  <c r="W15" i="39"/>
  <c r="AR15" i="39" s="1"/>
  <c r="V15" i="39"/>
  <c r="AQ15" i="39" s="1"/>
  <c r="N15" i="39"/>
  <c r="AB13" i="31" s="1"/>
  <c r="AF13" i="31" s="1"/>
  <c r="M15" i="39"/>
  <c r="AA13" i="31" s="1"/>
  <c r="AE13" i="31" s="1"/>
  <c r="L15" i="39"/>
  <c r="U13" i="31" s="1"/>
  <c r="K15" i="39"/>
  <c r="T13" i="31" s="1"/>
  <c r="H15" i="39"/>
  <c r="AO15" i="39" s="1"/>
  <c r="G15" i="39"/>
  <c r="AN15" i="39" s="1"/>
  <c r="AL14" i="39"/>
  <c r="AK14" i="39"/>
  <c r="AI14" i="39"/>
  <c r="AH14" i="39"/>
  <c r="AC14" i="39"/>
  <c r="AB12" i="38" s="1"/>
  <c r="AF12" i="38" s="1"/>
  <c r="AB14" i="39"/>
  <c r="AA12" i="38" s="1"/>
  <c r="AE12" i="38" s="1"/>
  <c r="AA14" i="39"/>
  <c r="U12" i="38" s="1"/>
  <c r="Z14" i="39"/>
  <c r="T12" i="38" s="1"/>
  <c r="W14" i="39"/>
  <c r="AR14" i="39" s="1"/>
  <c r="V14" i="39"/>
  <c r="AQ14" i="39" s="1"/>
  <c r="N14" i="39"/>
  <c r="AB12" i="31" s="1"/>
  <c r="AF12" i="31" s="1"/>
  <c r="M14" i="39"/>
  <c r="AA12" i="31" s="1"/>
  <c r="AE12" i="31" s="1"/>
  <c r="L14" i="39"/>
  <c r="U12" i="31" s="1"/>
  <c r="K14" i="39"/>
  <c r="T12" i="31" s="1"/>
  <c r="H14" i="39"/>
  <c r="AO14" i="39" s="1"/>
  <c r="G14" i="39"/>
  <c r="AN14" i="39" s="1"/>
  <c r="AL13" i="39"/>
  <c r="AK13" i="39"/>
  <c r="AM13" i="39" s="1"/>
  <c r="K11" i="27" s="1"/>
  <c r="AI13" i="39"/>
  <c r="AH13" i="39"/>
  <c r="AC13" i="39"/>
  <c r="AB11" i="38" s="1"/>
  <c r="AF11" i="38" s="1"/>
  <c r="AB13" i="39"/>
  <c r="AA11" i="38" s="1"/>
  <c r="AE11" i="38" s="1"/>
  <c r="AA13" i="39"/>
  <c r="U11" i="38" s="1"/>
  <c r="Z13" i="39"/>
  <c r="T11" i="38" s="1"/>
  <c r="W13" i="39"/>
  <c r="AR13" i="39" s="1"/>
  <c r="V13" i="39"/>
  <c r="AQ13" i="39" s="1"/>
  <c r="N13" i="39"/>
  <c r="AB11" i="31" s="1"/>
  <c r="AF11" i="31" s="1"/>
  <c r="M13" i="39"/>
  <c r="AA11" i="31" s="1"/>
  <c r="AE11" i="31" s="1"/>
  <c r="L13" i="39"/>
  <c r="U11" i="31" s="1"/>
  <c r="K13" i="39"/>
  <c r="T11" i="31" s="1"/>
  <c r="H13" i="39"/>
  <c r="AO13" i="39" s="1"/>
  <c r="G13" i="39"/>
  <c r="AN13" i="39" s="1"/>
  <c r="AQ12" i="39"/>
  <c r="AO12" i="39"/>
  <c r="AL12" i="39"/>
  <c r="AK12" i="39"/>
  <c r="AI12" i="39"/>
  <c r="AH12" i="39"/>
  <c r="AJ12" i="39" s="1"/>
  <c r="AC12" i="39"/>
  <c r="AB12" i="39"/>
  <c r="AA10" i="38" s="1"/>
  <c r="AE10" i="38" s="1"/>
  <c r="AA12" i="39"/>
  <c r="U10" i="38" s="1"/>
  <c r="Z12" i="39"/>
  <c r="T10" i="38" s="1"/>
  <c r="W12" i="39"/>
  <c r="AR12" i="39" s="1"/>
  <c r="V12" i="39"/>
  <c r="N12" i="39"/>
  <c r="AB10" i="31" s="1"/>
  <c r="AF10" i="31" s="1"/>
  <c r="M12" i="39"/>
  <c r="AA10" i="31" s="1"/>
  <c r="AE10" i="31" s="1"/>
  <c r="L12" i="39"/>
  <c r="U10" i="31" s="1"/>
  <c r="K12" i="39"/>
  <c r="T10" i="31" s="1"/>
  <c r="H12" i="39"/>
  <c r="G12" i="39"/>
  <c r="AN12" i="39" s="1"/>
  <c r="AP12" i="39" s="1"/>
  <c r="AL11" i="39"/>
  <c r="AK11" i="39"/>
  <c r="AI11" i="39"/>
  <c r="AH11" i="39"/>
  <c r="AC11" i="39"/>
  <c r="AB9" i="38" s="1"/>
  <c r="AF9" i="38" s="1"/>
  <c r="AB11" i="39"/>
  <c r="AA9" i="38" s="1"/>
  <c r="AE9" i="38" s="1"/>
  <c r="AA11" i="39"/>
  <c r="U9" i="38" s="1"/>
  <c r="Z11" i="39"/>
  <c r="T9" i="38" s="1"/>
  <c r="W11" i="39"/>
  <c r="AR11" i="39" s="1"/>
  <c r="V11" i="39"/>
  <c r="AQ11" i="39" s="1"/>
  <c r="N11" i="39"/>
  <c r="AB9" i="31" s="1"/>
  <c r="AF9" i="31" s="1"/>
  <c r="M11" i="39"/>
  <c r="AA9" i="31" s="1"/>
  <c r="AE9" i="31" s="1"/>
  <c r="L11" i="39"/>
  <c r="U9" i="31" s="1"/>
  <c r="K11" i="39"/>
  <c r="T9" i="31" s="1"/>
  <c r="H11" i="39"/>
  <c r="AO11" i="39" s="1"/>
  <c r="G11" i="39"/>
  <c r="AN11" i="39" s="1"/>
  <c r="C11" i="39"/>
  <c r="AV11" i="39" s="1"/>
  <c r="AL10" i="39"/>
  <c r="AK10" i="39"/>
  <c r="AI10" i="39"/>
  <c r="AH10" i="39"/>
  <c r="AC10" i="39"/>
  <c r="AB8" i="38" s="1"/>
  <c r="AF8" i="38" s="1"/>
  <c r="AB10" i="39"/>
  <c r="AA8" i="38" s="1"/>
  <c r="AE8" i="38" s="1"/>
  <c r="AA10" i="39"/>
  <c r="U8" i="38" s="1"/>
  <c r="Z10" i="39"/>
  <c r="T8" i="38" s="1"/>
  <c r="W10" i="39"/>
  <c r="AR10" i="39" s="1"/>
  <c r="V10" i="39"/>
  <c r="AQ10" i="39" s="1"/>
  <c r="N10" i="39"/>
  <c r="AB8" i="31" s="1"/>
  <c r="AF8" i="31" s="1"/>
  <c r="M10" i="39"/>
  <c r="AA8" i="31" s="1"/>
  <c r="AE8" i="31" s="1"/>
  <c r="L10" i="39"/>
  <c r="U8" i="31" s="1"/>
  <c r="K10" i="39"/>
  <c r="T8" i="31" s="1"/>
  <c r="H10" i="39"/>
  <c r="AO10" i="39" s="1"/>
  <c r="G10" i="39"/>
  <c r="AN10" i="39" s="1"/>
  <c r="AL9" i="39"/>
  <c r="AK9" i="39"/>
  <c r="AM9" i="39" s="1"/>
  <c r="K7" i="27" s="1"/>
  <c r="AI9" i="39"/>
  <c r="AH9" i="39"/>
  <c r="AC9" i="39"/>
  <c r="AB7" i="38" s="1"/>
  <c r="AF7" i="38" s="1"/>
  <c r="AB9" i="39"/>
  <c r="AA7" i="38" s="1"/>
  <c r="AE7" i="38" s="1"/>
  <c r="AA9" i="39"/>
  <c r="U7" i="38" s="1"/>
  <c r="Z9" i="39"/>
  <c r="T7" i="38" s="1"/>
  <c r="W9" i="39"/>
  <c r="AR9" i="39" s="1"/>
  <c r="V9" i="39"/>
  <c r="AQ9" i="39" s="1"/>
  <c r="N9" i="39"/>
  <c r="AB7" i="31" s="1"/>
  <c r="AF7" i="31" s="1"/>
  <c r="M9" i="39"/>
  <c r="AA7" i="31" s="1"/>
  <c r="AE7" i="31" s="1"/>
  <c r="L9" i="39"/>
  <c r="U7" i="31" s="1"/>
  <c r="K9" i="39"/>
  <c r="T7" i="31" s="1"/>
  <c r="H9" i="39"/>
  <c r="AO9" i="39" s="1"/>
  <c r="G9" i="39"/>
  <c r="AN9" i="39" s="1"/>
  <c r="C9" i="39"/>
  <c r="AV9" i="39" s="1"/>
  <c r="AQ8" i="39"/>
  <c r="AO8" i="39"/>
  <c r="AL8" i="39"/>
  <c r="AK8" i="39"/>
  <c r="AI8" i="39"/>
  <c r="AH8" i="39"/>
  <c r="AJ8" i="39" s="1"/>
  <c r="AC8" i="39"/>
  <c r="AB6" i="38" s="1"/>
  <c r="AF6" i="38" s="1"/>
  <c r="AB8" i="39"/>
  <c r="AA6" i="38" s="1"/>
  <c r="AE6" i="38" s="1"/>
  <c r="AA8" i="39"/>
  <c r="U6" i="38" s="1"/>
  <c r="Z8" i="39"/>
  <c r="T6" i="38" s="1"/>
  <c r="W8" i="39"/>
  <c r="AR8" i="39" s="1"/>
  <c r="V8" i="39"/>
  <c r="N8" i="39"/>
  <c r="AB6" i="31" s="1"/>
  <c r="AF6" i="31" s="1"/>
  <c r="M8" i="39"/>
  <c r="AA6" i="31" s="1"/>
  <c r="AE6" i="31" s="1"/>
  <c r="L8" i="39"/>
  <c r="U6" i="31" s="1"/>
  <c r="K8" i="39"/>
  <c r="T6" i="31" s="1"/>
  <c r="H8" i="39"/>
  <c r="G8" i="39"/>
  <c r="AN8" i="39" s="1"/>
  <c r="AP8" i="39" s="1"/>
  <c r="AL7" i="39"/>
  <c r="AK7" i="39"/>
  <c r="AI7" i="39"/>
  <c r="AH7" i="39"/>
  <c r="AC7" i="39"/>
  <c r="AB5" i="38" s="1"/>
  <c r="AF5" i="38" s="1"/>
  <c r="AB7" i="39"/>
  <c r="AA5" i="38" s="1"/>
  <c r="AE5" i="38" s="1"/>
  <c r="AA7" i="39"/>
  <c r="U5" i="38" s="1"/>
  <c r="Z7" i="39"/>
  <c r="T5" i="38" s="1"/>
  <c r="W7" i="39"/>
  <c r="AR7" i="39" s="1"/>
  <c r="V7" i="39"/>
  <c r="AQ7" i="39" s="1"/>
  <c r="N7" i="39"/>
  <c r="AB5" i="31" s="1"/>
  <c r="AF5" i="31" s="1"/>
  <c r="M7" i="39"/>
  <c r="AA5" i="31" s="1"/>
  <c r="AE5" i="31" s="1"/>
  <c r="L7" i="39"/>
  <c r="U5" i="31" s="1"/>
  <c r="K7" i="39"/>
  <c r="T5" i="31" s="1"/>
  <c r="H7" i="39"/>
  <c r="AO7" i="39" s="1"/>
  <c r="G7" i="39"/>
  <c r="AN7" i="39" s="1"/>
  <c r="C7" i="39"/>
  <c r="AV7" i="39" s="1"/>
  <c r="AL6" i="39"/>
  <c r="AK6" i="39"/>
  <c r="AI6" i="39"/>
  <c r="AH6" i="39"/>
  <c r="AC6" i="39"/>
  <c r="AB4" i="38" s="1"/>
  <c r="AF4" i="38" s="1"/>
  <c r="AB6" i="39"/>
  <c r="AA4" i="38" s="1"/>
  <c r="AE4" i="38" s="1"/>
  <c r="AA6" i="39"/>
  <c r="U4" i="38" s="1"/>
  <c r="Z6" i="39"/>
  <c r="T4" i="38" s="1"/>
  <c r="W6" i="39"/>
  <c r="AR6" i="39" s="1"/>
  <c r="V6" i="39"/>
  <c r="AQ6" i="39" s="1"/>
  <c r="N6" i="39"/>
  <c r="AB4" i="31" s="1"/>
  <c r="AF4" i="31" s="1"/>
  <c r="M6" i="39"/>
  <c r="AA4" i="31" s="1"/>
  <c r="AE4" i="31" s="1"/>
  <c r="L6" i="39"/>
  <c r="U4" i="31" s="1"/>
  <c r="K6" i="39"/>
  <c r="T4" i="31" s="1"/>
  <c r="H6" i="39"/>
  <c r="AO6" i="39" s="1"/>
  <c r="G6" i="39"/>
  <c r="AN6" i="39" s="1"/>
  <c r="AT5" i="39"/>
  <c r="AL5" i="39"/>
  <c r="AK5" i="39"/>
  <c r="AI5" i="39"/>
  <c r="AH5" i="39"/>
  <c r="AC5" i="39"/>
  <c r="AB3" i="38" s="1"/>
  <c r="AF3" i="38" s="1"/>
  <c r="AB5" i="39"/>
  <c r="AA3" i="38" s="1"/>
  <c r="AE3" i="38" s="1"/>
  <c r="AA5" i="39"/>
  <c r="U3" i="38" s="1"/>
  <c r="Z5" i="39"/>
  <c r="T3" i="38" s="1"/>
  <c r="W5" i="39"/>
  <c r="AR5" i="39" s="1"/>
  <c r="V5" i="39"/>
  <c r="AQ5" i="39" s="1"/>
  <c r="AQ101" i="39" s="1"/>
  <c r="N5" i="39"/>
  <c r="AB3" i="31" s="1"/>
  <c r="AF3" i="31" s="1"/>
  <c r="M5" i="39"/>
  <c r="AA3" i="31" s="1"/>
  <c r="AE3" i="31" s="1"/>
  <c r="L5" i="39"/>
  <c r="U3" i="31" s="1"/>
  <c r="K5" i="39"/>
  <c r="T3" i="31" s="1"/>
  <c r="H5" i="39"/>
  <c r="AO5" i="39" s="1"/>
  <c r="AO101" i="39" s="1"/>
  <c r="G5" i="39"/>
  <c r="AN5" i="39" s="1"/>
  <c r="C5" i="39"/>
  <c r="E8" i="38" l="1"/>
  <c r="E7" i="27"/>
  <c r="E10" i="38"/>
  <c r="F5" i="27"/>
  <c r="F6" i="27"/>
  <c r="F7" i="27"/>
  <c r="E11" i="27"/>
  <c r="E4" i="31"/>
  <c r="G5" i="27"/>
  <c r="F6" i="31"/>
  <c r="E7" i="31"/>
  <c r="G16" i="27"/>
  <c r="G97" i="27" s="1"/>
  <c r="F4" i="38"/>
  <c r="E4" i="27"/>
  <c r="G6" i="27"/>
  <c r="G43" i="27"/>
  <c r="G47" i="27"/>
  <c r="G51" i="27"/>
  <c r="G55" i="27"/>
  <c r="G59" i="27"/>
  <c r="G63" i="27"/>
  <c r="G67" i="27"/>
  <c r="G71" i="27"/>
  <c r="G75" i="27"/>
  <c r="G79" i="27"/>
  <c r="G83" i="27"/>
  <c r="G87" i="27"/>
  <c r="G91" i="27"/>
  <c r="G95" i="27"/>
  <c r="AU5" i="39"/>
  <c r="AD36" i="41"/>
  <c r="AC55" i="41"/>
  <c r="AF86" i="41"/>
  <c r="AF134" i="41"/>
  <c r="AF170" i="41"/>
  <c r="AE36" i="41"/>
  <c r="AE37" i="41"/>
  <c r="AE48" i="41"/>
  <c r="AE55" i="41"/>
  <c r="AF98" i="41"/>
  <c r="AF137" i="41"/>
  <c r="AF143" i="41"/>
  <c r="AF149" i="41"/>
  <c r="AF155" i="41"/>
  <c r="AF161" i="41"/>
  <c r="AF176" i="41"/>
  <c r="AD37" i="41"/>
  <c r="AD48" i="41"/>
  <c r="U5" i="41"/>
  <c r="AE11" i="41"/>
  <c r="AF110" i="41"/>
  <c r="AF182" i="41"/>
  <c r="AC65" i="41"/>
  <c r="AC68" i="41"/>
  <c r="AC77" i="41"/>
  <c r="AC80" i="41"/>
  <c r="AC83" i="41"/>
  <c r="AC89" i="41"/>
  <c r="AC95" i="41"/>
  <c r="AC101" i="41"/>
  <c r="AC104" i="41"/>
  <c r="AC107" i="41"/>
  <c r="AC113" i="41"/>
  <c r="AC116" i="41"/>
  <c r="AC119" i="41"/>
  <c r="AC125" i="41"/>
  <c r="AC128" i="41"/>
  <c r="AC131" i="41"/>
  <c r="AC167" i="41"/>
  <c r="AC173" i="41"/>
  <c r="AC179" i="41"/>
  <c r="AC185" i="41"/>
  <c r="AE23" i="41"/>
  <c r="AD24" i="41"/>
  <c r="AD25" i="41"/>
  <c r="AF43" i="41"/>
  <c r="AD44" i="41"/>
  <c r="AC58" i="41"/>
  <c r="AD65" i="41"/>
  <c r="AD68" i="41"/>
  <c r="AD71" i="41"/>
  <c r="AC74" i="41"/>
  <c r="AD77" i="41"/>
  <c r="AD80" i="41"/>
  <c r="AD83" i="41"/>
  <c r="AC86" i="41"/>
  <c r="AD89" i="41"/>
  <c r="AD92" i="41"/>
  <c r="AD95" i="41"/>
  <c r="AC98" i="41"/>
  <c r="AD101" i="41"/>
  <c r="AD104" i="41"/>
  <c r="AD107" i="41"/>
  <c r="AC110" i="41"/>
  <c r="AD113" i="41"/>
  <c r="AD116" i="41"/>
  <c r="AD119" i="41"/>
  <c r="AC122" i="41"/>
  <c r="AD125" i="41"/>
  <c r="AD128" i="41"/>
  <c r="AD131" i="41"/>
  <c r="AC134" i="41"/>
  <c r="AC137" i="41"/>
  <c r="AC140" i="41"/>
  <c r="AC143" i="41"/>
  <c r="AC149" i="41"/>
  <c r="AC152" i="41"/>
  <c r="AC155" i="41"/>
  <c r="AC161" i="41"/>
  <c r="AC164" i="41"/>
  <c r="AD167" i="41"/>
  <c r="AC170" i="41"/>
  <c r="AD173" i="41"/>
  <c r="AC176" i="41"/>
  <c r="AD179" i="41"/>
  <c r="AC182" i="41"/>
  <c r="AD185" i="41"/>
  <c r="AC188" i="41"/>
  <c r="AD23" i="41"/>
  <c r="AC71" i="41"/>
  <c r="AC92" i="41"/>
  <c r="AD9" i="41"/>
  <c r="AD11" i="41"/>
  <c r="AE24" i="41"/>
  <c r="AE25" i="41"/>
  <c r="AE58" i="41"/>
  <c r="AF65" i="41"/>
  <c r="AF68" i="41"/>
  <c r="AF71" i="41"/>
  <c r="AD74" i="41"/>
  <c r="AF77" i="41"/>
  <c r="AF80" i="41"/>
  <c r="AF83" i="41"/>
  <c r="AD86" i="41"/>
  <c r="AF89" i="41"/>
  <c r="AF92" i="41"/>
  <c r="AF95" i="41"/>
  <c r="AD98" i="41"/>
  <c r="AF101" i="41"/>
  <c r="AF104" i="41"/>
  <c r="AF107" i="41"/>
  <c r="AD110" i="41"/>
  <c r="AF113" i="41"/>
  <c r="AF116" i="41"/>
  <c r="AF119" i="41"/>
  <c r="AD122" i="41"/>
  <c r="AF125" i="41"/>
  <c r="AF128" i="41"/>
  <c r="AF131" i="41"/>
  <c r="AD134" i="41"/>
  <c r="AD137" i="41"/>
  <c r="AD140" i="41"/>
  <c r="AD143" i="41"/>
  <c r="AC146" i="41"/>
  <c r="AD149" i="41"/>
  <c r="AD152" i="41"/>
  <c r="AD155" i="41"/>
  <c r="AC158" i="41"/>
  <c r="AD161" i="41"/>
  <c r="AD164" i="41"/>
  <c r="AF167" i="41"/>
  <c r="AD170" i="41"/>
  <c r="AF173" i="41"/>
  <c r="AD176" i="41"/>
  <c r="AF179" i="41"/>
  <c r="AD182" i="41"/>
  <c r="AF185" i="41"/>
  <c r="AD188" i="41"/>
  <c r="AC10" i="41"/>
  <c r="AD10" i="41"/>
  <c r="AC17" i="41"/>
  <c r="AE17" i="41"/>
  <c r="AC26" i="41"/>
  <c r="AE26" i="41"/>
  <c r="AC27" i="41"/>
  <c r="AD27" i="41"/>
  <c r="AD59" i="41"/>
  <c r="AC59" i="41"/>
  <c r="AE76" i="41"/>
  <c r="AC76" i="41"/>
  <c r="AE88" i="41"/>
  <c r="AC88" i="41"/>
  <c r="AE100" i="41"/>
  <c r="AC100" i="41"/>
  <c r="AE112" i="41"/>
  <c r="AC112" i="41"/>
  <c r="AE124" i="41"/>
  <c r="AC124" i="41"/>
  <c r="AE136" i="41"/>
  <c r="AC136" i="41"/>
  <c r="AE148" i="41"/>
  <c r="AC148" i="41"/>
  <c r="AE160" i="41"/>
  <c r="AC160" i="41"/>
  <c r="AD7" i="41"/>
  <c r="AC8" i="41"/>
  <c r="AE8" i="41"/>
  <c r="A16" i="41"/>
  <c r="A17" i="41" s="1"/>
  <c r="D10" i="41"/>
  <c r="E9" i="41" s="1"/>
  <c r="AE10" i="41"/>
  <c r="AC16" i="41"/>
  <c r="AE16" i="41"/>
  <c r="AD26" i="41"/>
  <c r="AE27" i="41"/>
  <c r="AC30" i="41"/>
  <c r="AE30" i="41"/>
  <c r="AD38" i="41"/>
  <c r="AC39" i="41"/>
  <c r="AE39" i="41"/>
  <c r="AE40" i="41"/>
  <c r="AF41" i="41"/>
  <c r="AD45" i="41"/>
  <c r="AC50" i="41"/>
  <c r="AE50" i="41"/>
  <c r="AE59" i="41"/>
  <c r="AE67" i="41"/>
  <c r="AD67" i="41"/>
  <c r="AC67" i="41"/>
  <c r="AE75" i="41"/>
  <c r="AD75" i="41"/>
  <c r="AF75" i="41"/>
  <c r="AD76" i="41"/>
  <c r="AE79" i="41"/>
  <c r="AD79" i="41"/>
  <c r="AC79" i="41"/>
  <c r="AE87" i="41"/>
  <c r="AD87" i="41"/>
  <c r="AF87" i="41"/>
  <c r="AD88" i="41"/>
  <c r="AE91" i="41"/>
  <c r="AD91" i="41"/>
  <c r="AC91" i="41"/>
  <c r="AE99" i="41"/>
  <c r="AD99" i="41"/>
  <c r="AF99" i="41"/>
  <c r="AD100" i="41"/>
  <c r="AE103" i="41"/>
  <c r="AD103" i="41"/>
  <c r="AC103" i="41"/>
  <c r="AE111" i="41"/>
  <c r="AD111" i="41"/>
  <c r="AF111" i="41"/>
  <c r="AD112" i="41"/>
  <c r="AE115" i="41"/>
  <c r="AD115" i="41"/>
  <c r="AC115" i="41"/>
  <c r="AE123" i="41"/>
  <c r="AD123" i="41"/>
  <c r="AF123" i="41"/>
  <c r="AD124" i="41"/>
  <c r="AE127" i="41"/>
  <c r="AD127" i="41"/>
  <c r="AC127" i="41"/>
  <c r="AE135" i="41"/>
  <c r="AD135" i="41"/>
  <c r="AF135" i="41"/>
  <c r="AE139" i="41"/>
  <c r="AD139" i="41"/>
  <c r="AC139" i="41"/>
  <c r="AE147" i="41"/>
  <c r="AD147" i="41"/>
  <c r="AF147" i="41"/>
  <c r="AD148" i="41"/>
  <c r="AE151" i="41"/>
  <c r="AD151" i="41"/>
  <c r="AC151" i="41"/>
  <c r="AE159" i="41"/>
  <c r="AD159" i="41"/>
  <c r="AF159" i="41"/>
  <c r="AD160" i="41"/>
  <c r="AE163" i="41"/>
  <c r="AD163" i="41"/>
  <c r="AC163" i="41"/>
  <c r="AE166" i="41"/>
  <c r="AC166" i="41"/>
  <c r="AD166" i="41"/>
  <c r="AE172" i="41"/>
  <c r="AC172" i="41"/>
  <c r="AD172" i="41"/>
  <c r="AE178" i="41"/>
  <c r="AC178" i="41"/>
  <c r="AD178" i="41"/>
  <c r="AE184" i="41"/>
  <c r="AC184" i="41"/>
  <c r="AD184" i="41"/>
  <c r="AE7" i="41"/>
  <c r="AD8" i="41"/>
  <c r="AD12" i="41"/>
  <c r="AD13" i="41"/>
  <c r="AC14" i="41"/>
  <c r="AE14" i="41"/>
  <c r="AC15" i="41"/>
  <c r="AD15" i="41"/>
  <c r="AF19" i="41"/>
  <c r="AC22" i="41"/>
  <c r="AD22" i="41"/>
  <c r="AC29" i="41"/>
  <c r="AE29" i="41"/>
  <c r="AE38" i="41"/>
  <c r="AD39" i="41"/>
  <c r="AF50" i="41"/>
  <c r="AF56" i="41"/>
  <c r="AD63" i="41"/>
  <c r="AC63" i="41"/>
  <c r="AF67" i="41"/>
  <c r="AE70" i="41"/>
  <c r="AC70" i="41"/>
  <c r="AC75" i="41"/>
  <c r="AF79" i="41"/>
  <c r="AE82" i="41"/>
  <c r="AC82" i="41"/>
  <c r="AC87" i="41"/>
  <c r="AF91" i="41"/>
  <c r="AE94" i="41"/>
  <c r="AC94" i="41"/>
  <c r="AC99" i="41"/>
  <c r="AF103" i="41"/>
  <c r="AE106" i="41"/>
  <c r="AC106" i="41"/>
  <c r="AC111" i="41"/>
  <c r="AF115" i="41"/>
  <c r="AE118" i="41"/>
  <c r="AC118" i="41"/>
  <c r="AC123" i="41"/>
  <c r="AF127" i="41"/>
  <c r="AE130" i="41"/>
  <c r="AC130" i="41"/>
  <c r="AC135" i="41"/>
  <c r="AF139" i="41"/>
  <c r="AE142" i="41"/>
  <c r="AC142" i="41"/>
  <c r="AC147" i="41"/>
  <c r="AF151" i="41"/>
  <c r="AE154" i="41"/>
  <c r="AC154" i="41"/>
  <c r="AC159" i="41"/>
  <c r="AF163" i="41"/>
  <c r="U10" i="41"/>
  <c r="AE12" i="41"/>
  <c r="AE13" i="41"/>
  <c r="AD14" i="41"/>
  <c r="AE15" i="41"/>
  <c r="AC18" i="41"/>
  <c r="AE18" i="41"/>
  <c r="AE22" i="41"/>
  <c r="AC28" i="41"/>
  <c r="AE28" i="41"/>
  <c r="AC34" i="41"/>
  <c r="AE34" i="41"/>
  <c r="AC35" i="41"/>
  <c r="AD35" i="41"/>
  <c r="AC46" i="41"/>
  <c r="AE46" i="41"/>
  <c r="AC47" i="41"/>
  <c r="AD47" i="41"/>
  <c r="AE47" i="41"/>
  <c r="AF53" i="41"/>
  <c r="AD62" i="41"/>
  <c r="AF62" i="41"/>
  <c r="AE63" i="41"/>
  <c r="AE69" i="41"/>
  <c r="AD69" i="41"/>
  <c r="AF69" i="41"/>
  <c r="AD70" i="41"/>
  <c r="AE73" i="41"/>
  <c r="AD73" i="41"/>
  <c r="AC73" i="41"/>
  <c r="AE81" i="41"/>
  <c r="AD81" i="41"/>
  <c r="AF81" i="41"/>
  <c r="AD82" i="41"/>
  <c r="AE85" i="41"/>
  <c r="AD85" i="41"/>
  <c r="AC85" i="41"/>
  <c r="AE93" i="41"/>
  <c r="AD93" i="41"/>
  <c r="AF93" i="41"/>
  <c r="AD94" i="41"/>
  <c r="AE97" i="41"/>
  <c r="AD97" i="41"/>
  <c r="AC97" i="41"/>
  <c r="AE105" i="41"/>
  <c r="AD105" i="41"/>
  <c r="AF105" i="41"/>
  <c r="AD106" i="41"/>
  <c r="AE109" i="41"/>
  <c r="AD109" i="41"/>
  <c r="AC109" i="41"/>
  <c r="AE117" i="41"/>
  <c r="AD117" i="41"/>
  <c r="AF117" i="41"/>
  <c r="AD118" i="41"/>
  <c r="AE121" i="41"/>
  <c r="AD121" i="41"/>
  <c r="AC121" i="41"/>
  <c r="AE129" i="41"/>
  <c r="AD129" i="41"/>
  <c r="AF129" i="41"/>
  <c r="AD130" i="41"/>
  <c r="AE133" i="41"/>
  <c r="AD133" i="41"/>
  <c r="AC133" i="41"/>
  <c r="AE141" i="41"/>
  <c r="AD141" i="41"/>
  <c r="AF141" i="41"/>
  <c r="AD142" i="41"/>
  <c r="AE145" i="41"/>
  <c r="AD145" i="41"/>
  <c r="AC145" i="41"/>
  <c r="AE153" i="41"/>
  <c r="AD153" i="41"/>
  <c r="AF153" i="41"/>
  <c r="AD154" i="41"/>
  <c r="AE157" i="41"/>
  <c r="AD157" i="41"/>
  <c r="AC157" i="41"/>
  <c r="AE165" i="41"/>
  <c r="AD165" i="41"/>
  <c r="AF165" i="41"/>
  <c r="AC165" i="41"/>
  <c r="AE171" i="41"/>
  <c r="AD171" i="41"/>
  <c r="AF171" i="41"/>
  <c r="AC171" i="41"/>
  <c r="AE177" i="41"/>
  <c r="AD177" i="41"/>
  <c r="AF177" i="41"/>
  <c r="AC177" i="41"/>
  <c r="AE183" i="41"/>
  <c r="AD183" i="41"/>
  <c r="AF183" i="41"/>
  <c r="AC183" i="41"/>
  <c r="AE189" i="41"/>
  <c r="AD189" i="41"/>
  <c r="AF189" i="41"/>
  <c r="AC189" i="41"/>
  <c r="AE169" i="41"/>
  <c r="AD169" i="41"/>
  <c r="AE175" i="41"/>
  <c r="AD175" i="41"/>
  <c r="AE181" i="41"/>
  <c r="AD181" i="41"/>
  <c r="AE187" i="41"/>
  <c r="AD187" i="41"/>
  <c r="AE66" i="41"/>
  <c r="AD66" i="41"/>
  <c r="AE72" i="41"/>
  <c r="AD72" i="41"/>
  <c r="AE78" i="41"/>
  <c r="AD78" i="41"/>
  <c r="AE84" i="41"/>
  <c r="AD84" i="41"/>
  <c r="AE90" i="41"/>
  <c r="AD90" i="41"/>
  <c r="AE96" i="41"/>
  <c r="AD96" i="41"/>
  <c r="AE102" i="41"/>
  <c r="AD102" i="41"/>
  <c r="AE108" i="41"/>
  <c r="AD108" i="41"/>
  <c r="AE114" i="41"/>
  <c r="AD114" i="41"/>
  <c r="AE120" i="41"/>
  <c r="AD120" i="41"/>
  <c r="AE126" i="41"/>
  <c r="AD126" i="41"/>
  <c r="AE132" i="41"/>
  <c r="AD132" i="41"/>
  <c r="AE138" i="41"/>
  <c r="AD138" i="41"/>
  <c r="AE144" i="41"/>
  <c r="AD144" i="41"/>
  <c r="AE150" i="41"/>
  <c r="AD150" i="41"/>
  <c r="AE156" i="41"/>
  <c r="AD156" i="41"/>
  <c r="AE162" i="41"/>
  <c r="AD162" i="41"/>
  <c r="AE168" i="41"/>
  <c r="AD168" i="41"/>
  <c r="AC169" i="41"/>
  <c r="AE174" i="41"/>
  <c r="AD174" i="41"/>
  <c r="AC175" i="41"/>
  <c r="AE180" i="41"/>
  <c r="AD180" i="41"/>
  <c r="AC181" i="41"/>
  <c r="AE186" i="41"/>
  <c r="AD186" i="41"/>
  <c r="AC187" i="41"/>
  <c r="AS55" i="39"/>
  <c r="AS40" i="39"/>
  <c r="AS53" i="39"/>
  <c r="AK101" i="39"/>
  <c r="AS14" i="39"/>
  <c r="AS22" i="39"/>
  <c r="AS25" i="39"/>
  <c r="AM45" i="39"/>
  <c r="K43" i="27" s="1"/>
  <c r="AS72" i="39"/>
  <c r="AJ81" i="39"/>
  <c r="AM84" i="39"/>
  <c r="K82" i="27" s="1"/>
  <c r="AJ85" i="39"/>
  <c r="AM96" i="39"/>
  <c r="K94" i="27" s="1"/>
  <c r="AP7" i="39"/>
  <c r="AJ7" i="39"/>
  <c r="AP11" i="39"/>
  <c r="AJ11" i="39"/>
  <c r="J9" i="27" s="1"/>
  <c r="AP14" i="39"/>
  <c r="AJ14" i="39"/>
  <c r="AM15" i="39"/>
  <c r="K13" i="27" s="1"/>
  <c r="AP21" i="39"/>
  <c r="AJ21" i="39"/>
  <c r="AM22" i="39"/>
  <c r="K20" i="27" s="1"/>
  <c r="AP27" i="39"/>
  <c r="AJ27" i="39"/>
  <c r="L25" i="27" s="1"/>
  <c r="AJ38" i="39"/>
  <c r="AM41" i="39"/>
  <c r="K39" i="27" s="1"/>
  <c r="AS45" i="39"/>
  <c r="AS48" i="39"/>
  <c r="AS57" i="39"/>
  <c r="AM60" i="39"/>
  <c r="K58" i="27" s="1"/>
  <c r="AM73" i="39"/>
  <c r="K71" i="27" s="1"/>
  <c r="AS77" i="39"/>
  <c r="AS85" i="39"/>
  <c r="AS89" i="39"/>
  <c r="AS17" i="39"/>
  <c r="AS39" i="39"/>
  <c r="AS51" i="39"/>
  <c r="AS37" i="39"/>
  <c r="AS49" i="39"/>
  <c r="AM53" i="39"/>
  <c r="K51" i="27" s="1"/>
  <c r="AJ54" i="39"/>
  <c r="AM57" i="39"/>
  <c r="K55" i="27" s="1"/>
  <c r="AM77" i="39"/>
  <c r="K75" i="27" s="1"/>
  <c r="AS81" i="39"/>
  <c r="AS80" i="39"/>
  <c r="AS91" i="39"/>
  <c r="AS93" i="39"/>
  <c r="AJ97" i="39"/>
  <c r="L95" i="27" s="1"/>
  <c r="AM6" i="39"/>
  <c r="K4" i="27" s="1"/>
  <c r="AS8" i="39"/>
  <c r="AM10" i="39"/>
  <c r="K8" i="27" s="1"/>
  <c r="AS12" i="39"/>
  <c r="AS16" i="39"/>
  <c r="AS19" i="39"/>
  <c r="AP25" i="39"/>
  <c r="AJ25" i="39"/>
  <c r="J23" i="27" s="1"/>
  <c r="AM26" i="39"/>
  <c r="K24" i="27" s="1"/>
  <c r="AS30" i="39"/>
  <c r="AS33" i="39"/>
  <c r="AP37" i="39"/>
  <c r="AJ37" i="39"/>
  <c r="AS36" i="39"/>
  <c r="AM38" i="39"/>
  <c r="K36" i="27" s="1"/>
  <c r="AP39" i="39"/>
  <c r="AJ39" i="39"/>
  <c r="AM42" i="39"/>
  <c r="K40" i="27" s="1"/>
  <c r="AP46" i="39"/>
  <c r="AM49" i="39"/>
  <c r="K47" i="27" s="1"/>
  <c r="AM52" i="39"/>
  <c r="K50" i="27" s="1"/>
  <c r="AJ53" i="39"/>
  <c r="AP60" i="39"/>
  <c r="AJ60" i="39"/>
  <c r="J58" i="27" s="1"/>
  <c r="AP62" i="39"/>
  <c r="AM65" i="39"/>
  <c r="K63" i="27" s="1"/>
  <c r="AJ66" i="39"/>
  <c r="J64" i="27" s="1"/>
  <c r="AM69" i="39"/>
  <c r="K67" i="27" s="1"/>
  <c r="AP71" i="39"/>
  <c r="AJ71" i="39"/>
  <c r="AP73" i="39"/>
  <c r="AJ73" i="39"/>
  <c r="L71" i="27" s="1"/>
  <c r="AM76" i="39"/>
  <c r="K74" i="27" s="1"/>
  <c r="AP80" i="39"/>
  <c r="AJ80" i="39"/>
  <c r="L78" i="27" s="1"/>
  <c r="AJ86" i="39"/>
  <c r="J84" i="27" s="1"/>
  <c r="AJ90" i="39"/>
  <c r="AS7" i="39"/>
  <c r="AI101" i="39"/>
  <c r="AM7" i="39"/>
  <c r="K5" i="27" s="1"/>
  <c r="AP9" i="39"/>
  <c r="AJ9" i="39"/>
  <c r="J7" i="27" s="1"/>
  <c r="AM11" i="39"/>
  <c r="K9" i="27" s="1"/>
  <c r="AP38" i="39"/>
  <c r="AP53" i="39"/>
  <c r="AP54" i="39"/>
  <c r="AP66" i="39"/>
  <c r="AP81" i="39"/>
  <c r="AP97" i="39"/>
  <c r="AJ70" i="39"/>
  <c r="AL101" i="39"/>
  <c r="AS13" i="39"/>
  <c r="AS20" i="39"/>
  <c r="AS34" i="39"/>
  <c r="AM44" i="39"/>
  <c r="K42" i="27" s="1"/>
  <c r="AJ46" i="39"/>
  <c r="L44" i="27" s="1"/>
  <c r="AJ58" i="39"/>
  <c r="AM68" i="39"/>
  <c r="K66" i="27" s="1"/>
  <c r="AJ74" i="39"/>
  <c r="L72" i="27" s="1"/>
  <c r="AS83" i="39"/>
  <c r="AP89" i="39"/>
  <c r="AP94" i="39"/>
  <c r="AS11" i="39"/>
  <c r="AS23" i="39"/>
  <c r="AS28" i="39"/>
  <c r="AS31" i="39"/>
  <c r="AM48" i="39"/>
  <c r="K46" i="27" s="1"/>
  <c r="AJ50" i="39"/>
  <c r="L48" i="27" s="1"/>
  <c r="AM64" i="39"/>
  <c r="K62" i="27" s="1"/>
  <c r="AM80" i="39"/>
  <c r="K78" i="27" s="1"/>
  <c r="AP85" i="39"/>
  <c r="AS95" i="39"/>
  <c r="AS6" i="39"/>
  <c r="AS10" i="39"/>
  <c r="AS15" i="39"/>
  <c r="AS21" i="39"/>
  <c r="AS26" i="39"/>
  <c r="AS29" i="39"/>
  <c r="AJ5" i="39"/>
  <c r="J3" i="27" s="1"/>
  <c r="AP6" i="39"/>
  <c r="AJ6" i="39"/>
  <c r="AM8" i="39"/>
  <c r="K6" i="27" s="1"/>
  <c r="AS9" i="39"/>
  <c r="AP10" i="39"/>
  <c r="AJ10" i="39"/>
  <c r="AM12" i="39"/>
  <c r="K10" i="27" s="1"/>
  <c r="AP13" i="39"/>
  <c r="AJ13" i="39"/>
  <c r="L11" i="27" s="1"/>
  <c r="AM14" i="39"/>
  <c r="K12" i="27" s="1"/>
  <c r="AP15" i="39"/>
  <c r="AJ15" i="39"/>
  <c r="J13" i="27" s="1"/>
  <c r="AM16" i="39"/>
  <c r="K14" i="27" s="1"/>
  <c r="AS18" i="39"/>
  <c r="AP23" i="39"/>
  <c r="AJ23" i="39"/>
  <c r="J21" i="27" s="1"/>
  <c r="AM24" i="39"/>
  <c r="K22" i="27" s="1"/>
  <c r="AS24" i="39"/>
  <c r="AS27" i="39"/>
  <c r="AP31" i="39"/>
  <c r="AJ31" i="39"/>
  <c r="J29" i="27" s="1"/>
  <c r="AM32" i="39"/>
  <c r="K30" i="27" s="1"/>
  <c r="AS32" i="39"/>
  <c r="AS35" i="39"/>
  <c r="AM40" i="39"/>
  <c r="K38" i="27" s="1"/>
  <c r="AJ42" i="39"/>
  <c r="AP51" i="39"/>
  <c r="AJ51" i="39"/>
  <c r="J49" i="27" s="1"/>
  <c r="AM56" i="39"/>
  <c r="K54" i="27" s="1"/>
  <c r="AP59" i="39"/>
  <c r="AJ59" i="39"/>
  <c r="AS59" i="39"/>
  <c r="AJ61" i="39"/>
  <c r="L59" i="27" s="1"/>
  <c r="AJ62" i="39"/>
  <c r="AM72" i="39"/>
  <c r="K70" i="27" s="1"/>
  <c r="AP75" i="39"/>
  <c r="AJ75" i="39"/>
  <c r="J73" i="27" s="1"/>
  <c r="AS75" i="39"/>
  <c r="AJ77" i="39"/>
  <c r="J75" i="27" s="1"/>
  <c r="AJ78" i="39"/>
  <c r="J76" i="27" s="1"/>
  <c r="AP82" i="39"/>
  <c r="AS87" i="39"/>
  <c r="AP93" i="39"/>
  <c r="AM83" i="39"/>
  <c r="K81" i="27" s="1"/>
  <c r="AM87" i="39"/>
  <c r="K85" i="27" s="1"/>
  <c r="AM91" i="39"/>
  <c r="K89" i="27" s="1"/>
  <c r="AM95" i="39"/>
  <c r="K93" i="27" s="1"/>
  <c r="AM17" i="39"/>
  <c r="K15" i="27" s="1"/>
  <c r="AP18" i="39"/>
  <c r="AJ18" i="39"/>
  <c r="AM19" i="39"/>
  <c r="K17" i="27" s="1"/>
  <c r="AP20" i="39"/>
  <c r="AJ20" i="39"/>
  <c r="J18" i="27" s="1"/>
  <c r="AM21" i="39"/>
  <c r="K19" i="27" s="1"/>
  <c r="AP22" i="39"/>
  <c r="AJ22" i="39"/>
  <c r="L20" i="27" s="1"/>
  <c r="AM23" i="39"/>
  <c r="K21" i="27" s="1"/>
  <c r="AP24" i="39"/>
  <c r="AJ24" i="39"/>
  <c r="AM25" i="39"/>
  <c r="K23" i="27" s="1"/>
  <c r="AP26" i="39"/>
  <c r="AJ26" i="39"/>
  <c r="AM27" i="39"/>
  <c r="K25" i="27" s="1"/>
  <c r="AP28" i="39"/>
  <c r="AJ28" i="39"/>
  <c r="L26" i="27" s="1"/>
  <c r="AM29" i="39"/>
  <c r="K27" i="27" s="1"/>
  <c r="AP30" i="39"/>
  <c r="AJ30" i="39"/>
  <c r="J28" i="27" s="1"/>
  <c r="AM31" i="39"/>
  <c r="K29" i="27" s="1"/>
  <c r="AP32" i="39"/>
  <c r="AJ32" i="39"/>
  <c r="L30" i="27" s="1"/>
  <c r="AM33" i="39"/>
  <c r="K31" i="27" s="1"/>
  <c r="AP34" i="39"/>
  <c r="AJ34" i="39"/>
  <c r="AM35" i="39"/>
  <c r="K33" i="27" s="1"/>
  <c r="AP36" i="39"/>
  <c r="AJ36" i="39"/>
  <c r="L34" i="27" s="1"/>
  <c r="AM37" i="39"/>
  <c r="K35" i="27" s="1"/>
  <c r="AM39" i="39"/>
  <c r="K37" i="27" s="1"/>
  <c r="AM43" i="39"/>
  <c r="K41" i="27" s="1"/>
  <c r="AM47" i="39"/>
  <c r="K45" i="27" s="1"/>
  <c r="AM51" i="39"/>
  <c r="K49" i="27" s="1"/>
  <c r="AM55" i="39"/>
  <c r="K53" i="27" s="1"/>
  <c r="AM59" i="39"/>
  <c r="K57" i="27" s="1"/>
  <c r="AM63" i="39"/>
  <c r="K61" i="27" s="1"/>
  <c r="AM67" i="39"/>
  <c r="K65" i="27" s="1"/>
  <c r="AM71" i="39"/>
  <c r="K69" i="27" s="1"/>
  <c r="AM75" i="39"/>
  <c r="K73" i="27" s="1"/>
  <c r="AM79" i="39"/>
  <c r="K77" i="27" s="1"/>
  <c r="AM81" i="39"/>
  <c r="K79" i="27" s="1"/>
  <c r="AP83" i="39"/>
  <c r="AJ83" i="39"/>
  <c r="L81" i="27" s="1"/>
  <c r="AM85" i="39"/>
  <c r="K83" i="27" s="1"/>
  <c r="AP87" i="39"/>
  <c r="AJ87" i="39"/>
  <c r="AM89" i="39"/>
  <c r="K87" i="27" s="1"/>
  <c r="AP91" i="39"/>
  <c r="AJ91" i="39"/>
  <c r="AM93" i="39"/>
  <c r="K91" i="27" s="1"/>
  <c r="AP95" i="39"/>
  <c r="AJ95" i="39"/>
  <c r="J93" i="27" s="1"/>
  <c r="AM97" i="39"/>
  <c r="K95" i="27" s="1"/>
  <c r="J15" i="27"/>
  <c r="L15" i="27"/>
  <c r="J17" i="27"/>
  <c r="L27" i="27"/>
  <c r="J27" i="27"/>
  <c r="L33" i="27"/>
  <c r="J33" i="27"/>
  <c r="J36" i="27"/>
  <c r="J56" i="27"/>
  <c r="L56" i="27"/>
  <c r="J60" i="27"/>
  <c r="L60" i="27"/>
  <c r="J86" i="27"/>
  <c r="L86" i="27"/>
  <c r="J90" i="27"/>
  <c r="L90" i="27"/>
  <c r="J94" i="27"/>
  <c r="AR101" i="39"/>
  <c r="AS5" i="39"/>
  <c r="AS101" i="39" s="1"/>
  <c r="J5" i="27"/>
  <c r="L37" i="27"/>
  <c r="J37" i="27"/>
  <c r="L41" i="27"/>
  <c r="J41" i="27"/>
  <c r="J45" i="27"/>
  <c r="L49" i="27"/>
  <c r="L53" i="27"/>
  <c r="J53" i="27"/>
  <c r="J57" i="27"/>
  <c r="J61" i="27"/>
  <c r="L65" i="27"/>
  <c r="J65" i="27"/>
  <c r="L69" i="27"/>
  <c r="J69" i="27"/>
  <c r="J77" i="27"/>
  <c r="J80" i="27"/>
  <c r="L80" i="27"/>
  <c r="J88" i="27"/>
  <c r="L88" i="27"/>
  <c r="J92" i="27"/>
  <c r="L92" i="27"/>
  <c r="AP5" i="39"/>
  <c r="AP101" i="39" s="1"/>
  <c r="AN101" i="39"/>
  <c r="J4" i="27"/>
  <c r="L4" i="27"/>
  <c r="L8" i="27"/>
  <c r="J8" i="27"/>
  <c r="J19" i="27"/>
  <c r="L19" i="27"/>
  <c r="L29" i="27"/>
  <c r="J31" i="27"/>
  <c r="L35" i="27"/>
  <c r="J35" i="27"/>
  <c r="J40" i="27"/>
  <c r="J52" i="27"/>
  <c r="L52" i="27"/>
  <c r="J68" i="27"/>
  <c r="L68" i="27"/>
  <c r="J82" i="27"/>
  <c r="L82" i="27"/>
  <c r="L7" i="27"/>
  <c r="J38" i="27"/>
  <c r="J42" i="27"/>
  <c r="J46" i="27"/>
  <c r="J50" i="27"/>
  <c r="L50" i="27"/>
  <c r="J54" i="27"/>
  <c r="J62" i="27"/>
  <c r="L62" i="27"/>
  <c r="J66" i="27"/>
  <c r="L66" i="27"/>
  <c r="J70" i="27"/>
  <c r="J74" i="27"/>
  <c r="L74" i="27"/>
  <c r="J78" i="27"/>
  <c r="L6" i="27"/>
  <c r="J6" i="27"/>
  <c r="L10" i="27"/>
  <c r="J10" i="27"/>
  <c r="L12" i="27"/>
  <c r="J12" i="27"/>
  <c r="L14" i="27"/>
  <c r="J14" i="27"/>
  <c r="L16" i="27"/>
  <c r="J16" i="27"/>
  <c r="L18" i="27"/>
  <c r="J22" i="27"/>
  <c r="L24" i="27"/>
  <c r="J24" i="27"/>
  <c r="L28" i="27"/>
  <c r="J30" i="27"/>
  <c r="J32" i="27"/>
  <c r="L32" i="27"/>
  <c r="J34" i="27"/>
  <c r="J85" i="27"/>
  <c r="L89" i="27"/>
  <c r="J89" i="27"/>
  <c r="AT6" i="39"/>
  <c r="AM5" i="39"/>
  <c r="AV5" i="39"/>
  <c r="AS38" i="39"/>
  <c r="AS42" i="39"/>
  <c r="AS46" i="39"/>
  <c r="AS50" i="39"/>
  <c r="AS54" i="39"/>
  <c r="AS58" i="39"/>
  <c r="AS62" i="39"/>
  <c r="AS66" i="39"/>
  <c r="AS70" i="39"/>
  <c r="AS74" i="39"/>
  <c r="AS78" i="39"/>
  <c r="AS82" i="39"/>
  <c r="AS86" i="39"/>
  <c r="AS90" i="39"/>
  <c r="AS94" i="39"/>
  <c r="AE4" i="41"/>
  <c r="AE5" i="41"/>
  <c r="AE6" i="41"/>
  <c r="AF7" i="41"/>
  <c r="AF8" i="41"/>
  <c r="AF9" i="41"/>
  <c r="AF11" i="41"/>
  <c r="D16" i="41"/>
  <c r="AD16" i="41"/>
  <c r="AD17" i="41"/>
  <c r="AD18" i="41"/>
  <c r="AE19" i="41"/>
  <c r="AE20" i="41"/>
  <c r="AE21" i="41"/>
  <c r="AF23" i="41"/>
  <c r="AD28" i="41"/>
  <c r="AD29" i="41"/>
  <c r="AD30" i="41"/>
  <c r="AE31" i="41"/>
  <c r="AE32" i="41"/>
  <c r="AE33" i="41"/>
  <c r="AF35" i="41"/>
  <c r="AD40" i="41"/>
  <c r="AC45" i="41"/>
  <c r="AE45" i="41"/>
  <c r="AF49" i="41"/>
  <c r="AD50" i="41"/>
  <c r="AF51" i="41"/>
  <c r="AE54" i="41"/>
  <c r="AE62" i="41"/>
  <c r="AF31" i="41"/>
  <c r="AD57" i="41"/>
  <c r="AC57" i="41"/>
  <c r="AC4" i="41"/>
  <c r="AB4" i="41"/>
  <c r="AF17" i="41"/>
  <c r="AF29" i="41"/>
  <c r="AC41" i="41"/>
  <c r="AD41" i="41"/>
  <c r="AC43" i="41"/>
  <c r="AE43" i="41"/>
  <c r="AD49" i="41"/>
  <c r="AD51" i="41"/>
  <c r="AC52" i="41"/>
  <c r="AD52" i="41"/>
  <c r="AD64" i="41"/>
  <c r="AE64" i="41"/>
  <c r="L39" i="27"/>
  <c r="J39" i="27"/>
  <c r="J43" i="27"/>
  <c r="L47" i="27"/>
  <c r="J47" i="27"/>
  <c r="J51" i="27"/>
  <c r="L55" i="27"/>
  <c r="J55" i="27"/>
  <c r="L63" i="27"/>
  <c r="J63" i="27"/>
  <c r="L67" i="27"/>
  <c r="J67" i="27"/>
  <c r="L75" i="27"/>
  <c r="L79" i="27"/>
  <c r="J79" i="27"/>
  <c r="J83" i="27"/>
  <c r="J87" i="27"/>
  <c r="L91" i="27"/>
  <c r="J91" i="27"/>
  <c r="AH101" i="39"/>
  <c r="AF5" i="41"/>
  <c r="AF20" i="41"/>
  <c r="AF21" i="41"/>
  <c r="AF32" i="41"/>
  <c r="AF33" i="41"/>
  <c r="AD60" i="41"/>
  <c r="AE60" i="41"/>
  <c r="AT8" i="39"/>
  <c r="AD5" i="41"/>
  <c r="AD6" i="41"/>
  <c r="AF13" i="41"/>
  <c r="AF14" i="41"/>
  <c r="AF15" i="41"/>
  <c r="AD19" i="41"/>
  <c r="AD20" i="41"/>
  <c r="AD21" i="41"/>
  <c r="AF25" i="41"/>
  <c r="AF26" i="41"/>
  <c r="AF27" i="41"/>
  <c r="AD31" i="41"/>
  <c r="AD32" i="41"/>
  <c r="AD33" i="41"/>
  <c r="AF37" i="41"/>
  <c r="AF38" i="41"/>
  <c r="AF39" i="41"/>
  <c r="AC42" i="41"/>
  <c r="AD42" i="41"/>
  <c r="AC44" i="41"/>
  <c r="AE44" i="41"/>
  <c r="AE49" i="41"/>
  <c r="AE51" i="41"/>
  <c r="AD53" i="41"/>
  <c r="AC53" i="41"/>
  <c r="AC54" i="41"/>
  <c r="AD56" i="41"/>
  <c r="AE56" i="41"/>
  <c r="AE57" i="41"/>
  <c r="AC60" i="41"/>
  <c r="AD61" i="41"/>
  <c r="AC61" i="41"/>
  <c r="AC62" i="41"/>
  <c r="A9" i="27"/>
  <c r="C6" i="27"/>
  <c r="A6" i="41"/>
  <c r="A11" i="41"/>
  <c r="AF47" i="41"/>
  <c r="AF55" i="41"/>
  <c r="AF59" i="41"/>
  <c r="AF63" i="41"/>
  <c r="A4" i="31"/>
  <c r="A6" i="31"/>
  <c r="C3" i="31"/>
  <c r="A4" i="27"/>
  <c r="F11" i="38"/>
  <c r="E17" i="38"/>
  <c r="I97" i="31"/>
  <c r="A5" i="38"/>
  <c r="A7" i="38"/>
  <c r="C4" i="38"/>
  <c r="F12" i="38"/>
  <c r="E18" i="38"/>
  <c r="E13" i="38"/>
  <c r="E15" i="38"/>
  <c r="A6" i="38"/>
  <c r="C3" i="38"/>
  <c r="E14" i="38"/>
  <c r="I97" i="38"/>
  <c r="A4" i="34"/>
  <c r="F10" i="38" l="1"/>
  <c r="E16" i="38"/>
  <c r="E10" i="31"/>
  <c r="E10" i="27"/>
  <c r="F4" i="31"/>
  <c r="C6" i="39"/>
  <c r="AV6" i="39" s="1"/>
  <c r="F4" i="27"/>
  <c r="F8" i="38"/>
  <c r="E8" i="31"/>
  <c r="E8" i="27"/>
  <c r="U16" i="41"/>
  <c r="A22" i="41"/>
  <c r="A28" i="41" s="1"/>
  <c r="J71" i="27"/>
  <c r="L58" i="27"/>
  <c r="J25" i="27"/>
  <c r="J48" i="27"/>
  <c r="J95" i="27"/>
  <c r="L51" i="27"/>
  <c r="L43" i="27"/>
  <c r="L93" i="27"/>
  <c r="L85" i="27"/>
  <c r="J26" i="27"/>
  <c r="L22" i="27"/>
  <c r="L76" i="27"/>
  <c r="L64" i="27"/>
  <c r="J44" i="27"/>
  <c r="L13" i="27"/>
  <c r="L84" i="27"/>
  <c r="L57" i="27"/>
  <c r="L36" i="27"/>
  <c r="L87" i="27"/>
  <c r="J81" i="27"/>
  <c r="J20" i="27"/>
  <c r="L70" i="27"/>
  <c r="L42" i="27"/>
  <c r="J72" i="27"/>
  <c r="L40" i="27"/>
  <c r="J11" i="27"/>
  <c r="L73" i="27"/>
  <c r="L94" i="27"/>
  <c r="AJ101" i="39"/>
  <c r="L5" i="27"/>
  <c r="J59" i="27"/>
  <c r="L83" i="27"/>
  <c r="L54" i="27"/>
  <c r="L46" i="27"/>
  <c r="L38" i="27"/>
  <c r="L23" i="27"/>
  <c r="L9" i="27"/>
  <c r="L17" i="27"/>
  <c r="L21" i="27"/>
  <c r="L31" i="27"/>
  <c r="L77" i="27"/>
  <c r="L61" i="27"/>
  <c r="L45" i="27"/>
  <c r="A12" i="41"/>
  <c r="U11" i="41"/>
  <c r="D11" i="41"/>
  <c r="C6" i="38"/>
  <c r="A9" i="38"/>
  <c r="F18" i="38"/>
  <c r="E24" i="38"/>
  <c r="E18" i="31"/>
  <c r="E18" i="27"/>
  <c r="F17" i="38"/>
  <c r="E23" i="38"/>
  <c r="E17" i="31"/>
  <c r="E17" i="27"/>
  <c r="A7" i="41"/>
  <c r="D6" i="41"/>
  <c r="U6" i="41"/>
  <c r="A12" i="27"/>
  <c r="C9" i="27"/>
  <c r="K3" i="27"/>
  <c r="AM101" i="39"/>
  <c r="A5" i="34"/>
  <c r="M3" i="38"/>
  <c r="G3" i="38"/>
  <c r="F13" i="38"/>
  <c r="E19" i="38"/>
  <c r="E13" i="31"/>
  <c r="E13" i="27"/>
  <c r="F12" i="31"/>
  <c r="C14" i="39"/>
  <c r="AV14" i="39" s="1"/>
  <c r="F12" i="27"/>
  <c r="A10" i="38"/>
  <c r="C7" i="38"/>
  <c r="F11" i="31"/>
  <c r="F11" i="27"/>
  <c r="C13" i="39"/>
  <c r="A9" i="31"/>
  <c r="C6" i="31"/>
  <c r="AT7" i="39"/>
  <c r="AU6" i="39"/>
  <c r="AT9" i="39"/>
  <c r="U22" i="41"/>
  <c r="F14" i="38"/>
  <c r="E20" i="38"/>
  <c r="E14" i="27"/>
  <c r="E14" i="31"/>
  <c r="F15" i="38"/>
  <c r="E21" i="38"/>
  <c r="E15" i="31"/>
  <c r="E15" i="27"/>
  <c r="A8" i="38"/>
  <c r="C5" i="38"/>
  <c r="G4" i="38" s="1"/>
  <c r="A7" i="27"/>
  <c r="A5" i="27"/>
  <c r="C4" i="27"/>
  <c r="A7" i="31"/>
  <c r="C4" i="31"/>
  <c r="A5" i="31"/>
  <c r="AU8" i="39"/>
  <c r="AT11" i="39"/>
  <c r="A18" i="41"/>
  <c r="D17" i="41"/>
  <c r="U17" i="41"/>
  <c r="E15" i="41"/>
  <c r="L3" i="27"/>
  <c r="F8" i="27" l="1"/>
  <c r="C10" i="39"/>
  <c r="AV10" i="39" s="1"/>
  <c r="F8" i="31"/>
  <c r="E16" i="27"/>
  <c r="E16" i="31"/>
  <c r="F16" i="38"/>
  <c r="E22" i="38"/>
  <c r="F10" i="27"/>
  <c r="C12" i="39"/>
  <c r="AV12" i="39" s="1"/>
  <c r="F10" i="31"/>
  <c r="A23" i="41"/>
  <c r="A24" i="41" s="1"/>
  <c r="D22" i="41"/>
  <c r="F19" i="38"/>
  <c r="E25" i="38"/>
  <c r="E19" i="31"/>
  <c r="E19" i="27"/>
  <c r="E5" i="41"/>
  <c r="AT14" i="39"/>
  <c r="AU11" i="39"/>
  <c r="A10" i="27"/>
  <c r="C7" i="27"/>
  <c r="M5" i="38"/>
  <c r="G5" i="38"/>
  <c r="F21" i="38"/>
  <c r="E27" i="38"/>
  <c r="E21" i="31"/>
  <c r="E21" i="27"/>
  <c r="AU7" i="39"/>
  <c r="AT10" i="39"/>
  <c r="F13" i="31"/>
  <c r="F13" i="27"/>
  <c r="C15" i="39"/>
  <c r="AV15" i="39" s="1"/>
  <c r="A15" i="27"/>
  <c r="C12" i="27"/>
  <c r="A8" i="41"/>
  <c r="U7" i="41"/>
  <c r="D7" i="41"/>
  <c r="M4" i="38"/>
  <c r="F18" i="31"/>
  <c r="C20" i="39"/>
  <c r="AV20" i="39" s="1"/>
  <c r="F18" i="27"/>
  <c r="A19" i="41"/>
  <c r="D18" i="41"/>
  <c r="U18" i="41"/>
  <c r="F14" i="31"/>
  <c r="F14" i="27"/>
  <c r="C16" i="39"/>
  <c r="AV16" i="39" s="1"/>
  <c r="E21" i="41"/>
  <c r="Q4" i="38"/>
  <c r="AG4" i="38" s="1"/>
  <c r="S4" i="38"/>
  <c r="AH4" i="38" s="1"/>
  <c r="P4" i="38"/>
  <c r="H4" i="38"/>
  <c r="R4" i="38"/>
  <c r="F24" i="38"/>
  <c r="E30" i="38"/>
  <c r="E24" i="31"/>
  <c r="E24" i="27"/>
  <c r="E10" i="41"/>
  <c r="C7" i="31"/>
  <c r="M6" i="31" s="1"/>
  <c r="A10" i="31"/>
  <c r="A11" i="38"/>
  <c r="C8" i="38"/>
  <c r="M7" i="38" s="1"/>
  <c r="F15" i="31"/>
  <c r="F15" i="27"/>
  <c r="C17" i="39"/>
  <c r="AV17" i="39" s="1"/>
  <c r="D23" i="41"/>
  <c r="C9" i="31"/>
  <c r="A12" i="31"/>
  <c r="G7" i="38"/>
  <c r="Q3" i="38"/>
  <c r="S3" i="38"/>
  <c r="R3" i="38"/>
  <c r="H3" i="38"/>
  <c r="P3" i="38"/>
  <c r="A6" i="34"/>
  <c r="G3" i="31"/>
  <c r="F23" i="38"/>
  <c r="E29" i="38"/>
  <c r="E23" i="31"/>
  <c r="E23" i="27"/>
  <c r="A12" i="38"/>
  <c r="C9" i="38"/>
  <c r="A8" i="31"/>
  <c r="C5" i="31"/>
  <c r="G4" i="31" s="1"/>
  <c r="A8" i="27"/>
  <c r="C5" i="27"/>
  <c r="E16" i="41"/>
  <c r="F20" i="38"/>
  <c r="E26" i="38"/>
  <c r="E20" i="31"/>
  <c r="E20" i="27"/>
  <c r="A34" i="41"/>
  <c r="A29" i="41"/>
  <c r="D28" i="41"/>
  <c r="U28" i="41"/>
  <c r="AT12" i="39"/>
  <c r="AU9" i="39"/>
  <c r="AV13" i="39"/>
  <c r="A13" i="38"/>
  <c r="C10" i="38"/>
  <c r="N3" i="38"/>
  <c r="V3" i="38"/>
  <c r="M3" i="31"/>
  <c r="F17" i="31"/>
  <c r="F17" i="27"/>
  <c r="C19" i="39"/>
  <c r="AV19" i="39" s="1"/>
  <c r="G6" i="38"/>
  <c r="M6" i="38"/>
  <c r="A13" i="41"/>
  <c r="U12" i="41"/>
  <c r="D12" i="41"/>
  <c r="E28" i="38" l="1"/>
  <c r="E22" i="27"/>
  <c r="E22" i="31"/>
  <c r="F22" i="38"/>
  <c r="F16" i="27"/>
  <c r="C18" i="39"/>
  <c r="AV18" i="39" s="1"/>
  <c r="F16" i="31"/>
  <c r="U23" i="41"/>
  <c r="V6" i="31"/>
  <c r="H6" i="27"/>
  <c r="N6" i="31"/>
  <c r="R4" i="31"/>
  <c r="Q4" i="31"/>
  <c r="AG4" i="31" s="1"/>
  <c r="P4" i="31"/>
  <c r="S4" i="31"/>
  <c r="AH4" i="31" s="1"/>
  <c r="H4" i="31"/>
  <c r="E11" i="41"/>
  <c r="P7" i="38"/>
  <c r="H7" i="38"/>
  <c r="R7" i="38"/>
  <c r="Q7" i="38"/>
  <c r="AG7" i="38" s="1"/>
  <c r="S7" i="38"/>
  <c r="AH7" i="38" s="1"/>
  <c r="N4" i="38"/>
  <c r="O4" i="38" s="1"/>
  <c r="V4" i="38"/>
  <c r="V6" i="38"/>
  <c r="N6" i="38"/>
  <c r="E27" i="41"/>
  <c r="A11" i="27"/>
  <c r="C8" i="27"/>
  <c r="A11" i="31"/>
  <c r="C8" i="31"/>
  <c r="M7" i="31" s="1"/>
  <c r="R3" i="31"/>
  <c r="S3" i="31"/>
  <c r="H3" i="31"/>
  <c r="P3" i="31"/>
  <c r="Q3" i="31"/>
  <c r="E22" i="41"/>
  <c r="F24" i="27"/>
  <c r="F24" i="31"/>
  <c r="C26" i="39"/>
  <c r="AV26" i="39" s="1"/>
  <c r="E17" i="41"/>
  <c r="E6" i="41"/>
  <c r="A18" i="27"/>
  <c r="C15" i="27"/>
  <c r="V5" i="38"/>
  <c r="N5" i="38"/>
  <c r="O5" i="38" s="1"/>
  <c r="F25" i="38"/>
  <c r="E31" i="38"/>
  <c r="E25" i="27"/>
  <c r="E25" i="31"/>
  <c r="G5" i="31"/>
  <c r="M5" i="31"/>
  <c r="A25" i="41"/>
  <c r="U24" i="41"/>
  <c r="D24" i="41"/>
  <c r="C11" i="38"/>
  <c r="M10" i="38" s="1"/>
  <c r="A14" i="38"/>
  <c r="T27" i="33" s="1"/>
  <c r="T28" i="33"/>
  <c r="G7" i="31"/>
  <c r="Q5" i="38"/>
  <c r="AG5" i="38" s="1"/>
  <c r="R5" i="38"/>
  <c r="H5" i="38"/>
  <c r="P5" i="38"/>
  <c r="S5" i="38"/>
  <c r="AH5" i="38" s="1"/>
  <c r="M4" i="31"/>
  <c r="AT17" i="39"/>
  <c r="AU14" i="39"/>
  <c r="R6" i="38"/>
  <c r="P6" i="38"/>
  <c r="H6" i="38"/>
  <c r="Q6" i="38"/>
  <c r="AG6" i="38" s="1"/>
  <c r="S6" i="38"/>
  <c r="AH6" i="38" s="1"/>
  <c r="M3" i="27"/>
  <c r="N3" i="27" s="1"/>
  <c r="G10" i="38"/>
  <c r="G9" i="38"/>
  <c r="M9" i="38"/>
  <c r="A7" i="34"/>
  <c r="AH3" i="38"/>
  <c r="A20" i="41"/>
  <c r="D19" i="41"/>
  <c r="U19" i="41"/>
  <c r="AU10" i="39"/>
  <c r="AT13" i="39"/>
  <c r="F27" i="38"/>
  <c r="E33" i="38"/>
  <c r="E27" i="31"/>
  <c r="E27" i="27"/>
  <c r="AB5" i="41"/>
  <c r="L5" i="41"/>
  <c r="M5" i="41" s="1"/>
  <c r="F19" i="31"/>
  <c r="F19" i="27"/>
  <c r="C21" i="39"/>
  <c r="AV21" i="39" s="1"/>
  <c r="AU12" i="39"/>
  <c r="AT15" i="39"/>
  <c r="A40" i="41"/>
  <c r="A35" i="41"/>
  <c r="U34" i="41"/>
  <c r="D34" i="41"/>
  <c r="F20" i="31"/>
  <c r="C22" i="39"/>
  <c r="AV22" i="39" s="1"/>
  <c r="F20" i="27"/>
  <c r="AB16" i="41"/>
  <c r="AF16" i="41"/>
  <c r="L16" i="41"/>
  <c r="M16" i="41" s="1"/>
  <c r="F23" i="31"/>
  <c r="F23" i="27"/>
  <c r="C25" i="39"/>
  <c r="AV25" i="39" s="1"/>
  <c r="AB10" i="41"/>
  <c r="L10" i="41"/>
  <c r="M10" i="41" s="1"/>
  <c r="AF10" i="41"/>
  <c r="F30" i="38"/>
  <c r="E36" i="38"/>
  <c r="E30" i="31"/>
  <c r="E30" i="27"/>
  <c r="A14" i="41"/>
  <c r="D13" i="41"/>
  <c r="U13" i="41"/>
  <c r="V3" i="31"/>
  <c r="N3" i="31"/>
  <c r="H3" i="27"/>
  <c r="O3" i="38"/>
  <c r="A16" i="38"/>
  <c r="C13" i="38"/>
  <c r="A30" i="41"/>
  <c r="D29" i="41"/>
  <c r="U29" i="41"/>
  <c r="F26" i="38"/>
  <c r="E32" i="38"/>
  <c r="E26" i="31"/>
  <c r="E26" i="27"/>
  <c r="A15" i="38"/>
  <c r="C12" i="38"/>
  <c r="E35" i="38"/>
  <c r="F29" i="38"/>
  <c r="E29" i="31"/>
  <c r="E29" i="27"/>
  <c r="AG3" i="38"/>
  <c r="V7" i="38"/>
  <c r="N7" i="38"/>
  <c r="O7" i="38" s="1"/>
  <c r="A15" i="31"/>
  <c r="C12" i="31"/>
  <c r="M8" i="38"/>
  <c r="G8" i="38"/>
  <c r="A13" i="31"/>
  <c r="C10" i="31"/>
  <c r="G9" i="31" s="1"/>
  <c r="A9" i="41"/>
  <c r="U8" i="41"/>
  <c r="D8" i="41"/>
  <c r="G6" i="31"/>
  <c r="F21" i="31"/>
  <c r="F21" i="27"/>
  <c r="C23" i="39"/>
  <c r="AV23" i="39" s="1"/>
  <c r="A13" i="27"/>
  <c r="C10" i="27"/>
  <c r="C24" i="39" l="1"/>
  <c r="AV24" i="39" s="1"/>
  <c r="F22" i="31"/>
  <c r="F22" i="27"/>
  <c r="E34" i="38"/>
  <c r="E28" i="31"/>
  <c r="E28" i="27"/>
  <c r="F28" i="38"/>
  <c r="M9" i="31"/>
  <c r="R9" i="31"/>
  <c r="Q9" i="31"/>
  <c r="AG9" i="31" s="1"/>
  <c r="P9" i="31"/>
  <c r="S9" i="31"/>
  <c r="AH9" i="31" s="1"/>
  <c r="H9" i="31"/>
  <c r="C15" i="31"/>
  <c r="A18" i="31"/>
  <c r="F29" i="31"/>
  <c r="F29" i="27"/>
  <c r="C31" i="39"/>
  <c r="AV31" i="39" s="1"/>
  <c r="G12" i="38"/>
  <c r="M12" i="38"/>
  <c r="V9" i="31"/>
  <c r="N9" i="31"/>
  <c r="H9" i="27"/>
  <c r="E33" i="41"/>
  <c r="AT18" i="39"/>
  <c r="AU15" i="39"/>
  <c r="M6" i="27"/>
  <c r="N6" i="27" s="1"/>
  <c r="O6" i="31"/>
  <c r="I6" i="27"/>
  <c r="E41" i="38"/>
  <c r="F35" i="38"/>
  <c r="E35" i="31"/>
  <c r="E35" i="27"/>
  <c r="C15" i="38"/>
  <c r="A18" i="38"/>
  <c r="F26" i="27"/>
  <c r="F26" i="31"/>
  <c r="C28" i="39"/>
  <c r="AV28" i="39" s="1"/>
  <c r="A31" i="41"/>
  <c r="D30" i="41"/>
  <c r="U30" i="41"/>
  <c r="F27" i="31"/>
  <c r="F27" i="27"/>
  <c r="C29" i="39"/>
  <c r="AV29" i="39" s="1"/>
  <c r="R10" i="38"/>
  <c r="P10" i="38"/>
  <c r="H10" i="38"/>
  <c r="Q10" i="38"/>
  <c r="AG10" i="38" s="1"/>
  <c r="S10" i="38"/>
  <c r="AH10" i="38" s="1"/>
  <c r="AU17" i="39"/>
  <c r="AT20" i="39"/>
  <c r="T31" i="33"/>
  <c r="A17" i="38"/>
  <c r="C14" i="38"/>
  <c r="T29" i="33"/>
  <c r="E37" i="38"/>
  <c r="F31" i="38"/>
  <c r="E31" i="31"/>
  <c r="E31" i="27"/>
  <c r="T30" i="33"/>
  <c r="R8" i="38"/>
  <c r="P8" i="38"/>
  <c r="H8" i="38"/>
  <c r="S8" i="38"/>
  <c r="Q8" i="38"/>
  <c r="E38" i="38"/>
  <c r="F32" i="38"/>
  <c r="E32" i="31"/>
  <c r="E32" i="27"/>
  <c r="E28" i="41"/>
  <c r="O3" i="31"/>
  <c r="I3" i="27"/>
  <c r="E12" i="41"/>
  <c r="F30" i="27"/>
  <c r="F30" i="31"/>
  <c r="C32" i="39"/>
  <c r="AV32" i="39" s="1"/>
  <c r="F33" i="38"/>
  <c r="E39" i="38"/>
  <c r="E33" i="31"/>
  <c r="E33" i="27"/>
  <c r="V10" i="38"/>
  <c r="N10" i="38"/>
  <c r="O10" i="38" s="1"/>
  <c r="R5" i="31"/>
  <c r="P5" i="31"/>
  <c r="Q5" i="31"/>
  <c r="AG5" i="31" s="1"/>
  <c r="S5" i="31"/>
  <c r="AH5" i="31" s="1"/>
  <c r="H5" i="31"/>
  <c r="V8" i="38"/>
  <c r="N8" i="38"/>
  <c r="O8" i="38" s="1"/>
  <c r="A36" i="41"/>
  <c r="U35" i="41"/>
  <c r="D35" i="41"/>
  <c r="E18" i="41"/>
  <c r="V9" i="38"/>
  <c r="N9" i="38"/>
  <c r="V4" i="31"/>
  <c r="M4" i="27" s="1"/>
  <c r="N4" i="27" s="1"/>
  <c r="N4" i="31"/>
  <c r="H4" i="27"/>
  <c r="V7" i="31"/>
  <c r="M7" i="27" s="1"/>
  <c r="N7" i="27" s="1"/>
  <c r="N7" i="31"/>
  <c r="H7" i="27"/>
  <c r="G11" i="38"/>
  <c r="M11" i="38"/>
  <c r="A26" i="41"/>
  <c r="U25" i="41"/>
  <c r="D25" i="41"/>
  <c r="F25" i="31"/>
  <c r="F25" i="27"/>
  <c r="C27" i="39"/>
  <c r="A21" i="27"/>
  <c r="C18" i="27"/>
  <c r="AB17" i="41"/>
  <c r="L17" i="41"/>
  <c r="M17" i="41" s="1"/>
  <c r="AB22" i="41"/>
  <c r="AF22" i="41"/>
  <c r="L22" i="41"/>
  <c r="M22" i="41" s="1"/>
  <c r="AH3" i="31"/>
  <c r="A14" i="27"/>
  <c r="C11" i="27"/>
  <c r="AB11" i="41"/>
  <c r="L11" i="41"/>
  <c r="M11" i="41" s="1"/>
  <c r="A14" i="31"/>
  <c r="C11" i="31"/>
  <c r="M10" i="31" s="1"/>
  <c r="A16" i="27"/>
  <c r="C13" i="27"/>
  <c r="U9" i="41"/>
  <c r="D9" i="41"/>
  <c r="A19" i="38"/>
  <c r="C16" i="38"/>
  <c r="A15" i="41"/>
  <c r="U14" i="41"/>
  <c r="D14" i="41"/>
  <c r="P6" i="31"/>
  <c r="H6" i="31"/>
  <c r="Q6" i="31"/>
  <c r="AG6" i="31" s="1"/>
  <c r="R6" i="31"/>
  <c r="S6" i="31"/>
  <c r="AH6" i="31" s="1"/>
  <c r="E7" i="41"/>
  <c r="A16" i="31"/>
  <c r="C13" i="31"/>
  <c r="G12" i="31"/>
  <c r="M12" i="31"/>
  <c r="E42" i="38"/>
  <c r="F36" i="38"/>
  <c r="E36" i="31"/>
  <c r="E36" i="27"/>
  <c r="A46" i="41"/>
  <c r="A41" i="41"/>
  <c r="U40" i="41"/>
  <c r="D40" i="41"/>
  <c r="AU13" i="39"/>
  <c r="AT16" i="39"/>
  <c r="A21" i="41"/>
  <c r="D20" i="41"/>
  <c r="U20" i="41"/>
  <c r="A8" i="34"/>
  <c r="P9" i="38"/>
  <c r="H9" i="38"/>
  <c r="R9" i="38"/>
  <c r="Q9" i="38"/>
  <c r="AG9" i="38" s="1"/>
  <c r="S9" i="38"/>
  <c r="AH9" i="38" s="1"/>
  <c r="R7" i="31"/>
  <c r="P7" i="31"/>
  <c r="Q7" i="31"/>
  <c r="AG7" i="31" s="1"/>
  <c r="H7" i="31"/>
  <c r="S7" i="31"/>
  <c r="AH7" i="31" s="1"/>
  <c r="E23" i="41"/>
  <c r="V5" i="31"/>
  <c r="M5" i="27" s="1"/>
  <c r="N5" i="27" s="1"/>
  <c r="N5" i="31"/>
  <c r="H5" i="27"/>
  <c r="AB6" i="41"/>
  <c r="AF6" i="41"/>
  <c r="L6" i="41"/>
  <c r="AG3" i="31"/>
  <c r="M8" i="31"/>
  <c r="G8" i="31"/>
  <c r="O6" i="38"/>
  <c r="F34" i="38" l="1"/>
  <c r="E40" i="38"/>
  <c r="E34" i="31"/>
  <c r="E34" i="27"/>
  <c r="F28" i="27"/>
  <c r="F28" i="31"/>
  <c r="C30" i="39"/>
  <c r="AV30" i="39" s="1"/>
  <c r="N10" i="31"/>
  <c r="H10" i="27"/>
  <c r="V10" i="31"/>
  <c r="M10" i="27" s="1"/>
  <c r="N10" i="27" s="1"/>
  <c r="E39" i="41"/>
  <c r="A52" i="41"/>
  <c r="A47" i="41"/>
  <c r="U46" i="41"/>
  <c r="D46" i="41"/>
  <c r="F36" i="27"/>
  <c r="F36" i="31"/>
  <c r="C38" i="39"/>
  <c r="AV38" i="39" s="1"/>
  <c r="S12" i="31"/>
  <c r="AH12" i="31" s="1"/>
  <c r="P12" i="31"/>
  <c r="H12" i="31"/>
  <c r="Q12" i="31"/>
  <c r="AG12" i="31" s="1"/>
  <c r="R12" i="31"/>
  <c r="AB7" i="41"/>
  <c r="L7" i="41"/>
  <c r="M7" i="41" s="1"/>
  <c r="E13" i="41"/>
  <c r="AB9" i="41"/>
  <c r="L9" i="41"/>
  <c r="E8" i="41"/>
  <c r="A19" i="27"/>
  <c r="C16" i="27"/>
  <c r="A17" i="31"/>
  <c r="C14" i="31"/>
  <c r="A17" i="27"/>
  <c r="C14" i="27"/>
  <c r="A24" i="27"/>
  <c r="C21" i="27"/>
  <c r="P11" i="38"/>
  <c r="H11" i="38"/>
  <c r="R11" i="38"/>
  <c r="Q11" i="38"/>
  <c r="AG11" i="38" s="1"/>
  <c r="S11" i="38"/>
  <c r="AH11" i="38" s="1"/>
  <c r="I4" i="27"/>
  <c r="O4" i="31"/>
  <c r="M9" i="27"/>
  <c r="N9" i="27" s="1"/>
  <c r="E34" i="41"/>
  <c r="F32" i="27"/>
  <c r="F32" i="31"/>
  <c r="C34" i="39"/>
  <c r="AV34" i="39" s="1"/>
  <c r="F31" i="31"/>
  <c r="F31" i="27"/>
  <c r="C33" i="39"/>
  <c r="M14" i="38"/>
  <c r="G14" i="38"/>
  <c r="E29" i="41"/>
  <c r="A21" i="38"/>
  <c r="C18" i="38"/>
  <c r="F35" i="31"/>
  <c r="F35" i="27"/>
  <c r="C37" i="39"/>
  <c r="AV37" i="39" s="1"/>
  <c r="A21" i="31"/>
  <c r="C18" i="31"/>
  <c r="P8" i="31"/>
  <c r="H8" i="31"/>
  <c r="Q8" i="31"/>
  <c r="R8" i="31"/>
  <c r="S8" i="31"/>
  <c r="AH8" i="31" s="1"/>
  <c r="O5" i="31"/>
  <c r="I5" i="27"/>
  <c r="A9" i="34"/>
  <c r="AT19" i="39"/>
  <c r="AU16" i="39"/>
  <c r="E48" i="38"/>
  <c r="F42" i="38"/>
  <c r="E42" i="31"/>
  <c r="E42" i="27"/>
  <c r="A19" i="31"/>
  <c r="C16" i="31"/>
  <c r="M15" i="31" s="1"/>
  <c r="O7" i="31"/>
  <c r="I7" i="27"/>
  <c r="AB28" i="41"/>
  <c r="AF28" i="41"/>
  <c r="L28" i="41"/>
  <c r="M28" i="41" s="1"/>
  <c r="E44" i="38"/>
  <c r="F38" i="38"/>
  <c r="E38" i="31"/>
  <c r="E38" i="27"/>
  <c r="F37" i="38"/>
  <c r="E43" i="38"/>
  <c r="E37" i="31"/>
  <c r="E37" i="27"/>
  <c r="A20" i="38"/>
  <c r="C17" i="38"/>
  <c r="G13" i="38"/>
  <c r="A32" i="41"/>
  <c r="D31" i="41"/>
  <c r="U31" i="41"/>
  <c r="G15" i="38"/>
  <c r="M15" i="38"/>
  <c r="F41" i="38"/>
  <c r="E47" i="38"/>
  <c r="E41" i="31"/>
  <c r="E41" i="27"/>
  <c r="V12" i="38"/>
  <c r="N12" i="38"/>
  <c r="G15" i="31"/>
  <c r="AB23" i="41"/>
  <c r="L23" i="41"/>
  <c r="M23" i="41" s="1"/>
  <c r="V8" i="31"/>
  <c r="H8" i="27"/>
  <c r="N8" i="31"/>
  <c r="Q7" i="41"/>
  <c r="M6" i="41"/>
  <c r="E19" i="41"/>
  <c r="A22" i="38"/>
  <c r="C19" i="38"/>
  <c r="AV27" i="39"/>
  <c r="A27" i="41"/>
  <c r="U26" i="41"/>
  <c r="D26" i="41"/>
  <c r="E45" i="38"/>
  <c r="F39" i="38"/>
  <c r="E39" i="31"/>
  <c r="E39" i="27"/>
  <c r="AB12" i="41"/>
  <c r="AF12" i="41"/>
  <c r="L12" i="41"/>
  <c r="AG8" i="38"/>
  <c r="M13" i="38"/>
  <c r="R12" i="38"/>
  <c r="P12" i="38"/>
  <c r="H12" i="38"/>
  <c r="Q12" i="38"/>
  <c r="AG12" i="38" s="1"/>
  <c r="S12" i="38"/>
  <c r="AH12" i="38" s="1"/>
  <c r="D21" i="41"/>
  <c r="U21" i="41"/>
  <c r="A42" i="41"/>
  <c r="D41" i="41"/>
  <c r="U41" i="41"/>
  <c r="V12" i="31"/>
  <c r="N12" i="31"/>
  <c r="H12" i="27"/>
  <c r="U15" i="41"/>
  <c r="D15" i="41"/>
  <c r="G11" i="31"/>
  <c r="M11" i="31"/>
  <c r="E24" i="41"/>
  <c r="V11" i="38"/>
  <c r="N11" i="38"/>
  <c r="O11" i="38" s="1"/>
  <c r="O9" i="38"/>
  <c r="AB18" i="41"/>
  <c r="AF18" i="41"/>
  <c r="L18" i="41"/>
  <c r="A37" i="41"/>
  <c r="U36" i="41"/>
  <c r="D36" i="41"/>
  <c r="G10" i="31"/>
  <c r="M8" i="27"/>
  <c r="N8" i="27" s="1"/>
  <c r="F33" i="31"/>
  <c r="F33" i="27"/>
  <c r="C35" i="39"/>
  <c r="AV35" i="39" s="1"/>
  <c r="AH8" i="38"/>
  <c r="AT23" i="39"/>
  <c r="AU20" i="39"/>
  <c r="AT21" i="39"/>
  <c r="AU18" i="39"/>
  <c r="I9" i="27"/>
  <c r="O9" i="31"/>
  <c r="F34" i="27" l="1"/>
  <c r="C36" i="39"/>
  <c r="AV36" i="39" s="1"/>
  <c r="F34" i="31"/>
  <c r="E40" i="27"/>
  <c r="F40" i="38"/>
  <c r="E46" i="38"/>
  <c r="E40" i="31"/>
  <c r="AU21" i="39"/>
  <c r="AT24" i="39"/>
  <c r="AU23" i="39"/>
  <c r="AT26" i="39"/>
  <c r="A38" i="41"/>
  <c r="D37" i="41"/>
  <c r="U37" i="41"/>
  <c r="AB24" i="41"/>
  <c r="AF24" i="41"/>
  <c r="L24" i="41"/>
  <c r="A43" i="41"/>
  <c r="U42" i="41"/>
  <c r="D42" i="41"/>
  <c r="V13" i="38"/>
  <c r="N13" i="38"/>
  <c r="O13" i="38" s="1"/>
  <c r="M12" i="41"/>
  <c r="U27" i="41"/>
  <c r="D27" i="41"/>
  <c r="Q15" i="31"/>
  <c r="AG15" i="31" s="1"/>
  <c r="R15" i="31"/>
  <c r="P15" i="31"/>
  <c r="H15" i="31"/>
  <c r="S15" i="31"/>
  <c r="AH15" i="31" s="1"/>
  <c r="M12" i="27"/>
  <c r="N12" i="27" s="1"/>
  <c r="P15" i="38"/>
  <c r="H15" i="38"/>
  <c r="R15" i="38"/>
  <c r="Q15" i="38"/>
  <c r="AG15" i="38" s="1"/>
  <c r="S15" i="38"/>
  <c r="AH15" i="38" s="1"/>
  <c r="A33" i="41"/>
  <c r="D32" i="41"/>
  <c r="U32" i="41"/>
  <c r="E50" i="38"/>
  <c r="F44" i="38"/>
  <c r="E44" i="31"/>
  <c r="E44" i="27"/>
  <c r="F42" i="27"/>
  <c r="F42" i="31"/>
  <c r="C44" i="39"/>
  <c r="AV44" i="39" s="1"/>
  <c r="AB29" i="41"/>
  <c r="L29" i="41"/>
  <c r="M29" i="41" s="1"/>
  <c r="AV33" i="39"/>
  <c r="G14" i="31"/>
  <c r="M14" i="31"/>
  <c r="A22" i="27"/>
  <c r="C19" i="27"/>
  <c r="G13" i="31"/>
  <c r="E35" i="41"/>
  <c r="M18" i="41"/>
  <c r="V11" i="31"/>
  <c r="N11" i="31"/>
  <c r="H11" i="27"/>
  <c r="F39" i="31"/>
  <c r="F39" i="27"/>
  <c r="C41" i="39"/>
  <c r="AV41" i="39" s="1"/>
  <c r="E25" i="41"/>
  <c r="AB19" i="41"/>
  <c r="L19" i="41"/>
  <c r="M19" i="41" s="1"/>
  <c r="V15" i="31"/>
  <c r="N15" i="31"/>
  <c r="H15" i="27"/>
  <c r="E53" i="38"/>
  <c r="F47" i="38"/>
  <c r="E47" i="31"/>
  <c r="E47" i="27"/>
  <c r="P13" i="38"/>
  <c r="H13" i="38"/>
  <c r="R13" i="38"/>
  <c r="S13" i="38"/>
  <c r="Q13" i="38"/>
  <c r="M17" i="38"/>
  <c r="G17" i="38"/>
  <c r="A22" i="31"/>
  <c r="C19" i="31"/>
  <c r="E54" i="38"/>
  <c r="F48" i="38"/>
  <c r="E48" i="31"/>
  <c r="E48" i="27"/>
  <c r="A10" i="34"/>
  <c r="R14" i="38"/>
  <c r="P14" i="38"/>
  <c r="H14" i="38"/>
  <c r="S14" i="38"/>
  <c r="AH14" i="38" s="1"/>
  <c r="Q14" i="38"/>
  <c r="AG14" i="38" s="1"/>
  <c r="C17" i="31"/>
  <c r="G16" i="31" s="1"/>
  <c r="A20" i="31"/>
  <c r="AB13" i="41"/>
  <c r="L13" i="41"/>
  <c r="M13" i="41" s="1"/>
  <c r="M13" i="31"/>
  <c r="A48" i="41"/>
  <c r="U47" i="41"/>
  <c r="D47" i="41"/>
  <c r="R11" i="31"/>
  <c r="P11" i="31"/>
  <c r="Q11" i="31"/>
  <c r="AG11" i="31" s="1"/>
  <c r="S11" i="31"/>
  <c r="AH11" i="31" s="1"/>
  <c r="H11" i="31"/>
  <c r="E14" i="41"/>
  <c r="L15" i="41"/>
  <c r="AB15" i="41"/>
  <c r="O12" i="31"/>
  <c r="I12" i="27"/>
  <c r="E51" i="38"/>
  <c r="F45" i="38"/>
  <c r="E45" i="31"/>
  <c r="E45" i="27"/>
  <c r="A25" i="38"/>
  <c r="C22" i="38"/>
  <c r="F41" i="31"/>
  <c r="F41" i="27"/>
  <c r="C43" i="39"/>
  <c r="AV43" i="39" s="1"/>
  <c r="A23" i="38"/>
  <c r="C20" i="38"/>
  <c r="G19" i="38" s="1"/>
  <c r="E49" i="38"/>
  <c r="F43" i="38"/>
  <c r="E43" i="31"/>
  <c r="E43" i="27"/>
  <c r="M16" i="38"/>
  <c r="G18" i="31"/>
  <c r="M18" i="31"/>
  <c r="M18" i="38"/>
  <c r="G18" i="38"/>
  <c r="V14" i="38"/>
  <c r="N14" i="38"/>
  <c r="O14" i="38" s="1"/>
  <c r="AB34" i="41"/>
  <c r="AF34" i="41"/>
  <c r="L34" i="41"/>
  <c r="M34" i="41" s="1"/>
  <c r="C24" i="27"/>
  <c r="A27" i="27"/>
  <c r="A20" i="27"/>
  <c r="C17" i="27"/>
  <c r="AB8" i="41"/>
  <c r="L8" i="41"/>
  <c r="M8" i="41" s="1"/>
  <c r="E45" i="41"/>
  <c r="A53" i="41"/>
  <c r="D52" i="41"/>
  <c r="A58" i="41"/>
  <c r="U52" i="41"/>
  <c r="P10" i="31"/>
  <c r="H10" i="31"/>
  <c r="S10" i="31"/>
  <c r="R10" i="31"/>
  <c r="Q10" i="31"/>
  <c r="AG10" i="31" s="1"/>
  <c r="M11" i="27"/>
  <c r="N11" i="27" s="1"/>
  <c r="E40" i="41"/>
  <c r="L21" i="41"/>
  <c r="E20" i="41"/>
  <c r="AB21" i="41"/>
  <c r="O8" i="31"/>
  <c r="I8" i="27"/>
  <c r="O12" i="38"/>
  <c r="V15" i="38"/>
  <c r="N15" i="38"/>
  <c r="E30" i="41"/>
  <c r="F37" i="31"/>
  <c r="F37" i="27"/>
  <c r="C39" i="39"/>
  <c r="AV39" i="39" s="1"/>
  <c r="F38" i="27"/>
  <c r="F38" i="31"/>
  <c r="C40" i="39"/>
  <c r="AV40" i="39" s="1"/>
  <c r="G16" i="38"/>
  <c r="AU19" i="39"/>
  <c r="AT22" i="39"/>
  <c r="AG8" i="31"/>
  <c r="A24" i="31"/>
  <c r="C21" i="31"/>
  <c r="A24" i="38"/>
  <c r="C21" i="38"/>
  <c r="Q10" i="41"/>
  <c r="M9" i="41"/>
  <c r="O10" i="31"/>
  <c r="I10" i="27"/>
  <c r="M19" i="38" l="1"/>
  <c r="E46" i="31"/>
  <c r="E46" i="27"/>
  <c r="E52" i="38"/>
  <c r="F46" i="38"/>
  <c r="F40" i="27"/>
  <c r="F40" i="31"/>
  <c r="C42" i="39"/>
  <c r="AV42" i="39" s="1"/>
  <c r="P19" i="38"/>
  <c r="H19" i="38"/>
  <c r="R19" i="38"/>
  <c r="Q19" i="38"/>
  <c r="AG19" i="38" s="1"/>
  <c r="S19" i="38"/>
  <c r="AH19" i="38" s="1"/>
  <c r="S16" i="31"/>
  <c r="AH16" i="31" s="1"/>
  <c r="P16" i="31"/>
  <c r="H16" i="31"/>
  <c r="R16" i="31"/>
  <c r="Q16" i="31"/>
  <c r="AG16" i="31" s="1"/>
  <c r="R16" i="38"/>
  <c r="P16" i="38"/>
  <c r="H16" i="38"/>
  <c r="Q16" i="38"/>
  <c r="S16" i="38"/>
  <c r="AH16" i="38" s="1"/>
  <c r="O15" i="38"/>
  <c r="AB20" i="41"/>
  <c r="L20" i="41"/>
  <c r="M20" i="41" s="1"/>
  <c r="U53" i="41"/>
  <c r="A54" i="41"/>
  <c r="D53" i="41"/>
  <c r="R18" i="38"/>
  <c r="P18" i="38"/>
  <c r="H18" i="38"/>
  <c r="S18" i="38"/>
  <c r="AH18" i="38" s="1"/>
  <c r="Q18" i="38"/>
  <c r="AG18" i="38" s="1"/>
  <c r="C23" i="38"/>
  <c r="M22" i="38" s="1"/>
  <c r="A26" i="38"/>
  <c r="A28" i="38"/>
  <c r="C25" i="38"/>
  <c r="E60" i="38"/>
  <c r="F54" i="38"/>
  <c r="E54" i="31"/>
  <c r="E54" i="27"/>
  <c r="C22" i="31"/>
  <c r="M21" i="31" s="1"/>
  <c r="A25" i="31"/>
  <c r="H14" i="27"/>
  <c r="V14" i="31"/>
  <c r="N14" i="31"/>
  <c r="E31" i="41"/>
  <c r="L27" i="41"/>
  <c r="E26" i="41"/>
  <c r="AB27" i="41"/>
  <c r="A44" i="41"/>
  <c r="U43" i="41"/>
  <c r="D43" i="41"/>
  <c r="A39" i="41"/>
  <c r="U38" i="41"/>
  <c r="D38" i="41"/>
  <c r="AU24" i="39"/>
  <c r="AT27" i="39"/>
  <c r="AB30" i="41"/>
  <c r="AF30" i="41"/>
  <c r="L30" i="41"/>
  <c r="M15" i="27"/>
  <c r="N15" i="27" s="1"/>
  <c r="V18" i="38"/>
  <c r="N18" i="38"/>
  <c r="P17" i="38"/>
  <c r="H17" i="38"/>
  <c r="R17" i="38"/>
  <c r="S17" i="38"/>
  <c r="AH17" i="38" s="1"/>
  <c r="Q17" i="38"/>
  <c r="AG17" i="38" s="1"/>
  <c r="F47" i="31"/>
  <c r="F47" i="27"/>
  <c r="C49" i="39"/>
  <c r="AV49" i="39" s="1"/>
  <c r="O15" i="31"/>
  <c r="I15" i="27"/>
  <c r="V19" i="38"/>
  <c r="N19" i="38"/>
  <c r="O19" i="38" s="1"/>
  <c r="Q13" i="31"/>
  <c r="R13" i="31"/>
  <c r="H13" i="31"/>
  <c r="P13" i="31"/>
  <c r="S13" i="31"/>
  <c r="S14" i="31"/>
  <c r="AH14" i="31" s="1"/>
  <c r="P14" i="31"/>
  <c r="H14" i="31"/>
  <c r="Q14" i="31"/>
  <c r="AG14" i="31" s="1"/>
  <c r="R14" i="31"/>
  <c r="D33" i="41"/>
  <c r="U33" i="41"/>
  <c r="Q13" i="41"/>
  <c r="E41" i="41"/>
  <c r="M24" i="41"/>
  <c r="AU26" i="39"/>
  <c r="AT29" i="39"/>
  <c r="A27" i="38"/>
  <c r="C24" i="38"/>
  <c r="A27" i="31"/>
  <c r="C24" i="31"/>
  <c r="Q22" i="41"/>
  <c r="M21" i="41"/>
  <c r="U58" i="41"/>
  <c r="D58" i="41"/>
  <c r="A59" i="41"/>
  <c r="A64" i="41"/>
  <c r="A23" i="27"/>
  <c r="C20" i="27"/>
  <c r="AH10" i="31"/>
  <c r="C27" i="27"/>
  <c r="A30" i="27"/>
  <c r="H18" i="27"/>
  <c r="V18" i="31"/>
  <c r="N18" i="31"/>
  <c r="F43" i="31"/>
  <c r="C45" i="39"/>
  <c r="AV45" i="39" s="1"/>
  <c r="F43" i="27"/>
  <c r="F45" i="31"/>
  <c r="F45" i="27"/>
  <c r="C47" i="39"/>
  <c r="AV47" i="39" s="1"/>
  <c r="Q16" i="41"/>
  <c r="M15" i="41"/>
  <c r="A49" i="41"/>
  <c r="U48" i="41"/>
  <c r="D48" i="41"/>
  <c r="A23" i="31"/>
  <c r="C20" i="31"/>
  <c r="V17" i="38"/>
  <c r="N17" i="38"/>
  <c r="O17" i="38" s="1"/>
  <c r="AG13" i="38"/>
  <c r="F53" i="38"/>
  <c r="E59" i="38"/>
  <c r="E53" i="31"/>
  <c r="E53" i="27"/>
  <c r="Q19" i="41"/>
  <c r="F44" i="27"/>
  <c r="F44" i="31"/>
  <c r="C46" i="39"/>
  <c r="AV46" i="39" s="1"/>
  <c r="E36" i="41"/>
  <c r="AT25" i="39"/>
  <c r="AU22" i="39"/>
  <c r="M21" i="38"/>
  <c r="G21" i="38"/>
  <c r="G21" i="31"/>
  <c r="AB40" i="41"/>
  <c r="AF40" i="41"/>
  <c r="L40" i="41"/>
  <c r="M40" i="41" s="1"/>
  <c r="E51" i="41"/>
  <c r="M14" i="27"/>
  <c r="N14" i="27" s="1"/>
  <c r="S18" i="31"/>
  <c r="AH18" i="31" s="1"/>
  <c r="P18" i="31"/>
  <c r="H18" i="31"/>
  <c r="R18" i="31"/>
  <c r="Q18" i="31"/>
  <c r="AG18" i="31" s="1"/>
  <c r="V16" i="38"/>
  <c r="N16" i="38"/>
  <c r="O16" i="38" s="1"/>
  <c r="F49" i="38"/>
  <c r="E55" i="38"/>
  <c r="E49" i="31"/>
  <c r="E49" i="27"/>
  <c r="G20" i="38"/>
  <c r="M20" i="38"/>
  <c r="E57" i="38"/>
  <c r="F51" i="38"/>
  <c r="E51" i="31"/>
  <c r="E51" i="27"/>
  <c r="AB14" i="41"/>
  <c r="L14" i="41"/>
  <c r="M14" i="41" s="1"/>
  <c r="E46" i="41"/>
  <c r="V13" i="31"/>
  <c r="N13" i="31"/>
  <c r="H13" i="27"/>
  <c r="M17" i="31"/>
  <c r="G17" i="31"/>
  <c r="A11" i="34"/>
  <c r="F48" i="31"/>
  <c r="F48" i="27"/>
  <c r="C50" i="39"/>
  <c r="AV50" i="39" s="1"/>
  <c r="M19" i="31"/>
  <c r="G19" i="31"/>
  <c r="AH13" i="38"/>
  <c r="AB25" i="41"/>
  <c r="L25" i="41"/>
  <c r="M25" i="41" s="1"/>
  <c r="O11" i="31"/>
  <c r="I11" i="27"/>
  <c r="AB35" i="41"/>
  <c r="L35" i="41"/>
  <c r="M35" i="41" s="1"/>
  <c r="A25" i="27"/>
  <c r="C22" i="27"/>
  <c r="M16" i="31"/>
  <c r="E56" i="38"/>
  <c r="F50" i="38"/>
  <c r="E50" i="31"/>
  <c r="E50" i="27"/>
  <c r="E52" i="31" l="1"/>
  <c r="E52" i="27"/>
  <c r="E58" i="38"/>
  <c r="F52" i="38"/>
  <c r="C48" i="39"/>
  <c r="AV48" i="39" s="1"/>
  <c r="F46" i="31"/>
  <c r="F46" i="27"/>
  <c r="G22" i="38"/>
  <c r="H22" i="38" s="1"/>
  <c r="V19" i="31"/>
  <c r="N19" i="31"/>
  <c r="H19" i="27"/>
  <c r="V20" i="38"/>
  <c r="N20" i="38"/>
  <c r="O20" i="38" s="1"/>
  <c r="F49" i="31"/>
  <c r="F49" i="27"/>
  <c r="C51" i="39"/>
  <c r="AV51" i="39" s="1"/>
  <c r="V21" i="38"/>
  <c r="N21" i="38"/>
  <c r="F59" i="38"/>
  <c r="E65" i="38"/>
  <c r="E59" i="31"/>
  <c r="E59" i="27"/>
  <c r="O18" i="31"/>
  <c r="I18" i="27"/>
  <c r="A26" i="27"/>
  <c r="C23" i="27"/>
  <c r="U59" i="41"/>
  <c r="D59" i="41"/>
  <c r="A60" i="41"/>
  <c r="A30" i="31"/>
  <c r="C27" i="31"/>
  <c r="A30" i="38"/>
  <c r="C27" i="38"/>
  <c r="Q25" i="41"/>
  <c r="AH13" i="31"/>
  <c r="AG13" i="31"/>
  <c r="O18" i="38"/>
  <c r="AT30" i="39"/>
  <c r="AU27" i="39"/>
  <c r="E42" i="41"/>
  <c r="A29" i="38"/>
  <c r="C26" i="38"/>
  <c r="F56" i="38"/>
  <c r="E62" i="38"/>
  <c r="E56" i="31"/>
  <c r="E56" i="27"/>
  <c r="F51" i="31"/>
  <c r="C53" i="39"/>
  <c r="AV53" i="39" s="1"/>
  <c r="F51" i="27"/>
  <c r="V22" i="38"/>
  <c r="N22" i="38"/>
  <c r="O22" i="38" s="1"/>
  <c r="R20" i="38"/>
  <c r="P20" i="38"/>
  <c r="H20" i="38"/>
  <c r="Q20" i="38"/>
  <c r="S20" i="38"/>
  <c r="Q21" i="31"/>
  <c r="AG21" i="31" s="1"/>
  <c r="R21" i="31"/>
  <c r="H21" i="31"/>
  <c r="P21" i="31"/>
  <c r="S21" i="31"/>
  <c r="AH21" i="31" s="1"/>
  <c r="AU25" i="39"/>
  <c r="AT28" i="39"/>
  <c r="F53" i="31"/>
  <c r="F53" i="27"/>
  <c r="C55" i="39"/>
  <c r="AV55" i="39" s="1"/>
  <c r="G20" i="31"/>
  <c r="M20" i="31"/>
  <c r="E57" i="41"/>
  <c r="AU29" i="39"/>
  <c r="AT32" i="39"/>
  <c r="AB41" i="41"/>
  <c r="L41" i="41"/>
  <c r="M41" i="41" s="1"/>
  <c r="M18" i="27"/>
  <c r="N18" i="27" s="1"/>
  <c r="Q31" i="41"/>
  <c r="M30" i="41"/>
  <c r="U39" i="41"/>
  <c r="D39" i="41"/>
  <c r="AB31" i="41"/>
  <c r="L31" i="41"/>
  <c r="M31" i="41" s="1"/>
  <c r="M25" i="38"/>
  <c r="G25" i="38"/>
  <c r="G23" i="38"/>
  <c r="M23" i="38"/>
  <c r="E52" i="41"/>
  <c r="V17" i="31"/>
  <c r="M17" i="27" s="1"/>
  <c r="N17" i="27" s="1"/>
  <c r="N17" i="31"/>
  <c r="H17" i="27"/>
  <c r="A28" i="27"/>
  <c r="C25" i="27"/>
  <c r="O13" i="31"/>
  <c r="I13" i="27"/>
  <c r="H16" i="27"/>
  <c r="V16" i="31"/>
  <c r="N16" i="31"/>
  <c r="F57" i="38"/>
  <c r="E63" i="38"/>
  <c r="E57" i="31"/>
  <c r="E57" i="27"/>
  <c r="M16" i="27"/>
  <c r="N16" i="27" s="1"/>
  <c r="V21" i="31"/>
  <c r="N21" i="31"/>
  <c r="H21" i="27"/>
  <c r="AB36" i="41"/>
  <c r="AF36" i="41"/>
  <c r="L36" i="41"/>
  <c r="A26" i="31"/>
  <c r="C23" i="31"/>
  <c r="A50" i="41"/>
  <c r="D49" i="41"/>
  <c r="U49" i="41"/>
  <c r="U64" i="41"/>
  <c r="D64" i="41"/>
  <c r="A65" i="41"/>
  <c r="A70" i="41"/>
  <c r="L33" i="41"/>
  <c r="E32" i="41"/>
  <c r="AB33" i="41"/>
  <c r="M19" i="27"/>
  <c r="N19" i="27" s="1"/>
  <c r="E37" i="41"/>
  <c r="A45" i="41"/>
  <c r="U44" i="41"/>
  <c r="D44" i="41"/>
  <c r="AB26" i="41"/>
  <c r="L26" i="41"/>
  <c r="M26" i="41" s="1"/>
  <c r="O14" i="31"/>
  <c r="I14" i="27"/>
  <c r="A28" i="31"/>
  <c r="C25" i="31"/>
  <c r="G24" i="31" s="1"/>
  <c r="F54" i="31"/>
  <c r="F54" i="27"/>
  <c r="C56" i="39"/>
  <c r="AV56" i="39" s="1"/>
  <c r="A31" i="38"/>
  <c r="C28" i="38"/>
  <c r="AG16" i="38"/>
  <c r="F50" i="31"/>
  <c r="F50" i="27"/>
  <c r="C52" i="39"/>
  <c r="AV52" i="39" s="1"/>
  <c r="Q19" i="31"/>
  <c r="AG19" i="31" s="1"/>
  <c r="R19" i="31"/>
  <c r="S19" i="31"/>
  <c r="AH19" i="31" s="1"/>
  <c r="H19" i="31"/>
  <c r="P19" i="31"/>
  <c r="A12" i="34"/>
  <c r="Q17" i="31"/>
  <c r="R17" i="31"/>
  <c r="S17" i="31"/>
  <c r="P17" i="31"/>
  <c r="H17" i="31"/>
  <c r="AB46" i="41"/>
  <c r="AF46" i="41"/>
  <c r="L46" i="41"/>
  <c r="M46" i="41" s="1"/>
  <c r="F55" i="38"/>
  <c r="E61" i="38"/>
  <c r="E55" i="31"/>
  <c r="E55" i="27"/>
  <c r="P21" i="38"/>
  <c r="H21" i="38"/>
  <c r="R21" i="38"/>
  <c r="S21" i="38"/>
  <c r="AH21" i="38" s="1"/>
  <c r="Q21" i="38"/>
  <c r="AG21" i="38" s="1"/>
  <c r="E47" i="41"/>
  <c r="C30" i="27"/>
  <c r="A33" i="27"/>
  <c r="M24" i="31"/>
  <c r="G24" i="38"/>
  <c r="M24" i="38"/>
  <c r="M13" i="27"/>
  <c r="N13" i="27" s="1"/>
  <c r="Q28" i="41"/>
  <c r="M27" i="41"/>
  <c r="G22" i="31"/>
  <c r="M22" i="31"/>
  <c r="F60" i="38"/>
  <c r="E66" i="38"/>
  <c r="E60" i="31"/>
  <c r="E60" i="27"/>
  <c r="U54" i="41"/>
  <c r="D54" i="41"/>
  <c r="A55" i="41"/>
  <c r="Q22" i="38" l="1"/>
  <c r="AG22" i="38" s="1"/>
  <c r="P22" i="38"/>
  <c r="F52" i="27"/>
  <c r="F52" i="31"/>
  <c r="C54" i="39"/>
  <c r="AV54" i="39" s="1"/>
  <c r="R22" i="38"/>
  <c r="E64" i="38"/>
  <c r="E58" i="27"/>
  <c r="F58" i="38"/>
  <c r="E58" i="31"/>
  <c r="S22" i="38"/>
  <c r="AH22" i="38" s="1"/>
  <c r="AH17" i="31"/>
  <c r="P23" i="38"/>
  <c r="H23" i="38"/>
  <c r="R23" i="38"/>
  <c r="Q23" i="38"/>
  <c r="AG23" i="38" s="1"/>
  <c r="S23" i="38"/>
  <c r="AH23" i="38" s="1"/>
  <c r="E53" i="41"/>
  <c r="F66" i="38"/>
  <c r="E72" i="38"/>
  <c r="E66" i="31"/>
  <c r="E66" i="27"/>
  <c r="H24" i="27"/>
  <c r="V24" i="31"/>
  <c r="N24" i="31"/>
  <c r="A13" i="34"/>
  <c r="U45" i="41"/>
  <c r="D45" i="41"/>
  <c r="M36" i="41"/>
  <c r="O21" i="31"/>
  <c r="I21" i="27"/>
  <c r="I17" i="27"/>
  <c r="O17" i="31"/>
  <c r="AB52" i="41"/>
  <c r="AF52" i="41"/>
  <c r="L52" i="41"/>
  <c r="M52" i="41" s="1"/>
  <c r="V23" i="38"/>
  <c r="N23" i="38"/>
  <c r="O23" i="38" s="1"/>
  <c r="AU32" i="39"/>
  <c r="AT35" i="39"/>
  <c r="AH20" i="38"/>
  <c r="M26" i="38"/>
  <c r="G26" i="38"/>
  <c r="G27" i="38"/>
  <c r="M27" i="38"/>
  <c r="E58" i="41"/>
  <c r="F59" i="31"/>
  <c r="F59" i="27"/>
  <c r="C61" i="39"/>
  <c r="AV61" i="39" s="1"/>
  <c r="M21" i="27"/>
  <c r="N21" i="27" s="1"/>
  <c r="F60" i="31"/>
  <c r="F60" i="27"/>
  <c r="C62" i="39"/>
  <c r="AV62" i="39" s="1"/>
  <c r="E43" i="41"/>
  <c r="A33" i="38"/>
  <c r="C30" i="38"/>
  <c r="A33" i="31"/>
  <c r="C30" i="31"/>
  <c r="H22" i="27"/>
  <c r="V22" i="31"/>
  <c r="M22" i="27" s="1"/>
  <c r="N22" i="27" s="1"/>
  <c r="N22" i="31"/>
  <c r="R24" i="38"/>
  <c r="P24" i="38"/>
  <c r="H24" i="38"/>
  <c r="Q24" i="38"/>
  <c r="AG24" i="38" s="1"/>
  <c r="S24" i="38"/>
  <c r="AH24" i="38" s="1"/>
  <c r="C33" i="27"/>
  <c r="A36" i="27"/>
  <c r="AB47" i="41"/>
  <c r="L47" i="41"/>
  <c r="M47" i="41" s="1"/>
  <c r="F61" i="38"/>
  <c r="E67" i="38"/>
  <c r="E61" i="31"/>
  <c r="E61" i="27"/>
  <c r="AB32" i="41"/>
  <c r="L32" i="41"/>
  <c r="M32" i="41" s="1"/>
  <c r="D70" i="41"/>
  <c r="A76" i="41"/>
  <c r="A71" i="41"/>
  <c r="U70" i="41"/>
  <c r="E48" i="41"/>
  <c r="M23" i="31"/>
  <c r="G23" i="31"/>
  <c r="F63" i="38"/>
  <c r="E69" i="38"/>
  <c r="E63" i="31"/>
  <c r="E63" i="27"/>
  <c r="A31" i="27"/>
  <c r="C28" i="27"/>
  <c r="P25" i="38"/>
  <c r="H25" i="38"/>
  <c r="R25" i="38"/>
  <c r="S25" i="38"/>
  <c r="AH25" i="38" s="1"/>
  <c r="Q25" i="38"/>
  <c r="AG25" i="38" s="1"/>
  <c r="E38" i="41"/>
  <c r="L39" i="41"/>
  <c r="AB39" i="41"/>
  <c r="V20" i="31"/>
  <c r="N20" i="31"/>
  <c r="H20" i="27"/>
  <c r="F56" i="31"/>
  <c r="F56" i="27"/>
  <c r="C58" i="39"/>
  <c r="AV58" i="39" s="1"/>
  <c r="AU30" i="39"/>
  <c r="AT33" i="39"/>
  <c r="V24" i="38"/>
  <c r="N24" i="38"/>
  <c r="E63" i="41"/>
  <c r="AU28" i="39"/>
  <c r="AT31" i="39"/>
  <c r="AG20" i="38"/>
  <c r="F62" i="38"/>
  <c r="E68" i="38"/>
  <c r="E62" i="31"/>
  <c r="E62" i="27"/>
  <c r="A32" i="38"/>
  <c r="C29" i="38"/>
  <c r="G28" i="38" s="1"/>
  <c r="U55" i="41"/>
  <c r="D55" i="41"/>
  <c r="A56" i="41"/>
  <c r="S22" i="31"/>
  <c r="AH22" i="31" s="1"/>
  <c r="P22" i="31"/>
  <c r="H22" i="31"/>
  <c r="Q22" i="31"/>
  <c r="AG22" i="31" s="1"/>
  <c r="R22" i="31"/>
  <c r="P24" i="31"/>
  <c r="H24" i="31"/>
  <c r="Q24" i="31"/>
  <c r="AG24" i="31" s="1"/>
  <c r="R24" i="31"/>
  <c r="S24" i="31"/>
  <c r="AH24" i="31" s="1"/>
  <c r="F55" i="31"/>
  <c r="F55" i="27"/>
  <c r="C57" i="39"/>
  <c r="AV57" i="39" s="1"/>
  <c r="AG17" i="31"/>
  <c r="A34" i="38"/>
  <c r="C31" i="38"/>
  <c r="A31" i="31"/>
  <c r="C28" i="31"/>
  <c r="AB37" i="41"/>
  <c r="L37" i="41"/>
  <c r="M37" i="41" s="1"/>
  <c r="Q34" i="41"/>
  <c r="M33" i="41"/>
  <c r="D65" i="41"/>
  <c r="U65" i="41"/>
  <c r="A66" i="41"/>
  <c r="A51" i="41"/>
  <c r="D50" i="41"/>
  <c r="U50" i="41"/>
  <c r="A29" i="31"/>
  <c r="C26" i="31"/>
  <c r="F57" i="31"/>
  <c r="F57" i="27"/>
  <c r="C59" i="39"/>
  <c r="AV59" i="39" s="1"/>
  <c r="O16" i="31"/>
  <c r="I16" i="27"/>
  <c r="V25" i="38"/>
  <c r="N25" i="38"/>
  <c r="O25" i="38" s="1"/>
  <c r="S20" i="31"/>
  <c r="AH20" i="31" s="1"/>
  <c r="P20" i="31"/>
  <c r="H20" i="31"/>
  <c r="Q20" i="31"/>
  <c r="AG20" i="31" s="1"/>
  <c r="R20" i="31"/>
  <c r="AF42" i="41"/>
  <c r="AB42" i="41"/>
  <c r="L42" i="41"/>
  <c r="U60" i="41"/>
  <c r="D60" i="41"/>
  <c r="A61" i="41"/>
  <c r="A29" i="27"/>
  <c r="C26" i="27"/>
  <c r="F65" i="38"/>
  <c r="E71" i="38"/>
  <c r="E65" i="31"/>
  <c r="E65" i="27"/>
  <c r="O21" i="38"/>
  <c r="I19" i="27"/>
  <c r="O19" i="31"/>
  <c r="E64" i="27" l="1"/>
  <c r="F64" i="38"/>
  <c r="E70" i="38"/>
  <c r="E64" i="31"/>
  <c r="F58" i="27"/>
  <c r="F58" i="31"/>
  <c r="C60" i="39"/>
  <c r="AV60" i="39" s="1"/>
  <c r="M28" i="38"/>
  <c r="V28" i="38" s="1"/>
  <c r="R28" i="38"/>
  <c r="P28" i="38"/>
  <c r="H28" i="38"/>
  <c r="Q28" i="38"/>
  <c r="AG28" i="38" s="1"/>
  <c r="S28" i="38"/>
  <c r="AH28" i="38" s="1"/>
  <c r="F65" i="31"/>
  <c r="F65" i="27"/>
  <c r="C67" i="39"/>
  <c r="AV67" i="39" s="1"/>
  <c r="D51" i="41"/>
  <c r="U51" i="41"/>
  <c r="U61" i="41"/>
  <c r="D61" i="41"/>
  <c r="A62" i="41"/>
  <c r="M26" i="31"/>
  <c r="G26" i="31"/>
  <c r="O24" i="38"/>
  <c r="Q40" i="41"/>
  <c r="M39" i="41"/>
  <c r="V23" i="31"/>
  <c r="N23" i="31"/>
  <c r="H23" i="27"/>
  <c r="E69" i="41"/>
  <c r="G30" i="31"/>
  <c r="M30" i="38"/>
  <c r="G30" i="38"/>
  <c r="M27" i="31"/>
  <c r="R26" i="38"/>
  <c r="P26" i="38"/>
  <c r="H26" i="38"/>
  <c r="S26" i="38"/>
  <c r="AH26" i="38" s="1"/>
  <c r="Q26" i="38"/>
  <c r="AG26" i="38" s="1"/>
  <c r="M42" i="41"/>
  <c r="A32" i="31"/>
  <c r="C29" i="31"/>
  <c r="G28" i="31" s="1"/>
  <c r="E64" i="41"/>
  <c r="A34" i="31"/>
  <c r="C31" i="31"/>
  <c r="A37" i="38"/>
  <c r="C34" i="38"/>
  <c r="U56" i="41"/>
  <c r="D56" i="41"/>
  <c r="A57" i="41"/>
  <c r="M29" i="38"/>
  <c r="G29" i="38"/>
  <c r="F68" i="38"/>
  <c r="E74" i="38"/>
  <c r="E68" i="31"/>
  <c r="E68" i="27"/>
  <c r="AT34" i="39"/>
  <c r="AU31" i="39"/>
  <c r="M24" i="27"/>
  <c r="N24" i="27" s="1"/>
  <c r="AB38" i="41"/>
  <c r="L38" i="41"/>
  <c r="M38" i="41" s="1"/>
  <c r="A34" i="27"/>
  <c r="C31" i="27"/>
  <c r="F69" i="38"/>
  <c r="E75" i="38"/>
  <c r="E69" i="31"/>
  <c r="E69" i="27"/>
  <c r="U71" i="41"/>
  <c r="D71" i="41"/>
  <c r="A72" i="41"/>
  <c r="M25" i="31"/>
  <c r="F67" i="38"/>
  <c r="E73" i="38"/>
  <c r="E67" i="31"/>
  <c r="E67" i="27"/>
  <c r="A39" i="27"/>
  <c r="C36" i="27"/>
  <c r="O22" i="31"/>
  <c r="I22" i="27"/>
  <c r="A36" i="31"/>
  <c r="C33" i="31"/>
  <c r="C33" i="38"/>
  <c r="A36" i="38"/>
  <c r="AB43" i="41"/>
  <c r="L43" i="41"/>
  <c r="M43" i="41" s="1"/>
  <c r="G27" i="31"/>
  <c r="V26" i="38"/>
  <c r="N26" i="38"/>
  <c r="O26" i="38" s="1"/>
  <c r="L45" i="41"/>
  <c r="E44" i="41"/>
  <c r="AB45" i="41"/>
  <c r="F72" i="38"/>
  <c r="E78" i="38"/>
  <c r="E72" i="31"/>
  <c r="E72" i="27"/>
  <c r="E59" i="41"/>
  <c r="F71" i="38"/>
  <c r="E77" i="38"/>
  <c r="E71" i="31"/>
  <c r="E71" i="27"/>
  <c r="A32" i="27"/>
  <c r="C29" i="27"/>
  <c r="E49" i="41"/>
  <c r="D66" i="41"/>
  <c r="U66" i="41"/>
  <c r="A67" i="41"/>
  <c r="A35" i="38"/>
  <c r="C32" i="38"/>
  <c r="M31" i="38" s="1"/>
  <c r="F62" i="31"/>
  <c r="F62" i="27"/>
  <c r="C64" i="39"/>
  <c r="AV64" i="39" s="1"/>
  <c r="F63" i="31"/>
  <c r="F63" i="27"/>
  <c r="C65" i="39"/>
  <c r="AV65" i="39" s="1"/>
  <c r="AB48" i="41"/>
  <c r="AF48" i="41"/>
  <c r="L48" i="41"/>
  <c r="G25" i="31"/>
  <c r="F61" i="31"/>
  <c r="F61" i="27"/>
  <c r="C63" i="39"/>
  <c r="AV63" i="39" s="1"/>
  <c r="V27" i="38"/>
  <c r="N27" i="38"/>
  <c r="M23" i="27"/>
  <c r="N23" i="27" s="1"/>
  <c r="Q37" i="41"/>
  <c r="O24" i="31"/>
  <c r="I24" i="27"/>
  <c r="F66" i="31"/>
  <c r="F66" i="27"/>
  <c r="C68" i="39"/>
  <c r="AV68" i="39" s="1"/>
  <c r="AB53" i="41"/>
  <c r="L53" i="41"/>
  <c r="M53" i="41" s="1"/>
  <c r="E54" i="41"/>
  <c r="AT36" i="39"/>
  <c r="AU33" i="39"/>
  <c r="O20" i="31"/>
  <c r="I20" i="27"/>
  <c r="Q23" i="31"/>
  <c r="AG23" i="31" s="1"/>
  <c r="R23" i="31"/>
  <c r="P23" i="31"/>
  <c r="H23" i="31"/>
  <c r="D76" i="41"/>
  <c r="A77" i="41"/>
  <c r="A82" i="41"/>
  <c r="U76" i="41"/>
  <c r="AB58" i="41"/>
  <c r="AF58" i="41"/>
  <c r="L58" i="41"/>
  <c r="M58" i="41" s="1"/>
  <c r="P27" i="38"/>
  <c r="H27" i="38"/>
  <c r="R27" i="38"/>
  <c r="Q27" i="38"/>
  <c r="AG27" i="38" s="1"/>
  <c r="S27" i="38"/>
  <c r="AH27" i="38" s="1"/>
  <c r="AU35" i="39"/>
  <c r="AT38" i="39"/>
  <c r="A14" i="34"/>
  <c r="M20" i="27"/>
  <c r="N20" i="27" s="1"/>
  <c r="F64" i="27" l="1"/>
  <c r="C66" i="39"/>
  <c r="AV66" i="39" s="1"/>
  <c r="F64" i="31"/>
  <c r="E70" i="27"/>
  <c r="E76" i="38"/>
  <c r="F70" i="38"/>
  <c r="E70" i="31"/>
  <c r="N28" i="38"/>
  <c r="O28" i="38" s="1"/>
  <c r="P28" i="31"/>
  <c r="H28" i="31"/>
  <c r="S28" i="31"/>
  <c r="AH28" i="31" s="1"/>
  <c r="Q28" i="31"/>
  <c r="AG28" i="31" s="1"/>
  <c r="R28" i="31"/>
  <c r="E75" i="41"/>
  <c r="AB54" i="41"/>
  <c r="AF54" i="41"/>
  <c r="L54" i="41"/>
  <c r="P29" i="38"/>
  <c r="H29" i="38"/>
  <c r="R29" i="38"/>
  <c r="S29" i="38"/>
  <c r="AH29" i="38" s="1"/>
  <c r="Q29" i="38"/>
  <c r="AG29" i="38" s="1"/>
  <c r="U77" i="41"/>
  <c r="D77" i="41"/>
  <c r="A78" i="41"/>
  <c r="M48" i="41"/>
  <c r="U67" i="41"/>
  <c r="D67" i="41"/>
  <c r="A68" i="41"/>
  <c r="AB49" i="41"/>
  <c r="L49" i="41"/>
  <c r="M49" i="41" s="1"/>
  <c r="C32" i="27"/>
  <c r="A35" i="27"/>
  <c r="F71" i="31"/>
  <c r="F71" i="27"/>
  <c r="C73" i="39"/>
  <c r="AV73" i="39" s="1"/>
  <c r="V25" i="31"/>
  <c r="N25" i="31"/>
  <c r="H25" i="27"/>
  <c r="F69" i="31"/>
  <c r="F69" i="27"/>
  <c r="C71" i="39"/>
  <c r="AV71" i="39" s="1"/>
  <c r="AU34" i="39"/>
  <c r="AT37" i="39"/>
  <c r="F68" i="31"/>
  <c r="F68" i="27"/>
  <c r="C70" i="39"/>
  <c r="AV70" i="39" s="1"/>
  <c r="A40" i="38"/>
  <c r="C37" i="38"/>
  <c r="A37" i="31"/>
  <c r="C34" i="31"/>
  <c r="M33" i="31" s="1"/>
  <c r="A35" i="31"/>
  <c r="C32" i="31"/>
  <c r="V27" i="31"/>
  <c r="M27" i="27" s="1"/>
  <c r="N27" i="27" s="1"/>
  <c r="N27" i="31"/>
  <c r="H27" i="27"/>
  <c r="P30" i="31"/>
  <c r="H30" i="31"/>
  <c r="S30" i="31"/>
  <c r="AH30" i="31" s="1"/>
  <c r="Q30" i="31"/>
  <c r="AG30" i="31" s="1"/>
  <c r="R30" i="31"/>
  <c r="O27" i="38"/>
  <c r="AB59" i="41"/>
  <c r="L59" i="41"/>
  <c r="M59" i="41" s="1"/>
  <c r="AB64" i="41"/>
  <c r="AF64" i="41"/>
  <c r="L64" i="41"/>
  <c r="M64" i="41" s="1"/>
  <c r="V31" i="38"/>
  <c r="N31" i="38"/>
  <c r="O31" i="38" s="1"/>
  <c r="P26" i="31"/>
  <c r="H26" i="31"/>
  <c r="Q26" i="31"/>
  <c r="AG26" i="31" s="1"/>
  <c r="R26" i="31"/>
  <c r="S26" i="31"/>
  <c r="AH26" i="31" s="1"/>
  <c r="E60" i="41"/>
  <c r="AU38" i="39"/>
  <c r="AT41" i="39"/>
  <c r="D82" i="41"/>
  <c r="A88" i="41"/>
  <c r="A83" i="41"/>
  <c r="U82" i="41"/>
  <c r="R25" i="31"/>
  <c r="S25" i="31"/>
  <c r="AH25" i="31" s="1"/>
  <c r="Q25" i="31"/>
  <c r="AG25" i="31" s="1"/>
  <c r="P25" i="31"/>
  <c r="H25" i="31"/>
  <c r="G32" i="38"/>
  <c r="M32" i="38"/>
  <c r="F78" i="38"/>
  <c r="E84" i="38"/>
  <c r="E78" i="31"/>
  <c r="E78" i="27"/>
  <c r="AB44" i="41"/>
  <c r="L44" i="41"/>
  <c r="M44" i="41" s="1"/>
  <c r="M33" i="38"/>
  <c r="G33" i="38"/>
  <c r="A39" i="31"/>
  <c r="C36" i="31"/>
  <c r="A42" i="27"/>
  <c r="C39" i="27"/>
  <c r="F67" i="31"/>
  <c r="C69" i="39"/>
  <c r="AV69" i="39" s="1"/>
  <c r="F67" i="27"/>
  <c r="E70" i="41"/>
  <c r="A37" i="27"/>
  <c r="C34" i="27"/>
  <c r="V29" i="38"/>
  <c r="N29" i="38"/>
  <c r="O29" i="38" s="1"/>
  <c r="U57" i="41"/>
  <c r="D57" i="41"/>
  <c r="Q43" i="41"/>
  <c r="V30" i="38"/>
  <c r="N30" i="38"/>
  <c r="G31" i="38"/>
  <c r="H26" i="27"/>
  <c r="V26" i="31"/>
  <c r="N26" i="31"/>
  <c r="L51" i="41"/>
  <c r="E50" i="41"/>
  <c r="AB51" i="41"/>
  <c r="C36" i="38"/>
  <c r="A39" i="38"/>
  <c r="G33" i="31"/>
  <c r="F73" i="38"/>
  <c r="E79" i="38"/>
  <c r="E73" i="31"/>
  <c r="E73" i="27"/>
  <c r="D72" i="41"/>
  <c r="A73" i="41"/>
  <c r="U72" i="41"/>
  <c r="R30" i="38"/>
  <c r="P30" i="38"/>
  <c r="H30" i="38"/>
  <c r="S30" i="38"/>
  <c r="AH30" i="38" s="1"/>
  <c r="Q30" i="38"/>
  <c r="AG30" i="38" s="1"/>
  <c r="A15" i="34"/>
  <c r="AT39" i="39"/>
  <c r="AU36" i="39"/>
  <c r="A38" i="38"/>
  <c r="C35" i="38"/>
  <c r="E65" i="41"/>
  <c r="E83" i="38"/>
  <c r="F77" i="38"/>
  <c r="E77" i="31"/>
  <c r="E77" i="27"/>
  <c r="F72" i="31"/>
  <c r="F72" i="27"/>
  <c r="C74" i="39"/>
  <c r="AV74" i="39" s="1"/>
  <c r="Q46" i="41"/>
  <c r="M45" i="41"/>
  <c r="R27" i="31"/>
  <c r="S27" i="31"/>
  <c r="AH27" i="31" s="1"/>
  <c r="Q27" i="31"/>
  <c r="AG27" i="31" s="1"/>
  <c r="P27" i="31"/>
  <c r="H27" i="31"/>
  <c r="F75" i="38"/>
  <c r="E81" i="38"/>
  <c r="E75" i="31"/>
  <c r="E75" i="27"/>
  <c r="F74" i="38"/>
  <c r="E80" i="38"/>
  <c r="E74" i="31"/>
  <c r="E74" i="27"/>
  <c r="E55" i="41"/>
  <c r="M31" i="31"/>
  <c r="G31" i="31"/>
  <c r="M29" i="31"/>
  <c r="G29" i="31"/>
  <c r="M30" i="31"/>
  <c r="O23" i="31"/>
  <c r="I23" i="27"/>
  <c r="M28" i="31"/>
  <c r="U62" i="41"/>
  <c r="D62" i="41"/>
  <c r="A63" i="41"/>
  <c r="C72" i="39" l="1"/>
  <c r="AV72" i="39" s="1"/>
  <c r="F70" i="31"/>
  <c r="F70" i="27"/>
  <c r="E76" i="31"/>
  <c r="E76" i="27"/>
  <c r="F76" i="38"/>
  <c r="E82" i="38"/>
  <c r="N30" i="31"/>
  <c r="H30" i="27"/>
  <c r="V30" i="31"/>
  <c r="M30" i="27" s="1"/>
  <c r="N30" i="27" s="1"/>
  <c r="AT42" i="39"/>
  <c r="AU39" i="39"/>
  <c r="E85" i="38"/>
  <c r="F79" i="38"/>
  <c r="E79" i="31"/>
  <c r="E79" i="27"/>
  <c r="L57" i="41"/>
  <c r="E56" i="41"/>
  <c r="AB57" i="41"/>
  <c r="A45" i="27"/>
  <c r="C42" i="27"/>
  <c r="A42" i="31"/>
  <c r="C39" i="31"/>
  <c r="D88" i="41"/>
  <c r="A94" i="41"/>
  <c r="U88" i="41"/>
  <c r="A89" i="41"/>
  <c r="AB60" i="41"/>
  <c r="AF60" i="41"/>
  <c r="L60" i="41"/>
  <c r="A38" i="31"/>
  <c r="C35" i="31"/>
  <c r="A40" i="31"/>
  <c r="C37" i="31"/>
  <c r="G36" i="31" s="1"/>
  <c r="A43" i="38"/>
  <c r="C40" i="38"/>
  <c r="AU37" i="39"/>
  <c r="AT40" i="39"/>
  <c r="M25" i="27"/>
  <c r="N25" i="27" s="1"/>
  <c r="E66" i="41"/>
  <c r="R29" i="31"/>
  <c r="Q29" i="31"/>
  <c r="AG29" i="31" s="1"/>
  <c r="S29" i="31"/>
  <c r="AH29" i="31" s="1"/>
  <c r="P29" i="31"/>
  <c r="H29" i="31"/>
  <c r="M35" i="38"/>
  <c r="G35" i="38"/>
  <c r="E71" i="41"/>
  <c r="F73" i="31"/>
  <c r="F73" i="27"/>
  <c r="C75" i="39"/>
  <c r="AV75" i="39" s="1"/>
  <c r="A40" i="27"/>
  <c r="C37" i="27"/>
  <c r="V29" i="31"/>
  <c r="M29" i="27" s="1"/>
  <c r="N29" i="27" s="1"/>
  <c r="N29" i="31"/>
  <c r="H29" i="27"/>
  <c r="R33" i="31"/>
  <c r="Q33" i="31"/>
  <c r="AG33" i="31" s="1"/>
  <c r="S33" i="31"/>
  <c r="AH33" i="31" s="1"/>
  <c r="H33" i="31"/>
  <c r="P33" i="31"/>
  <c r="A42" i="38"/>
  <c r="C39" i="38"/>
  <c r="Q52" i="41"/>
  <c r="M51" i="41"/>
  <c r="V33" i="38"/>
  <c r="N33" i="38"/>
  <c r="F78" i="31"/>
  <c r="F78" i="27"/>
  <c r="C80" i="39"/>
  <c r="AV80" i="39" s="1"/>
  <c r="O27" i="31"/>
  <c r="I27" i="27"/>
  <c r="Q49" i="41"/>
  <c r="E76" i="41"/>
  <c r="N28" i="31"/>
  <c r="V28" i="31"/>
  <c r="H28" i="27"/>
  <c r="P31" i="38"/>
  <c r="H31" i="38"/>
  <c r="R31" i="38"/>
  <c r="Q31" i="38"/>
  <c r="AG31" i="38" s="1"/>
  <c r="S31" i="38"/>
  <c r="AH31" i="38" s="1"/>
  <c r="M54" i="41"/>
  <c r="U63" i="41"/>
  <c r="D63" i="41"/>
  <c r="AB65" i="41"/>
  <c r="L65" i="41"/>
  <c r="M65" i="41" s="1"/>
  <c r="F84" i="38"/>
  <c r="E90" i="38"/>
  <c r="E84" i="31"/>
  <c r="E84" i="27"/>
  <c r="E61" i="41"/>
  <c r="M34" i="38"/>
  <c r="F75" i="31"/>
  <c r="C77" i="39"/>
  <c r="AV77" i="39" s="1"/>
  <c r="F75" i="27"/>
  <c r="F77" i="31"/>
  <c r="F77" i="27"/>
  <c r="C79" i="39"/>
  <c r="AV79" i="39" s="1"/>
  <c r="A41" i="38"/>
  <c r="C38" i="38"/>
  <c r="G37" i="38" s="1"/>
  <c r="A16" i="34"/>
  <c r="G34" i="38"/>
  <c r="E89" i="38"/>
  <c r="F83" i="38"/>
  <c r="E83" i="31"/>
  <c r="E83" i="27"/>
  <c r="U73" i="41"/>
  <c r="D73" i="41"/>
  <c r="A74" i="41"/>
  <c r="V33" i="31"/>
  <c r="N33" i="31"/>
  <c r="H33" i="27"/>
  <c r="G36" i="38"/>
  <c r="M36" i="38"/>
  <c r="O30" i="38"/>
  <c r="AF70" i="41"/>
  <c r="AB70" i="41"/>
  <c r="L70" i="41"/>
  <c r="M70" i="41" s="1"/>
  <c r="M26" i="27"/>
  <c r="N26" i="27" s="1"/>
  <c r="A84" i="41"/>
  <c r="U83" i="41"/>
  <c r="D83" i="41"/>
  <c r="G32" i="31"/>
  <c r="M32" i="31"/>
  <c r="G34" i="31"/>
  <c r="M34" i="31"/>
  <c r="M37" i="38"/>
  <c r="O25" i="31"/>
  <c r="I25" i="27"/>
  <c r="C35" i="27"/>
  <c r="A38" i="27"/>
  <c r="D68" i="41"/>
  <c r="U68" i="41"/>
  <c r="A69" i="41"/>
  <c r="R31" i="31"/>
  <c r="Q31" i="31"/>
  <c r="AG31" i="31" s="1"/>
  <c r="S31" i="31"/>
  <c r="AH31" i="31" s="1"/>
  <c r="P31" i="31"/>
  <c r="H31" i="31"/>
  <c r="AB55" i="41"/>
  <c r="L55" i="41"/>
  <c r="M55" i="41" s="1"/>
  <c r="F80" i="38"/>
  <c r="E86" i="38"/>
  <c r="E80" i="31"/>
  <c r="E80" i="27"/>
  <c r="V32" i="38"/>
  <c r="N32" i="38"/>
  <c r="O32" i="38" s="1"/>
  <c r="V31" i="31"/>
  <c r="N31" i="31"/>
  <c r="H31" i="27"/>
  <c r="F74" i="31"/>
  <c r="F74" i="27"/>
  <c r="C76" i="39"/>
  <c r="AV76" i="39" s="1"/>
  <c r="E87" i="38"/>
  <c r="F81" i="38"/>
  <c r="E81" i="31"/>
  <c r="E81" i="27"/>
  <c r="AB50" i="41"/>
  <c r="L50" i="41"/>
  <c r="M50" i="41" s="1"/>
  <c r="O26" i="31"/>
  <c r="I26" i="27"/>
  <c r="Q33" i="38"/>
  <c r="AG33" i="38" s="1"/>
  <c r="P33" i="38"/>
  <c r="H33" i="38"/>
  <c r="R33" i="38"/>
  <c r="S33" i="38"/>
  <c r="AH33" i="38" s="1"/>
  <c r="R32" i="38"/>
  <c r="P32" i="38"/>
  <c r="H32" i="38"/>
  <c r="Q32" i="38"/>
  <c r="AG32" i="38" s="1"/>
  <c r="S32" i="38"/>
  <c r="AH32" i="38" s="1"/>
  <c r="E81" i="41"/>
  <c r="AU41" i="39"/>
  <c r="AT44" i="39"/>
  <c r="D78" i="41"/>
  <c r="A79" i="41"/>
  <c r="U78" i="41"/>
  <c r="C78" i="39" l="1"/>
  <c r="AV78" i="39" s="1"/>
  <c r="F76" i="31"/>
  <c r="F76" i="27"/>
  <c r="E82" i="27"/>
  <c r="E82" i="31"/>
  <c r="F82" i="38"/>
  <c r="E88" i="38"/>
  <c r="M36" i="31"/>
  <c r="N36" i="31" s="1"/>
  <c r="P36" i="31"/>
  <c r="H36" i="31"/>
  <c r="S36" i="31"/>
  <c r="AH36" i="31" s="1"/>
  <c r="Q36" i="31"/>
  <c r="AG36" i="31" s="1"/>
  <c r="R36" i="31"/>
  <c r="O31" i="31"/>
  <c r="I31" i="27"/>
  <c r="S37" i="38"/>
  <c r="AH37" i="38" s="1"/>
  <c r="P37" i="38"/>
  <c r="Q37" i="38"/>
  <c r="AG37" i="38" s="1"/>
  <c r="R37" i="38"/>
  <c r="H37" i="38"/>
  <c r="H36" i="27"/>
  <c r="AB61" i="41"/>
  <c r="L61" i="41"/>
  <c r="M61" i="41" s="1"/>
  <c r="F90" i="38"/>
  <c r="E96" i="38"/>
  <c r="E90" i="31"/>
  <c r="E90" i="27"/>
  <c r="O33" i="38"/>
  <c r="G39" i="38"/>
  <c r="M39" i="38"/>
  <c r="A41" i="31"/>
  <c r="C38" i="31"/>
  <c r="G37" i="31" s="1"/>
  <c r="A48" i="27"/>
  <c r="C45" i="27"/>
  <c r="E67" i="41"/>
  <c r="V34" i="31"/>
  <c r="H34" i="27"/>
  <c r="N34" i="31"/>
  <c r="S36" i="38"/>
  <c r="AH36" i="38" s="1"/>
  <c r="R36" i="38"/>
  <c r="P36" i="38"/>
  <c r="H36" i="38"/>
  <c r="Q36" i="38"/>
  <c r="AG36" i="38" s="1"/>
  <c r="S34" i="38"/>
  <c r="AH34" i="38" s="1"/>
  <c r="R34" i="38"/>
  <c r="P34" i="38"/>
  <c r="H34" i="38"/>
  <c r="Q34" i="38"/>
  <c r="AG34" i="38" s="1"/>
  <c r="F84" i="31"/>
  <c r="F84" i="27"/>
  <c r="C86" i="39"/>
  <c r="AV86" i="39" s="1"/>
  <c r="E62" i="41"/>
  <c r="L63" i="41"/>
  <c r="AB63" i="41"/>
  <c r="AF76" i="41"/>
  <c r="AB76" i="41"/>
  <c r="L76" i="41"/>
  <c r="M76" i="41" s="1"/>
  <c r="M33" i="27"/>
  <c r="N33" i="27" s="1"/>
  <c r="A45" i="38"/>
  <c r="C42" i="38"/>
  <c r="C40" i="27"/>
  <c r="A43" i="27"/>
  <c r="A46" i="38"/>
  <c r="C43" i="38"/>
  <c r="A43" i="31"/>
  <c r="C40" i="31"/>
  <c r="G39" i="31" s="1"/>
  <c r="M31" i="27"/>
  <c r="N31" i="27" s="1"/>
  <c r="D94" i="41"/>
  <c r="A100" i="41"/>
  <c r="U94" i="41"/>
  <c r="A95" i="41"/>
  <c r="AU42" i="39"/>
  <c r="AT45" i="39"/>
  <c r="O30" i="31"/>
  <c r="I30" i="27"/>
  <c r="P32" i="31"/>
  <c r="H32" i="31"/>
  <c r="S32" i="31"/>
  <c r="AH32" i="31" s="1"/>
  <c r="Q32" i="31"/>
  <c r="AG32" i="31" s="1"/>
  <c r="R32" i="31"/>
  <c r="D84" i="41"/>
  <c r="U84" i="41"/>
  <c r="A85" i="41"/>
  <c r="V36" i="38"/>
  <c r="N36" i="38"/>
  <c r="O33" i="31"/>
  <c r="I33" i="27"/>
  <c r="A17" i="34"/>
  <c r="V35" i="38"/>
  <c r="N35" i="38"/>
  <c r="O35" i="38" s="1"/>
  <c r="AF66" i="41"/>
  <c r="AB66" i="41"/>
  <c r="L66" i="41"/>
  <c r="AU40" i="39"/>
  <c r="AT43" i="39"/>
  <c r="U79" i="41"/>
  <c r="D79" i="41"/>
  <c r="A80" i="41"/>
  <c r="AU44" i="39"/>
  <c r="AT47" i="39"/>
  <c r="F81" i="31"/>
  <c r="F81" i="27"/>
  <c r="C83" i="39"/>
  <c r="AV83" i="39" s="1"/>
  <c r="E92" i="38"/>
  <c r="F86" i="38"/>
  <c r="E86" i="31"/>
  <c r="E86" i="27"/>
  <c r="U69" i="41"/>
  <c r="D69" i="41"/>
  <c r="C38" i="27"/>
  <c r="A41" i="27"/>
  <c r="P34" i="31"/>
  <c r="H34" i="31"/>
  <c r="S34" i="31"/>
  <c r="AH34" i="31" s="1"/>
  <c r="Q34" i="31"/>
  <c r="AG34" i="31" s="1"/>
  <c r="R34" i="31"/>
  <c r="E82" i="41"/>
  <c r="D74" i="41"/>
  <c r="A75" i="41"/>
  <c r="U74" i="41"/>
  <c r="F83" i="31"/>
  <c r="C85" i="39"/>
  <c r="AV85" i="39" s="1"/>
  <c r="F83" i="27"/>
  <c r="M38" i="38"/>
  <c r="G38" i="38"/>
  <c r="V34" i="38"/>
  <c r="N34" i="38"/>
  <c r="O34" i="38" s="1"/>
  <c r="M28" i="27"/>
  <c r="N28" i="27" s="1"/>
  <c r="O29" i="31"/>
  <c r="I29" i="27"/>
  <c r="AB71" i="41"/>
  <c r="L71" i="41"/>
  <c r="M71" i="41" s="1"/>
  <c r="E87" i="41"/>
  <c r="A45" i="31"/>
  <c r="C42" i="31"/>
  <c r="AB56" i="41"/>
  <c r="L56" i="41"/>
  <c r="M56" i="41" s="1"/>
  <c r="F79" i="31"/>
  <c r="F79" i="27"/>
  <c r="C81" i="39"/>
  <c r="AV81" i="39" s="1"/>
  <c r="E77" i="41"/>
  <c r="F87" i="38"/>
  <c r="E93" i="38"/>
  <c r="E87" i="31"/>
  <c r="E87" i="27"/>
  <c r="F80" i="31"/>
  <c r="F80" i="27"/>
  <c r="C82" i="39"/>
  <c r="AV82" i="39" s="1"/>
  <c r="N37" i="38"/>
  <c r="O37" i="38" s="1"/>
  <c r="V37" i="38"/>
  <c r="H32" i="27"/>
  <c r="V32" i="31"/>
  <c r="M32" i="27" s="1"/>
  <c r="N32" i="27" s="1"/>
  <c r="N32" i="31"/>
  <c r="E72" i="41"/>
  <c r="E95" i="38"/>
  <c r="F89" i="38"/>
  <c r="E89" i="31"/>
  <c r="E89" i="27"/>
  <c r="A44" i="38"/>
  <c r="C41" i="38"/>
  <c r="G40" i="38" s="1"/>
  <c r="Q55" i="41"/>
  <c r="O28" i="31"/>
  <c r="I28" i="27"/>
  <c r="Q35" i="38"/>
  <c r="AG35" i="38" s="1"/>
  <c r="P35" i="38"/>
  <c r="H35" i="38"/>
  <c r="R35" i="38"/>
  <c r="S35" i="38"/>
  <c r="AH35" i="38" s="1"/>
  <c r="M35" i="31"/>
  <c r="G35" i="31"/>
  <c r="M60" i="41"/>
  <c r="A90" i="41"/>
  <c r="U89" i="41"/>
  <c r="D89" i="41"/>
  <c r="Q58" i="41"/>
  <c r="M57" i="41"/>
  <c r="E91" i="38"/>
  <c r="F85" i="38"/>
  <c r="E85" i="31"/>
  <c r="E85" i="27"/>
  <c r="E94" i="38" l="1"/>
  <c r="E88" i="31"/>
  <c r="E88" i="27"/>
  <c r="F88" i="38"/>
  <c r="F82" i="27"/>
  <c r="C84" i="39"/>
  <c r="AV84" i="39" s="1"/>
  <c r="F82" i="31"/>
  <c r="V36" i="31"/>
  <c r="Q61" i="41"/>
  <c r="R39" i="31"/>
  <c r="Q39" i="31"/>
  <c r="AG39" i="31" s="1"/>
  <c r="S39" i="31"/>
  <c r="AH39" i="31" s="1"/>
  <c r="P39" i="31"/>
  <c r="H39" i="31"/>
  <c r="F85" i="31"/>
  <c r="F85" i="27"/>
  <c r="C87" i="39"/>
  <c r="AV87" i="39" s="1"/>
  <c r="E88" i="41"/>
  <c r="A47" i="38"/>
  <c r="C44" i="38"/>
  <c r="G43" i="38" s="1"/>
  <c r="F95" i="38"/>
  <c r="E95" i="31"/>
  <c r="E95" i="27"/>
  <c r="O32" i="31"/>
  <c r="I32" i="27"/>
  <c r="F93" i="38"/>
  <c r="E93" i="31"/>
  <c r="E93" i="27"/>
  <c r="V38" i="38"/>
  <c r="N38" i="38"/>
  <c r="O38" i="38" s="1"/>
  <c r="E73" i="41"/>
  <c r="AF82" i="41"/>
  <c r="AB82" i="41"/>
  <c r="L82" i="41"/>
  <c r="M82" i="41" s="1"/>
  <c r="A96" i="41"/>
  <c r="U95" i="41"/>
  <c r="D95" i="41"/>
  <c r="Q64" i="41"/>
  <c r="M63" i="41"/>
  <c r="O34" i="31"/>
  <c r="I34" i="27"/>
  <c r="AB67" i="41"/>
  <c r="L67" i="41"/>
  <c r="M67" i="41" s="1"/>
  <c r="G38" i="31"/>
  <c r="M38" i="31"/>
  <c r="F96" i="38"/>
  <c r="C98" i="39" s="1"/>
  <c r="E96" i="27"/>
  <c r="F91" i="38"/>
  <c r="E91" i="31"/>
  <c r="E91" i="27"/>
  <c r="F87" i="31"/>
  <c r="F87" i="27"/>
  <c r="C89" i="39"/>
  <c r="AV89" i="39" s="1"/>
  <c r="A48" i="31"/>
  <c r="C45" i="31"/>
  <c r="E68" i="41"/>
  <c r="L69" i="41"/>
  <c r="AB69" i="41"/>
  <c r="F86" i="31"/>
  <c r="F86" i="27"/>
  <c r="C88" i="39"/>
  <c r="AV88" i="39" s="1"/>
  <c r="D80" i="41"/>
  <c r="A81" i="41"/>
  <c r="U80" i="41"/>
  <c r="M37" i="31"/>
  <c r="M36" i="27"/>
  <c r="N36" i="27" s="1"/>
  <c r="E83" i="41"/>
  <c r="A46" i="31"/>
  <c r="C43" i="31"/>
  <c r="M42" i="31" s="1"/>
  <c r="A49" i="38"/>
  <c r="C46" i="38"/>
  <c r="AB62" i="41"/>
  <c r="L62" i="41"/>
  <c r="M62" i="41" s="1"/>
  <c r="A44" i="31"/>
  <c r="C41" i="31"/>
  <c r="F90" i="31"/>
  <c r="F90" i="27"/>
  <c r="C92" i="39"/>
  <c r="AV92" i="39" s="1"/>
  <c r="G42" i="31"/>
  <c r="R37" i="31"/>
  <c r="Q37" i="31"/>
  <c r="AG37" i="31" s="1"/>
  <c r="S37" i="31"/>
  <c r="AH37" i="31" s="1"/>
  <c r="P37" i="31"/>
  <c r="H37" i="31"/>
  <c r="AU43" i="39"/>
  <c r="AT46" i="39"/>
  <c r="O36" i="38"/>
  <c r="Q40" i="38"/>
  <c r="AG40" i="38" s="1"/>
  <c r="S40" i="38"/>
  <c r="AH40" i="38" s="1"/>
  <c r="R40" i="38"/>
  <c r="H40" i="38"/>
  <c r="P40" i="38"/>
  <c r="M66" i="41"/>
  <c r="M39" i="31"/>
  <c r="A106" i="41"/>
  <c r="D100" i="41"/>
  <c r="U100" i="41"/>
  <c r="A101" i="41"/>
  <c r="C43" i="27"/>
  <c r="A46" i="27"/>
  <c r="M42" i="38"/>
  <c r="G42" i="38"/>
  <c r="V39" i="38"/>
  <c r="N39" i="38"/>
  <c r="O36" i="31"/>
  <c r="I36" i="27"/>
  <c r="R35" i="31"/>
  <c r="Q35" i="31"/>
  <c r="AG35" i="31" s="1"/>
  <c r="S35" i="31"/>
  <c r="AH35" i="31" s="1"/>
  <c r="H35" i="31"/>
  <c r="P35" i="31"/>
  <c r="M34" i="27"/>
  <c r="N34" i="27" s="1"/>
  <c r="C41" i="27"/>
  <c r="A44" i="27"/>
  <c r="F92" i="38"/>
  <c r="E92" i="31"/>
  <c r="E92" i="27"/>
  <c r="E78" i="41"/>
  <c r="D90" i="41"/>
  <c r="U90" i="41"/>
  <c r="A91" i="41"/>
  <c r="V35" i="31"/>
  <c r="N35" i="31"/>
  <c r="H35" i="27"/>
  <c r="G41" i="38"/>
  <c r="M41" i="38"/>
  <c r="F89" i="31"/>
  <c r="F89" i="27"/>
  <c r="C91" i="39"/>
  <c r="AV91" i="39" s="1"/>
  <c r="AF72" i="41"/>
  <c r="AB72" i="41"/>
  <c r="L72" i="41"/>
  <c r="AB77" i="41"/>
  <c r="L77" i="41"/>
  <c r="M77" i="41" s="1"/>
  <c r="Q38" i="38"/>
  <c r="AG38" i="38" s="1"/>
  <c r="P38" i="38"/>
  <c r="R38" i="38"/>
  <c r="H38" i="38"/>
  <c r="S38" i="38"/>
  <c r="AH38" i="38" s="1"/>
  <c r="U75" i="41"/>
  <c r="D75" i="41"/>
  <c r="AT50" i="39"/>
  <c r="AU47" i="39"/>
  <c r="M40" i="38"/>
  <c r="A18" i="34"/>
  <c r="A86" i="41"/>
  <c r="U85" i="41"/>
  <c r="D85" i="41"/>
  <c r="AT48" i="39"/>
  <c r="AU45" i="39"/>
  <c r="E93" i="41"/>
  <c r="A48" i="38"/>
  <c r="C45" i="38"/>
  <c r="C48" i="27"/>
  <c r="A51" i="27"/>
  <c r="S39" i="38"/>
  <c r="AH39" i="38" s="1"/>
  <c r="R39" i="38"/>
  <c r="H39" i="38"/>
  <c r="Q39" i="38"/>
  <c r="AG39" i="38" s="1"/>
  <c r="P39" i="38"/>
  <c r="F88" i="27" l="1"/>
  <c r="C90" i="39"/>
  <c r="AV90" i="39" s="1"/>
  <c r="F88" i="31"/>
  <c r="E94" i="31"/>
  <c r="E94" i="27"/>
  <c r="F94" i="38"/>
  <c r="Q67" i="41"/>
  <c r="M43" i="38"/>
  <c r="V43" i="38" s="1"/>
  <c r="AU50" i="39"/>
  <c r="AT53" i="39"/>
  <c r="G45" i="38"/>
  <c r="M45" i="38"/>
  <c r="E74" i="41"/>
  <c r="L75" i="41"/>
  <c r="AB75" i="41"/>
  <c r="E89" i="41"/>
  <c r="A47" i="27"/>
  <c r="C44" i="27"/>
  <c r="A102" i="41"/>
  <c r="U101" i="41"/>
  <c r="D101" i="41"/>
  <c r="V39" i="31"/>
  <c r="M39" i="27" s="1"/>
  <c r="N39" i="27" s="1"/>
  <c r="N39" i="31"/>
  <c r="H39" i="27"/>
  <c r="V42" i="31"/>
  <c r="H42" i="27"/>
  <c r="N42" i="31"/>
  <c r="M41" i="31"/>
  <c r="G41" i="31"/>
  <c r="M69" i="41"/>
  <c r="Q70" i="41"/>
  <c r="C48" i="31"/>
  <c r="A51" i="31"/>
  <c r="AB73" i="41"/>
  <c r="L73" i="41"/>
  <c r="M73" i="41" s="1"/>
  <c r="F95" i="31"/>
  <c r="F95" i="27"/>
  <c r="C97" i="39"/>
  <c r="AF88" i="41"/>
  <c r="AB88" i="41"/>
  <c r="L88" i="41"/>
  <c r="M88" i="41" s="1"/>
  <c r="E84" i="41"/>
  <c r="C51" i="27"/>
  <c r="A54" i="27"/>
  <c r="N40" i="38"/>
  <c r="O40" i="38" s="1"/>
  <c r="V40" i="38"/>
  <c r="N41" i="38"/>
  <c r="O41" i="38" s="1"/>
  <c r="V41" i="38"/>
  <c r="O39" i="38"/>
  <c r="Q42" i="38"/>
  <c r="AG42" i="38" s="1"/>
  <c r="P42" i="38"/>
  <c r="R42" i="38"/>
  <c r="H42" i="38"/>
  <c r="S42" i="38"/>
  <c r="AH42" i="38" s="1"/>
  <c r="M40" i="31"/>
  <c r="AT49" i="39"/>
  <c r="AU46" i="39"/>
  <c r="P42" i="31"/>
  <c r="H42" i="31"/>
  <c r="S42" i="31"/>
  <c r="AH42" i="31" s="1"/>
  <c r="Q42" i="31"/>
  <c r="AG42" i="31" s="1"/>
  <c r="R42" i="31"/>
  <c r="A47" i="31"/>
  <c r="C44" i="31"/>
  <c r="M43" i="31"/>
  <c r="G43" i="31"/>
  <c r="AB83" i="41"/>
  <c r="L83" i="41"/>
  <c r="M83" i="41" s="1"/>
  <c r="U81" i="41"/>
  <c r="D81" i="41"/>
  <c r="AB68" i="41"/>
  <c r="L68" i="41"/>
  <c r="M68" i="41" s="1"/>
  <c r="M44" i="38"/>
  <c r="G44" i="38"/>
  <c r="C48" i="38"/>
  <c r="A51" i="38"/>
  <c r="S41" i="38"/>
  <c r="AH41" i="38" s="1"/>
  <c r="P41" i="38"/>
  <c r="Q41" i="38"/>
  <c r="AG41" i="38" s="1"/>
  <c r="H41" i="38"/>
  <c r="R41" i="38"/>
  <c r="A92" i="41"/>
  <c r="U91" i="41"/>
  <c r="D91" i="41"/>
  <c r="AF78" i="41"/>
  <c r="AB78" i="41"/>
  <c r="L78" i="41"/>
  <c r="F92" i="31"/>
  <c r="F92" i="27"/>
  <c r="C94" i="39"/>
  <c r="AV94" i="39" s="1"/>
  <c r="V42" i="38"/>
  <c r="N42" i="38"/>
  <c r="E99" i="41"/>
  <c r="M35" i="27"/>
  <c r="N35" i="27" s="1"/>
  <c r="G40" i="31"/>
  <c r="A52" i="38"/>
  <c r="C49" i="38"/>
  <c r="C46" i="31"/>
  <c r="M45" i="31" s="1"/>
  <c r="A49" i="31"/>
  <c r="V37" i="31"/>
  <c r="N37" i="31"/>
  <c r="H37" i="27"/>
  <c r="E79" i="41"/>
  <c r="F91" i="31"/>
  <c r="F91" i="27"/>
  <c r="C93" i="39"/>
  <c r="AV93" i="39" s="1"/>
  <c r="N38" i="31"/>
  <c r="H38" i="27"/>
  <c r="V38" i="31"/>
  <c r="M38" i="27" s="1"/>
  <c r="N38" i="27" s="1"/>
  <c r="S43" i="38"/>
  <c r="AH43" i="38" s="1"/>
  <c r="R43" i="38"/>
  <c r="H43" i="38"/>
  <c r="Q43" i="38"/>
  <c r="AG43" i="38" s="1"/>
  <c r="P43" i="38"/>
  <c r="D96" i="41"/>
  <c r="U96" i="41"/>
  <c r="A97" i="41"/>
  <c r="A50" i="38"/>
  <c r="C47" i="38"/>
  <c r="AU48" i="39"/>
  <c r="AT51" i="39"/>
  <c r="D86" i="41"/>
  <c r="U86" i="41"/>
  <c r="A87" i="41"/>
  <c r="A19" i="34"/>
  <c r="M72" i="41"/>
  <c r="O35" i="31"/>
  <c r="I35" i="27"/>
  <c r="C46" i="27"/>
  <c r="A49" i="27"/>
  <c r="A112" i="41"/>
  <c r="A107" i="41"/>
  <c r="D106" i="41"/>
  <c r="U106" i="41"/>
  <c r="P38" i="31"/>
  <c r="H38" i="31"/>
  <c r="S38" i="31"/>
  <c r="AH38" i="31" s="1"/>
  <c r="Q38" i="31"/>
  <c r="AG38" i="31" s="1"/>
  <c r="R38" i="31"/>
  <c r="E94" i="41"/>
  <c r="F93" i="31"/>
  <c r="F93" i="27"/>
  <c r="C95" i="39"/>
  <c r="AV95" i="39" s="1"/>
  <c r="F94" i="27" l="1"/>
  <c r="F94" i="31"/>
  <c r="C96" i="39"/>
  <c r="AV96" i="39" s="1"/>
  <c r="G45" i="31"/>
  <c r="S45" i="31" s="1"/>
  <c r="AH45" i="31" s="1"/>
  <c r="Q73" i="41"/>
  <c r="N43" i="38"/>
  <c r="O43" i="38" s="1"/>
  <c r="E105" i="41"/>
  <c r="AF94" i="41"/>
  <c r="AB94" i="41"/>
  <c r="L94" i="41"/>
  <c r="M94" i="41" s="1"/>
  <c r="A118" i="41"/>
  <c r="A113" i="41"/>
  <c r="D112" i="41"/>
  <c r="U112" i="41"/>
  <c r="A20" i="34"/>
  <c r="E85" i="41"/>
  <c r="O42" i="38"/>
  <c r="M48" i="38"/>
  <c r="G48" i="38"/>
  <c r="N44" i="38"/>
  <c r="O44" i="38" s="1"/>
  <c r="V44" i="38"/>
  <c r="V43" i="31"/>
  <c r="N43" i="31"/>
  <c r="H43" i="27"/>
  <c r="C54" i="27"/>
  <c r="A57" i="27"/>
  <c r="R41" i="31"/>
  <c r="Q41" i="31"/>
  <c r="AG41" i="31" s="1"/>
  <c r="S41" i="31"/>
  <c r="AH41" i="31" s="1"/>
  <c r="H41" i="31"/>
  <c r="P41" i="31"/>
  <c r="E100" i="41"/>
  <c r="M75" i="41"/>
  <c r="Q76" i="41"/>
  <c r="AU53" i="39"/>
  <c r="AT56" i="39"/>
  <c r="G47" i="38"/>
  <c r="M47" i="38"/>
  <c r="E95" i="41"/>
  <c r="P40" i="31"/>
  <c r="H40" i="31"/>
  <c r="S40" i="31"/>
  <c r="AH40" i="31" s="1"/>
  <c r="Q40" i="31"/>
  <c r="AG40" i="31" s="1"/>
  <c r="R40" i="31"/>
  <c r="M42" i="27"/>
  <c r="N42" i="27" s="1"/>
  <c r="D92" i="41"/>
  <c r="U92" i="41"/>
  <c r="A93" i="41"/>
  <c r="G46" i="38"/>
  <c r="V41" i="31"/>
  <c r="M41" i="27" s="1"/>
  <c r="N41" i="27" s="1"/>
  <c r="N41" i="31"/>
  <c r="H41" i="27"/>
  <c r="A50" i="27"/>
  <c r="C47" i="27"/>
  <c r="AB74" i="41"/>
  <c r="L74" i="41"/>
  <c r="M74" i="41" s="1"/>
  <c r="N45" i="38"/>
  <c r="V45" i="38"/>
  <c r="AU51" i="39"/>
  <c r="AT54" i="39"/>
  <c r="O37" i="31"/>
  <c r="I37" i="27"/>
  <c r="C49" i="27"/>
  <c r="A52" i="27"/>
  <c r="U87" i="41"/>
  <c r="D87" i="41"/>
  <c r="A53" i="38"/>
  <c r="C50" i="38"/>
  <c r="M49" i="38" s="1"/>
  <c r="O38" i="31"/>
  <c r="I38" i="27"/>
  <c r="AB79" i="41"/>
  <c r="L79" i="41"/>
  <c r="M79" i="41" s="1"/>
  <c r="M37" i="27"/>
  <c r="N37" i="27" s="1"/>
  <c r="C49" i="31"/>
  <c r="M48" i="31" s="1"/>
  <c r="A52" i="31"/>
  <c r="G49" i="38"/>
  <c r="E90" i="41"/>
  <c r="M46" i="38"/>
  <c r="G44" i="31"/>
  <c r="M44" i="31"/>
  <c r="AU49" i="39"/>
  <c r="AT52" i="39"/>
  <c r="C51" i="31"/>
  <c r="A54" i="31"/>
  <c r="O39" i="31"/>
  <c r="I39" i="27"/>
  <c r="S45" i="38"/>
  <c r="AH45" i="38" s="1"/>
  <c r="P45" i="38"/>
  <c r="Q45" i="38"/>
  <c r="AG45" i="38" s="1"/>
  <c r="R45" i="38"/>
  <c r="H45" i="38"/>
  <c r="V45" i="31"/>
  <c r="N45" i="31"/>
  <c r="H45" i="27"/>
  <c r="A108" i="41"/>
  <c r="D107" i="41"/>
  <c r="U107" i="41"/>
  <c r="A98" i="41"/>
  <c r="U97" i="41"/>
  <c r="D97" i="41"/>
  <c r="A55" i="38"/>
  <c r="C52" i="38"/>
  <c r="Q79" i="41"/>
  <c r="M78" i="41"/>
  <c r="A54" i="38"/>
  <c r="C51" i="38"/>
  <c r="Q44" i="38"/>
  <c r="AG44" i="38" s="1"/>
  <c r="S44" i="38"/>
  <c r="AH44" i="38" s="1"/>
  <c r="R44" i="38"/>
  <c r="H44" i="38"/>
  <c r="P44" i="38"/>
  <c r="E80" i="41"/>
  <c r="L81" i="41"/>
  <c r="AB81" i="41"/>
  <c r="R43" i="31"/>
  <c r="Q43" i="31"/>
  <c r="AG43" i="31" s="1"/>
  <c r="S43" i="31"/>
  <c r="AH43" i="31" s="1"/>
  <c r="H43" i="31"/>
  <c r="P43" i="31"/>
  <c r="A50" i="31"/>
  <c r="C47" i="31"/>
  <c r="M46" i="31" s="1"/>
  <c r="H40" i="27"/>
  <c r="V40" i="31"/>
  <c r="N40" i="31"/>
  <c r="AF84" i="41"/>
  <c r="AB84" i="41"/>
  <c r="L84" i="41"/>
  <c r="AV97" i="39"/>
  <c r="L100" i="39"/>
  <c r="M100" i="39"/>
  <c r="M99" i="39"/>
  <c r="Z100" i="39"/>
  <c r="AC100" i="39"/>
  <c r="K99" i="39"/>
  <c r="AC99" i="39"/>
  <c r="E99" i="39"/>
  <c r="H99" i="39"/>
  <c r="AC101" i="39"/>
  <c r="L99" i="39"/>
  <c r="AB102" i="39"/>
  <c r="AA99" i="39"/>
  <c r="AB101" i="39"/>
  <c r="G48" i="31"/>
  <c r="O42" i="31"/>
  <c r="I42" i="27"/>
  <c r="D102" i="41"/>
  <c r="U102" i="41"/>
  <c r="A103" i="41"/>
  <c r="AB89" i="41"/>
  <c r="L89" i="41"/>
  <c r="M89" i="41" s="1"/>
  <c r="AB100" i="39" l="1"/>
  <c r="U102" i="39"/>
  <c r="T100" i="39"/>
  <c r="W99" i="39"/>
  <c r="U101" i="39"/>
  <c r="E100" i="39"/>
  <c r="E101" i="39" s="1"/>
  <c r="G99" i="39"/>
  <c r="T102" i="39"/>
  <c r="N99" i="39"/>
  <c r="V101" i="39"/>
  <c r="Z102" i="39"/>
  <c r="AA100" i="39"/>
  <c r="F100" i="39"/>
  <c r="U99" i="39"/>
  <c r="AC102" i="39"/>
  <c r="N100" i="39"/>
  <c r="U100" i="39"/>
  <c r="W102" i="39"/>
  <c r="V99" i="39"/>
  <c r="F99" i="39"/>
  <c r="T101" i="39"/>
  <c r="K100" i="39"/>
  <c r="AB99" i="39"/>
  <c r="Z99" i="39"/>
  <c r="V100" i="39"/>
  <c r="AA101" i="39"/>
  <c r="Z101" i="39"/>
  <c r="G100" i="39"/>
  <c r="W100" i="39"/>
  <c r="W101" i="39"/>
  <c r="H100" i="39"/>
  <c r="AA102" i="39"/>
  <c r="T99" i="39"/>
  <c r="V102" i="39"/>
  <c r="Q45" i="31"/>
  <c r="AG45" i="31" s="1"/>
  <c r="H45" i="31"/>
  <c r="R45" i="31"/>
  <c r="P45" i="31"/>
  <c r="F101" i="39"/>
  <c r="V46" i="31"/>
  <c r="N46" i="31"/>
  <c r="H46" i="27"/>
  <c r="A104" i="41"/>
  <c r="U103" i="41"/>
  <c r="D103" i="41"/>
  <c r="M84" i="41"/>
  <c r="AB80" i="41"/>
  <c r="L80" i="41"/>
  <c r="M80" i="41" s="1"/>
  <c r="G51" i="38"/>
  <c r="M51" i="38"/>
  <c r="D98" i="41"/>
  <c r="U98" i="41"/>
  <c r="A99" i="41"/>
  <c r="A109" i="41"/>
  <c r="U108" i="41"/>
  <c r="D108" i="41"/>
  <c r="P44" i="31"/>
  <c r="H44" i="31"/>
  <c r="S44" i="31"/>
  <c r="AH44" i="31" s="1"/>
  <c r="Q44" i="31"/>
  <c r="AG44" i="31" s="1"/>
  <c r="R44" i="31"/>
  <c r="M50" i="38"/>
  <c r="G50" i="38"/>
  <c r="M45" i="27"/>
  <c r="N45" i="27" s="1"/>
  <c r="AB95" i="41"/>
  <c r="L95" i="41"/>
  <c r="M95" i="41" s="1"/>
  <c r="AU56" i="39"/>
  <c r="AT59" i="39"/>
  <c r="E111" i="41"/>
  <c r="E101" i="41"/>
  <c r="V48" i="31"/>
  <c r="N48" i="31"/>
  <c r="H48" i="27"/>
  <c r="A57" i="38"/>
  <c r="C54" i="38"/>
  <c r="E96" i="41"/>
  <c r="A57" i="31"/>
  <c r="C54" i="31"/>
  <c r="M40" i="27"/>
  <c r="N40" i="27" s="1"/>
  <c r="AU52" i="39"/>
  <c r="AT55" i="39"/>
  <c r="V46" i="38"/>
  <c r="N46" i="38"/>
  <c r="O46" i="38" s="1"/>
  <c r="AF90" i="41"/>
  <c r="AB90" i="41"/>
  <c r="L90" i="41"/>
  <c r="A56" i="38"/>
  <c r="C53" i="38"/>
  <c r="M52" i="38" s="1"/>
  <c r="A55" i="27"/>
  <c r="C52" i="27"/>
  <c r="AU54" i="39"/>
  <c r="AT57" i="39"/>
  <c r="O45" i="38"/>
  <c r="A53" i="27"/>
  <c r="C50" i="27"/>
  <c r="O41" i="31"/>
  <c r="I41" i="27"/>
  <c r="Q46" i="38"/>
  <c r="AG46" i="38" s="1"/>
  <c r="P46" i="38"/>
  <c r="R46" i="38"/>
  <c r="H46" i="38"/>
  <c r="S46" i="38"/>
  <c r="AH46" i="38" s="1"/>
  <c r="E91" i="41"/>
  <c r="V47" i="38"/>
  <c r="N47" i="38"/>
  <c r="O47" i="38" s="1"/>
  <c r="Q48" i="38"/>
  <c r="AG48" i="38" s="1"/>
  <c r="S48" i="38"/>
  <c r="AH48" i="38" s="1"/>
  <c r="R48" i="38"/>
  <c r="H48" i="38"/>
  <c r="P48" i="38"/>
  <c r="AB85" i="41"/>
  <c r="L85" i="41"/>
  <c r="M85" i="41" s="1"/>
  <c r="A21" i="34"/>
  <c r="R48" i="31"/>
  <c r="S48" i="31"/>
  <c r="AH48" i="31" s="1"/>
  <c r="H48" i="31"/>
  <c r="Q48" i="31"/>
  <c r="AG48" i="31" s="1"/>
  <c r="P48" i="31"/>
  <c r="T103" i="39"/>
  <c r="M47" i="31"/>
  <c r="G47" i="31"/>
  <c r="C55" i="38"/>
  <c r="A58" i="38"/>
  <c r="V49" i="38"/>
  <c r="N49" i="38"/>
  <c r="O49" i="38" s="1"/>
  <c r="A55" i="31"/>
  <c r="C52" i="31"/>
  <c r="M51" i="31" s="1"/>
  <c r="S47" i="38"/>
  <c r="AH47" i="38" s="1"/>
  <c r="R47" i="38"/>
  <c r="H47" i="38"/>
  <c r="Q47" i="38"/>
  <c r="AG47" i="38" s="1"/>
  <c r="P47" i="38"/>
  <c r="C57" i="27"/>
  <c r="A60" i="27"/>
  <c r="N48" i="38"/>
  <c r="V48" i="38"/>
  <c r="A114" i="41"/>
  <c r="D113" i="41"/>
  <c r="U113" i="41"/>
  <c r="U103" i="39"/>
  <c r="O40" i="31"/>
  <c r="I40" i="27"/>
  <c r="A53" i="31"/>
  <c r="C50" i="31"/>
  <c r="G49" i="31" s="1"/>
  <c r="M81" i="41"/>
  <c r="Q82" i="41"/>
  <c r="G46" i="31"/>
  <c r="E106" i="41"/>
  <c r="O45" i="31"/>
  <c r="I45" i="27"/>
  <c r="N44" i="31"/>
  <c r="V44" i="31"/>
  <c r="H44" i="27"/>
  <c r="S49" i="38"/>
  <c r="AH49" i="38" s="1"/>
  <c r="R49" i="38"/>
  <c r="P49" i="38"/>
  <c r="H49" i="38"/>
  <c r="Q49" i="38"/>
  <c r="AG49" i="38" s="1"/>
  <c r="M49" i="31"/>
  <c r="E86" i="41"/>
  <c r="L87" i="41"/>
  <c r="AB87" i="41"/>
  <c r="M43" i="27"/>
  <c r="N43" i="27" s="1"/>
  <c r="U93" i="41"/>
  <c r="D93" i="41"/>
  <c r="AF100" i="41"/>
  <c r="AB100" i="41"/>
  <c r="L100" i="41"/>
  <c r="M100" i="41" s="1"/>
  <c r="O43" i="31"/>
  <c r="I43" i="27"/>
  <c r="M44" i="27"/>
  <c r="N44" i="27" s="1"/>
  <c r="A124" i="41"/>
  <c r="A119" i="41"/>
  <c r="D118" i="41"/>
  <c r="U118" i="41"/>
  <c r="N51" i="31" l="1"/>
  <c r="H51" i="27"/>
  <c r="V51" i="31"/>
  <c r="M87" i="41"/>
  <c r="Q88" i="41"/>
  <c r="N49" i="31"/>
  <c r="V49" i="31"/>
  <c r="H49" i="27"/>
  <c r="M48" i="27"/>
  <c r="N48" i="27" s="1"/>
  <c r="A63" i="27"/>
  <c r="C60" i="27"/>
  <c r="M49" i="27"/>
  <c r="N49" i="27" s="1"/>
  <c r="A58" i="27"/>
  <c r="C55" i="27"/>
  <c r="M53" i="38"/>
  <c r="G53" i="38"/>
  <c r="C57" i="38"/>
  <c r="A60" i="38"/>
  <c r="O48" i="31"/>
  <c r="I48" i="27"/>
  <c r="Q50" i="38"/>
  <c r="AG50" i="38" s="1"/>
  <c r="P50" i="38"/>
  <c r="H50" i="38"/>
  <c r="S50" i="38"/>
  <c r="AH50" i="38" s="1"/>
  <c r="R50" i="38"/>
  <c r="U99" i="41"/>
  <c r="D99" i="41"/>
  <c r="V51" i="38"/>
  <c r="N51" i="38"/>
  <c r="E102" i="41"/>
  <c r="E117" i="41"/>
  <c r="E92" i="41"/>
  <c r="L93" i="41"/>
  <c r="AB93" i="41"/>
  <c r="P49" i="31"/>
  <c r="H49" i="31"/>
  <c r="S49" i="31"/>
  <c r="AH49" i="31" s="1"/>
  <c r="Q49" i="31"/>
  <c r="AG49" i="31" s="1"/>
  <c r="R49" i="31"/>
  <c r="AB106" i="41"/>
  <c r="AF106" i="41"/>
  <c r="L106" i="41"/>
  <c r="M106" i="41" s="1"/>
  <c r="O48" i="38"/>
  <c r="P47" i="31"/>
  <c r="H47" i="31"/>
  <c r="Q47" i="31"/>
  <c r="AG47" i="31" s="1"/>
  <c r="R47" i="31"/>
  <c r="S47" i="31"/>
  <c r="AH47" i="31" s="1"/>
  <c r="AU57" i="39"/>
  <c r="AT60" i="39"/>
  <c r="A59" i="38"/>
  <c r="C56" i="38"/>
  <c r="M55" i="38" s="1"/>
  <c r="M90" i="41"/>
  <c r="C57" i="31"/>
  <c r="A60" i="31"/>
  <c r="AF96" i="41"/>
  <c r="AB96" i="41"/>
  <c r="L96" i="41"/>
  <c r="AU59" i="39"/>
  <c r="AT62" i="39"/>
  <c r="V50" i="38"/>
  <c r="N50" i="38"/>
  <c r="O50" i="38" s="1"/>
  <c r="S51" i="38"/>
  <c r="AH51" i="38" s="1"/>
  <c r="R51" i="38"/>
  <c r="P51" i="38"/>
  <c r="H51" i="38"/>
  <c r="Q51" i="38"/>
  <c r="AG51" i="38" s="1"/>
  <c r="AB86" i="41"/>
  <c r="L86" i="41"/>
  <c r="M86" i="41" s="1"/>
  <c r="E112" i="41"/>
  <c r="A120" i="41"/>
  <c r="D119" i="41"/>
  <c r="U119" i="41"/>
  <c r="O44" i="31"/>
  <c r="I44" i="27"/>
  <c r="G50" i="31"/>
  <c r="M50" i="31"/>
  <c r="A115" i="41"/>
  <c r="U114" i="41"/>
  <c r="D114" i="41"/>
  <c r="A58" i="31"/>
  <c r="C55" i="31"/>
  <c r="M54" i="31" s="1"/>
  <c r="V47" i="31"/>
  <c r="M47" i="27" s="1"/>
  <c r="N47" i="27" s="1"/>
  <c r="H47" i="27"/>
  <c r="N47" i="31"/>
  <c r="AB91" i="41"/>
  <c r="L91" i="41"/>
  <c r="M91" i="41" s="1"/>
  <c r="A56" i="27"/>
  <c r="C53" i="27"/>
  <c r="M46" i="27"/>
  <c r="N46" i="27" s="1"/>
  <c r="G52" i="38"/>
  <c r="A110" i="41"/>
  <c r="U109" i="41"/>
  <c r="D109" i="41"/>
  <c r="E97" i="41"/>
  <c r="A130" i="41"/>
  <c r="A125" i="41"/>
  <c r="D124" i="41"/>
  <c r="U124" i="41"/>
  <c r="R46" i="31"/>
  <c r="S46" i="31"/>
  <c r="AH46" i="31" s="1"/>
  <c r="H46" i="31"/>
  <c r="P46" i="31"/>
  <c r="Q46" i="31"/>
  <c r="AG46" i="31" s="1"/>
  <c r="A56" i="31"/>
  <c r="C53" i="31"/>
  <c r="G51" i="31"/>
  <c r="A61" i="38"/>
  <c r="C58" i="38"/>
  <c r="A22" i="34"/>
  <c r="AT58" i="39"/>
  <c r="AU55" i="39"/>
  <c r="N52" i="38"/>
  <c r="O52" i="38" s="1"/>
  <c r="V52" i="38"/>
  <c r="M54" i="38"/>
  <c r="G54" i="38"/>
  <c r="AB101" i="41"/>
  <c r="L101" i="41"/>
  <c r="M101" i="41" s="1"/>
  <c r="E107" i="41"/>
  <c r="Q85" i="41"/>
  <c r="A105" i="41"/>
  <c r="D104" i="41"/>
  <c r="U104" i="41"/>
  <c r="O46" i="31"/>
  <c r="I46" i="27"/>
  <c r="V55" i="38" l="1"/>
  <c r="N55" i="38"/>
  <c r="O55" i="38" s="1"/>
  <c r="V54" i="31"/>
  <c r="N54" i="31"/>
  <c r="H54" i="27"/>
  <c r="P51" i="31"/>
  <c r="H51" i="31"/>
  <c r="S51" i="31"/>
  <c r="AH51" i="31" s="1"/>
  <c r="R51" i="31"/>
  <c r="Q51" i="31"/>
  <c r="AG51" i="31" s="1"/>
  <c r="M53" i="31"/>
  <c r="G53" i="31"/>
  <c r="E123" i="41"/>
  <c r="E108" i="41"/>
  <c r="E113" i="41"/>
  <c r="V50" i="31"/>
  <c r="M50" i="27" s="1"/>
  <c r="N50" i="27" s="1"/>
  <c r="N50" i="31"/>
  <c r="H50" i="27"/>
  <c r="AB112" i="41"/>
  <c r="AF112" i="41"/>
  <c r="L112" i="41"/>
  <c r="M112" i="41" s="1"/>
  <c r="A62" i="38"/>
  <c r="C59" i="38"/>
  <c r="M58" i="38" s="1"/>
  <c r="M52" i="31"/>
  <c r="AB92" i="41"/>
  <c r="L92" i="41"/>
  <c r="M92" i="41" s="1"/>
  <c r="O51" i="38"/>
  <c r="R53" i="38"/>
  <c r="P53" i="38"/>
  <c r="S53" i="38"/>
  <c r="AH53" i="38" s="1"/>
  <c r="H53" i="38"/>
  <c r="Q53" i="38"/>
  <c r="AG53" i="38" s="1"/>
  <c r="A61" i="27"/>
  <c r="C58" i="27"/>
  <c r="O49" i="31"/>
  <c r="I49" i="27"/>
  <c r="O51" i="31"/>
  <c r="I51" i="27"/>
  <c r="V54" i="38"/>
  <c r="N54" i="38"/>
  <c r="O47" i="31"/>
  <c r="I47" i="27"/>
  <c r="M96" i="41"/>
  <c r="Q91" i="41"/>
  <c r="G52" i="31"/>
  <c r="M51" i="27"/>
  <c r="N51" i="27" s="1"/>
  <c r="V53" i="38"/>
  <c r="N53" i="38"/>
  <c r="O53" i="38" s="1"/>
  <c r="G55" i="38"/>
  <c r="P54" i="38"/>
  <c r="H54" i="38"/>
  <c r="R54" i="38"/>
  <c r="Q54" i="38"/>
  <c r="AG54" i="38" s="1"/>
  <c r="S54" i="38"/>
  <c r="AH54" i="38" s="1"/>
  <c r="E103" i="41"/>
  <c r="A59" i="31"/>
  <c r="C56" i="31"/>
  <c r="R50" i="31"/>
  <c r="Q50" i="31"/>
  <c r="AG50" i="31" s="1"/>
  <c r="P50" i="31"/>
  <c r="S50" i="31"/>
  <c r="AH50" i="31" s="1"/>
  <c r="H50" i="31"/>
  <c r="E118" i="41"/>
  <c r="U105" i="41"/>
  <c r="D105" i="41"/>
  <c r="AU58" i="39"/>
  <c r="AT61" i="39"/>
  <c r="A126" i="41"/>
  <c r="D125" i="41"/>
  <c r="U125" i="41"/>
  <c r="C56" i="27"/>
  <c r="A59" i="27"/>
  <c r="M55" i="31"/>
  <c r="G55" i="31"/>
  <c r="A121" i="41"/>
  <c r="U120" i="41"/>
  <c r="D120" i="41"/>
  <c r="A63" i="31"/>
  <c r="C60" i="31"/>
  <c r="AF102" i="41"/>
  <c r="AB102" i="41"/>
  <c r="L102" i="41"/>
  <c r="A63" i="38"/>
  <c r="C60" i="38"/>
  <c r="G54" i="31"/>
  <c r="A66" i="27"/>
  <c r="C63" i="27"/>
  <c r="AB107" i="41"/>
  <c r="L107" i="41"/>
  <c r="M107" i="41" s="1"/>
  <c r="A23" i="34"/>
  <c r="A64" i="38"/>
  <c r="C61" i="38"/>
  <c r="U130" i="41"/>
  <c r="D130" i="41"/>
  <c r="A136" i="41"/>
  <c r="A131" i="41"/>
  <c r="AB97" i="41"/>
  <c r="L97" i="41"/>
  <c r="M97" i="41" s="1"/>
  <c r="A111" i="41"/>
  <c r="D110" i="41"/>
  <c r="U110" i="41"/>
  <c r="P52" i="38"/>
  <c r="S52" i="38"/>
  <c r="AH52" i="38" s="1"/>
  <c r="R52" i="38"/>
  <c r="Q52" i="38"/>
  <c r="AG52" i="38" s="1"/>
  <c r="H52" i="38"/>
  <c r="A61" i="31"/>
  <c r="C58" i="31"/>
  <c r="M57" i="31" s="1"/>
  <c r="A116" i="41"/>
  <c r="D115" i="41"/>
  <c r="U115" i="41"/>
  <c r="AU62" i="39"/>
  <c r="AT65" i="39"/>
  <c r="G57" i="31"/>
  <c r="M56" i="38"/>
  <c r="G56" i="38"/>
  <c r="AT63" i="39"/>
  <c r="AU60" i="39"/>
  <c r="M93" i="41"/>
  <c r="Q94" i="41"/>
  <c r="E98" i="41"/>
  <c r="L99" i="41"/>
  <c r="AB99" i="41"/>
  <c r="M57" i="38"/>
  <c r="G57" i="38"/>
  <c r="G58" i="38" l="1"/>
  <c r="H57" i="27"/>
  <c r="N57" i="31"/>
  <c r="V57" i="31"/>
  <c r="R57" i="38"/>
  <c r="S57" i="38"/>
  <c r="AH57" i="38" s="1"/>
  <c r="H57" i="38"/>
  <c r="Q57" i="38"/>
  <c r="AG57" i="38" s="1"/>
  <c r="P57" i="38"/>
  <c r="AB98" i="41"/>
  <c r="L98" i="41"/>
  <c r="M98" i="41" s="1"/>
  <c r="P56" i="38"/>
  <c r="H56" i="38"/>
  <c r="Q56" i="38"/>
  <c r="AG56" i="38" s="1"/>
  <c r="S56" i="38"/>
  <c r="AH56" i="38" s="1"/>
  <c r="R56" i="38"/>
  <c r="E114" i="41"/>
  <c r="U136" i="41"/>
  <c r="D136" i="41"/>
  <c r="A142" i="41"/>
  <c r="A137" i="41"/>
  <c r="A24" i="34"/>
  <c r="G60" i="38"/>
  <c r="M60" i="38"/>
  <c r="M102" i="41"/>
  <c r="A66" i="31"/>
  <c r="C63" i="31"/>
  <c r="V55" i="31"/>
  <c r="N55" i="31"/>
  <c r="H55" i="27"/>
  <c r="A127" i="41"/>
  <c r="U126" i="41"/>
  <c r="D126" i="41"/>
  <c r="G56" i="31"/>
  <c r="M56" i="31"/>
  <c r="AB103" i="41"/>
  <c r="L103" i="41"/>
  <c r="M103" i="41" s="1"/>
  <c r="M59" i="38"/>
  <c r="G59" i="38"/>
  <c r="M99" i="41"/>
  <c r="Q100" i="41"/>
  <c r="AT66" i="39"/>
  <c r="AU63" i="39"/>
  <c r="V56" i="38"/>
  <c r="N56" i="38"/>
  <c r="O56" i="38" s="1"/>
  <c r="G58" i="31"/>
  <c r="M58" i="31"/>
  <c r="R54" i="31"/>
  <c r="S54" i="31"/>
  <c r="AH54" i="31" s="1"/>
  <c r="P54" i="31"/>
  <c r="H54" i="31"/>
  <c r="Q54" i="31"/>
  <c r="AG54" i="31" s="1"/>
  <c r="A66" i="38"/>
  <c r="C63" i="38"/>
  <c r="C59" i="27"/>
  <c r="A62" i="27"/>
  <c r="C59" i="31"/>
  <c r="A62" i="31"/>
  <c r="O54" i="38"/>
  <c r="A64" i="27"/>
  <c r="C61" i="27"/>
  <c r="V52" i="31"/>
  <c r="N52" i="31"/>
  <c r="H52" i="27"/>
  <c r="A65" i="38"/>
  <c r="C62" i="38"/>
  <c r="M61" i="38" s="1"/>
  <c r="AB113" i="41"/>
  <c r="L113" i="41"/>
  <c r="M113" i="41" s="1"/>
  <c r="V57" i="38"/>
  <c r="N57" i="38"/>
  <c r="E129" i="41"/>
  <c r="AU65" i="39"/>
  <c r="AT68" i="39"/>
  <c r="A117" i="41"/>
  <c r="D116" i="41"/>
  <c r="U116" i="41"/>
  <c r="A64" i="31"/>
  <c r="C61" i="31"/>
  <c r="E109" i="41"/>
  <c r="A69" i="27"/>
  <c r="C66" i="27"/>
  <c r="A122" i="41"/>
  <c r="D121" i="41"/>
  <c r="U121" i="41"/>
  <c r="V58" i="38"/>
  <c r="N58" i="38"/>
  <c r="O58" i="38" s="1"/>
  <c r="AU61" i="39"/>
  <c r="AT64" i="39"/>
  <c r="R55" i="38"/>
  <c r="S55" i="38"/>
  <c r="AH55" i="38" s="1"/>
  <c r="H55" i="38"/>
  <c r="Q55" i="38"/>
  <c r="AG55" i="38" s="1"/>
  <c r="P55" i="38"/>
  <c r="R52" i="31"/>
  <c r="S52" i="31"/>
  <c r="AH52" i="31" s="1"/>
  <c r="P52" i="31"/>
  <c r="H52" i="31"/>
  <c r="Q52" i="31"/>
  <c r="AG52" i="31" s="1"/>
  <c r="M54" i="27"/>
  <c r="N54" i="27" s="1"/>
  <c r="O50" i="31"/>
  <c r="I50" i="27"/>
  <c r="AF108" i="41"/>
  <c r="AB108" i="41"/>
  <c r="L108" i="41"/>
  <c r="P53" i="31"/>
  <c r="H53" i="31"/>
  <c r="Q53" i="31"/>
  <c r="AG53" i="31" s="1"/>
  <c r="S53" i="31"/>
  <c r="AH53" i="31" s="1"/>
  <c r="R53" i="31"/>
  <c r="P57" i="31"/>
  <c r="H57" i="31"/>
  <c r="Q57" i="31"/>
  <c r="AG57" i="31" s="1"/>
  <c r="R57" i="31"/>
  <c r="S57" i="31"/>
  <c r="AH57" i="31" s="1"/>
  <c r="U111" i="41"/>
  <c r="D111" i="41"/>
  <c r="U131" i="41"/>
  <c r="D131" i="41"/>
  <c r="A132" i="41"/>
  <c r="A67" i="38"/>
  <c r="C64" i="38"/>
  <c r="G60" i="31"/>
  <c r="M60" i="31"/>
  <c r="E119" i="41"/>
  <c r="P55" i="31"/>
  <c r="H55" i="31"/>
  <c r="Q55" i="31"/>
  <c r="AG55" i="31" s="1"/>
  <c r="R55" i="31"/>
  <c r="S55" i="31"/>
  <c r="AH55" i="31" s="1"/>
  <c r="E124" i="41"/>
  <c r="R58" i="38"/>
  <c r="P58" i="38"/>
  <c r="H58" i="38"/>
  <c r="S58" i="38"/>
  <c r="AH58" i="38" s="1"/>
  <c r="Q58" i="38"/>
  <c r="AG58" i="38" s="1"/>
  <c r="E104" i="41"/>
  <c r="L105" i="41"/>
  <c r="AB105" i="41"/>
  <c r="AB118" i="41"/>
  <c r="AF118" i="41"/>
  <c r="L118" i="41"/>
  <c r="M118" i="41" s="1"/>
  <c r="Q97" i="41"/>
  <c r="V53" i="31"/>
  <c r="N53" i="31"/>
  <c r="H53" i="27"/>
  <c r="O54" i="31"/>
  <c r="I54" i="27"/>
  <c r="M55" i="27"/>
  <c r="N55" i="27" s="1"/>
  <c r="G61" i="38" l="1"/>
  <c r="Q61" i="38" s="1"/>
  <c r="AG61" i="38" s="1"/>
  <c r="V60" i="31"/>
  <c r="N60" i="31"/>
  <c r="H60" i="27"/>
  <c r="M108" i="41"/>
  <c r="E120" i="41"/>
  <c r="V61" i="38"/>
  <c r="N61" i="38"/>
  <c r="O61" i="38" s="1"/>
  <c r="AB109" i="41"/>
  <c r="L109" i="41"/>
  <c r="M109" i="41" s="1"/>
  <c r="A67" i="31"/>
  <c r="C64" i="31"/>
  <c r="M63" i="31" s="1"/>
  <c r="U117" i="41"/>
  <c r="D117" i="41"/>
  <c r="M57" i="27"/>
  <c r="N57" i="27" s="1"/>
  <c r="C65" i="38"/>
  <c r="G64" i="38" s="1"/>
  <c r="A68" i="38"/>
  <c r="M63" i="38"/>
  <c r="G63" i="38"/>
  <c r="V58" i="31"/>
  <c r="M58" i="27" s="1"/>
  <c r="N58" i="27" s="1"/>
  <c r="N58" i="31"/>
  <c r="H58" i="27"/>
  <c r="V59" i="38"/>
  <c r="N59" i="38"/>
  <c r="O59" i="38" s="1"/>
  <c r="R56" i="31"/>
  <c r="S56" i="31"/>
  <c r="AH56" i="31" s="1"/>
  <c r="Q56" i="31"/>
  <c r="AG56" i="31" s="1"/>
  <c r="P56" i="31"/>
  <c r="H56" i="31"/>
  <c r="E125" i="41"/>
  <c r="A69" i="31"/>
  <c r="C66" i="31"/>
  <c r="V60" i="38"/>
  <c r="N60" i="38"/>
  <c r="Q106" i="41"/>
  <c r="M105" i="41"/>
  <c r="P61" i="38"/>
  <c r="H61" i="38"/>
  <c r="R61" i="38"/>
  <c r="S61" i="38"/>
  <c r="AH61" i="38" s="1"/>
  <c r="R58" i="31"/>
  <c r="S58" i="31"/>
  <c r="AH58" i="31" s="1"/>
  <c r="Q58" i="31"/>
  <c r="AG58" i="31" s="1"/>
  <c r="H58" i="31"/>
  <c r="P58" i="31"/>
  <c r="AU66" i="39"/>
  <c r="AT69" i="39"/>
  <c r="R60" i="38"/>
  <c r="P60" i="38"/>
  <c r="H60" i="38"/>
  <c r="S60" i="38"/>
  <c r="AH60" i="38" s="1"/>
  <c r="Q60" i="38"/>
  <c r="AG60" i="38" s="1"/>
  <c r="A25" i="34"/>
  <c r="U137" i="41"/>
  <c r="D137" i="41"/>
  <c r="A138" i="41"/>
  <c r="O52" i="31"/>
  <c r="I52" i="27"/>
  <c r="C64" i="27"/>
  <c r="A67" i="27"/>
  <c r="A69" i="38"/>
  <c r="C66" i="38"/>
  <c r="AB104" i="41"/>
  <c r="L104" i="41"/>
  <c r="M104" i="41" s="1"/>
  <c r="A70" i="38"/>
  <c r="C67" i="38"/>
  <c r="A123" i="41"/>
  <c r="D122" i="41"/>
  <c r="U122" i="41"/>
  <c r="A72" i="27"/>
  <c r="C69" i="27"/>
  <c r="AT71" i="39"/>
  <c r="AU68" i="39"/>
  <c r="M52" i="27"/>
  <c r="N52" i="27" s="1"/>
  <c r="A65" i="31"/>
  <c r="C62" i="31"/>
  <c r="C62" i="27"/>
  <c r="A65" i="27"/>
  <c r="O55" i="31"/>
  <c r="I55" i="27"/>
  <c r="U142" i="41"/>
  <c r="D142" i="41"/>
  <c r="A148" i="41"/>
  <c r="A143" i="41"/>
  <c r="O53" i="31"/>
  <c r="I53" i="27"/>
  <c r="AB124" i="41"/>
  <c r="AF124" i="41"/>
  <c r="L124" i="41"/>
  <c r="M124" i="41" s="1"/>
  <c r="U132" i="41"/>
  <c r="D132" i="41"/>
  <c r="A133" i="41"/>
  <c r="R60" i="31"/>
  <c r="S60" i="31"/>
  <c r="AH60" i="31" s="1"/>
  <c r="P60" i="31"/>
  <c r="H60" i="31"/>
  <c r="Q60" i="31"/>
  <c r="AG60" i="31" s="1"/>
  <c r="M64" i="38"/>
  <c r="E130" i="41"/>
  <c r="AB119" i="41"/>
  <c r="L119" i="41"/>
  <c r="M119" i="41" s="1"/>
  <c r="E110" i="41"/>
  <c r="L111" i="41"/>
  <c r="AB111" i="41"/>
  <c r="AU64" i="39"/>
  <c r="AT67" i="39"/>
  <c r="M61" i="31"/>
  <c r="G61" i="31"/>
  <c r="E115" i="41"/>
  <c r="O57" i="38"/>
  <c r="G62" i="38"/>
  <c r="M62" i="38"/>
  <c r="M59" i="31"/>
  <c r="G59" i="31"/>
  <c r="P59" i="38"/>
  <c r="H59" i="38"/>
  <c r="R59" i="38"/>
  <c r="S59" i="38"/>
  <c r="AH59" i="38" s="1"/>
  <c r="Q59" i="38"/>
  <c r="AG59" i="38" s="1"/>
  <c r="M53" i="27"/>
  <c r="N53" i="27" s="1"/>
  <c r="V56" i="31"/>
  <c r="M56" i="27" s="1"/>
  <c r="N56" i="27" s="1"/>
  <c r="N56" i="31"/>
  <c r="H56" i="27"/>
  <c r="A128" i="41"/>
  <c r="U127" i="41"/>
  <c r="D127" i="41"/>
  <c r="G63" i="31"/>
  <c r="Q103" i="41"/>
  <c r="E135" i="41"/>
  <c r="AF114" i="41"/>
  <c r="AB114" i="41"/>
  <c r="L114" i="41"/>
  <c r="O57" i="31"/>
  <c r="I57" i="27"/>
  <c r="V59" i="31" l="1"/>
  <c r="N59" i="31"/>
  <c r="H59" i="27"/>
  <c r="P63" i="31"/>
  <c r="H63" i="31"/>
  <c r="S63" i="31"/>
  <c r="AH63" i="31" s="1"/>
  <c r="Q63" i="31"/>
  <c r="AG63" i="31" s="1"/>
  <c r="R63" i="31"/>
  <c r="V64" i="38"/>
  <c r="N64" i="38"/>
  <c r="O64" i="38" s="1"/>
  <c r="C65" i="27"/>
  <c r="A68" i="27"/>
  <c r="E121" i="41"/>
  <c r="A73" i="38"/>
  <c r="C70" i="38"/>
  <c r="AT72" i="39"/>
  <c r="AU69" i="39"/>
  <c r="O60" i="38"/>
  <c r="O58" i="31"/>
  <c r="I58" i="27"/>
  <c r="AF120" i="41"/>
  <c r="AB120" i="41"/>
  <c r="L120" i="41"/>
  <c r="P61" i="31"/>
  <c r="H61" i="31"/>
  <c r="Q61" i="31"/>
  <c r="AG61" i="31" s="1"/>
  <c r="S61" i="31"/>
  <c r="AH61" i="31" s="1"/>
  <c r="R61" i="31"/>
  <c r="AT70" i="39"/>
  <c r="AU67" i="39"/>
  <c r="V61" i="31"/>
  <c r="M61" i="27" s="1"/>
  <c r="N61" i="27" s="1"/>
  <c r="N61" i="31"/>
  <c r="H61" i="27"/>
  <c r="AB110" i="41"/>
  <c r="L110" i="41"/>
  <c r="M110" i="41" s="1"/>
  <c r="M114" i="41"/>
  <c r="A129" i="41"/>
  <c r="D128" i="41"/>
  <c r="U128" i="41"/>
  <c r="O56" i="31"/>
  <c r="I56" i="27"/>
  <c r="R64" i="38"/>
  <c r="P64" i="38"/>
  <c r="H64" i="38"/>
  <c r="S64" i="38"/>
  <c r="AH64" i="38" s="1"/>
  <c r="Q64" i="38"/>
  <c r="AG64" i="38" s="1"/>
  <c r="U133" i="41"/>
  <c r="D133" i="41"/>
  <c r="A134" i="41"/>
  <c r="U143" i="41"/>
  <c r="D143" i="41"/>
  <c r="A144" i="41"/>
  <c r="AU71" i="39"/>
  <c r="AT74" i="39"/>
  <c r="C72" i="27"/>
  <c r="A75" i="27"/>
  <c r="U123" i="41"/>
  <c r="D123" i="41"/>
  <c r="C67" i="27"/>
  <c r="A70" i="27"/>
  <c r="U138" i="41"/>
  <c r="D138" i="41"/>
  <c r="A139" i="41"/>
  <c r="A26" i="34"/>
  <c r="M60" i="27"/>
  <c r="N60" i="27" s="1"/>
  <c r="A72" i="31"/>
  <c r="C69" i="31"/>
  <c r="AB125" i="41"/>
  <c r="L125" i="41"/>
  <c r="M125" i="41" s="1"/>
  <c r="A71" i="38"/>
  <c r="C68" i="38"/>
  <c r="M67" i="38" s="1"/>
  <c r="A70" i="31"/>
  <c r="C67" i="31"/>
  <c r="M66" i="31" s="1"/>
  <c r="O60" i="31"/>
  <c r="I60" i="27"/>
  <c r="N63" i="31"/>
  <c r="V63" i="31"/>
  <c r="H63" i="27"/>
  <c r="E126" i="41"/>
  <c r="P59" i="31"/>
  <c r="H59" i="31"/>
  <c r="Q59" i="31"/>
  <c r="AG59" i="31" s="1"/>
  <c r="S59" i="31"/>
  <c r="AH59" i="31" s="1"/>
  <c r="R59" i="31"/>
  <c r="V62" i="38"/>
  <c r="N62" i="38"/>
  <c r="O62" i="38" s="1"/>
  <c r="AB115" i="41"/>
  <c r="L115" i="41"/>
  <c r="M115" i="41" s="1"/>
  <c r="E131" i="41"/>
  <c r="U148" i="41"/>
  <c r="D148" i="41"/>
  <c r="A154" i="41"/>
  <c r="A149" i="41"/>
  <c r="M62" i="31"/>
  <c r="G62" i="31"/>
  <c r="G66" i="38"/>
  <c r="M66" i="38"/>
  <c r="E136" i="41"/>
  <c r="M59" i="27"/>
  <c r="N59" i="27" s="1"/>
  <c r="P63" i="38"/>
  <c r="H63" i="38"/>
  <c r="R63" i="38"/>
  <c r="S63" i="38"/>
  <c r="AH63" i="38" s="1"/>
  <c r="Q63" i="38"/>
  <c r="AG63" i="38" s="1"/>
  <c r="G65" i="38"/>
  <c r="M65" i="38"/>
  <c r="Q109" i="41"/>
  <c r="R62" i="38"/>
  <c r="P62" i="38"/>
  <c r="H62" i="38"/>
  <c r="S62" i="38"/>
  <c r="AH62" i="38" s="1"/>
  <c r="Q62" i="38"/>
  <c r="AG62" i="38" s="1"/>
  <c r="Q112" i="41"/>
  <c r="M111" i="41"/>
  <c r="AF130" i="41"/>
  <c r="AB130" i="41"/>
  <c r="L130" i="41"/>
  <c r="M130" i="41" s="1"/>
  <c r="E141" i="41"/>
  <c r="A68" i="31"/>
  <c r="C65" i="31"/>
  <c r="G64" i="31" s="1"/>
  <c r="A72" i="38"/>
  <c r="C69" i="38"/>
  <c r="V63" i="38"/>
  <c r="N63" i="38"/>
  <c r="E116" i="41"/>
  <c r="L117" i="41"/>
  <c r="AB117" i="41"/>
  <c r="G67" i="38" l="1"/>
  <c r="H67" i="38" s="1"/>
  <c r="V66" i="31"/>
  <c r="N66" i="31"/>
  <c r="H66" i="27"/>
  <c r="R64" i="31"/>
  <c r="Q64" i="31"/>
  <c r="AG64" i="31" s="1"/>
  <c r="S64" i="31"/>
  <c r="AH64" i="31" s="1"/>
  <c r="P64" i="31"/>
  <c r="H64" i="31"/>
  <c r="Q118" i="41"/>
  <c r="M117" i="41"/>
  <c r="AB116" i="41"/>
  <c r="L116" i="41"/>
  <c r="M116" i="41" s="1"/>
  <c r="G69" i="38"/>
  <c r="M69" i="38"/>
  <c r="P65" i="38"/>
  <c r="H65" i="38"/>
  <c r="R65" i="38"/>
  <c r="Q65" i="38"/>
  <c r="AG65" i="38" s="1"/>
  <c r="S65" i="38"/>
  <c r="AH65" i="38" s="1"/>
  <c r="R66" i="38"/>
  <c r="P66" i="38"/>
  <c r="H66" i="38"/>
  <c r="S66" i="38"/>
  <c r="AH66" i="38" s="1"/>
  <c r="Q66" i="38"/>
  <c r="AG66" i="38" s="1"/>
  <c r="V62" i="31"/>
  <c r="N62" i="31"/>
  <c r="H62" i="27"/>
  <c r="E147" i="41"/>
  <c r="A27" i="34"/>
  <c r="C70" i="27"/>
  <c r="A73" i="27"/>
  <c r="AU74" i="39"/>
  <c r="AT77" i="39"/>
  <c r="E142" i="41"/>
  <c r="E132" i="41"/>
  <c r="O61" i="31"/>
  <c r="I61" i="27"/>
  <c r="G66" i="31"/>
  <c r="A71" i="27"/>
  <c r="C68" i="27"/>
  <c r="V65" i="38"/>
  <c r="N65" i="38"/>
  <c r="O65" i="38" s="1"/>
  <c r="O63" i="38"/>
  <c r="A75" i="38"/>
  <c r="C72" i="38"/>
  <c r="G65" i="31"/>
  <c r="M65" i="31"/>
  <c r="AF136" i="41"/>
  <c r="AB136" i="41"/>
  <c r="L136" i="41"/>
  <c r="M136" i="41" s="1"/>
  <c r="AF126" i="41"/>
  <c r="AB126" i="41"/>
  <c r="L126" i="41"/>
  <c r="O63" i="31"/>
  <c r="I63" i="27"/>
  <c r="G68" i="38"/>
  <c r="M68" i="38"/>
  <c r="U139" i="41"/>
  <c r="D139" i="41"/>
  <c r="A140" i="41"/>
  <c r="E127" i="41"/>
  <c r="Q115" i="41"/>
  <c r="M120" i="41"/>
  <c r="M64" i="31"/>
  <c r="AU72" i="39"/>
  <c r="AT75" i="39"/>
  <c r="AB121" i="41"/>
  <c r="L121" i="41"/>
  <c r="M121" i="41" s="1"/>
  <c r="I59" i="27"/>
  <c r="O59" i="31"/>
  <c r="V67" i="38"/>
  <c r="N67" i="38"/>
  <c r="O67" i="38" s="1"/>
  <c r="M63" i="27"/>
  <c r="N63" i="27" s="1"/>
  <c r="P67" i="38"/>
  <c r="R67" i="38"/>
  <c r="S67" i="38"/>
  <c r="AH67" i="38" s="1"/>
  <c r="Q67" i="38"/>
  <c r="AG67" i="38" s="1"/>
  <c r="A71" i="31"/>
  <c r="C68" i="31"/>
  <c r="U149" i="41"/>
  <c r="D149" i="41"/>
  <c r="A150" i="41"/>
  <c r="M67" i="31"/>
  <c r="A74" i="38"/>
  <c r="C71" i="38"/>
  <c r="M70" i="38" s="1"/>
  <c r="A75" i="31"/>
  <c r="C72" i="31"/>
  <c r="E137" i="41"/>
  <c r="C75" i="27"/>
  <c r="A78" i="27"/>
  <c r="U129" i="41"/>
  <c r="D129" i="41"/>
  <c r="G70" i="38"/>
  <c r="V66" i="38"/>
  <c r="N66" i="38"/>
  <c r="R62" i="31"/>
  <c r="Q62" i="31"/>
  <c r="AG62" i="31" s="1"/>
  <c r="S62" i="31"/>
  <c r="AH62" i="31" s="1"/>
  <c r="H62" i="31"/>
  <c r="P62" i="31"/>
  <c r="U154" i="41"/>
  <c r="D154" i="41"/>
  <c r="A160" i="41"/>
  <c r="A155" i="41"/>
  <c r="AB131" i="41"/>
  <c r="L131" i="41"/>
  <c r="M131" i="41" s="1"/>
  <c r="A73" i="31"/>
  <c r="C70" i="31"/>
  <c r="G69" i="31" s="1"/>
  <c r="E122" i="41"/>
  <c r="L123" i="41"/>
  <c r="AB123" i="41"/>
  <c r="U144" i="41"/>
  <c r="D144" i="41"/>
  <c r="A145" i="41"/>
  <c r="U134" i="41"/>
  <c r="D134" i="41"/>
  <c r="A135" i="41"/>
  <c r="AT73" i="39"/>
  <c r="AU70" i="39"/>
  <c r="C73" i="38"/>
  <c r="A76" i="38"/>
  <c r="P69" i="31" l="1"/>
  <c r="H69" i="31"/>
  <c r="S69" i="31"/>
  <c r="AH69" i="31" s="1"/>
  <c r="Q69" i="31"/>
  <c r="AG69" i="31" s="1"/>
  <c r="R69" i="31"/>
  <c r="M66" i="27"/>
  <c r="N66" i="27" s="1"/>
  <c r="U135" i="41"/>
  <c r="D135" i="41"/>
  <c r="U145" i="41"/>
  <c r="D145" i="41"/>
  <c r="A146" i="41"/>
  <c r="A79" i="38"/>
  <c r="C76" i="38"/>
  <c r="AU73" i="39"/>
  <c r="AT76" i="39"/>
  <c r="E133" i="41"/>
  <c r="E143" i="41"/>
  <c r="AB122" i="41"/>
  <c r="L122" i="41"/>
  <c r="M122" i="41" s="1"/>
  <c r="E153" i="41"/>
  <c r="O66" i="38"/>
  <c r="M68" i="31"/>
  <c r="G68" i="31"/>
  <c r="U140" i="41"/>
  <c r="D140" i="41"/>
  <c r="A141" i="41"/>
  <c r="M69" i="31"/>
  <c r="A74" i="27"/>
  <c r="C71" i="27"/>
  <c r="P69" i="38"/>
  <c r="H69" i="38"/>
  <c r="R69" i="38"/>
  <c r="Q69" i="38"/>
  <c r="AG69" i="38" s="1"/>
  <c r="S69" i="38"/>
  <c r="AH69" i="38" s="1"/>
  <c r="V70" i="38"/>
  <c r="N70" i="38"/>
  <c r="O70" i="38" s="1"/>
  <c r="V67" i="31"/>
  <c r="N67" i="31"/>
  <c r="H67" i="27"/>
  <c r="U150" i="41"/>
  <c r="D150" i="41"/>
  <c r="A151" i="41"/>
  <c r="A74" i="31"/>
  <c r="C71" i="31"/>
  <c r="M70" i="31" s="1"/>
  <c r="V64" i="31"/>
  <c r="N64" i="31"/>
  <c r="H64" i="27"/>
  <c r="E138" i="41"/>
  <c r="M126" i="41"/>
  <c r="N65" i="31"/>
  <c r="H65" i="27"/>
  <c r="V65" i="31"/>
  <c r="G72" i="38"/>
  <c r="M72" i="38"/>
  <c r="AF142" i="41"/>
  <c r="AB142" i="41"/>
  <c r="L142" i="41"/>
  <c r="M142" i="41" s="1"/>
  <c r="C73" i="27"/>
  <c r="A76" i="27"/>
  <c r="A28" i="34"/>
  <c r="A76" i="31"/>
  <c r="C73" i="31"/>
  <c r="G72" i="31" s="1"/>
  <c r="U155" i="41"/>
  <c r="D155" i="41"/>
  <c r="A156" i="41"/>
  <c r="R70" i="38"/>
  <c r="P70" i="38"/>
  <c r="H70" i="38"/>
  <c r="S70" i="38"/>
  <c r="AH70" i="38" s="1"/>
  <c r="Q70" i="38"/>
  <c r="AG70" i="38" s="1"/>
  <c r="E128" i="41"/>
  <c r="L129" i="41"/>
  <c r="AB129" i="41"/>
  <c r="AB137" i="41"/>
  <c r="L137" i="41"/>
  <c r="M137" i="41" s="1"/>
  <c r="M71" i="38"/>
  <c r="G71" i="38"/>
  <c r="G67" i="31"/>
  <c r="E148" i="41"/>
  <c r="V68" i="38"/>
  <c r="N68" i="38"/>
  <c r="O68" i="38" s="1"/>
  <c r="P65" i="31"/>
  <c r="H65" i="31"/>
  <c r="S65" i="31"/>
  <c r="AH65" i="31" s="1"/>
  <c r="Q65" i="31"/>
  <c r="AG65" i="31" s="1"/>
  <c r="R65" i="31"/>
  <c r="A78" i="38"/>
  <c r="C75" i="38"/>
  <c r="M65" i="27"/>
  <c r="N65" i="27" s="1"/>
  <c r="R66" i="31"/>
  <c r="Q66" i="31"/>
  <c r="AG66" i="31" s="1"/>
  <c r="S66" i="31"/>
  <c r="AH66" i="31" s="1"/>
  <c r="P66" i="31"/>
  <c r="H66" i="31"/>
  <c r="AU77" i="39"/>
  <c r="AT80" i="39"/>
  <c r="M62" i="27"/>
  <c r="N62" i="27" s="1"/>
  <c r="O66" i="31"/>
  <c r="I66" i="27"/>
  <c r="Q124" i="41"/>
  <c r="M123" i="41"/>
  <c r="U160" i="41"/>
  <c r="D160" i="41"/>
  <c r="A166" i="41"/>
  <c r="A161" i="41"/>
  <c r="C78" i="27"/>
  <c r="A81" i="27"/>
  <c r="A78" i="31"/>
  <c r="C75" i="31"/>
  <c r="A77" i="38"/>
  <c r="C74" i="38"/>
  <c r="M73" i="38" s="1"/>
  <c r="M67" i="27"/>
  <c r="N67" i="27" s="1"/>
  <c r="AT78" i="39"/>
  <c r="AU75" i="39"/>
  <c r="Q121" i="41"/>
  <c r="AB127" i="41"/>
  <c r="L127" i="41"/>
  <c r="M127" i="41" s="1"/>
  <c r="R68" i="38"/>
  <c r="P68" i="38"/>
  <c r="H68" i="38"/>
  <c r="S68" i="38"/>
  <c r="AH68" i="38" s="1"/>
  <c r="Q68" i="38"/>
  <c r="AG68" i="38" s="1"/>
  <c r="AB132" i="41"/>
  <c r="AF132" i="41"/>
  <c r="L132" i="41"/>
  <c r="O62" i="31"/>
  <c r="I62" i="27"/>
  <c r="V69" i="38"/>
  <c r="N69" i="38"/>
  <c r="G70" i="31" l="1"/>
  <c r="Q70" i="31" s="1"/>
  <c r="AG70" i="31" s="1"/>
  <c r="V73" i="38"/>
  <c r="N73" i="38"/>
  <c r="O73" i="38" s="1"/>
  <c r="O69" i="38"/>
  <c r="A80" i="38"/>
  <c r="C77" i="38"/>
  <c r="C81" i="27"/>
  <c r="A84" i="27"/>
  <c r="U161" i="41"/>
  <c r="D161" i="41"/>
  <c r="A162" i="41"/>
  <c r="V71" i="38"/>
  <c r="N71" i="38"/>
  <c r="O71" i="38" s="1"/>
  <c r="Q130" i="41"/>
  <c r="M129" i="41"/>
  <c r="E154" i="41"/>
  <c r="R70" i="31"/>
  <c r="S70" i="31"/>
  <c r="AH70" i="31" s="1"/>
  <c r="H70" i="31"/>
  <c r="P70" i="31"/>
  <c r="A77" i="31"/>
  <c r="C74" i="31"/>
  <c r="M73" i="31" s="1"/>
  <c r="V69" i="31"/>
  <c r="H69" i="27"/>
  <c r="N69" i="31"/>
  <c r="AU76" i="39"/>
  <c r="AT79" i="39"/>
  <c r="G76" i="38"/>
  <c r="M76" i="38"/>
  <c r="E144" i="41"/>
  <c r="M69" i="27"/>
  <c r="N69" i="27" s="1"/>
  <c r="U166" i="41"/>
  <c r="D166" i="41"/>
  <c r="A172" i="41"/>
  <c r="A167" i="41"/>
  <c r="AF148" i="41"/>
  <c r="AB148" i="41"/>
  <c r="L148" i="41"/>
  <c r="M148" i="41" s="1"/>
  <c r="AB128" i="41"/>
  <c r="L128" i="41"/>
  <c r="M128" i="41" s="1"/>
  <c r="A79" i="31"/>
  <c r="C76" i="31"/>
  <c r="V70" i="31"/>
  <c r="M70" i="27" s="1"/>
  <c r="N70" i="27" s="1"/>
  <c r="N70" i="31"/>
  <c r="H70" i="27"/>
  <c r="V72" i="38"/>
  <c r="N72" i="38"/>
  <c r="O65" i="31"/>
  <c r="I65" i="27"/>
  <c r="A77" i="27"/>
  <c r="C74" i="27"/>
  <c r="R68" i="31"/>
  <c r="Q68" i="31"/>
  <c r="AG68" i="31" s="1"/>
  <c r="S68" i="31"/>
  <c r="AH68" i="31" s="1"/>
  <c r="H68" i="31"/>
  <c r="P68" i="31"/>
  <c r="AB143" i="41"/>
  <c r="L143" i="41"/>
  <c r="M143" i="41" s="1"/>
  <c r="A82" i="38"/>
  <c r="C79" i="38"/>
  <c r="G75" i="31"/>
  <c r="M75" i="31"/>
  <c r="E159" i="41"/>
  <c r="M75" i="38"/>
  <c r="G75" i="38"/>
  <c r="P67" i="31"/>
  <c r="H67" i="31"/>
  <c r="S67" i="31"/>
  <c r="AH67" i="31" s="1"/>
  <c r="Q67" i="31"/>
  <c r="AG67" i="31" s="1"/>
  <c r="R67" i="31"/>
  <c r="R72" i="31"/>
  <c r="Q72" i="31"/>
  <c r="AG72" i="31" s="1"/>
  <c r="S72" i="31"/>
  <c r="AH72" i="31" s="1"/>
  <c r="P72" i="31"/>
  <c r="H72" i="31"/>
  <c r="R72" i="38"/>
  <c r="P72" i="38"/>
  <c r="H72" i="38"/>
  <c r="S72" i="38"/>
  <c r="AH72" i="38" s="1"/>
  <c r="Q72" i="38"/>
  <c r="AG72" i="38" s="1"/>
  <c r="AB138" i="41"/>
  <c r="AF138" i="41"/>
  <c r="L138" i="41"/>
  <c r="O64" i="31"/>
  <c r="I64" i="27"/>
  <c r="U151" i="41"/>
  <c r="D151" i="41"/>
  <c r="A152" i="41"/>
  <c r="O67" i="31"/>
  <c r="I67" i="27"/>
  <c r="U141" i="41"/>
  <c r="D141" i="41"/>
  <c r="V68" i="31"/>
  <c r="N68" i="31"/>
  <c r="H68" i="27"/>
  <c r="M132" i="41"/>
  <c r="AU78" i="39"/>
  <c r="AT81" i="39"/>
  <c r="G74" i="38"/>
  <c r="M74" i="38"/>
  <c r="A81" i="31"/>
  <c r="C78" i="31"/>
  <c r="AT83" i="39"/>
  <c r="AU80" i="39"/>
  <c r="A81" i="38"/>
  <c r="C78" i="38"/>
  <c r="P71" i="38"/>
  <c r="H71" i="38"/>
  <c r="R71" i="38"/>
  <c r="S71" i="38"/>
  <c r="AH71" i="38" s="1"/>
  <c r="Q71" i="38"/>
  <c r="AG71" i="38" s="1"/>
  <c r="M72" i="31"/>
  <c r="U156" i="41"/>
  <c r="D156" i="41"/>
  <c r="A157" i="41"/>
  <c r="A29" i="34"/>
  <c r="A79" i="27"/>
  <c r="C76" i="27"/>
  <c r="Q127" i="41"/>
  <c r="M64" i="27"/>
  <c r="N64" i="27" s="1"/>
  <c r="G71" i="31"/>
  <c r="M71" i="31"/>
  <c r="E149" i="41"/>
  <c r="E139" i="41"/>
  <c r="AB133" i="41"/>
  <c r="L133" i="41"/>
  <c r="M133" i="41" s="1"/>
  <c r="U146" i="41"/>
  <c r="D146" i="41"/>
  <c r="A147" i="41"/>
  <c r="E134" i="41"/>
  <c r="L135" i="41"/>
  <c r="AB135" i="41"/>
  <c r="G73" i="38"/>
  <c r="N73" i="31" l="1"/>
  <c r="H73" i="27"/>
  <c r="V73" i="31"/>
  <c r="P71" i="31"/>
  <c r="H71" i="31"/>
  <c r="S71" i="31"/>
  <c r="AH71" i="31" s="1"/>
  <c r="Q71" i="31"/>
  <c r="AG71" i="31" s="1"/>
  <c r="R71" i="31"/>
  <c r="U157" i="41"/>
  <c r="D157" i="41"/>
  <c r="A158" i="41"/>
  <c r="E145" i="41"/>
  <c r="N71" i="31"/>
  <c r="V71" i="31"/>
  <c r="H71" i="27"/>
  <c r="A82" i="27"/>
  <c r="C79" i="27"/>
  <c r="R74" i="38"/>
  <c r="P74" i="38"/>
  <c r="H74" i="38"/>
  <c r="S74" i="38"/>
  <c r="AH74" i="38" s="1"/>
  <c r="Q74" i="38"/>
  <c r="AG74" i="38" s="1"/>
  <c r="E140" i="41"/>
  <c r="L141" i="41"/>
  <c r="AB141" i="41"/>
  <c r="A85" i="38"/>
  <c r="C82" i="38"/>
  <c r="C79" i="31"/>
  <c r="M78" i="31" s="1"/>
  <c r="A82" i="31"/>
  <c r="AT82" i="39"/>
  <c r="AU79" i="39"/>
  <c r="AF154" i="41"/>
  <c r="AB154" i="41"/>
  <c r="L154" i="41"/>
  <c r="M154" i="41" s="1"/>
  <c r="M71" i="27"/>
  <c r="N71" i="27" s="1"/>
  <c r="U162" i="41"/>
  <c r="D162" i="41"/>
  <c r="A163" i="41"/>
  <c r="Q136" i="41"/>
  <c r="M135" i="41"/>
  <c r="AB139" i="41"/>
  <c r="L139" i="41"/>
  <c r="M139" i="41" s="1"/>
  <c r="AT86" i="39"/>
  <c r="AU83" i="39"/>
  <c r="M138" i="41"/>
  <c r="P75" i="38"/>
  <c r="H75" i="38"/>
  <c r="R75" i="38"/>
  <c r="S75" i="38"/>
  <c r="AH75" i="38" s="1"/>
  <c r="Q75" i="38"/>
  <c r="AG75" i="38" s="1"/>
  <c r="V75" i="31"/>
  <c r="N75" i="31"/>
  <c r="H75" i="27"/>
  <c r="U167" i="41"/>
  <c r="D167" i="41"/>
  <c r="A168" i="41"/>
  <c r="AB144" i="41"/>
  <c r="AF144" i="41"/>
  <c r="L144" i="41"/>
  <c r="O69" i="31"/>
  <c r="I69" i="27"/>
  <c r="E160" i="41"/>
  <c r="G77" i="38"/>
  <c r="M77" i="38"/>
  <c r="V72" i="31"/>
  <c r="N72" i="31"/>
  <c r="H72" i="27"/>
  <c r="AB134" i="41"/>
  <c r="L134" i="41"/>
  <c r="M134" i="41" s="1"/>
  <c r="O68" i="31"/>
  <c r="I68" i="27"/>
  <c r="U152" i="41"/>
  <c r="D152" i="41"/>
  <c r="A153" i="41"/>
  <c r="V75" i="38"/>
  <c r="N75" i="38"/>
  <c r="S75" i="31"/>
  <c r="AH75" i="31" s="1"/>
  <c r="P75" i="31"/>
  <c r="H75" i="31"/>
  <c r="Q75" i="31"/>
  <c r="AG75" i="31" s="1"/>
  <c r="R75" i="31"/>
  <c r="A80" i="27"/>
  <c r="C77" i="27"/>
  <c r="O70" i="31"/>
  <c r="I70" i="27"/>
  <c r="U172" i="41"/>
  <c r="D172" i="41"/>
  <c r="A178" i="41"/>
  <c r="A173" i="41"/>
  <c r="V76" i="38"/>
  <c r="N76" i="38"/>
  <c r="O76" i="38" s="1"/>
  <c r="M74" i="31"/>
  <c r="G74" i="31"/>
  <c r="G73" i="31"/>
  <c r="A83" i="38"/>
  <c r="C80" i="38"/>
  <c r="M79" i="38" s="1"/>
  <c r="M73" i="27"/>
  <c r="N73" i="27" s="1"/>
  <c r="P73" i="38"/>
  <c r="H73" i="38"/>
  <c r="R73" i="38"/>
  <c r="Q73" i="38"/>
  <c r="AG73" i="38" s="1"/>
  <c r="S73" i="38"/>
  <c r="AH73" i="38" s="1"/>
  <c r="A30" i="34"/>
  <c r="E155" i="41"/>
  <c r="G78" i="38"/>
  <c r="M78" i="38"/>
  <c r="A84" i="31"/>
  <c r="C81" i="31"/>
  <c r="U147" i="41"/>
  <c r="D147" i="41"/>
  <c r="AB149" i="41"/>
  <c r="L149" i="41"/>
  <c r="M149" i="41" s="1"/>
  <c r="C81" i="38"/>
  <c r="A84" i="38"/>
  <c r="V74" i="38"/>
  <c r="N74" i="38"/>
  <c r="O74" i="38" s="1"/>
  <c r="AU81" i="39"/>
  <c r="AT84" i="39"/>
  <c r="Q133" i="41"/>
  <c r="E150" i="41"/>
  <c r="M68" i="27"/>
  <c r="N68" i="27" s="1"/>
  <c r="O72" i="38"/>
  <c r="E165" i="41"/>
  <c r="R76" i="38"/>
  <c r="P76" i="38"/>
  <c r="H76" i="38"/>
  <c r="S76" i="38"/>
  <c r="AH76" i="38" s="1"/>
  <c r="Q76" i="38"/>
  <c r="AG76" i="38" s="1"/>
  <c r="A80" i="31"/>
  <c r="C77" i="31"/>
  <c r="A87" i="27"/>
  <c r="C84" i="27"/>
  <c r="G78" i="31" l="1"/>
  <c r="H78" i="31" s="1"/>
  <c r="G79" i="38"/>
  <c r="V78" i="38"/>
  <c r="N78" i="38"/>
  <c r="A31" i="34"/>
  <c r="U178" i="41"/>
  <c r="D178" i="41"/>
  <c r="A184" i="41"/>
  <c r="A179" i="41"/>
  <c r="C80" i="27"/>
  <c r="A83" i="27"/>
  <c r="U168" i="41"/>
  <c r="D168" i="41"/>
  <c r="A169" i="41"/>
  <c r="S78" i="31"/>
  <c r="AH78" i="31" s="1"/>
  <c r="R78" i="31"/>
  <c r="E161" i="41"/>
  <c r="C82" i="31"/>
  <c r="G81" i="31" s="1"/>
  <c r="A85" i="31"/>
  <c r="M72" i="27"/>
  <c r="N72" i="27" s="1"/>
  <c r="A88" i="38"/>
  <c r="C85" i="38"/>
  <c r="A85" i="27"/>
  <c r="C82" i="27"/>
  <c r="E156" i="41"/>
  <c r="G81" i="38"/>
  <c r="M81" i="38"/>
  <c r="G77" i="31"/>
  <c r="M77" i="31"/>
  <c r="AU84" i="39"/>
  <c r="AT87" i="39"/>
  <c r="E146" i="41"/>
  <c r="L147" i="41"/>
  <c r="AB147" i="41"/>
  <c r="R78" i="38"/>
  <c r="P78" i="38"/>
  <c r="H78" i="38"/>
  <c r="S78" i="38"/>
  <c r="AH78" i="38" s="1"/>
  <c r="Q78" i="38"/>
  <c r="AG78" i="38" s="1"/>
  <c r="G80" i="38"/>
  <c r="M80" i="38"/>
  <c r="P73" i="31"/>
  <c r="H73" i="31"/>
  <c r="S73" i="31"/>
  <c r="AH73" i="31" s="1"/>
  <c r="Q73" i="31"/>
  <c r="AG73" i="31" s="1"/>
  <c r="R73" i="31"/>
  <c r="E171" i="41"/>
  <c r="U153" i="41"/>
  <c r="D153" i="41"/>
  <c r="M144" i="41"/>
  <c r="E166" i="41"/>
  <c r="N78" i="31"/>
  <c r="H78" i="27"/>
  <c r="V78" i="31"/>
  <c r="AB145" i="41"/>
  <c r="L145" i="41"/>
  <c r="M145" i="41" s="1"/>
  <c r="G76" i="31"/>
  <c r="M81" i="31"/>
  <c r="C83" i="38"/>
  <c r="A86" i="38"/>
  <c r="R74" i="31"/>
  <c r="Q74" i="31"/>
  <c r="AG74" i="31" s="1"/>
  <c r="S74" i="31"/>
  <c r="AH74" i="31" s="1"/>
  <c r="P74" i="31"/>
  <c r="H74" i="31"/>
  <c r="O75" i="38"/>
  <c r="E151" i="41"/>
  <c r="V77" i="38"/>
  <c r="N77" i="38"/>
  <c r="O77" i="38" s="1"/>
  <c r="Q142" i="41"/>
  <c r="M141" i="41"/>
  <c r="P79" i="38"/>
  <c r="H79" i="38"/>
  <c r="R79" i="38"/>
  <c r="S79" i="38"/>
  <c r="AH79" i="38" s="1"/>
  <c r="Q79" i="38"/>
  <c r="AG79" i="38" s="1"/>
  <c r="A83" i="31"/>
  <c r="C80" i="31"/>
  <c r="M79" i="31" s="1"/>
  <c r="V79" i="38"/>
  <c r="N79" i="38"/>
  <c r="O79" i="38" s="1"/>
  <c r="A90" i="27"/>
  <c r="C87" i="27"/>
  <c r="M76" i="31"/>
  <c r="AB150" i="41"/>
  <c r="AF150" i="41"/>
  <c r="L150" i="41"/>
  <c r="A87" i="38"/>
  <c r="C84" i="38"/>
  <c r="A87" i="31"/>
  <c r="C84" i="31"/>
  <c r="AB155" i="41"/>
  <c r="L155" i="41"/>
  <c r="M155" i="41" s="1"/>
  <c r="V74" i="31"/>
  <c r="N74" i="31"/>
  <c r="H74" i="27"/>
  <c r="U173" i="41"/>
  <c r="D173" i="41"/>
  <c r="A174" i="41"/>
  <c r="M75" i="27"/>
  <c r="N75" i="27" s="1"/>
  <c r="O72" i="31"/>
  <c r="I72" i="27"/>
  <c r="P77" i="38"/>
  <c r="H77" i="38"/>
  <c r="R77" i="38"/>
  <c r="Q77" i="38"/>
  <c r="AG77" i="38" s="1"/>
  <c r="S77" i="38"/>
  <c r="AH77" i="38" s="1"/>
  <c r="AF160" i="41"/>
  <c r="AB160" i="41"/>
  <c r="L160" i="41"/>
  <c r="M160" i="41" s="1"/>
  <c r="O75" i="31"/>
  <c r="I75" i="27"/>
  <c r="Q139" i="41"/>
  <c r="AT89" i="39"/>
  <c r="AU86" i="39"/>
  <c r="U163" i="41"/>
  <c r="D163" i="41"/>
  <c r="A164" i="41"/>
  <c r="AT85" i="39"/>
  <c r="AU82" i="39"/>
  <c r="M82" i="38"/>
  <c r="G82" i="38"/>
  <c r="AB140" i="41"/>
  <c r="L140" i="41"/>
  <c r="M140" i="41" s="1"/>
  <c r="O71" i="31"/>
  <c r="I71" i="27"/>
  <c r="U158" i="41"/>
  <c r="D158" i="41"/>
  <c r="A159" i="41"/>
  <c r="O73" i="31"/>
  <c r="I73" i="27"/>
  <c r="P78" i="31" l="1"/>
  <c r="Q78" i="31"/>
  <c r="AG78" i="31" s="1"/>
  <c r="N79" i="31"/>
  <c r="V79" i="31"/>
  <c r="H79" i="27"/>
  <c r="U174" i="41"/>
  <c r="D174" i="41"/>
  <c r="A175" i="41"/>
  <c r="O74" i="31"/>
  <c r="I74" i="27"/>
  <c r="AB151" i="41"/>
  <c r="L151" i="41"/>
  <c r="M151" i="41" s="1"/>
  <c r="Q76" i="31"/>
  <c r="AG76" i="31" s="1"/>
  <c r="P76" i="31"/>
  <c r="R76" i="31"/>
  <c r="H76" i="31"/>
  <c r="S76" i="31"/>
  <c r="AH76" i="31" s="1"/>
  <c r="V80" i="38"/>
  <c r="N80" i="38"/>
  <c r="O80" i="38" s="1"/>
  <c r="AT90" i="39"/>
  <c r="AU87" i="39"/>
  <c r="S77" i="31"/>
  <c r="AH77" i="31" s="1"/>
  <c r="R77" i="31"/>
  <c r="H77" i="31"/>
  <c r="Q77" i="31"/>
  <c r="AG77" i="31" s="1"/>
  <c r="P77" i="31"/>
  <c r="C83" i="27"/>
  <c r="A86" i="27"/>
  <c r="U184" i="41"/>
  <c r="D184" i="41"/>
  <c r="A190" i="41"/>
  <c r="A185" i="41"/>
  <c r="M78" i="27"/>
  <c r="N78" i="27" s="1"/>
  <c r="V82" i="38"/>
  <c r="N82" i="38"/>
  <c r="O82" i="38" s="1"/>
  <c r="AU85" i="39"/>
  <c r="AT88" i="39"/>
  <c r="E162" i="41"/>
  <c r="E157" i="41"/>
  <c r="G84" i="38"/>
  <c r="M84" i="38"/>
  <c r="A86" i="31"/>
  <c r="C83" i="31"/>
  <c r="M82" i="31" s="1"/>
  <c r="S82" i="38"/>
  <c r="AH82" i="38" s="1"/>
  <c r="R82" i="38"/>
  <c r="P82" i="38"/>
  <c r="H82" i="38"/>
  <c r="Q82" i="38"/>
  <c r="AG82" i="38" s="1"/>
  <c r="U164" i="41"/>
  <c r="D164" i="41"/>
  <c r="A165" i="41"/>
  <c r="AU89" i="39"/>
  <c r="AT92" i="39"/>
  <c r="E172" i="41"/>
  <c r="A90" i="31"/>
  <c r="C87" i="31"/>
  <c r="C87" i="38"/>
  <c r="A90" i="38"/>
  <c r="M79" i="27"/>
  <c r="N79" i="27" s="1"/>
  <c r="O78" i="31"/>
  <c r="I78" i="27"/>
  <c r="Q145" i="41"/>
  <c r="E152" i="41"/>
  <c r="L153" i="41"/>
  <c r="AB153" i="41"/>
  <c r="R80" i="38"/>
  <c r="P80" i="38"/>
  <c r="H80" i="38"/>
  <c r="S80" i="38"/>
  <c r="AH80" i="38" s="1"/>
  <c r="Q80" i="38"/>
  <c r="AG80" i="38" s="1"/>
  <c r="V81" i="38"/>
  <c r="N81" i="38"/>
  <c r="A88" i="27"/>
  <c r="C85" i="27"/>
  <c r="A91" i="38"/>
  <c r="C88" i="38"/>
  <c r="U169" i="41"/>
  <c r="D169" i="41"/>
  <c r="A170" i="41"/>
  <c r="E177" i="41"/>
  <c r="U159" i="41"/>
  <c r="D159" i="41"/>
  <c r="M150" i="41"/>
  <c r="V76" i="31"/>
  <c r="N76" i="31"/>
  <c r="H76" i="27"/>
  <c r="A93" i="27"/>
  <c r="C90" i="27"/>
  <c r="A89" i="38"/>
  <c r="C86" i="38"/>
  <c r="G85" i="38" s="1"/>
  <c r="P81" i="31"/>
  <c r="H81" i="31"/>
  <c r="Q81" i="31"/>
  <c r="AG81" i="31" s="1"/>
  <c r="R81" i="31"/>
  <c r="S81" i="31"/>
  <c r="AH81" i="31" s="1"/>
  <c r="Q148" i="41"/>
  <c r="M147" i="41"/>
  <c r="P81" i="38"/>
  <c r="H81" i="38"/>
  <c r="R81" i="38"/>
  <c r="Q81" i="38"/>
  <c r="AG81" i="38" s="1"/>
  <c r="S81" i="38"/>
  <c r="AH81" i="38" s="1"/>
  <c r="C85" i="31"/>
  <c r="G84" i="31" s="1"/>
  <c r="A88" i="31"/>
  <c r="AB161" i="41"/>
  <c r="L161" i="41"/>
  <c r="M161" i="41" s="1"/>
  <c r="E167" i="41"/>
  <c r="A32" i="34"/>
  <c r="G80" i="31"/>
  <c r="M80" i="31"/>
  <c r="M83" i="38"/>
  <c r="G83" i="38"/>
  <c r="V81" i="31"/>
  <c r="H81" i="27"/>
  <c r="N81" i="31"/>
  <c r="G79" i="31"/>
  <c r="AF166" i="41"/>
  <c r="AB166" i="41"/>
  <c r="L166" i="41"/>
  <c r="M166" i="41" s="1"/>
  <c r="AB146" i="41"/>
  <c r="L146" i="41"/>
  <c r="M146" i="41" s="1"/>
  <c r="V77" i="31"/>
  <c r="N77" i="31"/>
  <c r="H77" i="27"/>
  <c r="M74" i="27"/>
  <c r="N74" i="27" s="1"/>
  <c r="AB156" i="41"/>
  <c r="AF156" i="41"/>
  <c r="L156" i="41"/>
  <c r="G82" i="31"/>
  <c r="U179" i="41"/>
  <c r="D179" i="41"/>
  <c r="A180" i="41"/>
  <c r="O78" i="38"/>
  <c r="Q151" i="41" l="1"/>
  <c r="Q85" i="38"/>
  <c r="AG85" i="38" s="1"/>
  <c r="P85" i="38"/>
  <c r="H85" i="38"/>
  <c r="R85" i="38"/>
  <c r="S85" i="38"/>
  <c r="AH85" i="38" s="1"/>
  <c r="R84" i="31"/>
  <c r="Q84" i="31"/>
  <c r="AG84" i="31" s="1"/>
  <c r="S84" i="31"/>
  <c r="AH84" i="31" s="1"/>
  <c r="H84" i="31"/>
  <c r="P84" i="31"/>
  <c r="V82" i="31"/>
  <c r="N82" i="31"/>
  <c r="H82" i="27"/>
  <c r="S79" i="31"/>
  <c r="AH79" i="31" s="1"/>
  <c r="P79" i="31"/>
  <c r="Q79" i="31"/>
  <c r="AG79" i="31" s="1"/>
  <c r="R79" i="31"/>
  <c r="H79" i="31"/>
  <c r="R80" i="31"/>
  <c r="S80" i="31"/>
  <c r="AH80" i="31" s="1"/>
  <c r="Q80" i="31"/>
  <c r="AG80" i="31" s="1"/>
  <c r="H80" i="31"/>
  <c r="P80" i="31"/>
  <c r="A33" i="34"/>
  <c r="A92" i="38"/>
  <c r="C89" i="38"/>
  <c r="M88" i="38" s="1"/>
  <c r="M77" i="27"/>
  <c r="N77" i="27" s="1"/>
  <c r="A96" i="27"/>
  <c r="C96" i="27" s="1"/>
  <c r="C93" i="27"/>
  <c r="M76" i="27"/>
  <c r="N76" i="27" s="1"/>
  <c r="G88" i="38"/>
  <c r="S84" i="38"/>
  <c r="AH84" i="38" s="1"/>
  <c r="R84" i="38"/>
  <c r="P84" i="38"/>
  <c r="H84" i="38"/>
  <c r="Q84" i="38"/>
  <c r="AG84" i="38" s="1"/>
  <c r="AB157" i="41"/>
  <c r="L157" i="41"/>
  <c r="M157" i="41" s="1"/>
  <c r="E183" i="41"/>
  <c r="E173" i="41"/>
  <c r="U180" i="41"/>
  <c r="D180" i="41"/>
  <c r="A181" i="41"/>
  <c r="E178" i="41"/>
  <c r="Q83" i="38"/>
  <c r="AG83" i="38" s="1"/>
  <c r="P83" i="38"/>
  <c r="H83" i="38"/>
  <c r="R83" i="38"/>
  <c r="S83" i="38"/>
  <c r="AH83" i="38" s="1"/>
  <c r="O81" i="31"/>
  <c r="I81" i="27"/>
  <c r="V83" i="38"/>
  <c r="N83" i="38"/>
  <c r="O83" i="38" s="1"/>
  <c r="AB167" i="41"/>
  <c r="L167" i="41"/>
  <c r="M167" i="41" s="1"/>
  <c r="A94" i="38"/>
  <c r="C91" i="38"/>
  <c r="O81" i="38"/>
  <c r="A93" i="38"/>
  <c r="C90" i="38"/>
  <c r="AF172" i="41"/>
  <c r="AB172" i="41"/>
  <c r="L172" i="41"/>
  <c r="M172" i="41" s="1"/>
  <c r="U165" i="41"/>
  <c r="D165" i="41"/>
  <c r="G83" i="31"/>
  <c r="M83" i="31"/>
  <c r="M84" i="31"/>
  <c r="M156" i="41"/>
  <c r="A91" i="31"/>
  <c r="C88" i="31"/>
  <c r="G87" i="31" s="1"/>
  <c r="E158" i="41"/>
  <c r="L159" i="41"/>
  <c r="AB159" i="41"/>
  <c r="U170" i="41"/>
  <c r="D170" i="41"/>
  <c r="A171" i="41"/>
  <c r="M81" i="27"/>
  <c r="N81" i="27" s="1"/>
  <c r="Q154" i="41"/>
  <c r="M153" i="41"/>
  <c r="M87" i="38"/>
  <c r="G87" i="38"/>
  <c r="C90" i="31"/>
  <c r="A93" i="31"/>
  <c r="AT95" i="39"/>
  <c r="AU95" i="39" s="1"/>
  <c r="AU92" i="39"/>
  <c r="E163" i="41"/>
  <c r="A89" i="31"/>
  <c r="C86" i="31"/>
  <c r="AB162" i="41"/>
  <c r="AF162" i="41"/>
  <c r="L162" i="41"/>
  <c r="M82" i="27"/>
  <c r="N82" i="27" s="1"/>
  <c r="U185" i="41"/>
  <c r="D185" i="41"/>
  <c r="A186" i="41"/>
  <c r="A191" i="41"/>
  <c r="C86" i="27"/>
  <c r="A89" i="27"/>
  <c r="AU90" i="39"/>
  <c r="AT93" i="39"/>
  <c r="R82" i="31"/>
  <c r="S82" i="31"/>
  <c r="AH82" i="31" s="1"/>
  <c r="H82" i="31"/>
  <c r="P82" i="31"/>
  <c r="Q82" i="31"/>
  <c r="AG82" i="31" s="1"/>
  <c r="O77" i="31"/>
  <c r="I77" i="27"/>
  <c r="V80" i="31"/>
  <c r="N80" i="31"/>
  <c r="H80" i="27"/>
  <c r="G85" i="31"/>
  <c r="M85" i="31"/>
  <c r="G86" i="38"/>
  <c r="M86" i="38"/>
  <c r="O76" i="31"/>
  <c r="I76" i="27"/>
  <c r="E168" i="41"/>
  <c r="C88" i="27"/>
  <c r="A91" i="27"/>
  <c r="AB152" i="41"/>
  <c r="L152" i="41"/>
  <c r="M152" i="41" s="1"/>
  <c r="V84" i="38"/>
  <c r="N84" i="38"/>
  <c r="AT91" i="39"/>
  <c r="AU88" i="39"/>
  <c r="D190" i="41"/>
  <c r="E189" i="41" s="1"/>
  <c r="U190" i="41"/>
  <c r="M85" i="38"/>
  <c r="U175" i="41"/>
  <c r="D175" i="41"/>
  <c r="A176" i="41"/>
  <c r="O79" i="31"/>
  <c r="I79" i="27"/>
  <c r="Q157" i="41" l="1"/>
  <c r="P87" i="31"/>
  <c r="H87" i="31"/>
  <c r="R87" i="31"/>
  <c r="S87" i="31"/>
  <c r="AH87" i="31" s="1"/>
  <c r="Q87" i="31"/>
  <c r="AG87" i="31" s="1"/>
  <c r="E174" i="41"/>
  <c r="V85" i="38"/>
  <c r="N85" i="38"/>
  <c r="O85" i="38" s="1"/>
  <c r="AB168" i="41"/>
  <c r="AF168" i="41"/>
  <c r="L168" i="41"/>
  <c r="P85" i="31"/>
  <c r="H85" i="31"/>
  <c r="S85" i="31"/>
  <c r="AH85" i="31" s="1"/>
  <c r="Q85" i="31"/>
  <c r="AG85" i="31" s="1"/>
  <c r="R85" i="31"/>
  <c r="C89" i="27"/>
  <c r="A92" i="27"/>
  <c r="U186" i="41"/>
  <c r="D186" i="41"/>
  <c r="A187" i="41"/>
  <c r="A92" i="31"/>
  <c r="C89" i="31"/>
  <c r="P83" i="31"/>
  <c r="H83" i="31"/>
  <c r="S83" i="31"/>
  <c r="AH83" i="31" s="1"/>
  <c r="Q83" i="31"/>
  <c r="AG83" i="31" s="1"/>
  <c r="R83" i="31"/>
  <c r="G90" i="38"/>
  <c r="M90" i="38"/>
  <c r="C94" i="38"/>
  <c r="U181" i="41"/>
  <c r="D181" i="41"/>
  <c r="A182" i="41"/>
  <c r="AB173" i="41"/>
  <c r="L173" i="41"/>
  <c r="M173" i="41" s="1"/>
  <c r="O82" i="31"/>
  <c r="I82" i="27"/>
  <c r="O84" i="38"/>
  <c r="C91" i="27"/>
  <c r="A94" i="27"/>
  <c r="C94" i="27" s="1"/>
  <c r="E184" i="41"/>
  <c r="Q87" i="38"/>
  <c r="AG87" i="38" s="1"/>
  <c r="P87" i="38"/>
  <c r="H87" i="38"/>
  <c r="R87" i="38"/>
  <c r="S87" i="38"/>
  <c r="AH87" i="38" s="1"/>
  <c r="G88" i="31"/>
  <c r="M88" i="31"/>
  <c r="M87" i="31"/>
  <c r="A96" i="38"/>
  <c r="C93" i="38"/>
  <c r="E179" i="41"/>
  <c r="V88" i="38"/>
  <c r="N88" i="38"/>
  <c r="O88" i="38" s="1"/>
  <c r="M89" i="38"/>
  <c r="G89" i="38"/>
  <c r="M162" i="41"/>
  <c r="AB163" i="41"/>
  <c r="L163" i="41"/>
  <c r="M163" i="41" s="1"/>
  <c r="V87" i="38"/>
  <c r="N87" i="38"/>
  <c r="U171" i="41"/>
  <c r="D171" i="41"/>
  <c r="Q160" i="41"/>
  <c r="M159" i="41"/>
  <c r="C91" i="31"/>
  <c r="G90" i="31" s="1"/>
  <c r="A94" i="31"/>
  <c r="M80" i="27"/>
  <c r="N80" i="27" s="1"/>
  <c r="V84" i="31"/>
  <c r="N84" i="31"/>
  <c r="H84" i="27"/>
  <c r="AF178" i="41"/>
  <c r="AB178" i="41"/>
  <c r="L178" i="41"/>
  <c r="M178" i="41" s="1"/>
  <c r="S88" i="38"/>
  <c r="AH88" i="38" s="1"/>
  <c r="R88" i="38"/>
  <c r="P88" i="38"/>
  <c r="H88" i="38"/>
  <c r="Q88" i="38"/>
  <c r="AG88" i="38" s="1"/>
  <c r="C92" i="38"/>
  <c r="M91" i="38" s="1"/>
  <c r="A95" i="38"/>
  <c r="O30" i="34" s="1"/>
  <c r="V86" i="38"/>
  <c r="N86" i="38"/>
  <c r="O86" i="38" s="1"/>
  <c r="AU93" i="39"/>
  <c r="AT96" i="39"/>
  <c r="AU96" i="39" s="1"/>
  <c r="U191" i="41"/>
  <c r="D191" i="41"/>
  <c r="E190" i="41" s="1"/>
  <c r="AF190" i="41" s="1"/>
  <c r="U176" i="41"/>
  <c r="D176" i="41"/>
  <c r="A177" i="41"/>
  <c r="AT94" i="39"/>
  <c r="AU91" i="39"/>
  <c r="S86" i="38"/>
  <c r="AH86" i="38" s="1"/>
  <c r="R86" i="38"/>
  <c r="P86" i="38"/>
  <c r="H86" i="38"/>
  <c r="Q86" i="38"/>
  <c r="AG86" i="38" s="1"/>
  <c r="N85" i="31"/>
  <c r="V85" i="31"/>
  <c r="H85" i="27"/>
  <c r="O80" i="31"/>
  <c r="I80" i="27"/>
  <c r="M86" i="31"/>
  <c r="G86" i="31"/>
  <c r="A96" i="31"/>
  <c r="C93" i="31"/>
  <c r="E169" i="41"/>
  <c r="AB158" i="41"/>
  <c r="L158" i="41"/>
  <c r="M158" i="41" s="1"/>
  <c r="V83" i="31"/>
  <c r="M83" i="27" s="1"/>
  <c r="N83" i="27" s="1"/>
  <c r="N83" i="31"/>
  <c r="H83" i="27"/>
  <c r="E164" i="41"/>
  <c r="L165" i="41"/>
  <c r="AB165" i="41"/>
  <c r="P29" i="34"/>
  <c r="Z29" i="34" s="1"/>
  <c r="A34" i="34"/>
  <c r="O27" i="34" l="1"/>
  <c r="F167" i="41"/>
  <c r="G167" i="41" s="1"/>
  <c r="AA34" i="34"/>
  <c r="AH34" i="34" s="1"/>
  <c r="O29" i="34"/>
  <c r="P25" i="34"/>
  <c r="Z25" i="34" s="1"/>
  <c r="F164" i="41"/>
  <c r="G164" i="41" s="1"/>
  <c r="R30" i="34"/>
  <c r="R90" i="31"/>
  <c r="S90" i="31"/>
  <c r="AH90" i="31" s="1"/>
  <c r="H90" i="31"/>
  <c r="P90" i="31"/>
  <c r="Q90" i="31"/>
  <c r="AG90" i="31" s="1"/>
  <c r="F141" i="41"/>
  <c r="G141" i="41" s="1"/>
  <c r="O84" i="31"/>
  <c r="I84" i="27"/>
  <c r="F171" i="41"/>
  <c r="G171" i="41" s="1"/>
  <c r="O87" i="38"/>
  <c r="V89" i="38"/>
  <c r="R31" i="34" s="1"/>
  <c r="N89" i="38"/>
  <c r="O89" i="38" s="1"/>
  <c r="F168" i="41"/>
  <c r="G168" i="41" s="1"/>
  <c r="G93" i="38"/>
  <c r="M93" i="38"/>
  <c r="V88" i="31"/>
  <c r="N88" i="31"/>
  <c r="H88" i="27"/>
  <c r="F159" i="41"/>
  <c r="G159" i="41" s="1"/>
  <c r="V90" i="38"/>
  <c r="N90" i="38"/>
  <c r="U187" i="41"/>
  <c r="D187" i="41"/>
  <c r="A188" i="41"/>
  <c r="F187" i="41"/>
  <c r="G187" i="41" s="1"/>
  <c r="AB174" i="41"/>
  <c r="AF174" i="41"/>
  <c r="L174" i="41"/>
  <c r="V91" i="38"/>
  <c r="N91" i="38"/>
  <c r="O91" i="38" s="1"/>
  <c r="AB169" i="41"/>
  <c r="L169" i="41"/>
  <c r="M169" i="41" s="1"/>
  <c r="O85" i="31"/>
  <c r="I85" i="27"/>
  <c r="C95" i="38"/>
  <c r="P31" i="33"/>
  <c r="Q28" i="33"/>
  <c r="P27" i="33"/>
  <c r="O30" i="33"/>
  <c r="U30" i="33" s="1"/>
  <c r="Q30" i="33"/>
  <c r="O28" i="33"/>
  <c r="U28" i="33" s="1"/>
  <c r="S30" i="33"/>
  <c r="O3" i="34"/>
  <c r="S28" i="33"/>
  <c r="P30" i="33"/>
  <c r="S27" i="33"/>
  <c r="S29" i="33"/>
  <c r="P29" i="33"/>
  <c r="P28" i="33"/>
  <c r="O5" i="34"/>
  <c r="Q27" i="33"/>
  <c r="R4" i="34"/>
  <c r="S31" i="33"/>
  <c r="O27" i="33"/>
  <c r="O29" i="33"/>
  <c r="U29" i="33" s="1"/>
  <c r="P3" i="34"/>
  <c r="Q29" i="33"/>
  <c r="R3" i="34"/>
  <c r="O4" i="34"/>
  <c r="P4" i="34"/>
  <c r="Z4" i="34" s="1"/>
  <c r="P5" i="34"/>
  <c r="Z5" i="34" s="1"/>
  <c r="R5" i="34"/>
  <c r="O6" i="34"/>
  <c r="P6" i="34"/>
  <c r="Z6" i="34" s="1"/>
  <c r="O7" i="34"/>
  <c r="O8" i="34"/>
  <c r="P7" i="34"/>
  <c r="Z7" i="34" s="1"/>
  <c r="R7" i="34"/>
  <c r="R6" i="34"/>
  <c r="O9" i="34"/>
  <c r="P8" i="34"/>
  <c r="Z8" i="34" s="1"/>
  <c r="R9" i="34"/>
  <c r="R10" i="34"/>
  <c r="R8" i="34"/>
  <c r="O12" i="34"/>
  <c r="P10" i="34"/>
  <c r="Z10" i="34" s="1"/>
  <c r="P9" i="34"/>
  <c r="Z9" i="34" s="1"/>
  <c r="O11" i="34"/>
  <c r="O10" i="34"/>
  <c r="R12" i="34"/>
  <c r="P12" i="34"/>
  <c r="Z12" i="34" s="1"/>
  <c r="P11" i="34"/>
  <c r="Z11" i="34" s="1"/>
  <c r="O13" i="34"/>
  <c r="R11" i="34"/>
  <c r="R13" i="34"/>
  <c r="P13" i="34"/>
  <c r="Z13" i="34" s="1"/>
  <c r="O15" i="34"/>
  <c r="P14" i="34"/>
  <c r="Z14" i="34" s="1"/>
  <c r="O14" i="34"/>
  <c r="R14" i="34"/>
  <c r="R15" i="34"/>
  <c r="P16" i="34"/>
  <c r="Z16" i="34" s="1"/>
  <c r="O16" i="34"/>
  <c r="P15" i="34"/>
  <c r="Z15" i="34" s="1"/>
  <c r="O18" i="34"/>
  <c r="O17" i="34"/>
  <c r="R16" i="34"/>
  <c r="P18" i="34"/>
  <c r="Z18" i="34" s="1"/>
  <c r="O20" i="34"/>
  <c r="R17" i="34"/>
  <c r="P17" i="34"/>
  <c r="Z17" i="34" s="1"/>
  <c r="O19" i="34"/>
  <c r="R18" i="34"/>
  <c r="P19" i="34"/>
  <c r="Z19" i="34" s="1"/>
  <c r="R19" i="34"/>
  <c r="O21" i="34"/>
  <c r="R20" i="34"/>
  <c r="O23" i="34"/>
  <c r="P21" i="34"/>
  <c r="Z21" i="34" s="1"/>
  <c r="R22" i="34"/>
  <c r="O22" i="34"/>
  <c r="P20" i="34"/>
  <c r="Z20" i="34" s="1"/>
  <c r="R21" i="34"/>
  <c r="P22" i="34"/>
  <c r="Z22" i="34" s="1"/>
  <c r="O25" i="34"/>
  <c r="O26" i="34"/>
  <c r="P23" i="34"/>
  <c r="Z23" i="34" s="1"/>
  <c r="O24" i="34"/>
  <c r="R24" i="34"/>
  <c r="R25" i="34"/>
  <c r="R23" i="34"/>
  <c r="P24" i="34"/>
  <c r="Z24" i="34" s="1"/>
  <c r="F152" i="41"/>
  <c r="G152" i="41" s="1"/>
  <c r="R29" i="34"/>
  <c r="F184" i="41"/>
  <c r="G184" i="41" s="1"/>
  <c r="P26" i="34"/>
  <c r="Z26" i="34" s="1"/>
  <c r="F170" i="41"/>
  <c r="G170" i="41" s="1"/>
  <c r="F153" i="41"/>
  <c r="G153" i="41" s="1"/>
  <c r="F178" i="41"/>
  <c r="G178" i="41" s="1"/>
  <c r="F161" i="41"/>
  <c r="G161" i="41" s="1"/>
  <c r="F156" i="41"/>
  <c r="G156" i="41" s="1"/>
  <c r="R28" i="34"/>
  <c r="F190" i="41"/>
  <c r="G190" i="41" s="1"/>
  <c r="F175" i="41"/>
  <c r="G175" i="41" s="1"/>
  <c r="F151" i="41"/>
  <c r="G151" i="41" s="1"/>
  <c r="P28" i="34"/>
  <c r="Z28" i="34" s="1"/>
  <c r="F165" i="41"/>
  <c r="G165" i="41" s="1"/>
  <c r="C94" i="31"/>
  <c r="E170" i="41"/>
  <c r="L171" i="41"/>
  <c r="AB171" i="41"/>
  <c r="F158" i="41"/>
  <c r="G158" i="41" s="1"/>
  <c r="C96" i="38"/>
  <c r="F11" i="41"/>
  <c r="G11" i="41" s="1"/>
  <c r="F16" i="41"/>
  <c r="G16" i="41" s="1"/>
  <c r="AA35" i="34"/>
  <c r="AH35" i="34" s="1"/>
  <c r="F22" i="41"/>
  <c r="G22" i="41" s="1"/>
  <c r="F6" i="41"/>
  <c r="G6" i="41" s="1"/>
  <c r="F10" i="41"/>
  <c r="G10" i="41" s="1"/>
  <c r="F7" i="41"/>
  <c r="G7" i="41" s="1"/>
  <c r="F17" i="41"/>
  <c r="G17" i="41" s="1"/>
  <c r="F28" i="41"/>
  <c r="G28" i="41" s="1"/>
  <c r="F23" i="41"/>
  <c r="G23" i="41" s="1"/>
  <c r="F13" i="41"/>
  <c r="G13" i="41" s="1"/>
  <c r="F4" i="41"/>
  <c r="G4" i="41" s="1"/>
  <c r="F5" i="41"/>
  <c r="G5" i="41" s="1"/>
  <c r="F18" i="41"/>
  <c r="G18" i="41" s="1"/>
  <c r="F12" i="41"/>
  <c r="G12" i="41" s="1"/>
  <c r="F25" i="41"/>
  <c r="G25" i="41" s="1"/>
  <c r="F35" i="41"/>
  <c r="G35" i="41" s="1"/>
  <c r="F19" i="41"/>
  <c r="G19" i="41" s="1"/>
  <c r="F8" i="41"/>
  <c r="G8" i="41" s="1"/>
  <c r="F24" i="41"/>
  <c r="G24" i="41" s="1"/>
  <c r="F29" i="41"/>
  <c r="G29" i="41" s="1"/>
  <c r="F30" i="41"/>
  <c r="G30" i="41" s="1"/>
  <c r="F34" i="41"/>
  <c r="G34" i="41" s="1"/>
  <c r="F46" i="41"/>
  <c r="G46" i="41" s="1"/>
  <c r="F14" i="41"/>
  <c r="G14" i="41" s="1"/>
  <c r="F27" i="41"/>
  <c r="G27" i="41" s="1"/>
  <c r="F26" i="41"/>
  <c r="G26" i="41" s="1"/>
  <c r="F37" i="41"/>
  <c r="G37" i="41" s="1"/>
  <c r="F52" i="41"/>
  <c r="G52" i="41" s="1"/>
  <c r="F20" i="41"/>
  <c r="G20" i="41" s="1"/>
  <c r="F47" i="41"/>
  <c r="G47" i="41" s="1"/>
  <c r="F9" i="41"/>
  <c r="G9" i="41" s="1"/>
  <c r="F31" i="41"/>
  <c r="G31" i="41" s="1"/>
  <c r="F40" i="41"/>
  <c r="G40" i="41" s="1"/>
  <c r="F44" i="41"/>
  <c r="G44" i="41" s="1"/>
  <c r="F59" i="41"/>
  <c r="G59" i="41" s="1"/>
  <c r="F49" i="41"/>
  <c r="G49" i="41" s="1"/>
  <c r="F43" i="41"/>
  <c r="G43" i="41" s="1"/>
  <c r="F21" i="41"/>
  <c r="G21" i="41" s="1"/>
  <c r="F36" i="41"/>
  <c r="G36" i="41" s="1"/>
  <c r="F38" i="41"/>
  <c r="G38" i="41" s="1"/>
  <c r="F41" i="41"/>
  <c r="G41" i="41" s="1"/>
  <c r="F15" i="41"/>
  <c r="G15" i="41" s="1"/>
  <c r="F33" i="41"/>
  <c r="G33" i="41" s="1"/>
  <c r="F32" i="41"/>
  <c r="G32" i="41" s="1"/>
  <c r="F42" i="41"/>
  <c r="G42" i="41" s="1"/>
  <c r="F53" i="41"/>
  <c r="F64" i="41"/>
  <c r="G64" i="41" s="1"/>
  <c r="F58" i="41"/>
  <c r="G58" i="41" s="1"/>
  <c r="F70" i="41"/>
  <c r="G70" i="41" s="1"/>
  <c r="F54" i="41"/>
  <c r="G54" i="41" s="1"/>
  <c r="F39" i="41"/>
  <c r="G39" i="41" s="1"/>
  <c r="F45" i="41"/>
  <c r="G45" i="41" s="1"/>
  <c r="F66" i="41"/>
  <c r="G66" i="41" s="1"/>
  <c r="F55" i="41"/>
  <c r="G55" i="41" s="1"/>
  <c r="F48" i="41"/>
  <c r="G48" i="41" s="1"/>
  <c r="F67" i="41"/>
  <c r="G67" i="41" s="1"/>
  <c r="F51" i="41"/>
  <c r="G51" i="41" s="1"/>
  <c r="F61" i="41"/>
  <c r="G61" i="41" s="1"/>
  <c r="F76" i="41"/>
  <c r="G76" i="41" s="1"/>
  <c r="F82" i="41"/>
  <c r="G82" i="41" s="1"/>
  <c r="F60" i="41"/>
  <c r="G60" i="41" s="1"/>
  <c r="F50" i="41"/>
  <c r="G50" i="41" s="1"/>
  <c r="F88" i="41"/>
  <c r="G88" i="41" s="1"/>
  <c r="F71" i="41"/>
  <c r="G71" i="41" s="1"/>
  <c r="F77" i="41"/>
  <c r="G77" i="41" s="1"/>
  <c r="F68" i="41"/>
  <c r="G68" i="41" s="1"/>
  <c r="F65" i="41"/>
  <c r="F83" i="41"/>
  <c r="G83" i="41" s="1"/>
  <c r="F78" i="41"/>
  <c r="G78" i="41" s="1"/>
  <c r="F73" i="41"/>
  <c r="G73" i="41" s="1"/>
  <c r="F79" i="41"/>
  <c r="G79" i="41" s="1"/>
  <c r="F89" i="41"/>
  <c r="G89" i="41" s="1"/>
  <c r="F85" i="41"/>
  <c r="G85" i="41" s="1"/>
  <c r="F62" i="41"/>
  <c r="G62" i="41" s="1"/>
  <c r="F84" i="41"/>
  <c r="G84" i="41" s="1"/>
  <c r="F74" i="41"/>
  <c r="G74" i="41" s="1"/>
  <c r="F56" i="41"/>
  <c r="G56" i="41" s="1"/>
  <c r="F94" i="41"/>
  <c r="G94" i="41" s="1"/>
  <c r="F63" i="41"/>
  <c r="G63" i="41" s="1"/>
  <c r="F57" i="41"/>
  <c r="G57" i="41" s="1"/>
  <c r="F95" i="41"/>
  <c r="G95" i="41" s="1"/>
  <c r="F81" i="41"/>
  <c r="G81" i="41" s="1"/>
  <c r="F69" i="41"/>
  <c r="G69" i="41" s="1"/>
  <c r="F72" i="41"/>
  <c r="G72" i="41" s="1"/>
  <c r="F75" i="41"/>
  <c r="G75" i="41" s="1"/>
  <c r="F100" i="41"/>
  <c r="G100" i="41" s="1"/>
  <c r="F90" i="41"/>
  <c r="G90" i="41" s="1"/>
  <c r="F101" i="41"/>
  <c r="G101" i="41" s="1"/>
  <c r="F80" i="41"/>
  <c r="G80" i="41" s="1"/>
  <c r="F106" i="41"/>
  <c r="G106" i="41" s="1"/>
  <c r="F97" i="41"/>
  <c r="G97" i="41" s="1"/>
  <c r="F96" i="41"/>
  <c r="G96" i="41" s="1"/>
  <c r="F112" i="41"/>
  <c r="G112" i="41" s="1"/>
  <c r="F87" i="41"/>
  <c r="G87" i="41" s="1"/>
  <c r="F91" i="41"/>
  <c r="G91" i="41" s="1"/>
  <c r="F86" i="41"/>
  <c r="G86" i="41" s="1"/>
  <c r="F103" i="41"/>
  <c r="G103" i="41" s="1"/>
  <c r="F108" i="41"/>
  <c r="G108" i="41" s="1"/>
  <c r="F124" i="41"/>
  <c r="G124" i="41" s="1"/>
  <c r="F107" i="41"/>
  <c r="G107" i="41" s="1"/>
  <c r="F120" i="41"/>
  <c r="G120" i="41" s="1"/>
  <c r="F92" i="41"/>
  <c r="G92" i="41" s="1"/>
  <c r="F114" i="41"/>
  <c r="G114" i="41" s="1"/>
  <c r="F102" i="41"/>
  <c r="G102" i="41" s="1"/>
  <c r="F109" i="41"/>
  <c r="G109" i="41" s="1"/>
  <c r="F118" i="41"/>
  <c r="G118" i="41" s="1"/>
  <c r="F113" i="41"/>
  <c r="G113" i="41" s="1"/>
  <c r="F98" i="41"/>
  <c r="G98" i="41" s="1"/>
  <c r="F93" i="41"/>
  <c r="G93" i="41" s="1"/>
  <c r="F119" i="41"/>
  <c r="G119" i="41" s="1"/>
  <c r="F99" i="41"/>
  <c r="G99" i="41" s="1"/>
  <c r="F116" i="41"/>
  <c r="G116" i="41" s="1"/>
  <c r="F104" i="41"/>
  <c r="G104" i="41" s="1"/>
  <c r="F130" i="41"/>
  <c r="G130" i="41" s="1"/>
  <c r="F110" i="41"/>
  <c r="G110" i="41" s="1"/>
  <c r="F105" i="41"/>
  <c r="G105" i="41" s="1"/>
  <c r="F125" i="41"/>
  <c r="G125" i="41" s="1"/>
  <c r="F121" i="41"/>
  <c r="G121" i="41" s="1"/>
  <c r="F126" i="41"/>
  <c r="G126" i="41" s="1"/>
  <c r="F115" i="41"/>
  <c r="G115" i="41" s="1"/>
  <c r="F137" i="41"/>
  <c r="G137" i="41" s="1"/>
  <c r="F111" i="41"/>
  <c r="G111" i="41" s="1"/>
  <c r="F131" i="41"/>
  <c r="G131" i="41" s="1"/>
  <c r="F117" i="41"/>
  <c r="G117" i="41" s="1"/>
  <c r="F142" i="41"/>
  <c r="G142" i="41" s="1"/>
  <c r="F122" i="41"/>
  <c r="G122" i="41" s="1"/>
  <c r="F123" i="41"/>
  <c r="G123" i="41" s="1"/>
  <c r="F136" i="41"/>
  <c r="G136" i="41" s="1"/>
  <c r="F143" i="41"/>
  <c r="G143" i="41" s="1"/>
  <c r="F144" i="41"/>
  <c r="G144" i="41" s="1"/>
  <c r="F127" i="41"/>
  <c r="G127" i="41" s="1"/>
  <c r="F148" i="41"/>
  <c r="G148" i="41" s="1"/>
  <c r="F134" i="41"/>
  <c r="G134" i="41" s="1"/>
  <c r="F132" i="41"/>
  <c r="G132" i="41" s="1"/>
  <c r="F150" i="41"/>
  <c r="G150" i="41" s="1"/>
  <c r="F135" i="41"/>
  <c r="G135" i="41" s="1"/>
  <c r="F138" i="41"/>
  <c r="G138" i="41" s="1"/>
  <c r="F149" i="41"/>
  <c r="G149" i="41" s="1"/>
  <c r="F129" i="41"/>
  <c r="G129" i="41" s="1"/>
  <c r="F133" i="41"/>
  <c r="G133" i="41" s="1"/>
  <c r="F166" i="41"/>
  <c r="G166" i="41" s="1"/>
  <c r="F145" i="41"/>
  <c r="G145" i="41" s="1"/>
  <c r="F128" i="41"/>
  <c r="G128" i="41" s="1"/>
  <c r="F140" i="41"/>
  <c r="G140" i="41" s="1"/>
  <c r="F154" i="41"/>
  <c r="G154" i="41" s="1"/>
  <c r="F155" i="41"/>
  <c r="G155" i="41" s="1"/>
  <c r="F160" i="41"/>
  <c r="G160" i="41" s="1"/>
  <c r="F139" i="41"/>
  <c r="G139" i="41" s="1"/>
  <c r="R88" i="31"/>
  <c r="Q88" i="31"/>
  <c r="AG88" i="31" s="1"/>
  <c r="P88" i="31"/>
  <c r="S88" i="31"/>
  <c r="AH88" i="31" s="1"/>
  <c r="H88" i="31"/>
  <c r="P30" i="34"/>
  <c r="Z30" i="34" s="1"/>
  <c r="F163" i="41"/>
  <c r="G163" i="41" s="1"/>
  <c r="F181" i="41"/>
  <c r="G181" i="41" s="1"/>
  <c r="S90" i="38"/>
  <c r="AH90" i="38" s="1"/>
  <c r="R90" i="38"/>
  <c r="P90" i="38"/>
  <c r="H90" i="38"/>
  <c r="Q90" i="38"/>
  <c r="AG90" i="38" s="1"/>
  <c r="G89" i="31"/>
  <c r="M89" i="31"/>
  <c r="E185" i="41"/>
  <c r="Q169" i="41"/>
  <c r="M168" i="41"/>
  <c r="AB164" i="41"/>
  <c r="L164" i="41"/>
  <c r="M164" i="41" s="1"/>
  <c r="F185" i="41"/>
  <c r="G185" i="41" s="1"/>
  <c r="F176" i="41"/>
  <c r="G176" i="41" s="1"/>
  <c r="F146" i="41"/>
  <c r="G146" i="41" s="1"/>
  <c r="G92" i="38"/>
  <c r="M92" i="38"/>
  <c r="F169" i="41"/>
  <c r="G169" i="41" s="1"/>
  <c r="F180" i="41"/>
  <c r="G180" i="41" s="1"/>
  <c r="G91" i="38"/>
  <c r="O83" i="31"/>
  <c r="I83" i="27"/>
  <c r="R86" i="31"/>
  <c r="P86" i="31"/>
  <c r="H86" i="31"/>
  <c r="Q86" i="31"/>
  <c r="AG86" i="31" s="1"/>
  <c r="S86" i="31"/>
  <c r="AH86" i="31" s="1"/>
  <c r="F174" i="41"/>
  <c r="G174" i="41" s="1"/>
  <c r="U177" i="41"/>
  <c r="D177" i="41"/>
  <c r="F177" i="41"/>
  <c r="G177" i="41" s="1"/>
  <c r="F179" i="41"/>
  <c r="G179" i="41" s="1"/>
  <c r="F157" i="41"/>
  <c r="G157" i="41" s="1"/>
  <c r="G91" i="31"/>
  <c r="AB179" i="41"/>
  <c r="L179" i="41"/>
  <c r="M179" i="41" s="1"/>
  <c r="N87" i="31"/>
  <c r="V87" i="31"/>
  <c r="M87" i="27" s="1"/>
  <c r="N87" i="27" s="1"/>
  <c r="H87" i="27"/>
  <c r="AF184" i="41"/>
  <c r="AB184" i="41"/>
  <c r="L184" i="41"/>
  <c r="M184" i="41" s="1"/>
  <c r="U182" i="41"/>
  <c r="D182" i="41"/>
  <c r="A183" i="41"/>
  <c r="F182" i="41"/>
  <c r="G182" i="41" s="1"/>
  <c r="M90" i="31"/>
  <c r="A95" i="31"/>
  <c r="B30" i="34" s="1"/>
  <c r="AB30" i="34" s="1"/>
  <c r="C92" i="31"/>
  <c r="C26" i="34"/>
  <c r="M85" i="27"/>
  <c r="N85" i="27" s="1"/>
  <c r="M84" i="27"/>
  <c r="N84" i="27" s="1"/>
  <c r="R27" i="34"/>
  <c r="Q166" i="41"/>
  <c r="M165" i="41"/>
  <c r="V86" i="31"/>
  <c r="E30" i="34" s="1"/>
  <c r="N86" i="31"/>
  <c r="H86" i="27"/>
  <c r="AU94" i="39"/>
  <c r="AT97" i="39"/>
  <c r="AU97" i="39" s="1"/>
  <c r="E175" i="41"/>
  <c r="F147" i="41"/>
  <c r="G147" i="41" s="1"/>
  <c r="O28" i="34"/>
  <c r="R26" i="34"/>
  <c r="F162" i="41"/>
  <c r="G162" i="41" s="1"/>
  <c r="P27" i="34"/>
  <c r="Z27" i="34" s="1"/>
  <c r="O31" i="34"/>
  <c r="Q163" i="41"/>
  <c r="Q89" i="38"/>
  <c r="AG89" i="38" s="1"/>
  <c r="P89" i="38"/>
  <c r="H89" i="38"/>
  <c r="R89" i="38"/>
  <c r="S89" i="38"/>
  <c r="AH89" i="38" s="1"/>
  <c r="M88" i="27"/>
  <c r="N88" i="27" s="1"/>
  <c r="F172" i="41"/>
  <c r="G172" i="41" s="1"/>
  <c r="E180" i="41"/>
  <c r="M94" i="38"/>
  <c r="G94" i="38"/>
  <c r="F186" i="41"/>
  <c r="G186" i="41" s="1"/>
  <c r="A95" i="27"/>
  <c r="C95" i="27" s="1"/>
  <c r="C92" i="27"/>
  <c r="F173" i="41"/>
  <c r="G173" i="41" s="1"/>
  <c r="K90" i="31" l="1"/>
  <c r="P31" i="34"/>
  <c r="Z31" i="34" s="1"/>
  <c r="J90" i="38"/>
  <c r="R30" i="33"/>
  <c r="J77" i="31"/>
  <c r="R29" i="33"/>
  <c r="K83" i="31"/>
  <c r="K87" i="38"/>
  <c r="J89" i="31"/>
  <c r="AB180" i="41"/>
  <c r="AF180" i="41"/>
  <c r="L180" i="41"/>
  <c r="J92" i="38"/>
  <c r="AB175" i="41"/>
  <c r="L175" i="41"/>
  <c r="M175" i="41" s="1"/>
  <c r="J83" i="31"/>
  <c r="K80" i="31"/>
  <c r="E28" i="34"/>
  <c r="J92" i="31"/>
  <c r="K94" i="38"/>
  <c r="O87" i="31"/>
  <c r="I87" i="27"/>
  <c r="J80" i="31"/>
  <c r="K91" i="38"/>
  <c r="J89" i="38"/>
  <c r="J91" i="38"/>
  <c r="Q172" i="41"/>
  <c r="M171" i="41"/>
  <c r="G94" i="31"/>
  <c r="O31" i="33"/>
  <c r="U31" i="33" s="1"/>
  <c r="U27" i="33"/>
  <c r="R27" i="33"/>
  <c r="Q31" i="33"/>
  <c r="J95" i="38"/>
  <c r="G93" i="31"/>
  <c r="K87" i="31"/>
  <c r="O90" i="38"/>
  <c r="K89" i="38"/>
  <c r="V94" i="38"/>
  <c r="N94" i="38"/>
  <c r="O94" i="38" s="1"/>
  <c r="K86" i="38"/>
  <c r="AC26" i="34"/>
  <c r="AG26" i="34" s="1"/>
  <c r="M26" i="34"/>
  <c r="C95" i="31"/>
  <c r="M94" i="31" s="1"/>
  <c r="K95" i="31"/>
  <c r="J95" i="31"/>
  <c r="D28" i="33"/>
  <c r="D27" i="33"/>
  <c r="F28" i="33"/>
  <c r="G27" i="33"/>
  <c r="C29" i="33"/>
  <c r="G30" i="33"/>
  <c r="F31" i="33"/>
  <c r="C31" i="33"/>
  <c r="C28" i="33"/>
  <c r="D29" i="33"/>
  <c r="F27" i="33"/>
  <c r="G29" i="33"/>
  <c r="C27" i="33"/>
  <c r="F29" i="33"/>
  <c r="F30" i="33"/>
  <c r="B5" i="34"/>
  <c r="AB5" i="34" s="1"/>
  <c r="C30" i="33"/>
  <c r="B4" i="34"/>
  <c r="AB4" i="34" s="1"/>
  <c r="B27" i="33"/>
  <c r="D30" i="33"/>
  <c r="G28" i="33"/>
  <c r="C4" i="34"/>
  <c r="B6" i="34"/>
  <c r="AB6" i="34" s="1"/>
  <c r="E4" i="34"/>
  <c r="B3" i="34"/>
  <c r="E5" i="34"/>
  <c r="C6" i="34"/>
  <c r="E6" i="34"/>
  <c r="C5" i="34"/>
  <c r="E3" i="34"/>
  <c r="C3" i="34"/>
  <c r="B7" i="34"/>
  <c r="AB7" i="34" s="1"/>
  <c r="E7" i="34"/>
  <c r="B8" i="34"/>
  <c r="AB8" i="34" s="1"/>
  <c r="B9" i="34"/>
  <c r="AB9" i="34" s="1"/>
  <c r="E8" i="34"/>
  <c r="C9" i="34"/>
  <c r="B10" i="34"/>
  <c r="AB10" i="34" s="1"/>
  <c r="B12" i="34"/>
  <c r="AB12" i="34" s="1"/>
  <c r="C7" i="34"/>
  <c r="E9" i="34"/>
  <c r="B11" i="34"/>
  <c r="AB11" i="34" s="1"/>
  <c r="B13" i="34"/>
  <c r="AB13" i="34" s="1"/>
  <c r="E10" i="34"/>
  <c r="C8" i="34"/>
  <c r="C12" i="34"/>
  <c r="C10" i="34"/>
  <c r="E11" i="34"/>
  <c r="E12" i="34"/>
  <c r="B15" i="34"/>
  <c r="AB15" i="34" s="1"/>
  <c r="C11" i="34"/>
  <c r="B16" i="34"/>
  <c r="AB16" i="34" s="1"/>
  <c r="E14" i="34"/>
  <c r="C14" i="34"/>
  <c r="B14" i="34"/>
  <c r="AB14" i="34" s="1"/>
  <c r="E13" i="34"/>
  <c r="C15" i="34"/>
  <c r="C13" i="34"/>
  <c r="B17" i="34"/>
  <c r="AB17" i="34" s="1"/>
  <c r="B18" i="34"/>
  <c r="AB18" i="34" s="1"/>
  <c r="E15" i="34"/>
  <c r="C16" i="34"/>
  <c r="E16" i="34"/>
  <c r="C17" i="34"/>
  <c r="B20" i="34"/>
  <c r="AB20" i="34" s="1"/>
  <c r="B19" i="34"/>
  <c r="AB19" i="34" s="1"/>
  <c r="E19" i="34"/>
  <c r="C18" i="34"/>
  <c r="C19" i="34"/>
  <c r="C20" i="34"/>
  <c r="E20" i="34"/>
  <c r="E17" i="34"/>
  <c r="E18" i="34"/>
  <c r="B21" i="34"/>
  <c r="AB21" i="34" s="1"/>
  <c r="C21" i="34"/>
  <c r="B22" i="34"/>
  <c r="AB22" i="34" s="1"/>
  <c r="B23" i="34"/>
  <c r="AB23" i="34" s="1"/>
  <c r="E21" i="34"/>
  <c r="C25" i="34"/>
  <c r="B26" i="34"/>
  <c r="AB26" i="34" s="1"/>
  <c r="C24" i="34"/>
  <c r="E24" i="34"/>
  <c r="E22" i="34"/>
  <c r="B25" i="34"/>
  <c r="AB25" i="34" s="1"/>
  <c r="C22" i="34"/>
  <c r="E26" i="34"/>
  <c r="E25" i="34"/>
  <c r="B28" i="34"/>
  <c r="AB28" i="34" s="1"/>
  <c r="C23" i="34"/>
  <c r="B27" i="34"/>
  <c r="AB27" i="34" s="1"/>
  <c r="B29" i="34"/>
  <c r="AB29" i="34" s="1"/>
  <c r="E23" i="34"/>
  <c r="C28" i="34"/>
  <c r="U183" i="41"/>
  <c r="D183" i="41"/>
  <c r="F183" i="41"/>
  <c r="G183" i="41" s="1"/>
  <c r="R94" i="38"/>
  <c r="P94" i="38"/>
  <c r="H94" i="38"/>
  <c r="S94" i="38"/>
  <c r="AH94" i="38" s="1"/>
  <c r="Q94" i="38"/>
  <c r="AG94" i="38" s="1"/>
  <c r="K6" i="38"/>
  <c r="J7" i="38"/>
  <c r="P36" i="33"/>
  <c r="E37" i="33"/>
  <c r="D37" i="33"/>
  <c r="C37" i="33"/>
  <c r="R37" i="33"/>
  <c r="E36" i="33"/>
  <c r="D35" i="33"/>
  <c r="K7" i="38"/>
  <c r="Q38" i="33"/>
  <c r="P37" i="33"/>
  <c r="R35" i="33"/>
  <c r="K3" i="38"/>
  <c r="B36" i="33"/>
  <c r="O36" i="33"/>
  <c r="J3" i="38"/>
  <c r="O37" i="33"/>
  <c r="J4" i="31"/>
  <c r="Q37" i="33"/>
  <c r="J3" i="31"/>
  <c r="R38" i="33"/>
  <c r="Q35" i="33"/>
  <c r="O35" i="33"/>
  <c r="B38" i="33"/>
  <c r="E35" i="33"/>
  <c r="B35" i="33"/>
  <c r="K8" i="31"/>
  <c r="Q36" i="33"/>
  <c r="K5" i="31"/>
  <c r="D36" i="33"/>
  <c r="B39" i="33"/>
  <c r="J6" i="38"/>
  <c r="L6" i="38" s="1"/>
  <c r="P35" i="33"/>
  <c r="K4" i="31"/>
  <c r="K5" i="38"/>
  <c r="K7" i="31"/>
  <c r="J6" i="31"/>
  <c r="C38" i="33"/>
  <c r="J9" i="31"/>
  <c r="E38" i="33"/>
  <c r="O38" i="33"/>
  <c r="Q39" i="33"/>
  <c r="D38" i="33"/>
  <c r="O39" i="33"/>
  <c r="J7" i="31"/>
  <c r="P38" i="33"/>
  <c r="C35" i="33"/>
  <c r="R36" i="33"/>
  <c r="K3" i="31"/>
  <c r="J4" i="38"/>
  <c r="K4" i="38"/>
  <c r="J5" i="38"/>
  <c r="D39" i="33"/>
  <c r="K10" i="38"/>
  <c r="K12" i="38"/>
  <c r="K9" i="38"/>
  <c r="K6" i="31"/>
  <c r="C39" i="33"/>
  <c r="J5" i="31"/>
  <c r="P39" i="33"/>
  <c r="J11" i="38"/>
  <c r="K10" i="31"/>
  <c r="J10" i="38"/>
  <c r="K9" i="31"/>
  <c r="K12" i="31"/>
  <c r="J8" i="38"/>
  <c r="J9" i="38"/>
  <c r="L9" i="38" s="1"/>
  <c r="K8" i="38"/>
  <c r="E39" i="33"/>
  <c r="C36" i="33"/>
  <c r="B37" i="33"/>
  <c r="J12" i="31"/>
  <c r="J12" i="38"/>
  <c r="R39" i="33"/>
  <c r="J13" i="38"/>
  <c r="J15" i="31"/>
  <c r="K13" i="38"/>
  <c r="J11" i="31"/>
  <c r="J15" i="38"/>
  <c r="K14" i="38"/>
  <c r="J10" i="31"/>
  <c r="K15" i="31"/>
  <c r="K15" i="38"/>
  <c r="J14" i="38"/>
  <c r="L14" i="38" s="1"/>
  <c r="W14" i="38" s="1"/>
  <c r="AC14" i="38" s="1"/>
  <c r="J8" i="31"/>
  <c r="K16" i="31"/>
  <c r="J18" i="31"/>
  <c r="K11" i="38"/>
  <c r="K13" i="31"/>
  <c r="J17" i="38"/>
  <c r="J13" i="31"/>
  <c r="K11" i="31"/>
  <c r="K18" i="31"/>
  <c r="J16" i="38"/>
  <c r="K16" i="38"/>
  <c r="J19" i="31"/>
  <c r="J21" i="38"/>
  <c r="K22" i="38"/>
  <c r="K20" i="38"/>
  <c r="J18" i="38"/>
  <c r="J14" i="31"/>
  <c r="J16" i="31"/>
  <c r="L16" i="31" s="1"/>
  <c r="W16" i="31" s="1"/>
  <c r="AC16" i="31" s="1"/>
  <c r="K17" i="31"/>
  <c r="K19" i="31"/>
  <c r="K17" i="38"/>
  <c r="K19" i="38"/>
  <c r="K18" i="38"/>
  <c r="K14" i="31"/>
  <c r="K24" i="31"/>
  <c r="J19" i="38"/>
  <c r="J22" i="38"/>
  <c r="J22" i="31"/>
  <c r="K23" i="38"/>
  <c r="J20" i="38"/>
  <c r="K22" i="31"/>
  <c r="K24" i="38"/>
  <c r="J25" i="38"/>
  <c r="J21" i="31"/>
  <c r="J17" i="31"/>
  <c r="L17" i="31" s="1"/>
  <c r="W17" i="31" s="1"/>
  <c r="AC17" i="31" s="1"/>
  <c r="J24" i="38"/>
  <c r="L24" i="38" s="1"/>
  <c r="J20" i="31"/>
  <c r="K20" i="31"/>
  <c r="K25" i="38"/>
  <c r="K28" i="38"/>
  <c r="K21" i="31"/>
  <c r="K21" i="38"/>
  <c r="J24" i="31"/>
  <c r="J25" i="31"/>
  <c r="J23" i="38"/>
  <c r="L23" i="38" s="1"/>
  <c r="W23" i="38" s="1"/>
  <c r="AC23" i="38" s="1"/>
  <c r="J33" i="31"/>
  <c r="J23" i="31"/>
  <c r="J27" i="38"/>
  <c r="K27" i="38"/>
  <c r="J37" i="38"/>
  <c r="J30" i="38"/>
  <c r="J26" i="38"/>
  <c r="K26" i="38"/>
  <c r="K32" i="38"/>
  <c r="K27" i="31"/>
  <c r="J33" i="38"/>
  <c r="J27" i="31"/>
  <c r="J28" i="38"/>
  <c r="J29" i="38"/>
  <c r="J31" i="38"/>
  <c r="K36" i="31"/>
  <c r="K29" i="31"/>
  <c r="K30" i="38"/>
  <c r="K34" i="38"/>
  <c r="J31" i="31"/>
  <c r="K31" i="31"/>
  <c r="K30" i="31"/>
  <c r="K25" i="31"/>
  <c r="J29" i="31"/>
  <c r="K26" i="31"/>
  <c r="K28" i="31"/>
  <c r="K34" i="31"/>
  <c r="K32" i="31"/>
  <c r="J28" i="31"/>
  <c r="K23" i="31"/>
  <c r="K31" i="38"/>
  <c r="J34" i="38"/>
  <c r="K33" i="38"/>
  <c r="J30" i="31"/>
  <c r="L30" i="31" s="1"/>
  <c r="K33" i="31"/>
  <c r="K29" i="38"/>
  <c r="J26" i="31"/>
  <c r="L26" i="31" s="1"/>
  <c r="W26" i="31" s="1"/>
  <c r="AC26" i="31" s="1"/>
  <c r="J32" i="38"/>
  <c r="K39" i="31"/>
  <c r="K40" i="38"/>
  <c r="J35" i="38"/>
  <c r="J36" i="38"/>
  <c r="J34" i="31"/>
  <c r="L34" i="31" s="1"/>
  <c r="W34" i="31" s="1"/>
  <c r="AC34" i="31" s="1"/>
  <c r="K38" i="38"/>
  <c r="J39" i="38"/>
  <c r="J35" i="31"/>
  <c r="J42" i="38"/>
  <c r="J36" i="31"/>
  <c r="L36" i="31" s="1"/>
  <c r="J40" i="38"/>
  <c r="K37" i="38"/>
  <c r="K37" i="31"/>
  <c r="K36" i="38"/>
  <c r="J32" i="31"/>
  <c r="K35" i="38"/>
  <c r="J39" i="31"/>
  <c r="L39" i="31" s="1"/>
  <c r="K42" i="31"/>
  <c r="K40" i="31"/>
  <c r="J37" i="31"/>
  <c r="L37" i="31" s="1"/>
  <c r="W37" i="31" s="1"/>
  <c r="AC37" i="31" s="1"/>
  <c r="J41" i="38"/>
  <c r="K41" i="31"/>
  <c r="K42" i="38"/>
  <c r="K35" i="31"/>
  <c r="J42" i="31"/>
  <c r="K41" i="38"/>
  <c r="J43" i="38"/>
  <c r="J38" i="31"/>
  <c r="K45" i="31"/>
  <c r="K43" i="31"/>
  <c r="K39" i="38"/>
  <c r="J38" i="38"/>
  <c r="K38" i="31"/>
  <c r="K43" i="38"/>
  <c r="K44" i="38"/>
  <c r="K48" i="31"/>
  <c r="J40" i="31"/>
  <c r="J48" i="38"/>
  <c r="J48" i="31"/>
  <c r="K46" i="38"/>
  <c r="J44" i="31"/>
  <c r="K44" i="31"/>
  <c r="J41" i="31"/>
  <c r="K48" i="38"/>
  <c r="J45" i="38"/>
  <c r="J47" i="31"/>
  <c r="J43" i="31"/>
  <c r="J44" i="38"/>
  <c r="J51" i="38"/>
  <c r="J51" i="31"/>
  <c r="J46" i="38"/>
  <c r="J45" i="31"/>
  <c r="L45" i="31" s="1"/>
  <c r="K45" i="38"/>
  <c r="J55" i="31"/>
  <c r="J46" i="31"/>
  <c r="K49" i="38"/>
  <c r="J47" i="38"/>
  <c r="K49" i="31"/>
  <c r="K54" i="31"/>
  <c r="J52" i="38"/>
  <c r="K51" i="38"/>
  <c r="J54" i="38"/>
  <c r="K46" i="31"/>
  <c r="J50" i="38"/>
  <c r="J49" i="31"/>
  <c r="K47" i="38"/>
  <c r="K50" i="38"/>
  <c r="K54" i="38"/>
  <c r="K51" i="31"/>
  <c r="J49" i="38"/>
  <c r="K47" i="31"/>
  <c r="K57" i="38"/>
  <c r="K55" i="31"/>
  <c r="K57" i="31"/>
  <c r="J58" i="38"/>
  <c r="K52" i="38"/>
  <c r="J53" i="31"/>
  <c r="J56" i="38"/>
  <c r="K56" i="38"/>
  <c r="J55" i="38"/>
  <c r="K53" i="38"/>
  <c r="K50" i="31"/>
  <c r="J57" i="31"/>
  <c r="J57" i="38"/>
  <c r="L57" i="38" s="1"/>
  <c r="J60" i="38"/>
  <c r="J59" i="38"/>
  <c r="J54" i="31"/>
  <c r="L54" i="31" s="1"/>
  <c r="K58" i="38"/>
  <c r="J60" i="31"/>
  <c r="K52" i="31"/>
  <c r="J50" i="31"/>
  <c r="K60" i="38"/>
  <c r="J52" i="31"/>
  <c r="K55" i="38"/>
  <c r="J53" i="38"/>
  <c r="K60" i="31"/>
  <c r="K59" i="38"/>
  <c r="K53" i="31"/>
  <c r="K61" i="38"/>
  <c r="K63" i="31"/>
  <c r="K62" i="38"/>
  <c r="J58" i="31"/>
  <c r="K58" i="31"/>
  <c r="J70" i="38"/>
  <c r="J59" i="31"/>
  <c r="K61" i="31"/>
  <c r="J63" i="38"/>
  <c r="J63" i="31"/>
  <c r="L63" i="31" s="1"/>
  <c r="J66" i="38"/>
  <c r="K56" i="31"/>
  <c r="J62" i="38"/>
  <c r="J61" i="38"/>
  <c r="K59" i="31"/>
  <c r="J56" i="31"/>
  <c r="K63" i="38"/>
  <c r="J68" i="38"/>
  <c r="J64" i="31"/>
  <c r="K64" i="38"/>
  <c r="J66" i="31"/>
  <c r="J67" i="38"/>
  <c r="K64" i="31"/>
  <c r="K66" i="31"/>
  <c r="K65" i="38"/>
  <c r="K70" i="38"/>
  <c r="J64" i="38"/>
  <c r="K62" i="31"/>
  <c r="J61" i="31"/>
  <c r="K67" i="38"/>
  <c r="J62" i="31"/>
  <c r="J65" i="38"/>
  <c r="K66" i="38"/>
  <c r="K69" i="31"/>
  <c r="J69" i="31"/>
  <c r="J71" i="38"/>
  <c r="K65" i="31"/>
  <c r="J69" i="38"/>
  <c r="J74" i="38"/>
  <c r="K68" i="38"/>
  <c r="J65" i="31"/>
  <c r="K67" i="31"/>
  <c r="K72" i="31"/>
  <c r="K70" i="31"/>
  <c r="J76" i="38"/>
  <c r="J75" i="31"/>
  <c r="J72" i="31"/>
  <c r="L72" i="31" s="1"/>
  <c r="J67" i="31"/>
  <c r="J73" i="38"/>
  <c r="K73" i="38"/>
  <c r="K75" i="31"/>
  <c r="K69" i="38"/>
  <c r="K68" i="31"/>
  <c r="J77" i="38"/>
  <c r="J68" i="31"/>
  <c r="J70" i="31"/>
  <c r="L70" i="31" s="1"/>
  <c r="W70" i="31" s="1"/>
  <c r="AC70" i="31" s="1"/>
  <c r="J71" i="31"/>
  <c r="K79" i="38"/>
  <c r="K75" i="38"/>
  <c r="K74" i="38"/>
  <c r="J72" i="38"/>
  <c r="K72" i="38"/>
  <c r="K74" i="31"/>
  <c r="K73" i="31"/>
  <c r="K71" i="31"/>
  <c r="J74" i="31"/>
  <c r="J75" i="38"/>
  <c r="J73" i="31"/>
  <c r="L73" i="31" s="1"/>
  <c r="W73" i="31" s="1"/>
  <c r="AC73" i="31" s="1"/>
  <c r="K76" i="38"/>
  <c r="J79" i="38"/>
  <c r="L79" i="38" s="1"/>
  <c r="W79" i="38" s="1"/>
  <c r="AC79" i="38" s="1"/>
  <c r="K77" i="38"/>
  <c r="K71" i="38"/>
  <c r="J82" i="38"/>
  <c r="K81" i="31"/>
  <c r="J76" i="31"/>
  <c r="K76" i="31"/>
  <c r="K80" i="38"/>
  <c r="K82" i="31"/>
  <c r="J81" i="31"/>
  <c r="J78" i="38"/>
  <c r="J79" i="31"/>
  <c r="K77" i="31"/>
  <c r="L77" i="31" s="1"/>
  <c r="W77" i="31" s="1"/>
  <c r="AC77" i="31" s="1"/>
  <c r="J80" i="38"/>
  <c r="K83" i="38"/>
  <c r="K79" i="31"/>
  <c r="K82" i="38"/>
  <c r="J83" i="38"/>
  <c r="J78" i="31"/>
  <c r="K78" i="31"/>
  <c r="J82" i="31"/>
  <c r="L82" i="31" s="1"/>
  <c r="W82" i="31" s="1"/>
  <c r="AC82" i="31" s="1"/>
  <c r="J81" i="38"/>
  <c r="K78" i="38"/>
  <c r="O86" i="31"/>
  <c r="I86" i="27"/>
  <c r="K88" i="38"/>
  <c r="C27" i="34"/>
  <c r="G92" i="31"/>
  <c r="M92" i="31"/>
  <c r="E27" i="34"/>
  <c r="B31" i="34"/>
  <c r="AB31" i="34" s="1"/>
  <c r="K93" i="38"/>
  <c r="J90" i="31"/>
  <c r="L90" i="31" s="1"/>
  <c r="M86" i="27"/>
  <c r="N86" i="27" s="1"/>
  <c r="E176" i="41"/>
  <c r="L177" i="41"/>
  <c r="AB177" i="41"/>
  <c r="J93" i="31"/>
  <c r="R91" i="38"/>
  <c r="S91" i="38"/>
  <c r="AH91" i="38" s="1"/>
  <c r="H91" i="38"/>
  <c r="P91" i="38"/>
  <c r="Q91" i="38"/>
  <c r="AG91" i="38" s="1"/>
  <c r="K81" i="38"/>
  <c r="K85" i="38"/>
  <c r="AB185" i="41"/>
  <c r="L185" i="41"/>
  <c r="M185" i="41" s="1"/>
  <c r="J94" i="38"/>
  <c r="L94" i="38" s="1"/>
  <c r="W94" i="38" s="1"/>
  <c r="K84" i="31"/>
  <c r="AB170" i="41"/>
  <c r="L170" i="41"/>
  <c r="M170" i="41" s="1"/>
  <c r="R28" i="33"/>
  <c r="M95" i="38"/>
  <c r="O33" i="34" s="1"/>
  <c r="G95" i="38"/>
  <c r="M93" i="31"/>
  <c r="J85" i="31"/>
  <c r="K89" i="31"/>
  <c r="K86" i="31"/>
  <c r="V93" i="38"/>
  <c r="N93" i="38"/>
  <c r="J91" i="31"/>
  <c r="K93" i="31"/>
  <c r="K84" i="38"/>
  <c r="K88" i="31"/>
  <c r="P91" i="31"/>
  <c r="H91" i="31"/>
  <c r="S91" i="31"/>
  <c r="AH91" i="31" s="1"/>
  <c r="R91" i="31"/>
  <c r="Q91" i="31"/>
  <c r="AG91" i="31" s="1"/>
  <c r="K92" i="38"/>
  <c r="C29" i="34"/>
  <c r="V92" i="38"/>
  <c r="R32" i="34" s="1"/>
  <c r="N92" i="38"/>
  <c r="J88" i="38"/>
  <c r="V89" i="31"/>
  <c r="M89" i="27" s="1"/>
  <c r="N89" i="27" s="1"/>
  <c r="N89" i="31"/>
  <c r="H89" i="27"/>
  <c r="J94" i="31"/>
  <c r="K90" i="38"/>
  <c r="Z3" i="34"/>
  <c r="J87" i="31"/>
  <c r="L87" i="31" s="1"/>
  <c r="M174" i="41"/>
  <c r="U188" i="41"/>
  <c r="D188" i="41"/>
  <c r="A189" i="41"/>
  <c r="G31" i="34" s="1"/>
  <c r="F188" i="41"/>
  <c r="G188" i="41" s="1"/>
  <c r="J88" i="31"/>
  <c r="P93" i="38"/>
  <c r="H93" i="38"/>
  <c r="R93" i="38"/>
  <c r="Q93" i="38"/>
  <c r="AG93" i="38" s="1"/>
  <c r="S93" i="38"/>
  <c r="AH93" i="38" s="1"/>
  <c r="C30" i="34"/>
  <c r="J86" i="38"/>
  <c r="J93" i="38"/>
  <c r="E29" i="34"/>
  <c r="K92" i="31"/>
  <c r="V90" i="31"/>
  <c r="N90" i="31"/>
  <c r="H90" i="27"/>
  <c r="E181" i="41"/>
  <c r="T31" i="34"/>
  <c r="M91" i="31"/>
  <c r="J84" i="31"/>
  <c r="R92" i="38"/>
  <c r="P92" i="38"/>
  <c r="H92" i="38"/>
  <c r="Q92" i="38"/>
  <c r="AG92" i="38" s="1"/>
  <c r="S92" i="38"/>
  <c r="AH92" i="38" s="1"/>
  <c r="K85" i="31"/>
  <c r="P89" i="31"/>
  <c r="H89" i="31"/>
  <c r="Q89" i="31"/>
  <c r="AG89" i="31" s="1"/>
  <c r="R89" i="31"/>
  <c r="S89" i="31"/>
  <c r="AH89" i="31" s="1"/>
  <c r="J86" i="31"/>
  <c r="K94" i="31"/>
  <c r="K95" i="38"/>
  <c r="J85" i="38"/>
  <c r="E186" i="41"/>
  <c r="O32" i="34"/>
  <c r="J84" i="38"/>
  <c r="O88" i="31"/>
  <c r="I88" i="27"/>
  <c r="K91" i="31"/>
  <c r="J87" i="38"/>
  <c r="L84" i="31" l="1"/>
  <c r="L61" i="38"/>
  <c r="W61" i="38" s="1"/>
  <c r="AC61" i="38" s="1"/>
  <c r="L50" i="38"/>
  <c r="W50" i="38" s="1"/>
  <c r="AC50" i="38" s="1"/>
  <c r="L44" i="38"/>
  <c r="W44" i="38" s="1"/>
  <c r="AC44" i="38" s="1"/>
  <c r="L32" i="38"/>
  <c r="W32" i="38" s="1"/>
  <c r="AC32" i="38" s="1"/>
  <c r="L22" i="38"/>
  <c r="W22" i="38" s="1"/>
  <c r="AC22" i="38" s="1"/>
  <c r="L10" i="38"/>
  <c r="W10" i="38" s="1"/>
  <c r="AC10" i="38" s="1"/>
  <c r="L83" i="31"/>
  <c r="W83" i="31" s="1"/>
  <c r="AC83" i="31" s="1"/>
  <c r="L19" i="38"/>
  <c r="W19" i="38" s="1"/>
  <c r="AC19" i="38" s="1"/>
  <c r="L85" i="38"/>
  <c r="W85" i="38" s="1"/>
  <c r="AC85" i="38" s="1"/>
  <c r="L93" i="38"/>
  <c r="L90" i="38"/>
  <c r="Q32" i="34" s="1"/>
  <c r="Y32" i="34" s="1"/>
  <c r="L56" i="31"/>
  <c r="W56" i="31" s="1"/>
  <c r="AC56" i="31" s="1"/>
  <c r="L84" i="38"/>
  <c r="Q175" i="41"/>
  <c r="L87" i="38"/>
  <c r="W87" i="38" s="1"/>
  <c r="AC87" i="38" s="1"/>
  <c r="AA31" i="34" s="1"/>
  <c r="L65" i="31"/>
  <c r="W65" i="31" s="1"/>
  <c r="AC65" i="31" s="1"/>
  <c r="L86" i="31"/>
  <c r="W86" i="31" s="1"/>
  <c r="AC86" i="31" s="1"/>
  <c r="L80" i="38"/>
  <c r="W80" i="38" s="1"/>
  <c r="AC80" i="38" s="1"/>
  <c r="L81" i="31"/>
  <c r="D29" i="34" s="1"/>
  <c r="L68" i="31"/>
  <c r="W68" i="31" s="1"/>
  <c r="AC68" i="31" s="1"/>
  <c r="L66" i="38"/>
  <c r="W66" i="38" s="1"/>
  <c r="AC66" i="38" s="1"/>
  <c r="AA24" i="34" s="1"/>
  <c r="L40" i="31"/>
  <c r="W40" i="31" s="1"/>
  <c r="AC40" i="31" s="1"/>
  <c r="L42" i="38"/>
  <c r="W42" i="38" s="1"/>
  <c r="AC42" i="38" s="1"/>
  <c r="AA16" i="34" s="1"/>
  <c r="L33" i="38"/>
  <c r="L15" i="31"/>
  <c r="D7" i="34" s="1"/>
  <c r="L5" i="38"/>
  <c r="W5" i="38" s="1"/>
  <c r="AC5" i="38" s="1"/>
  <c r="L8" i="31"/>
  <c r="W8" i="31" s="1"/>
  <c r="AC8" i="31" s="1"/>
  <c r="R31" i="33"/>
  <c r="L91" i="38"/>
  <c r="W91" i="38" s="1"/>
  <c r="AC91" i="38" s="1"/>
  <c r="L88" i="31"/>
  <c r="W88" i="31" s="1"/>
  <c r="AC88" i="31" s="1"/>
  <c r="L83" i="38"/>
  <c r="W83" i="38" s="1"/>
  <c r="AC83" i="38" s="1"/>
  <c r="L75" i="38"/>
  <c r="Q27" i="34" s="1"/>
  <c r="Y27" i="34" s="1"/>
  <c r="L74" i="38"/>
  <c r="W74" i="38" s="1"/>
  <c r="AC74" i="38" s="1"/>
  <c r="L86" i="38"/>
  <c r="W86" i="38" s="1"/>
  <c r="AC86" i="38" s="1"/>
  <c r="L74" i="31"/>
  <c r="W74" i="31" s="1"/>
  <c r="AC74" i="31" s="1"/>
  <c r="L69" i="38"/>
  <c r="Q25" i="34" s="1"/>
  <c r="Y25" i="34" s="1"/>
  <c r="L68" i="38"/>
  <c r="W68" i="38" s="1"/>
  <c r="AC68" i="38" s="1"/>
  <c r="L55" i="38"/>
  <c r="W55" i="38" s="1"/>
  <c r="AC55" i="38" s="1"/>
  <c r="L38" i="38"/>
  <c r="W38" i="38" s="1"/>
  <c r="AC38" i="38" s="1"/>
  <c r="O35" i="34"/>
  <c r="L94" i="31"/>
  <c r="L88" i="38"/>
  <c r="W88" i="38" s="1"/>
  <c r="AC88" i="38" s="1"/>
  <c r="L61" i="31"/>
  <c r="W61" i="31" s="1"/>
  <c r="AC61" i="31" s="1"/>
  <c r="L66" i="31"/>
  <c r="L50" i="31"/>
  <c r="W50" i="31" s="1"/>
  <c r="AC50" i="31" s="1"/>
  <c r="L57" i="31"/>
  <c r="L43" i="31"/>
  <c r="W43" i="31" s="1"/>
  <c r="AC43" i="31" s="1"/>
  <c r="L41" i="31"/>
  <c r="W41" i="31" s="1"/>
  <c r="AC41" i="31" s="1"/>
  <c r="L43" i="38"/>
  <c r="W43" i="38" s="1"/>
  <c r="AC43" i="38" s="1"/>
  <c r="L32" i="31"/>
  <c r="W32" i="31" s="1"/>
  <c r="AC32" i="31" s="1"/>
  <c r="L40" i="38"/>
  <c r="W40" i="38" s="1"/>
  <c r="AC40" i="38" s="1"/>
  <c r="L21" i="31"/>
  <c r="W21" i="31" s="1"/>
  <c r="AC21" i="31" s="1"/>
  <c r="L17" i="38"/>
  <c r="W17" i="38" s="1"/>
  <c r="AC17" i="38" s="1"/>
  <c r="L80" i="31"/>
  <c r="W80" i="31" s="1"/>
  <c r="AC80" i="31" s="1"/>
  <c r="L76" i="31"/>
  <c r="W76" i="31" s="1"/>
  <c r="AC76" i="31" s="1"/>
  <c r="L64" i="38"/>
  <c r="W64" i="38" s="1"/>
  <c r="AC64" i="38" s="1"/>
  <c r="L52" i="31"/>
  <c r="W52" i="31" s="1"/>
  <c r="AC52" i="31" s="1"/>
  <c r="L53" i="31"/>
  <c r="W53" i="31" s="1"/>
  <c r="AC53" i="31" s="1"/>
  <c r="L49" i="31"/>
  <c r="W49" i="31" s="1"/>
  <c r="AC49" i="31" s="1"/>
  <c r="L47" i="38"/>
  <c r="W47" i="38" s="1"/>
  <c r="AC47" i="38" s="1"/>
  <c r="L44" i="31"/>
  <c r="W44" i="31" s="1"/>
  <c r="AC44" i="31" s="1"/>
  <c r="L42" i="31"/>
  <c r="L41" i="38"/>
  <c r="W41" i="38" s="1"/>
  <c r="AC41" i="38" s="1"/>
  <c r="L26" i="38"/>
  <c r="W26" i="38" s="1"/>
  <c r="AC26" i="38" s="1"/>
  <c r="L27" i="38"/>
  <c r="Q11" i="34" s="1"/>
  <c r="Y11" i="34" s="1"/>
  <c r="L12" i="31"/>
  <c r="L62" i="31"/>
  <c r="W62" i="31" s="1"/>
  <c r="AC62" i="31" s="1"/>
  <c r="L36" i="38"/>
  <c r="W36" i="38" s="1"/>
  <c r="AC36" i="38" s="1"/>
  <c r="AA14" i="34" s="1"/>
  <c r="L29" i="38"/>
  <c r="W29" i="38" s="1"/>
  <c r="AC29" i="38" s="1"/>
  <c r="L24" i="31"/>
  <c r="L13" i="31"/>
  <c r="W13" i="31" s="1"/>
  <c r="AC13" i="31" s="1"/>
  <c r="L18" i="31"/>
  <c r="W18" i="31" s="1"/>
  <c r="AC18" i="31" s="1"/>
  <c r="L13" i="38"/>
  <c r="W13" i="38" s="1"/>
  <c r="AC13" i="38" s="1"/>
  <c r="L5" i="31"/>
  <c r="W5" i="31" s="1"/>
  <c r="AC5" i="31" s="1"/>
  <c r="W90" i="38"/>
  <c r="AC90" i="38" s="1"/>
  <c r="AA32" i="34" s="1"/>
  <c r="N91" i="31"/>
  <c r="V91" i="31"/>
  <c r="H91" i="27"/>
  <c r="AB181" i="41"/>
  <c r="L181" i="41"/>
  <c r="M181" i="41" s="1"/>
  <c r="AB186" i="41"/>
  <c r="AF186" i="41"/>
  <c r="L186" i="41"/>
  <c r="E31" i="34"/>
  <c r="B32" i="34"/>
  <c r="AB32" i="34" s="1"/>
  <c r="AC30" i="34"/>
  <c r="AG30" i="34" s="1"/>
  <c r="M30" i="34"/>
  <c r="U189" i="41"/>
  <c r="D189" i="41"/>
  <c r="F189" i="41"/>
  <c r="G189" i="41" s="1"/>
  <c r="S6" i="34"/>
  <c r="F3" i="34"/>
  <c r="G3" i="34"/>
  <c r="T3" i="34"/>
  <c r="S4" i="34"/>
  <c r="H6" i="34"/>
  <c r="H3" i="34"/>
  <c r="F6" i="34"/>
  <c r="S3" i="34"/>
  <c r="U3" i="34"/>
  <c r="F5" i="34"/>
  <c r="G7" i="34"/>
  <c r="S5" i="34"/>
  <c r="H5" i="34"/>
  <c r="U7" i="34"/>
  <c r="H4" i="34"/>
  <c r="U6" i="34"/>
  <c r="G4" i="34"/>
  <c r="T5" i="34"/>
  <c r="F4" i="34"/>
  <c r="G5" i="34"/>
  <c r="U4" i="34"/>
  <c r="T4" i="34"/>
  <c r="U5" i="34"/>
  <c r="F7" i="34"/>
  <c r="T6" i="34"/>
  <c r="F8" i="34"/>
  <c r="H8" i="34"/>
  <c r="S7" i="34"/>
  <c r="V7" i="34" s="1"/>
  <c r="G8" i="34"/>
  <c r="T8" i="34"/>
  <c r="G6" i="34"/>
  <c r="U8" i="34"/>
  <c r="X8" i="34" s="1"/>
  <c r="H7" i="34"/>
  <c r="T7" i="34"/>
  <c r="S9" i="34"/>
  <c r="F10" i="34"/>
  <c r="U9" i="34"/>
  <c r="S8" i="34"/>
  <c r="H9" i="34"/>
  <c r="T9" i="34"/>
  <c r="G9" i="34"/>
  <c r="U10" i="34"/>
  <c r="F9" i="34"/>
  <c r="S10" i="34"/>
  <c r="G10" i="34"/>
  <c r="S11" i="34"/>
  <c r="T10" i="34"/>
  <c r="F11" i="34"/>
  <c r="H11" i="34"/>
  <c r="T12" i="34"/>
  <c r="H10" i="34"/>
  <c r="G12" i="34"/>
  <c r="S12" i="34"/>
  <c r="F12" i="34"/>
  <c r="U11" i="34"/>
  <c r="U12" i="34"/>
  <c r="T11" i="34"/>
  <c r="U13" i="34"/>
  <c r="H12" i="34"/>
  <c r="H15" i="34"/>
  <c r="F14" i="34"/>
  <c r="G11" i="34"/>
  <c r="T14" i="34"/>
  <c r="F13" i="34"/>
  <c r="H13" i="34"/>
  <c r="T13" i="34"/>
  <c r="G13" i="34"/>
  <c r="S13" i="34"/>
  <c r="V13" i="34" s="1"/>
  <c r="G14" i="34"/>
  <c r="U14" i="34"/>
  <c r="U16" i="34"/>
  <c r="H16" i="34"/>
  <c r="U15" i="34"/>
  <c r="S14" i="34"/>
  <c r="H14" i="34"/>
  <c r="S16" i="34"/>
  <c r="V16" i="34" s="1"/>
  <c r="G15" i="34"/>
  <c r="F15" i="34"/>
  <c r="G16" i="34"/>
  <c r="S15" i="34"/>
  <c r="T15" i="34"/>
  <c r="T16" i="34"/>
  <c r="S17" i="34"/>
  <c r="F16" i="34"/>
  <c r="I16" i="34" s="1"/>
  <c r="F17" i="34"/>
  <c r="G17" i="34"/>
  <c r="U17" i="34"/>
  <c r="T17" i="34"/>
  <c r="W17" i="34" s="1"/>
  <c r="U19" i="34"/>
  <c r="T18" i="34"/>
  <c r="S18" i="34"/>
  <c r="H17" i="34"/>
  <c r="H18" i="34"/>
  <c r="U18" i="34"/>
  <c r="H19" i="34"/>
  <c r="T19" i="34"/>
  <c r="G19" i="34"/>
  <c r="F19" i="34"/>
  <c r="S19" i="34"/>
  <c r="S21" i="34"/>
  <c r="G20" i="34"/>
  <c r="F18" i="34"/>
  <c r="G22" i="34"/>
  <c r="T21" i="34"/>
  <c r="G18" i="34"/>
  <c r="H20" i="34"/>
  <c r="F20" i="34"/>
  <c r="U21" i="34"/>
  <c r="U22" i="34"/>
  <c r="H21" i="34"/>
  <c r="U20" i="34"/>
  <c r="H22" i="34"/>
  <c r="T20" i="34"/>
  <c r="G21" i="34"/>
  <c r="F23" i="34"/>
  <c r="S22" i="34"/>
  <c r="S20" i="34"/>
  <c r="T23" i="34"/>
  <c r="S23" i="34"/>
  <c r="U24" i="34"/>
  <c r="X24" i="34" s="1"/>
  <c r="T22" i="34"/>
  <c r="H23" i="34"/>
  <c r="F22" i="34"/>
  <c r="F21" i="34"/>
  <c r="I21" i="34" s="1"/>
  <c r="S25" i="34"/>
  <c r="H24" i="34"/>
  <c r="G23" i="34"/>
  <c r="G24" i="34"/>
  <c r="U23" i="34"/>
  <c r="T24" i="34"/>
  <c r="F24" i="34"/>
  <c r="G25" i="34"/>
  <c r="F27" i="34"/>
  <c r="S24" i="34"/>
  <c r="U25" i="34"/>
  <c r="S26" i="34"/>
  <c r="F25" i="34"/>
  <c r="T25" i="34"/>
  <c r="H25" i="34"/>
  <c r="F28" i="34"/>
  <c r="U26" i="34"/>
  <c r="G27" i="34"/>
  <c r="S27" i="34"/>
  <c r="H27" i="34"/>
  <c r="T27" i="34"/>
  <c r="U27" i="34"/>
  <c r="H26" i="34"/>
  <c r="F26" i="34"/>
  <c r="I26" i="34" s="1"/>
  <c r="U28" i="34"/>
  <c r="G26" i="34"/>
  <c r="T26" i="34"/>
  <c r="G30" i="34"/>
  <c r="U30" i="34"/>
  <c r="F32" i="34"/>
  <c r="G28" i="34"/>
  <c r="P19" i="33"/>
  <c r="O92" i="38"/>
  <c r="L85" i="31"/>
  <c r="W85" i="31" s="1"/>
  <c r="AC85" i="31" s="1"/>
  <c r="Q95" i="38"/>
  <c r="P23" i="33" s="1"/>
  <c r="P95" i="38"/>
  <c r="P12" i="33" s="1"/>
  <c r="H95" i="38"/>
  <c r="R95" i="38"/>
  <c r="T14" i="33" s="1"/>
  <c r="S95" i="38"/>
  <c r="T21" i="33"/>
  <c r="L93" i="31"/>
  <c r="M27" i="34"/>
  <c r="AC27" i="34"/>
  <c r="AG27" i="34" s="1"/>
  <c r="L78" i="31"/>
  <c r="L78" i="38"/>
  <c r="L67" i="31"/>
  <c r="W67" i="31" s="1"/>
  <c r="AC67" i="31" s="1"/>
  <c r="L71" i="38"/>
  <c r="W71" i="38" s="1"/>
  <c r="AC71" i="38" s="1"/>
  <c r="L65" i="38"/>
  <c r="W65" i="38" s="1"/>
  <c r="AC65" i="38" s="1"/>
  <c r="L58" i="31"/>
  <c r="W58" i="31" s="1"/>
  <c r="AC58" i="31" s="1"/>
  <c r="L59" i="38"/>
  <c r="W59" i="38" s="1"/>
  <c r="AC59" i="38" s="1"/>
  <c r="L56" i="38"/>
  <c r="W56" i="38" s="1"/>
  <c r="AC56" i="38" s="1"/>
  <c r="L49" i="38"/>
  <c r="W49" i="38" s="1"/>
  <c r="AC49" i="38" s="1"/>
  <c r="L54" i="38"/>
  <c r="L55" i="31"/>
  <c r="W55" i="31" s="1"/>
  <c r="AC55" i="31" s="1"/>
  <c r="L51" i="31"/>
  <c r="L47" i="31"/>
  <c r="W47" i="31" s="1"/>
  <c r="AC47" i="31" s="1"/>
  <c r="L48" i="38"/>
  <c r="W36" i="31"/>
  <c r="AC36" i="31" s="1"/>
  <c r="L34" i="38"/>
  <c r="W34" i="38" s="1"/>
  <c r="AC34" i="38" s="1"/>
  <c r="L29" i="31"/>
  <c r="W29" i="31" s="1"/>
  <c r="AC29" i="31" s="1"/>
  <c r="L31" i="31"/>
  <c r="W31" i="31" s="1"/>
  <c r="AC31" i="31" s="1"/>
  <c r="L27" i="31"/>
  <c r="L20" i="31"/>
  <c r="W20" i="31" s="1"/>
  <c r="AC20" i="31" s="1"/>
  <c r="L25" i="38"/>
  <c r="W25" i="38" s="1"/>
  <c r="AC25" i="38" s="1"/>
  <c r="L14" i="31"/>
  <c r="W14" i="31" s="1"/>
  <c r="AC14" i="31" s="1"/>
  <c r="L21" i="38"/>
  <c r="L10" i="31"/>
  <c r="W10" i="31" s="1"/>
  <c r="AC10" i="31" s="1"/>
  <c r="L12" i="38"/>
  <c r="L11" i="38"/>
  <c r="W11" i="38" s="1"/>
  <c r="AC11" i="38" s="1"/>
  <c r="K97" i="31"/>
  <c r="C6" i="33"/>
  <c r="C5" i="33"/>
  <c r="C7" i="33"/>
  <c r="C4" i="33"/>
  <c r="L7" i="31"/>
  <c r="W7" i="31" s="1"/>
  <c r="AC7" i="31" s="1"/>
  <c r="L6" i="31"/>
  <c r="K97" i="38"/>
  <c r="P6" i="33"/>
  <c r="P5" i="33"/>
  <c r="P7" i="33"/>
  <c r="P4" i="33"/>
  <c r="P8" i="33" s="1"/>
  <c r="L7" i="38"/>
  <c r="W7" i="38" s="1"/>
  <c r="AC7" i="38" s="1"/>
  <c r="G29" i="34"/>
  <c r="H31" i="34"/>
  <c r="H32" i="34"/>
  <c r="S28" i="34"/>
  <c r="S33" i="34"/>
  <c r="H33" i="34"/>
  <c r="S29" i="34"/>
  <c r="AC28" i="34"/>
  <c r="AG28" i="34" s="1"/>
  <c r="M28" i="34"/>
  <c r="AC23" i="34"/>
  <c r="AG23" i="34" s="1"/>
  <c r="M23" i="34"/>
  <c r="AC22" i="34"/>
  <c r="AG22" i="34" s="1"/>
  <c r="M22" i="34"/>
  <c r="AC24" i="34"/>
  <c r="AG24" i="34" s="1"/>
  <c r="M24" i="34"/>
  <c r="AC19" i="34"/>
  <c r="AG19" i="34" s="1"/>
  <c r="M19" i="34"/>
  <c r="AC15" i="34"/>
  <c r="AG15" i="34" s="1"/>
  <c r="M15" i="34"/>
  <c r="AC8" i="34"/>
  <c r="AG8" i="34" s="1"/>
  <c r="M8" i="34"/>
  <c r="AC9" i="34"/>
  <c r="AG9" i="34" s="1"/>
  <c r="M9" i="34"/>
  <c r="G31" i="33"/>
  <c r="H27" i="33"/>
  <c r="AC94" i="38"/>
  <c r="H29" i="34"/>
  <c r="L92" i="38"/>
  <c r="W92" i="38" s="1"/>
  <c r="AC92" i="38" s="1"/>
  <c r="L89" i="31"/>
  <c r="W89" i="31" s="1"/>
  <c r="AC89" i="31" s="1"/>
  <c r="W84" i="38"/>
  <c r="AC84" i="38" s="1"/>
  <c r="AA30" i="34" s="1"/>
  <c r="Q30" i="34"/>
  <c r="Y30" i="34" s="1"/>
  <c r="W84" i="31"/>
  <c r="AC84" i="31" s="1"/>
  <c r="E187" i="41"/>
  <c r="W87" i="31"/>
  <c r="AC87" i="31" s="1"/>
  <c r="P22" i="33"/>
  <c r="O89" i="31"/>
  <c r="I89" i="27"/>
  <c r="M92" i="27"/>
  <c r="N92" i="27" s="1"/>
  <c r="L91" i="31"/>
  <c r="W91" i="31" s="1"/>
  <c r="O93" i="38"/>
  <c r="M90" i="27"/>
  <c r="N90" i="27" s="1"/>
  <c r="V95" i="38"/>
  <c r="R33" i="34" s="1"/>
  <c r="R35" i="34" s="1"/>
  <c r="N95" i="38"/>
  <c r="O95" i="38" s="1"/>
  <c r="M97" i="38"/>
  <c r="N97" i="38" s="1"/>
  <c r="T19" i="33"/>
  <c r="L81" i="38"/>
  <c r="W72" i="31"/>
  <c r="AC72" i="31" s="1"/>
  <c r="D26" i="34"/>
  <c r="L69" i="31"/>
  <c r="L64" i="31"/>
  <c r="W64" i="31" s="1"/>
  <c r="AC64" i="31" s="1"/>
  <c r="L59" i="31"/>
  <c r="W59" i="31" s="1"/>
  <c r="AC59" i="31" s="1"/>
  <c r="L60" i="31"/>
  <c r="L60" i="38"/>
  <c r="L51" i="38"/>
  <c r="L45" i="38"/>
  <c r="W42" i="31"/>
  <c r="AC42" i="31" s="1"/>
  <c r="W39" i="31"/>
  <c r="AC39" i="31" s="1"/>
  <c r="L31" i="38"/>
  <c r="W31" i="38" s="1"/>
  <c r="AC31" i="38" s="1"/>
  <c r="W33" i="38"/>
  <c r="AC33" i="38" s="1"/>
  <c r="AA13" i="34" s="1"/>
  <c r="Q13" i="34"/>
  <c r="Y13" i="34" s="1"/>
  <c r="L25" i="31"/>
  <c r="W25" i="31" s="1"/>
  <c r="AC25" i="31" s="1"/>
  <c r="W24" i="38"/>
  <c r="AC24" i="38" s="1"/>
  <c r="AA10" i="34" s="1"/>
  <c r="Q10" i="34"/>
  <c r="Y10" i="34" s="1"/>
  <c r="L22" i="31"/>
  <c r="W22" i="31" s="1"/>
  <c r="AC22" i="31" s="1"/>
  <c r="L18" i="38"/>
  <c r="L19" i="31"/>
  <c r="W19" i="31" s="1"/>
  <c r="AC19" i="31" s="1"/>
  <c r="W12" i="31"/>
  <c r="AC12" i="31" s="1"/>
  <c r="W6" i="38"/>
  <c r="AC6" i="38" s="1"/>
  <c r="AA4" i="34" s="1"/>
  <c r="Q4" i="34"/>
  <c r="Y4" i="34" s="1"/>
  <c r="J97" i="31"/>
  <c r="L3" i="31"/>
  <c r="B6" i="33"/>
  <c r="B4" i="33"/>
  <c r="B5" i="33"/>
  <c r="B7" i="33"/>
  <c r="D7" i="33" s="1"/>
  <c r="J97" i="38"/>
  <c r="L3" i="38"/>
  <c r="O4" i="33"/>
  <c r="O7" i="33"/>
  <c r="Q7" i="33" s="1"/>
  <c r="O6" i="33"/>
  <c r="Q6" i="33" s="1"/>
  <c r="O5" i="33"/>
  <c r="Q5" i="33" s="1"/>
  <c r="F30" i="34"/>
  <c r="S30" i="34"/>
  <c r="H30" i="34"/>
  <c r="S31" i="34"/>
  <c r="F33" i="34"/>
  <c r="T28" i="34"/>
  <c r="AC18" i="34"/>
  <c r="AG18" i="34" s="1"/>
  <c r="M18" i="34"/>
  <c r="AC17" i="34"/>
  <c r="AG17" i="34" s="1"/>
  <c r="M17" i="34"/>
  <c r="M7" i="34"/>
  <c r="AC7" i="34"/>
  <c r="AG7" i="34" s="1"/>
  <c r="AC3" i="34"/>
  <c r="AG3" i="34" s="1"/>
  <c r="M3" i="34"/>
  <c r="AE3" i="34"/>
  <c r="AE4" i="34" s="1"/>
  <c r="AE5" i="34" s="1"/>
  <c r="AE6" i="34" s="1"/>
  <c r="AE7" i="34" s="1"/>
  <c r="AE8" i="34" s="1"/>
  <c r="AE9" i="34" s="1"/>
  <c r="AE10" i="34" s="1"/>
  <c r="AE11" i="34" s="1"/>
  <c r="AE12" i="34" s="1"/>
  <c r="AE13" i="34" s="1"/>
  <c r="AE14" i="34" s="1"/>
  <c r="AE15" i="34" s="1"/>
  <c r="AE16" i="34" s="1"/>
  <c r="AE17" i="34" s="1"/>
  <c r="AE18" i="34" s="1"/>
  <c r="AE19" i="34" s="1"/>
  <c r="AE20" i="34" s="1"/>
  <c r="AE21" i="34" s="1"/>
  <c r="AE22" i="34" s="1"/>
  <c r="AE23" i="34" s="1"/>
  <c r="AE24" i="34" s="1"/>
  <c r="AE25" i="34" s="1"/>
  <c r="AE26" i="34" s="1"/>
  <c r="AE27" i="34" s="1"/>
  <c r="AE28" i="34" s="1"/>
  <c r="AE29" i="34" s="1"/>
  <c r="AE30" i="34" s="1"/>
  <c r="AE31" i="34" s="1"/>
  <c r="AE32" i="34" s="1"/>
  <c r="AE33" i="34" s="1"/>
  <c r="L95" i="31"/>
  <c r="P20" i="33"/>
  <c r="R94" i="31"/>
  <c r="S94" i="31"/>
  <c r="AH94" i="31" s="1"/>
  <c r="P94" i="31"/>
  <c r="Q94" i="31"/>
  <c r="AG94" i="31" s="1"/>
  <c r="H94" i="31"/>
  <c r="Q181" i="41"/>
  <c r="M180" i="41"/>
  <c r="S32" i="34"/>
  <c r="O90" i="31"/>
  <c r="I90" i="27"/>
  <c r="Q178" i="41"/>
  <c r="M177" i="41"/>
  <c r="W90" i="31"/>
  <c r="AC90" i="31" s="1"/>
  <c r="V92" i="31"/>
  <c r="N92" i="31"/>
  <c r="H92" i="27"/>
  <c r="L77" i="38"/>
  <c r="W77" i="38" s="1"/>
  <c r="AC77" i="38" s="1"/>
  <c r="L75" i="31"/>
  <c r="W69" i="38"/>
  <c r="AC69" i="38" s="1"/>
  <c r="AA25" i="34" s="1"/>
  <c r="L67" i="38"/>
  <c r="W67" i="38" s="1"/>
  <c r="AC67" i="38" s="1"/>
  <c r="W63" i="31"/>
  <c r="AC63" i="31" s="1"/>
  <c r="L70" i="38"/>
  <c r="W70" i="38" s="1"/>
  <c r="AC70" i="38" s="1"/>
  <c r="W57" i="38"/>
  <c r="AC57" i="38" s="1"/>
  <c r="AA21" i="34" s="1"/>
  <c r="Q21" i="34"/>
  <c r="Y21" i="34" s="1"/>
  <c r="L52" i="38"/>
  <c r="W52" i="38" s="1"/>
  <c r="AC52" i="38" s="1"/>
  <c r="W45" i="31"/>
  <c r="AC45" i="31" s="1"/>
  <c r="D17" i="34"/>
  <c r="L38" i="31"/>
  <c r="W38" i="31" s="1"/>
  <c r="AC38" i="31" s="1"/>
  <c r="L35" i="31"/>
  <c r="W35" i="31" s="1"/>
  <c r="AC35" i="31" s="1"/>
  <c r="Q14" i="34"/>
  <c r="Y14" i="34" s="1"/>
  <c r="W30" i="31"/>
  <c r="AC30" i="31" s="1"/>
  <c r="N12" i="34" s="1"/>
  <c r="L30" i="38"/>
  <c r="L23" i="31"/>
  <c r="W23" i="31" s="1"/>
  <c r="AC23" i="31" s="1"/>
  <c r="W24" i="31"/>
  <c r="AC24" i="31" s="1"/>
  <c r="L15" i="38"/>
  <c r="W9" i="38"/>
  <c r="AC9" i="38" s="1"/>
  <c r="AA5" i="34" s="1"/>
  <c r="Q5" i="34"/>
  <c r="Y5" i="34" s="1"/>
  <c r="L9" i="31"/>
  <c r="U31" i="34"/>
  <c r="U32" i="34"/>
  <c r="T32" i="34"/>
  <c r="U29" i="34"/>
  <c r="T33" i="34"/>
  <c r="H28" i="34"/>
  <c r="E182" i="41"/>
  <c r="L183" i="41"/>
  <c r="AB183" i="41"/>
  <c r="M25" i="34"/>
  <c r="AC25" i="34"/>
  <c r="AG25" i="34" s="1"/>
  <c r="AC21" i="34"/>
  <c r="AG21" i="34" s="1"/>
  <c r="M21" i="34"/>
  <c r="AC11" i="34"/>
  <c r="AG11" i="34" s="1"/>
  <c r="M11" i="34"/>
  <c r="AC10" i="34"/>
  <c r="AG10" i="34" s="1"/>
  <c r="M10" i="34"/>
  <c r="AC4" i="34"/>
  <c r="AG4" i="34" s="1"/>
  <c r="M4" i="34"/>
  <c r="E27" i="33"/>
  <c r="D31" i="33"/>
  <c r="P93" i="31"/>
  <c r="H93" i="31"/>
  <c r="R93" i="31"/>
  <c r="S93" i="31"/>
  <c r="AH93" i="31" s="1"/>
  <c r="Q93" i="31"/>
  <c r="AG93" i="31" s="1"/>
  <c r="V94" i="31"/>
  <c r="M94" i="27" s="1"/>
  <c r="N94" i="27" s="1"/>
  <c r="N94" i="31"/>
  <c r="H94" i="27"/>
  <c r="L89" i="38"/>
  <c r="W89" i="38" s="1"/>
  <c r="AC89" i="38" s="1"/>
  <c r="C31" i="34"/>
  <c r="L92" i="31"/>
  <c r="W92" i="31" s="1"/>
  <c r="V5" i="33"/>
  <c r="W93" i="38"/>
  <c r="AC93" i="38" s="1"/>
  <c r="AA33" i="34" s="1"/>
  <c r="Q33" i="34"/>
  <c r="Y33" i="34" s="1"/>
  <c r="AC29" i="34"/>
  <c r="AG29" i="34" s="1"/>
  <c r="M29" i="34"/>
  <c r="N93" i="31"/>
  <c r="V93" i="31"/>
  <c r="H93" i="27"/>
  <c r="AB176" i="41"/>
  <c r="L176" i="41"/>
  <c r="M176" i="41" s="1"/>
  <c r="R92" i="31"/>
  <c r="P92" i="31"/>
  <c r="Q92" i="31"/>
  <c r="AG92" i="31" s="1"/>
  <c r="H92" i="31"/>
  <c r="S92" i="31"/>
  <c r="AH92" i="31" s="1"/>
  <c r="L79" i="31"/>
  <c r="W79" i="31" s="1"/>
  <c r="AC79" i="31" s="1"/>
  <c r="L82" i="38"/>
  <c r="W82" i="38" s="1"/>
  <c r="AC82" i="38" s="1"/>
  <c r="L72" i="38"/>
  <c r="L71" i="31"/>
  <c r="W71" i="31" s="1"/>
  <c r="AC71" i="31" s="1"/>
  <c r="L73" i="38"/>
  <c r="W73" i="38" s="1"/>
  <c r="AC73" i="38" s="1"/>
  <c r="L76" i="38"/>
  <c r="W76" i="38" s="1"/>
  <c r="AC76" i="38" s="1"/>
  <c r="W66" i="31"/>
  <c r="AC66" i="31" s="1"/>
  <c r="N24" i="34" s="1"/>
  <c r="L62" i="38"/>
  <c r="W62" i="38" s="1"/>
  <c r="AC62" i="38" s="1"/>
  <c r="L63" i="38"/>
  <c r="L53" i="38"/>
  <c r="W53" i="38" s="1"/>
  <c r="AC53" i="38" s="1"/>
  <c r="W54" i="31"/>
  <c r="AC54" i="31" s="1"/>
  <c r="W57" i="31"/>
  <c r="AC57" i="31" s="1"/>
  <c r="D21" i="34"/>
  <c r="L58" i="38"/>
  <c r="W58" i="38" s="1"/>
  <c r="AC58" i="38" s="1"/>
  <c r="L46" i="31"/>
  <c r="W46" i="31" s="1"/>
  <c r="AC46" i="31" s="1"/>
  <c r="L46" i="38"/>
  <c r="W46" i="38" s="1"/>
  <c r="AC46" i="38" s="1"/>
  <c r="L48" i="31"/>
  <c r="L39" i="38"/>
  <c r="L35" i="38"/>
  <c r="W35" i="38" s="1"/>
  <c r="AC35" i="38" s="1"/>
  <c r="L28" i="31"/>
  <c r="W28" i="31" s="1"/>
  <c r="AC28" i="31" s="1"/>
  <c r="L28" i="38"/>
  <c r="W28" i="38" s="1"/>
  <c r="AC28" i="38" s="1"/>
  <c r="L37" i="38"/>
  <c r="W37" i="38" s="1"/>
  <c r="AC37" i="38" s="1"/>
  <c r="L33" i="31"/>
  <c r="D9" i="34"/>
  <c r="L20" i="38"/>
  <c r="W20" i="38" s="1"/>
  <c r="AC20" i="38" s="1"/>
  <c r="L16" i="38"/>
  <c r="W16" i="38" s="1"/>
  <c r="AC16" i="38" s="1"/>
  <c r="L11" i="31"/>
  <c r="W11" i="31" s="1"/>
  <c r="AC11" i="31" s="1"/>
  <c r="L8" i="38"/>
  <c r="W8" i="38" s="1"/>
  <c r="AC8" i="38" s="1"/>
  <c r="L4" i="38"/>
  <c r="W4" i="38" s="1"/>
  <c r="AC4" i="38" s="1"/>
  <c r="L4" i="31"/>
  <c r="W4" i="31" s="1"/>
  <c r="AC4" i="31" s="1"/>
  <c r="G33" i="34"/>
  <c r="F29" i="34"/>
  <c r="U33" i="34"/>
  <c r="F31" i="34"/>
  <c r="G32" i="34"/>
  <c r="T29" i="34"/>
  <c r="T30" i="34"/>
  <c r="M20" i="34"/>
  <c r="AC20" i="34"/>
  <c r="AG20" i="34" s="1"/>
  <c r="AC16" i="34"/>
  <c r="AG16" i="34" s="1"/>
  <c r="M16" i="34"/>
  <c r="AC13" i="34"/>
  <c r="AG13" i="34" s="1"/>
  <c r="M13" i="34"/>
  <c r="AC14" i="34"/>
  <c r="AG14" i="34" s="1"/>
  <c r="M14" i="34"/>
  <c r="AC12" i="34"/>
  <c r="AG12" i="34" s="1"/>
  <c r="M12" i="34"/>
  <c r="AC5" i="34"/>
  <c r="AG5" i="34" s="1"/>
  <c r="M5" i="34"/>
  <c r="AC6" i="34"/>
  <c r="AG6" i="34" s="1"/>
  <c r="M6" i="34"/>
  <c r="AB3" i="34"/>
  <c r="M95" i="31"/>
  <c r="G95" i="31"/>
  <c r="P32" i="34"/>
  <c r="L95" i="38"/>
  <c r="T23" i="33"/>
  <c r="W11" i="34" l="1"/>
  <c r="J9" i="34"/>
  <c r="J8" i="34"/>
  <c r="J4" i="34"/>
  <c r="D23" i="34"/>
  <c r="W95" i="38"/>
  <c r="N23" i="34"/>
  <c r="W81" i="31"/>
  <c r="AC81" i="31" s="1"/>
  <c r="N29" i="34" s="1"/>
  <c r="Q16" i="34"/>
  <c r="Y16" i="34" s="1"/>
  <c r="N26" i="34"/>
  <c r="Q31" i="34"/>
  <c r="Y31" i="34" s="1"/>
  <c r="D6" i="34"/>
  <c r="L6" i="34" s="1"/>
  <c r="W94" i="31"/>
  <c r="X21" i="34"/>
  <c r="J14" i="34"/>
  <c r="K6" i="34"/>
  <c r="V20" i="34"/>
  <c r="I29" i="34"/>
  <c r="X33" i="34"/>
  <c r="N6" i="34"/>
  <c r="Q24" i="34"/>
  <c r="Y24" i="34" s="1"/>
  <c r="D8" i="34"/>
  <c r="L8" i="34" s="1"/>
  <c r="I31" i="34"/>
  <c r="D10" i="34"/>
  <c r="AD10" i="34" s="1"/>
  <c r="AF10" i="34" s="1"/>
  <c r="D12" i="34"/>
  <c r="K30" i="34"/>
  <c r="D6" i="33"/>
  <c r="W15" i="31"/>
  <c r="AC15" i="31" s="1"/>
  <c r="N7" i="34" s="1"/>
  <c r="W27" i="38"/>
  <c r="AC27" i="38" s="1"/>
  <c r="AA11" i="34" s="1"/>
  <c r="N16" i="34"/>
  <c r="AH16" i="34" s="1"/>
  <c r="P21" i="33"/>
  <c r="V14" i="34"/>
  <c r="J24" i="34"/>
  <c r="K22" i="34"/>
  <c r="J12" i="34"/>
  <c r="V10" i="34"/>
  <c r="V5" i="34"/>
  <c r="N8" i="34"/>
  <c r="D24" i="34"/>
  <c r="AD24" i="34" s="1"/>
  <c r="AF24" i="34" s="1"/>
  <c r="W29" i="34"/>
  <c r="J32" i="34"/>
  <c r="AH24" i="34"/>
  <c r="D16" i="34"/>
  <c r="K28" i="34"/>
  <c r="D15" i="34"/>
  <c r="W75" i="38"/>
  <c r="AC75" i="38" s="1"/>
  <c r="AA27" i="34" s="1"/>
  <c r="N30" i="34"/>
  <c r="W30" i="34"/>
  <c r="N20" i="34"/>
  <c r="N10" i="34"/>
  <c r="AH10" i="34" s="1"/>
  <c r="V31" i="34"/>
  <c r="N15" i="34"/>
  <c r="P33" i="34"/>
  <c r="Z33" i="34" s="1"/>
  <c r="T13" i="33"/>
  <c r="X28" i="34"/>
  <c r="W27" i="34"/>
  <c r="X26" i="34"/>
  <c r="I25" i="34"/>
  <c r="I27" i="34"/>
  <c r="X23" i="34"/>
  <c r="V25" i="34"/>
  <c r="W22" i="34"/>
  <c r="J18" i="34"/>
  <c r="J20" i="34"/>
  <c r="J19" i="34"/>
  <c r="X19" i="34"/>
  <c r="I17" i="34"/>
  <c r="W15" i="34"/>
  <c r="J15" i="34"/>
  <c r="K13" i="34"/>
  <c r="V12" i="34"/>
  <c r="K11" i="34"/>
  <c r="J10" i="34"/>
  <c r="X9" i="34"/>
  <c r="K7" i="34"/>
  <c r="W6" i="34"/>
  <c r="X4" i="34"/>
  <c r="K5" i="34"/>
  <c r="J33" i="34"/>
  <c r="N21" i="34"/>
  <c r="AH21" i="34" s="1"/>
  <c r="W32" i="34"/>
  <c r="N17" i="34"/>
  <c r="D30" i="34"/>
  <c r="L30" i="34" s="1"/>
  <c r="R6" i="33"/>
  <c r="S6" i="33" s="1"/>
  <c r="J23" i="34"/>
  <c r="V18" i="34"/>
  <c r="D20" i="34"/>
  <c r="L20" i="34" s="1"/>
  <c r="R4" i="33"/>
  <c r="L9" i="34"/>
  <c r="W48" i="31"/>
  <c r="AC48" i="31" s="1"/>
  <c r="N18" i="34" s="1"/>
  <c r="D18" i="34"/>
  <c r="B8" i="33"/>
  <c r="D4" i="33"/>
  <c r="L7" i="34"/>
  <c r="W51" i="38"/>
  <c r="AC51" i="38" s="1"/>
  <c r="AA19" i="34" s="1"/>
  <c r="Q19" i="34"/>
  <c r="Y19" i="34" s="1"/>
  <c r="L26" i="34"/>
  <c r="L29" i="34"/>
  <c r="AB187" i="41"/>
  <c r="L187" i="41"/>
  <c r="M187" i="41" s="1"/>
  <c r="K33" i="34"/>
  <c r="K31" i="34"/>
  <c r="W6" i="31"/>
  <c r="AC6" i="31" s="1"/>
  <c r="N4" i="34" s="1"/>
  <c r="AH4" i="34" s="1"/>
  <c r="D4" i="34"/>
  <c r="W12" i="38"/>
  <c r="AC12" i="38" s="1"/>
  <c r="AA6" i="34" s="1"/>
  <c r="Q6" i="34"/>
  <c r="Y6" i="34" s="1"/>
  <c r="W48" i="38"/>
  <c r="AC48" i="38" s="1"/>
  <c r="AA18" i="34" s="1"/>
  <c r="Q18" i="34"/>
  <c r="Y18" i="34" s="1"/>
  <c r="W54" i="38"/>
  <c r="AC54" i="38" s="1"/>
  <c r="AA20" i="34" s="1"/>
  <c r="AH20" i="34" s="1"/>
  <c r="Q20" i="34"/>
  <c r="Y20" i="34" s="1"/>
  <c r="W78" i="38"/>
  <c r="AC78" i="38" s="1"/>
  <c r="AA28" i="34" s="1"/>
  <c r="Q28" i="34"/>
  <c r="Y28" i="34" s="1"/>
  <c r="W93" i="31"/>
  <c r="AC93" i="31" s="1"/>
  <c r="D33" i="34"/>
  <c r="X30" i="34"/>
  <c r="W20" i="34"/>
  <c r="X22" i="34"/>
  <c r="K18" i="34"/>
  <c r="X15" i="34"/>
  <c r="I14" i="34"/>
  <c r="X3" i="34"/>
  <c r="W3" i="33"/>
  <c r="I3" i="34"/>
  <c r="H3" i="33"/>
  <c r="AC91" i="31"/>
  <c r="M91" i="27"/>
  <c r="N91" i="27" s="1"/>
  <c r="Z32" i="34"/>
  <c r="P35" i="34"/>
  <c r="Z35" i="34" s="1"/>
  <c r="L97" i="38"/>
  <c r="O97" i="38" s="1"/>
  <c r="W97" i="38" s="1"/>
  <c r="W3" i="38"/>
  <c r="AC3" i="38" s="1"/>
  <c r="Q3" i="34"/>
  <c r="N9" i="34"/>
  <c r="W63" i="38"/>
  <c r="AC63" i="38" s="1"/>
  <c r="AA23" i="34" s="1"/>
  <c r="Q23" i="34"/>
  <c r="Y23" i="34" s="1"/>
  <c r="O93" i="31"/>
  <c r="I93" i="27"/>
  <c r="O94" i="31"/>
  <c r="I94" i="27"/>
  <c r="L16" i="34"/>
  <c r="AD16" i="34"/>
  <c r="AF16" i="34" s="1"/>
  <c r="W60" i="38"/>
  <c r="AC60" i="38" s="1"/>
  <c r="AA22" i="34" s="1"/>
  <c r="Q22" i="34"/>
  <c r="Y22" i="34" s="1"/>
  <c r="D31" i="34"/>
  <c r="AD30" i="34"/>
  <c r="AF30" i="34" s="1"/>
  <c r="V33" i="34"/>
  <c r="J29" i="34"/>
  <c r="W78" i="31"/>
  <c r="AC78" i="31" s="1"/>
  <c r="N28" i="34" s="1"/>
  <c r="D28" i="34"/>
  <c r="Q15" i="33"/>
  <c r="O11" i="33"/>
  <c r="O14" i="33"/>
  <c r="R14" i="33"/>
  <c r="O13" i="33"/>
  <c r="R13" i="33"/>
  <c r="R12" i="33"/>
  <c r="Q13" i="33"/>
  <c r="Q14" i="33"/>
  <c r="Q12" i="33"/>
  <c r="O12" i="33"/>
  <c r="R11" i="33"/>
  <c r="Q11" i="33"/>
  <c r="P13" i="33"/>
  <c r="J30" i="34"/>
  <c r="K27" i="34"/>
  <c r="I28" i="34"/>
  <c r="V26" i="34"/>
  <c r="J25" i="34"/>
  <c r="V22" i="34"/>
  <c r="W21" i="34"/>
  <c r="V21" i="34"/>
  <c r="W19" i="34"/>
  <c r="K17" i="34"/>
  <c r="V15" i="34"/>
  <c r="K16" i="34"/>
  <c r="I13" i="34"/>
  <c r="K15" i="34"/>
  <c r="X12" i="34"/>
  <c r="I11" i="34"/>
  <c r="W9" i="34"/>
  <c r="I10" i="34"/>
  <c r="I7" i="34"/>
  <c r="J5" i="34"/>
  <c r="X6" i="34"/>
  <c r="V3" i="34"/>
  <c r="U3" i="33"/>
  <c r="V4" i="34"/>
  <c r="V6" i="34"/>
  <c r="Q187" i="41"/>
  <c r="M186" i="41"/>
  <c r="P11" i="33"/>
  <c r="O91" i="31"/>
  <c r="I91" i="27"/>
  <c r="P95" i="31"/>
  <c r="C13" i="33" s="1"/>
  <c r="H95" i="31"/>
  <c r="H97" i="31" s="1"/>
  <c r="Q95" i="31"/>
  <c r="C19" i="33" s="1"/>
  <c r="R95" i="31"/>
  <c r="G12" i="33" s="1"/>
  <c r="S95" i="31"/>
  <c r="G20" i="33" s="1"/>
  <c r="C22" i="33"/>
  <c r="X32" i="34"/>
  <c r="L10" i="34"/>
  <c r="L12" i="34"/>
  <c r="L23" i="34"/>
  <c r="O92" i="31"/>
  <c r="I92" i="27"/>
  <c r="V32" i="34"/>
  <c r="V95" i="31"/>
  <c r="W95" i="31" s="1"/>
  <c r="H95" i="27"/>
  <c r="N95" i="31"/>
  <c r="E6" i="33" s="1"/>
  <c r="F6" i="33" s="1"/>
  <c r="B24" i="34"/>
  <c r="W33" i="31"/>
  <c r="AC33" i="31" s="1"/>
  <c r="N13" i="34" s="1"/>
  <c r="AH13" i="34" s="1"/>
  <c r="D13" i="34"/>
  <c r="B33" i="34"/>
  <c r="AB33" i="34" s="1"/>
  <c r="AC31" i="34"/>
  <c r="AG31" i="34" s="1"/>
  <c r="M31" i="34"/>
  <c r="AC94" i="31"/>
  <c r="C23" i="33"/>
  <c r="W33" i="34"/>
  <c r="X31" i="34"/>
  <c r="W15" i="38"/>
  <c r="AC15" i="38" s="1"/>
  <c r="AA7" i="34" s="1"/>
  <c r="Q7" i="34"/>
  <c r="Y7" i="34" s="1"/>
  <c r="AH23" i="34"/>
  <c r="W75" i="31"/>
  <c r="AC75" i="31" s="1"/>
  <c r="N27" i="34" s="1"/>
  <c r="D27" i="34"/>
  <c r="AC92" i="31"/>
  <c r="C32" i="34"/>
  <c r="W28" i="34"/>
  <c r="V30" i="34"/>
  <c r="L97" i="31"/>
  <c r="W3" i="31"/>
  <c r="AC3" i="31" s="1"/>
  <c r="D3" i="34"/>
  <c r="W60" i="31"/>
  <c r="AC60" i="31" s="1"/>
  <c r="N22" i="34" s="1"/>
  <c r="D22" i="34"/>
  <c r="W81" i="38"/>
  <c r="AC81" i="38" s="1"/>
  <c r="AA29" i="34" s="1"/>
  <c r="AH29" i="34" s="1"/>
  <c r="Q29" i="34"/>
  <c r="Y29" i="34" s="1"/>
  <c r="N31" i="34"/>
  <c r="AH31" i="34" s="1"/>
  <c r="AH30" i="34"/>
  <c r="K29" i="34"/>
  <c r="V28" i="34"/>
  <c r="C8" i="33"/>
  <c r="W21" i="38"/>
  <c r="AC21" i="38" s="1"/>
  <c r="AA9" i="34" s="1"/>
  <c r="Q9" i="34"/>
  <c r="Y9" i="34" s="1"/>
  <c r="W27" i="31"/>
  <c r="AC27" i="31" s="1"/>
  <c r="N11" i="34" s="1"/>
  <c r="AH11" i="34" s="1"/>
  <c r="D11" i="34"/>
  <c r="D14" i="34"/>
  <c r="W51" i="31"/>
  <c r="AC51" i="31" s="1"/>
  <c r="N19" i="34" s="1"/>
  <c r="AH19" i="34" s="1"/>
  <c r="D19" i="34"/>
  <c r="AH95" i="38"/>
  <c r="U22" i="33"/>
  <c r="V20" i="33"/>
  <c r="V21" i="33"/>
  <c r="U19" i="33"/>
  <c r="U21" i="33"/>
  <c r="V22" i="33"/>
  <c r="V19" i="33"/>
  <c r="V23" i="33" s="1"/>
  <c r="U20" i="33"/>
  <c r="T20" i="33"/>
  <c r="T22" i="33"/>
  <c r="AG95" i="38"/>
  <c r="O21" i="33"/>
  <c r="O20" i="33"/>
  <c r="Q20" i="33"/>
  <c r="R21" i="33"/>
  <c r="O19" i="33"/>
  <c r="O22" i="33"/>
  <c r="R20" i="33"/>
  <c r="R22" i="33"/>
  <c r="R19" i="33"/>
  <c r="Q19" i="33"/>
  <c r="Q22" i="33"/>
  <c r="Q21" i="33"/>
  <c r="R5" i="33"/>
  <c r="S5" i="33" s="1"/>
  <c r="J28" i="34"/>
  <c r="W26" i="34"/>
  <c r="K26" i="34"/>
  <c r="V27" i="34"/>
  <c r="K25" i="34"/>
  <c r="X25" i="34"/>
  <c r="I24" i="34"/>
  <c r="I22" i="34"/>
  <c r="V23" i="34"/>
  <c r="I23" i="34"/>
  <c r="X20" i="34"/>
  <c r="I20" i="34"/>
  <c r="J22" i="34"/>
  <c r="V19" i="34"/>
  <c r="K19" i="34"/>
  <c r="X17" i="34"/>
  <c r="V17" i="34"/>
  <c r="J16" i="34"/>
  <c r="K14" i="34"/>
  <c r="X16" i="34"/>
  <c r="J13" i="34"/>
  <c r="W14" i="34"/>
  <c r="K12" i="34"/>
  <c r="X11" i="34"/>
  <c r="K10" i="34"/>
  <c r="W10" i="34"/>
  <c r="I9" i="34"/>
  <c r="K9" i="34"/>
  <c r="V9" i="34"/>
  <c r="J6" i="34"/>
  <c r="K8" i="34"/>
  <c r="X5" i="34"/>
  <c r="I4" i="34"/>
  <c r="K4" i="34"/>
  <c r="J7" i="34"/>
  <c r="I6" i="34"/>
  <c r="W3" i="34"/>
  <c r="V3" i="33"/>
  <c r="E32" i="34"/>
  <c r="W31" i="34"/>
  <c r="T15" i="33"/>
  <c r="P14" i="33"/>
  <c r="AD21" i="34"/>
  <c r="AF21" i="34" s="1"/>
  <c r="L21" i="34"/>
  <c r="W72" i="38"/>
  <c r="AC72" i="38" s="1"/>
  <c r="AA26" i="34" s="1"/>
  <c r="Q26" i="34"/>
  <c r="Y26" i="34" s="1"/>
  <c r="AB182" i="41"/>
  <c r="L182" i="41"/>
  <c r="M182" i="41" s="1"/>
  <c r="W30" i="38"/>
  <c r="AC30" i="38" s="1"/>
  <c r="AA12" i="34" s="1"/>
  <c r="AH12" i="34" s="1"/>
  <c r="Q12" i="34"/>
  <c r="Y12" i="34" s="1"/>
  <c r="M93" i="27"/>
  <c r="N93" i="27" s="1"/>
  <c r="W39" i="38"/>
  <c r="AC39" i="38" s="1"/>
  <c r="AA15" i="34" s="1"/>
  <c r="Q15" i="34"/>
  <c r="Y15" i="34" s="1"/>
  <c r="L24" i="34"/>
  <c r="G14" i="33"/>
  <c r="Q184" i="41"/>
  <c r="M183" i="41"/>
  <c r="X29" i="34"/>
  <c r="W9" i="31"/>
  <c r="AC9" i="31" s="1"/>
  <c r="N5" i="34" s="1"/>
  <c r="AH5" i="34" s="1"/>
  <c r="D5" i="34"/>
  <c r="L17" i="34"/>
  <c r="D32" i="34"/>
  <c r="I33" i="34"/>
  <c r="I30" i="34"/>
  <c r="O8" i="33"/>
  <c r="Q4" i="33"/>
  <c r="D5" i="33"/>
  <c r="W18" i="38"/>
  <c r="AC18" i="38" s="1"/>
  <c r="AA8" i="34" s="1"/>
  <c r="Q8" i="34"/>
  <c r="Y8" i="34" s="1"/>
  <c r="L15" i="34"/>
  <c r="W45" i="38"/>
  <c r="AC45" i="38" s="1"/>
  <c r="AA17" i="34" s="1"/>
  <c r="Q17" i="34"/>
  <c r="Y17" i="34" s="1"/>
  <c r="W69" i="31"/>
  <c r="AC69" i="31" s="1"/>
  <c r="N25" i="34" s="1"/>
  <c r="AH25" i="34" s="1"/>
  <c r="D25" i="34"/>
  <c r="J31" i="34"/>
  <c r="AC95" i="38"/>
  <c r="C20" i="33"/>
  <c r="V29" i="34"/>
  <c r="K32" i="34"/>
  <c r="N14" i="34"/>
  <c r="AH14" i="34" s="1"/>
  <c r="U11" i="33"/>
  <c r="V14" i="33"/>
  <c r="V12" i="33"/>
  <c r="V11" i="33"/>
  <c r="V13" i="33"/>
  <c r="U12" i="33"/>
  <c r="U14" i="33"/>
  <c r="U13" i="33"/>
  <c r="T11" i="33"/>
  <c r="T12" i="33"/>
  <c r="R7" i="33"/>
  <c r="S7" i="33" s="1"/>
  <c r="I32" i="34"/>
  <c r="J26" i="34"/>
  <c r="X27" i="34"/>
  <c r="J27" i="34"/>
  <c r="W25" i="34"/>
  <c r="V24" i="34"/>
  <c r="W24" i="34"/>
  <c r="K24" i="34"/>
  <c r="K23" i="34"/>
  <c r="W23" i="34"/>
  <c r="J21" i="34"/>
  <c r="K21" i="34"/>
  <c r="K20" i="34"/>
  <c r="I18" i="34"/>
  <c r="I19" i="34"/>
  <c r="X18" i="34"/>
  <c r="W18" i="34"/>
  <c r="J17" i="34"/>
  <c r="W16" i="34"/>
  <c r="I15" i="34"/>
  <c r="X14" i="34"/>
  <c r="W13" i="34"/>
  <c r="J11" i="34"/>
  <c r="X13" i="34"/>
  <c r="I12" i="34"/>
  <c r="W12" i="34"/>
  <c r="V11" i="34"/>
  <c r="X10" i="34"/>
  <c r="V8" i="34"/>
  <c r="W7" i="34"/>
  <c r="W8" i="34"/>
  <c r="I8" i="34"/>
  <c r="W4" i="34"/>
  <c r="W5" i="34"/>
  <c r="X7" i="34"/>
  <c r="I5" i="34"/>
  <c r="K3" i="34"/>
  <c r="J3" i="33"/>
  <c r="J3" i="34"/>
  <c r="I3" i="33"/>
  <c r="E188" i="41"/>
  <c r="L189" i="41"/>
  <c r="AB189" i="41"/>
  <c r="P15" i="33"/>
  <c r="AH15" i="34" l="1"/>
  <c r="AH7" i="34"/>
  <c r="AH6" i="34"/>
  <c r="G19" i="33"/>
  <c r="M95" i="27"/>
  <c r="N95" i="27" s="1"/>
  <c r="G23" i="33"/>
  <c r="G21" i="33"/>
  <c r="AD23" i="34"/>
  <c r="AF23" i="34" s="1"/>
  <c r="E33" i="34"/>
  <c r="E38" i="34" s="1"/>
  <c r="AD15" i="34"/>
  <c r="AF15" i="34" s="1"/>
  <c r="AH26" i="34"/>
  <c r="AH8" i="34"/>
  <c r="AD20" i="34"/>
  <c r="AF20" i="34" s="1"/>
  <c r="R15" i="33"/>
  <c r="N32" i="34"/>
  <c r="AH32" i="34" s="1"/>
  <c r="Q23" i="33"/>
  <c r="AD6" i="34"/>
  <c r="AF6" i="34" s="1"/>
  <c r="AD8" i="34"/>
  <c r="AF8" i="34" s="1"/>
  <c r="AH27" i="34"/>
  <c r="U15" i="33"/>
  <c r="AH17" i="34"/>
  <c r="AD17" i="34"/>
  <c r="AF17" i="34" s="1"/>
  <c r="AH22" i="34"/>
  <c r="AB188" i="41"/>
  <c r="L188" i="41"/>
  <c r="M188" i="41" s="1"/>
  <c r="V15" i="33"/>
  <c r="Q8" i="33"/>
  <c r="S4" i="33"/>
  <c r="AD32" i="34"/>
  <c r="AF32" i="34" s="1"/>
  <c r="L32" i="34"/>
  <c r="G15" i="33"/>
  <c r="AD3" i="34"/>
  <c r="AF3" i="34" s="1"/>
  <c r="D35" i="34"/>
  <c r="L3" i="34"/>
  <c r="AB24" i="34"/>
  <c r="B35" i="34"/>
  <c r="AB35" i="34" s="1"/>
  <c r="AH95" i="31"/>
  <c r="H20" i="33"/>
  <c r="H22" i="33"/>
  <c r="I22" i="33"/>
  <c r="I21" i="33"/>
  <c r="H21" i="33"/>
  <c r="I19" i="33"/>
  <c r="H19" i="33"/>
  <c r="I20" i="33"/>
  <c r="G22" i="33"/>
  <c r="D15" i="33"/>
  <c r="B12" i="33"/>
  <c r="E14" i="33"/>
  <c r="E12" i="33"/>
  <c r="D13" i="33"/>
  <c r="E11" i="33"/>
  <c r="D12" i="33"/>
  <c r="D14" i="33"/>
  <c r="B11" i="33"/>
  <c r="B13" i="33"/>
  <c r="D11" i="33"/>
  <c r="E13" i="33"/>
  <c r="B14" i="33"/>
  <c r="W13" i="33"/>
  <c r="S13" i="33"/>
  <c r="AC97" i="38"/>
  <c r="T8" i="33"/>
  <c r="AA3" i="34"/>
  <c r="T7" i="33"/>
  <c r="T4" i="33"/>
  <c r="T6" i="33"/>
  <c r="T5" i="33"/>
  <c r="H4" i="33"/>
  <c r="L4" i="34"/>
  <c r="AD4" i="34"/>
  <c r="AF4" i="34" s="1"/>
  <c r="C15" i="33"/>
  <c r="D8" i="33"/>
  <c r="AH18" i="34"/>
  <c r="M189" i="41"/>
  <c r="Q190" i="41"/>
  <c r="I5" i="33" s="1"/>
  <c r="AD5" i="34"/>
  <c r="AF5" i="34" s="1"/>
  <c r="L5" i="34"/>
  <c r="S22" i="33"/>
  <c r="W22" i="33"/>
  <c r="W20" i="33"/>
  <c r="S20" i="33"/>
  <c r="AD14" i="34"/>
  <c r="AF14" i="34" s="1"/>
  <c r="L14" i="34"/>
  <c r="N3" i="34"/>
  <c r="M32" i="34"/>
  <c r="AC32" i="34"/>
  <c r="AG32" i="34" s="1"/>
  <c r="O95" i="31"/>
  <c r="I95" i="27"/>
  <c r="N97" i="31"/>
  <c r="O97" i="31" s="1"/>
  <c r="W97" i="31" s="1"/>
  <c r="E5" i="33"/>
  <c r="H12" i="33"/>
  <c r="H14" i="33"/>
  <c r="I12" i="33"/>
  <c r="I11" i="33"/>
  <c r="H11" i="33"/>
  <c r="H13" i="33"/>
  <c r="I13" i="33"/>
  <c r="I14" i="33"/>
  <c r="G11" i="33"/>
  <c r="G13" i="33"/>
  <c r="L28" i="34"/>
  <c r="AD28" i="34"/>
  <c r="AF28" i="34" s="1"/>
  <c r="L31" i="34"/>
  <c r="AD31" i="34"/>
  <c r="AF31" i="34" s="1"/>
  <c r="C33" i="34"/>
  <c r="C35" i="34" s="1"/>
  <c r="C14" i="33"/>
  <c r="AD25" i="34"/>
  <c r="AF25" i="34" s="1"/>
  <c r="L25" i="34"/>
  <c r="R23" i="33"/>
  <c r="O23" i="33"/>
  <c r="W19" i="33"/>
  <c r="S19" i="33"/>
  <c r="W21" i="33"/>
  <c r="S21" i="33"/>
  <c r="U23" i="33"/>
  <c r="AD11" i="34"/>
  <c r="AF11" i="34" s="1"/>
  <c r="L11" i="34"/>
  <c r="L13" i="34"/>
  <c r="AD13" i="34"/>
  <c r="AF13" i="34" s="1"/>
  <c r="AD12" i="34"/>
  <c r="AF12" i="34" s="1"/>
  <c r="AG95" i="31"/>
  <c r="B21" i="33"/>
  <c r="B19" i="33"/>
  <c r="E21" i="33"/>
  <c r="E19" i="33"/>
  <c r="D19" i="33"/>
  <c r="B20" i="33"/>
  <c r="D20" i="33"/>
  <c r="E22" i="33"/>
  <c r="E20" i="33"/>
  <c r="D22" i="33"/>
  <c r="D21" i="33"/>
  <c r="B22" i="33"/>
  <c r="C21" i="33"/>
  <c r="R8" i="33"/>
  <c r="W12" i="33"/>
  <c r="S12" i="33"/>
  <c r="W14" i="33"/>
  <c r="S14" i="33"/>
  <c r="AH28" i="34"/>
  <c r="C12" i="33"/>
  <c r="AH9" i="34"/>
  <c r="L33" i="34"/>
  <c r="AD33" i="34"/>
  <c r="AF33" i="34" s="1"/>
  <c r="AD26" i="34"/>
  <c r="AF26" i="34" s="1"/>
  <c r="AD9" i="34"/>
  <c r="AF9" i="34" s="1"/>
  <c r="E4" i="33"/>
  <c r="F5" i="33"/>
  <c r="L19" i="34"/>
  <c r="AD19" i="34"/>
  <c r="AF19" i="34" s="1"/>
  <c r="L22" i="34"/>
  <c r="AD22" i="34"/>
  <c r="AF22" i="34" s="1"/>
  <c r="L27" i="34"/>
  <c r="AD27" i="34"/>
  <c r="AF27" i="34" s="1"/>
  <c r="AC95" i="31"/>
  <c r="G4" i="33" s="1"/>
  <c r="E7" i="33"/>
  <c r="F7" i="33" s="1"/>
  <c r="S11" i="33"/>
  <c r="O15" i="33"/>
  <c r="W11" i="33"/>
  <c r="Q35" i="34"/>
  <c r="Y3" i="34"/>
  <c r="Y35" i="34" s="1"/>
  <c r="AD29" i="34"/>
  <c r="AF29" i="34" s="1"/>
  <c r="AD7" i="34"/>
  <c r="AF7" i="34" s="1"/>
  <c r="AD18" i="34"/>
  <c r="AF18" i="34" s="1"/>
  <c r="L18" i="34"/>
  <c r="C11" i="33"/>
  <c r="E35" i="34" l="1"/>
  <c r="AE35" i="34" s="1"/>
  <c r="N33" i="34"/>
  <c r="AH33" i="34" s="1"/>
  <c r="AH3" i="34"/>
  <c r="AC35" i="34"/>
  <c r="AG35" i="34" s="1"/>
  <c r="M35" i="34"/>
  <c r="I15" i="33"/>
  <c r="G6" i="33"/>
  <c r="G8" i="33"/>
  <c r="B30" i="33"/>
  <c r="J14" i="33"/>
  <c r="F14" i="33"/>
  <c r="B15" i="33"/>
  <c r="J11" i="33"/>
  <c r="F11" i="33"/>
  <c r="I23" i="33"/>
  <c r="S8" i="33"/>
  <c r="U8" i="33"/>
  <c r="J20" i="33"/>
  <c r="F20" i="33"/>
  <c r="J22" i="33"/>
  <c r="F22" i="33"/>
  <c r="E23" i="33"/>
  <c r="W23" i="33"/>
  <c r="S23" i="33"/>
  <c r="E8" i="33"/>
  <c r="V8" i="33" s="1"/>
  <c r="AC33" i="34"/>
  <c r="AG33" i="34" s="1"/>
  <c r="M33" i="34"/>
  <c r="G7" i="33"/>
  <c r="AC97" i="31"/>
  <c r="F4" i="33"/>
  <c r="L35" i="34"/>
  <c r="AF35" i="34" s="1"/>
  <c r="S15" i="33"/>
  <c r="W15" i="33"/>
  <c r="F19" i="33"/>
  <c r="B23" i="33"/>
  <c r="J19" i="33"/>
  <c r="G5" i="33"/>
  <c r="AD35" i="34"/>
  <c r="D23" i="33"/>
  <c r="J21" i="33"/>
  <c r="F21" i="33"/>
  <c r="H15" i="33"/>
  <c r="B29" i="33"/>
  <c r="J13" i="33"/>
  <c r="F13" i="33"/>
  <c r="E15" i="33"/>
  <c r="F12" i="33"/>
  <c r="J12" i="33"/>
  <c r="B28" i="33"/>
  <c r="H23" i="33"/>
  <c r="F8" i="33" l="1"/>
  <c r="W8" i="33"/>
  <c r="H30" i="33"/>
  <c r="E30" i="33"/>
  <c r="E28" i="33"/>
  <c r="B31" i="33"/>
  <c r="H28" i="33"/>
  <c r="E29" i="33"/>
  <c r="H29" i="33"/>
  <c r="F23" i="33"/>
  <c r="J23" i="33"/>
  <c r="J15" i="33"/>
  <c r="F15" i="33"/>
  <c r="E31" i="33" l="1"/>
  <c r="H31" i="33"/>
</calcChain>
</file>

<file path=xl/comments1.xml><?xml version="1.0" encoding="utf-8"?>
<comments xmlns="http://schemas.openxmlformats.org/spreadsheetml/2006/main">
  <authors>
    <author>User</author>
  </authors>
  <commentList>
    <comment ref="L2" authorId="0" shapeId="0">
      <text>
        <r>
          <rPr>
            <sz val="9"/>
            <rFont val="宋体"/>
            <charset val="134"/>
          </rPr>
          <t xml:space="preserve">User:折合为中压蒸汽
</t>
        </r>
      </text>
    </comment>
    <comment ref="O2" authorId="0" shapeId="0">
      <text>
        <r>
          <rPr>
            <sz val="9"/>
            <rFont val="宋体"/>
            <charset val="134"/>
          </rPr>
          <t>User:以蒸汽量推算</t>
        </r>
      </text>
    </comment>
    <comment ref="Z2" authorId="0" shape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shapeId="0">
      <text>
        <r>
          <rPr>
            <sz val="9"/>
            <rFont val="宋体"/>
            <charset val="134"/>
          </rPr>
          <t xml:space="preserve">User:折合为中压蒸汽
</t>
        </r>
      </text>
    </comment>
    <comment ref="O2" authorId="0" shapeId="0">
      <text>
        <r>
          <rPr>
            <sz val="9"/>
            <rFont val="宋体"/>
            <charset val="134"/>
          </rPr>
          <t>User:以蒸汽量推算</t>
        </r>
      </text>
    </comment>
    <comment ref="Z2" authorId="0" shapeId="0">
      <text>
        <r>
          <rPr>
            <sz val="9"/>
            <rFont val="宋体"/>
            <charset val="134"/>
          </rPr>
          <t>User:
红色标识为关注事项，未达目标</t>
        </r>
      </text>
    </comment>
  </commentList>
</comments>
</file>

<file path=xl/sharedStrings.xml><?xml version="1.0" encoding="utf-8"?>
<sst xmlns="http://schemas.openxmlformats.org/spreadsheetml/2006/main" count="871" uniqueCount="268">
  <si>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</si>
  <si>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</si>
  <si>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</si>
  <si>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</si>
  <si>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</si>
  <si>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</si>
  <si>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</si>
  <si>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</si>
  <si>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</si>
  <si>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</si>
  <si>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</si>
  <si>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</si>
  <si>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</si>
  <si>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</si>
  <si>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</si>
  <si>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</si>
  <si>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</si>
  <si>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</si>
  <si>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</si>
  <si>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</si>
  <si>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</si>
  <si>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</si>
  <si>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</si>
  <si>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</si>
  <si>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手输</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</si>
  <si>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</si>
  <si>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</si>
  <si>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</si>
  <si>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</si>
  <si>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</si>
  <si>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</si>
  <si>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</si>
  <si>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</si>
  <si>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</si>
  <si>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</si>
  <si>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</si>
  <si>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</si>
  <si>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t>夜班</t>
  </si>
  <si>
    <t>蒋清华</t>
  </si>
  <si>
    <t>白班</t>
  </si>
  <si>
    <t>叶向阳</t>
  </si>
  <si>
    <t>中班</t>
  </si>
  <si>
    <t>张蔼莲</t>
  </si>
  <si>
    <t>向间开</t>
  </si>
  <si>
    <t>陈剑飞</t>
  </si>
  <si>
    <t>本月累计</t>
  </si>
  <si>
    <r>
      <rPr>
        <b/>
        <sz val="20"/>
        <rFont val="Times New Roman"/>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</si>
  <si>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</si>
  <si>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</si>
  <si>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</si>
  <si>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</si>
  <si>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</si>
  <si>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</si>
  <si>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</si>
  <si>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</si>
  <si>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</si>
  <si>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</si>
  <si>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</si>
  <si>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</si>
  <si>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ST5_L1R_SIN_OP424B_1min_avg</t>
  </si>
  <si>
    <t>ST5_L1R_SIN_OP424A_1min_avg</t>
  </si>
  <si>
    <t>烧成率</t>
  </si>
  <si>
    <t>产量折算</t>
  </si>
  <si>
    <t>丁班</t>
  </si>
  <si>
    <t>丙班</t>
  </si>
  <si>
    <r>
      <rPr>
        <b/>
        <sz val="20"/>
        <rFont val="宋体"/>
        <charset val="134"/>
      </rPr>
      <t>2018年烧结分厂</t>
    </r>
    <r>
      <rPr>
        <b/>
        <u/>
        <sz val="20"/>
        <rFont val="宋体"/>
        <charset val="134"/>
      </rPr>
      <t xml:space="preserve"> 9 </t>
    </r>
    <r>
      <rPr>
        <b/>
        <sz val="20"/>
        <rFont val="宋体"/>
        <charset val="134"/>
      </rPr>
      <t>月主抽电耗跟踪表</t>
    </r>
  </si>
  <si>
    <r>
      <rPr>
        <b/>
        <sz val="12"/>
        <rFont val="宋体"/>
        <charset val="134"/>
      </rPr>
      <t>日期</t>
    </r>
    <r>
      <rPr>
        <b/>
        <sz val="12"/>
        <rFont val="Times New Roman"/>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</si>
  <si>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</si>
  <si>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</si>
  <si>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</si>
  <si>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</si>
  <si>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</si>
  <si>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</si>
  <si>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</si>
  <si>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</si>
  <si>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</si>
  <si>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9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</si>
  <si>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</si>
  <si>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</si>
  <si>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</si>
  <si>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</si>
  <si>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</si>
  <si>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</si>
  <si>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</si>
  <si>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</si>
  <si>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</si>
  <si>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</si>
  <si>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</si>
  <si>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</si>
  <si>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</si>
  <si>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</si>
  <si>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</si>
  <si>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</si>
  <si>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</si>
  <si>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</si>
  <si>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</si>
  <si>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</si>
  <si>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</si>
  <si>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</si>
  <si>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</si>
  <si>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</si>
  <si>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t>周</t>
  </si>
  <si>
    <t>混匀矿粉堆号</t>
  </si>
  <si>
    <t>烧结机</t>
  </si>
  <si>
    <t>班次</t>
  </si>
  <si>
    <t>横班</t>
  </si>
  <si>
    <t>高炉使用(或成品仓)</t>
  </si>
  <si>
    <t>一混水分率%</t>
  </si>
  <si>
    <t>二混水分率%</t>
  </si>
  <si>
    <t>烧结机速m/min</t>
  </si>
  <si>
    <t>料层厚度/mm</t>
  </si>
  <si>
    <t>布料参数/mm</t>
  </si>
  <si>
    <t>垂直烧结速度mm/min</t>
  </si>
  <si>
    <t>BTP温度 A/℃</t>
  </si>
  <si>
    <t>BTP位置A</t>
  </si>
  <si>
    <t>BTP温度B/℃</t>
  </si>
  <si>
    <t>BTP位置B</t>
  </si>
  <si>
    <t>点火温度/℃</t>
  </si>
  <si>
    <t>炉膛负压/Pa</t>
  </si>
  <si>
    <t>大烟道温度A/℃</t>
  </si>
  <si>
    <t>大烟道负压A/kPa</t>
  </si>
  <si>
    <t>大烟道温度B/℃</t>
  </si>
  <si>
    <t>大烟道负压B/kPa</t>
  </si>
  <si>
    <t>利用系数 t/m2h</t>
  </si>
  <si>
    <t>上料量 t/h</t>
  </si>
  <si>
    <t>班理论产量/t</t>
  </si>
  <si>
    <t>混匀矿</t>
  </si>
  <si>
    <t>冷返矿</t>
  </si>
  <si>
    <t>白云石</t>
  </si>
  <si>
    <t>生石灰</t>
  </si>
  <si>
    <t>燃料</t>
  </si>
  <si>
    <t>焦粉实际配比</t>
  </si>
  <si>
    <t>煤粉实际配比</t>
  </si>
  <si>
    <t>粉尘</t>
  </si>
  <si>
    <t>燃料配合系数</t>
  </si>
  <si>
    <t>返矿配合系数</t>
  </si>
  <si>
    <t>粉尘配合系数</t>
  </si>
  <si>
    <t>考核TFe</t>
  </si>
  <si>
    <t>考核R</t>
  </si>
  <si>
    <t>转鼓%</t>
  </si>
  <si>
    <t>筛分%</t>
  </si>
  <si>
    <t>实测转鼓%</t>
  </si>
  <si>
    <t>实测筛分%</t>
  </si>
  <si>
    <t>备注</t>
  </si>
  <si>
    <t>作业人</t>
  </si>
  <si>
    <r>
      <rPr>
        <sz val="12"/>
        <rFont val="宋体"/>
        <charset val="134"/>
      </rPr>
      <t>M</t>
    </r>
    <r>
      <rPr>
        <sz val="12"/>
        <rFont val="宋体"/>
        <charset val="134"/>
      </rPr>
      <t>ES</t>
    </r>
  </si>
  <si>
    <t>ST5_L1R_SIN_MI201_1min_avg</t>
  </si>
  <si>
    <t>ST5_L1R_SIN_MI202_1min_avg</t>
  </si>
  <si>
    <t>ST5_L1R_SIN_SiMaRunVel_1min_avg</t>
  </si>
  <si>
    <t>ST5_L1R_SIN_MatLayerThk_1min_avg</t>
  </si>
  <si>
    <t>ST5_L1R_SIN_LI303_1min_avg</t>
  </si>
  <si>
    <t>ST5_L1R_SIN_VerSinVel_1min_avg</t>
  </si>
  <si>
    <t>ST5_L1R_SIN_BtpTeN_1min_avg</t>
  </si>
  <si>
    <t>ST5_L1R_SIN_BtpPoN_1min_avg</t>
  </si>
  <si>
    <t>ST5_L1R_SIN_BtpTeS_1min_avg</t>
  </si>
  <si>
    <t>ST5_L1R_SIN_BtpPoS_1min_avg</t>
  </si>
  <si>
    <t>ST5_L1R_SIN_TI350_1min_avg</t>
  </si>
  <si>
    <t>ST5_L1R_SIN_PI357_1min_avg</t>
  </si>
  <si>
    <t>ST5_L1R_SIN_TI300A_1min_avg</t>
  </si>
  <si>
    <t>ST5_L1R_SIN_PI300A_1min_avg</t>
  </si>
  <si>
    <t>ST5_L1R_SIN_TI300B_1min_avg</t>
  </si>
  <si>
    <t>ST5_L1R_SIN_PI300B_1min_avg</t>
  </si>
  <si>
    <t>ST5_L1R_OB_SetDelAmt_1min_avg</t>
  </si>
  <si>
    <t>ST5_L1R_OB_OreBldUseP_1min_avg</t>
  </si>
  <si>
    <t>ST5_L1R_OB_ColdReturnFineUseP_1min_avg</t>
  </si>
  <si>
    <t>ST5_L1R_OB_DoloSetP_1min_avg</t>
  </si>
  <si>
    <t>ST5_L1R_OB_QuLimeUseP_1min_avg</t>
  </si>
  <si>
    <t>ST5_L1R_OB_FuelUseP_1min_avg</t>
  </si>
  <si>
    <t>ST5_L1R_OB_9CokePowderP_1min_avg</t>
  </si>
  <si>
    <t>ST5_L1R_OB_10CokePowderP_1min_avg</t>
  </si>
  <si>
    <t>ST5_L1R_OB_FuelReferFactor_1min_avg</t>
  </si>
  <si>
    <t>ST5_L1R_OB_CoReFineReferFactor_1min_avg</t>
  </si>
  <si>
    <t>1607A346</t>
  </si>
  <si>
    <t>5#烧结机</t>
  </si>
  <si>
    <t>甲</t>
  </si>
  <si>
    <t>7#高炉</t>
  </si>
  <si>
    <t>李志坚</t>
  </si>
  <si>
    <r>
      <rPr>
        <b/>
        <sz val="20"/>
        <rFont val="宋体"/>
        <charset val="134"/>
      </rPr>
      <t>六号烧结机作业区</t>
    </r>
    <r>
      <rPr>
        <b/>
        <u/>
        <sz val="20"/>
        <rFont val="宋体"/>
        <charset val="134"/>
      </rPr>
      <t xml:space="preserve"> 9 </t>
    </r>
    <r>
      <rPr>
        <b/>
        <sz val="20"/>
        <rFont val="宋体"/>
        <charset val="134"/>
      </rPr>
      <t>月主抽电耗跟踪表</t>
    </r>
  </si>
  <si>
    <t>班吨矿电耗，kwh/t</t>
  </si>
  <si>
    <t>MES</t>
  </si>
  <si>
    <t>ST6_L1R_SIN_MI201_1min_avg</t>
  </si>
  <si>
    <t>ST6_L1R_SIN_MI202_1min_avg</t>
  </si>
  <si>
    <t>ST6_L1R_SIN_SiMaRunVel_ 1min_avg</t>
  </si>
  <si>
    <t>ST6_L1R_SIN_LI3031_1min_avg</t>
  </si>
  <si>
    <t>ST6_L1R_SIN_SiMaRunVel_1min_avg</t>
  </si>
  <si>
    <t>ST6_L1R_SIN_BtpTeN_1min_avg</t>
  </si>
  <si>
    <t>ST6_L1R_SIN_BtpPoN_1min_avg</t>
  </si>
  <si>
    <t>ST6_L1R_SIN_BtpTeS_1min_avg</t>
  </si>
  <si>
    <t>ST6_L1R_SIN_BtpPoS_1min_avg</t>
  </si>
  <si>
    <t>ST6_L1R_SIN_TIC351PVIN_1min_avg</t>
  </si>
  <si>
    <t>ST6_L1R_SIN_PI367_1min_avg</t>
  </si>
  <si>
    <t>ST6_L1R_SIN_TI300A_1min_avg</t>
  </si>
  <si>
    <t>ST6_L1R_SIN_PI300A_1min_avg</t>
  </si>
  <si>
    <t>ST6_L1R_SIN_TI300B_1min_avg</t>
  </si>
  <si>
    <t>ST6_L1R_SIN_PI300B_1min_avg</t>
  </si>
  <si>
    <t>ST6_L1R_SIN_DelAmtUse_1min_avg</t>
  </si>
  <si>
    <t>ST6_L1R_OB_OreBldUseP_1min_avg</t>
  </si>
  <si>
    <t>ST6_L1R_OB_CoReFineUseP_1min_avg</t>
  </si>
  <si>
    <t>ST6_L1R_OB_DoloSetP_1min_avg</t>
  </si>
  <si>
    <t>ST6_L1R_OB_QuLimeUseP_1min_avg</t>
  </si>
  <si>
    <t>ST6_L1R_OB_FuelUseP_1min_avg</t>
  </si>
  <si>
    <t>ST6_L1R_OB_8CokePowderP_1min_avg</t>
  </si>
  <si>
    <t>ST6_L1R_OB_9CokePowderP_1min_avg</t>
  </si>
  <si>
    <t>ST6_L1R_OB_DustUseP_1min_avg</t>
  </si>
  <si>
    <t>ST6_L1R_OB_FuelReferFactor_1min_avg</t>
  </si>
  <si>
    <t>ST6_L1R_OB_CoReFineReferFactor_1min_avg</t>
  </si>
  <si>
    <t>ST6_L1R_OB_DustReferFactor_1min_avg</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</si>
  <si>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</si>
  <si>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</si>
  <si>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</si>
  <si>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</si>
  <si>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</si>
  <si>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</si>
  <si>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</si>
  <si>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</si>
  <si>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</si>
  <si>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</si>
  <si>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</si>
  <si>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</si>
  <si>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</si>
  <si>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</si>
  <si>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</si>
  <si>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</si>
  <si>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</si>
  <si>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</si>
  <si>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</si>
  <si>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</si>
  <si>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</si>
  <si>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</si>
  <si>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</si>
  <si>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</si>
  <si>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</si>
  <si>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</si>
  <si>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</si>
  <si>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</si>
  <si>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</si>
  <si>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</si>
  <si>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</si>
  <si>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</si>
  <si>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</si>
  <si>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</si>
  <si>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</si>
  <si>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</si>
  <si>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</si>
  <si>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</si>
  <si>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</si>
  <si>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</si>
  <si>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</si>
  <si>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</si>
  <si>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</si>
  <si>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</si>
  <si>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</si>
  <si>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</si>
  <si>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</si>
  <si>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</si>
  <si>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</si>
  <si>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</si>
  <si>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rPr>
      <t>22.5kWh/t</t>
    </r>
    <r>
      <rPr>
        <sz val="12"/>
        <rFont val="宋体"/>
        <charset val="134"/>
      </rPr>
      <t>（电表计量数据）</t>
    </r>
  </si>
  <si>
    <t>管控要素</t>
  </si>
  <si>
    <t>废气负压、废气温度、阀门开度、漏风、出口负压</t>
  </si>
  <si>
    <t>降本措施</t>
  </si>
  <si>
    <r>
      <rPr>
        <sz val="12"/>
        <rFont val="Arial"/>
      </rPr>
      <t>1</t>
    </r>
    <r>
      <rPr>
        <sz val="12"/>
        <rFont val="宋体"/>
        <charset val="134"/>
      </rPr>
      <t>、烧结过程持续保持稳定</t>
    </r>
    <r>
      <rPr>
        <sz val="12"/>
        <rFont val="Arial"/>
      </rPr>
      <t xml:space="preserve">
</t>
    </r>
    <r>
      <rPr>
        <sz val="12"/>
        <rFont val="宋体"/>
        <charset val="134"/>
      </rPr>
      <t>（</t>
    </r>
    <r>
      <rPr>
        <sz val="12"/>
        <rFont val="Arial"/>
      </rPr>
      <t>1</t>
    </r>
    <r>
      <rPr>
        <sz val="12"/>
        <rFont val="宋体"/>
        <charset val="134"/>
      </rPr>
      <t>）根据烧结混合料透气性的变化及时调整布料压入量和烧结抽风量。</t>
    </r>
    <r>
      <rPr>
        <sz val="12"/>
        <rFont val="Arial"/>
      </rPr>
      <t xml:space="preserve">
</t>
    </r>
    <r>
      <rPr>
        <sz val="12"/>
        <rFont val="宋体"/>
        <charset val="134"/>
      </rPr>
      <t>（</t>
    </r>
    <r>
      <rPr>
        <sz val="12"/>
        <rFont val="Arial"/>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rPr>
      <t xml:space="preserve">
</t>
    </r>
    <r>
      <rPr>
        <sz val="12"/>
        <rFont val="宋体"/>
        <charset val="134"/>
      </rPr>
      <t>（</t>
    </r>
    <r>
      <rPr>
        <sz val="12"/>
        <rFont val="Arial"/>
      </rPr>
      <t>3</t>
    </r>
    <r>
      <rPr>
        <sz val="12"/>
        <rFont val="宋体"/>
        <charset val="134"/>
      </rPr>
      <t>）跟踪好混匀矿、燃料、熔剂等原材料的表观质量和主要成分变化，并及时调整。</t>
    </r>
    <r>
      <rPr>
        <sz val="12"/>
        <rFont val="Arial"/>
      </rPr>
      <t xml:space="preserve">
2</t>
    </r>
    <r>
      <rPr>
        <sz val="12"/>
        <rFont val="宋体"/>
        <charset val="134"/>
      </rPr>
      <t>、减少主抽风系统漏风现象</t>
    </r>
    <r>
      <rPr>
        <sz val="12"/>
        <rFont val="Arial"/>
      </rPr>
      <t xml:space="preserve">
</t>
    </r>
    <r>
      <rPr>
        <sz val="12"/>
        <rFont val="宋体"/>
        <charset val="134"/>
      </rPr>
      <t>（</t>
    </r>
    <r>
      <rPr>
        <sz val="12"/>
        <rFont val="Arial"/>
      </rPr>
      <t>1</t>
    </r>
    <r>
      <rPr>
        <sz val="12"/>
        <rFont val="宋体"/>
        <charset val="134"/>
      </rPr>
      <t>）利用烧结机平时计划及年修机会，对主抽风系统进行漏风处理，减少漏风现象；</t>
    </r>
    <r>
      <rPr>
        <sz val="12"/>
        <rFont val="Arial"/>
      </rPr>
      <t xml:space="preserve">
</t>
    </r>
    <r>
      <rPr>
        <sz val="12"/>
        <rFont val="宋体"/>
        <charset val="134"/>
      </rPr>
      <t>（</t>
    </r>
    <r>
      <rPr>
        <sz val="12"/>
        <rFont val="Arial"/>
      </rPr>
      <t>2</t>
    </r>
    <r>
      <rPr>
        <sz val="12"/>
        <rFont val="宋体"/>
        <charset val="134"/>
      </rPr>
      <t>）加强台车管控，及时补齐台车掉炉篦条。</t>
    </r>
    <r>
      <rPr>
        <sz val="12"/>
        <rFont val="Arial"/>
      </rPr>
      <t xml:space="preserve">
</t>
    </r>
    <r>
      <rPr>
        <sz val="12"/>
        <rFont val="宋体"/>
        <charset val="134"/>
      </rPr>
      <t>（</t>
    </r>
    <r>
      <rPr>
        <sz val="12"/>
        <rFont val="Arial"/>
      </rPr>
      <t>3</t>
    </r>
    <r>
      <rPr>
        <sz val="12"/>
        <rFont val="宋体"/>
        <charset val="134"/>
      </rPr>
      <t>）优化脱硫操作，加强与烧结作业区联系，与主抽废气阀门开度相匹配，确保风机出口压力＜</t>
    </r>
    <r>
      <rPr>
        <sz val="12"/>
        <rFont val="Arial"/>
      </rPr>
      <t>500Pa</t>
    </r>
    <r>
      <rPr>
        <sz val="12"/>
        <rFont val="宋体"/>
        <charset val="134"/>
      </rPr>
      <t>。</t>
    </r>
    <r>
      <rPr>
        <sz val="12"/>
        <rFont val="Arial"/>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</si>
  <si>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</si>
  <si>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</si>
  <si>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</si>
  <si>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</si>
  <si>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</si>
  <si>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主抽停机或关风门时间</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</si>
</sst>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8" formatCode="0.00000000%"/>
    <numFmt numFmtId="179" formatCode="0.00_ "/>
    <numFmt numFmtId="180" formatCode="0.000_ "/>
    <numFmt numFmtId="181" formatCode="m&quot;月&quot;d&quot;日&quot;;@"/>
    <numFmt numFmtId="182" formatCode="0_ "/>
    <numFmt numFmtId="183" formatCode="0.00_);[Red]\(0.00\)"/>
    <numFmt numFmtId="184" formatCode="0.0_ "/>
    <numFmt numFmtId="185" formatCode="0_);[Red]\(0\)"/>
    <numFmt numFmtId="186" formatCode="h:mm;@"/>
    <numFmt numFmtId="187" formatCode="yyyy/m/d\ h:mm;@"/>
    <numFmt numFmtId="188" formatCode="0.00;[Red]0.00"/>
  </numFmts>
  <fonts count="55">
    <font>
      <sz val="12"/>
      <name val="宋体"/>
      <charset val="134"/>
    </font>
    <font>
      <sz val="18"/>
      <name val="宋体"/>
      <charset val="134"/>
    </font>
    <font>
      <sz val="12"/>
      <name val="Arial"/>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2"/>
      <name val="微软雅黑"/>
      <charset val="134"/>
    </font>
    <font>
      <sz val="14"/>
      <color indexed="10"/>
      <name val="宋体"/>
      <charset val="134"/>
    </font>
    <font>
      <sz val="11"/>
      <name val="微软雅黑"/>
      <charset val="134"/>
    </font>
    <font>
      <b/>
      <sz val="14"/>
      <name val="宋体"/>
      <charset val="134"/>
    </font>
    <font>
      <sz val="12"/>
      <color indexed="0"/>
      <name val="宋体"/>
      <charset val="134"/>
    </font>
    <font>
      <b/>
      <sz val="12"/>
      <name val="Times New Roman"/>
    </font>
    <font>
      <sz val="12"/>
      <name val="Times New Roman"/>
    </font>
    <font>
      <b/>
      <sz val="20"/>
      <name val="宋体"/>
      <charset val="134"/>
    </font>
    <font>
      <sz val="10"/>
      <name val="微软雅黑"/>
      <charset val="134"/>
    </font>
    <font>
      <sz val="11"/>
      <name val="Times New Roman"/>
    </font>
    <font>
      <sz val="12"/>
      <color indexed="8"/>
      <name val="新宋体"/>
      <charset val="134"/>
    </font>
    <font>
      <b/>
      <sz val="12"/>
      <color indexed="10"/>
      <name val="宋体"/>
      <charset val="134"/>
    </font>
    <font>
      <sz val="11"/>
      <color indexed="8"/>
      <name val="宋体"/>
      <charset val="134"/>
    </font>
    <font>
      <b/>
      <sz val="20"/>
      <name val="Times New Roman"/>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b/>
      <u/>
      <sz val="20"/>
      <name val="宋体"/>
      <charset val="134"/>
    </font>
    <font>
      <sz val="12"/>
      <name val="宋体"/>
      <charset val="134"/>
    </font>
    <font>
      <sz val="9"/>
      <name val="宋体"/>
      <charset val="134"/>
    </font>
    <font>
      <sz val="9"/>
      <name val="宋体"/>
      <family val="3"/>
      <charset val="134"/>
    </font>
    <font>
      <b/>
      <sz val="12"/>
      <name val="宋体"/>
      <family val="3"/>
      <charset val="134"/>
    </font>
  </fonts>
  <fills count="15">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rgb="FF92D050"/>
        <bgColor indexed="64"/>
      </patternFill>
    </fill>
    <fill>
      <patternFill patternType="solid">
        <fgColor indexed="51"/>
        <bgColor indexed="64"/>
      </patternFill>
    </fill>
    <fill>
      <patternFill patternType="solid">
        <fgColor indexed="47"/>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s>
  <cellStyleXfs count="6">
    <xf numFmtId="0" fontId="0" fillId="0" borderId="0"/>
    <xf numFmtId="9" fontId="51" fillId="0" borderId="0" applyFont="0" applyFill="0" applyBorder="0" applyAlignment="0" applyProtection="0">
      <alignment vertical="center"/>
    </xf>
    <xf numFmtId="0" fontId="51" fillId="0" borderId="0"/>
    <xf numFmtId="0" fontId="28" fillId="0" borderId="0">
      <alignment vertical="center"/>
    </xf>
    <xf numFmtId="0" fontId="28" fillId="0" borderId="0">
      <alignment vertical="center"/>
    </xf>
    <xf numFmtId="0" fontId="51" fillId="0" borderId="0">
      <alignment vertical="center"/>
    </xf>
  </cellStyleXfs>
  <cellXfs count="385">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81"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81"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9" fontId="7" fillId="4" borderId="1" xfId="0" applyNumberFormat="1" applyFont="1" applyFill="1" applyBorder="1" applyAlignment="1" applyProtection="1">
      <alignment horizontal="center" vertical="center" wrapText="1"/>
      <protection locked="0"/>
    </xf>
    <xf numFmtId="179" fontId="8" fillId="3" borderId="1" xfId="0" applyNumberFormat="1" applyFont="1" applyFill="1" applyBorder="1" applyAlignment="1" applyProtection="1">
      <alignment horizontal="center" vertical="center" wrapText="1"/>
      <protection locked="0"/>
    </xf>
    <xf numFmtId="179"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179"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9"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9" fontId="0" fillId="0" borderId="6" xfId="0" applyNumberFormat="1" applyFont="1" applyFill="1" applyBorder="1" applyAlignment="1">
      <alignment horizontal="center" vertical="center" wrapText="1"/>
    </xf>
    <xf numFmtId="179" fontId="0" fillId="4" borderId="1" xfId="0" applyNumberFormat="1" applyFont="1" applyFill="1" applyBorder="1" applyAlignment="1">
      <alignment horizontal="center" vertical="center" wrapText="1"/>
    </xf>
    <xf numFmtId="10" fontId="0" fillId="4" borderId="6" xfId="1" applyNumberFormat="1" applyFont="1" applyFill="1" applyBorder="1" applyAlignment="1">
      <alignment horizontal="center" vertical="center" wrapText="1"/>
    </xf>
    <xf numFmtId="182"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9"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9"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9" fontId="11" fillId="5" borderId="10" xfId="0" applyNumberFormat="1" applyFont="1" applyFill="1" applyBorder="1" applyAlignment="1" applyProtection="1">
      <alignment horizontal="center" vertical="center" wrapText="1"/>
      <protection locked="0"/>
    </xf>
    <xf numFmtId="179" fontId="0" fillId="0" borderId="1" xfId="0" applyNumberFormat="1" applyFont="1" applyBorder="1" applyAlignment="1">
      <alignment horizontal="center" vertical="center" wrapText="1"/>
    </xf>
    <xf numFmtId="182" fontId="0" fillId="0" borderId="1" xfId="0" applyNumberFormat="1" applyFont="1" applyBorder="1" applyAlignment="1">
      <alignment horizontal="center" vertical="center" wrapText="1"/>
    </xf>
    <xf numFmtId="10" fontId="0" fillId="0" borderId="1" xfId="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 applyNumberFormat="1" applyFont="1" applyFill="1" applyAlignment="1">
      <alignment horizontal="center" vertical="center" wrapText="1"/>
    </xf>
    <xf numFmtId="184" fontId="0" fillId="0" borderId="1" xfId="0" applyNumberFormat="1" applyFont="1" applyBorder="1" applyAlignment="1">
      <alignment horizontal="center" vertical="center" wrapText="1"/>
    </xf>
    <xf numFmtId="179"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9"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2" fontId="0" fillId="3" borderId="2" xfId="0" applyNumberFormat="1" applyFont="1" applyFill="1" applyBorder="1" applyAlignment="1">
      <alignment horizontal="center" vertical="center" wrapText="1"/>
    </xf>
    <xf numFmtId="182"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9" fontId="0" fillId="0" borderId="0" xfId="0" applyNumberFormat="1" applyFont="1" applyFill="1" applyBorder="1" applyAlignment="1">
      <alignment horizontal="center" vertical="center" wrapText="1"/>
    </xf>
    <xf numFmtId="179"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 applyNumberFormat="1" applyFont="1" applyBorder="1" applyAlignment="1">
      <alignment horizontal="center" vertical="center" wrapText="1"/>
    </xf>
    <xf numFmtId="10" fontId="0" fillId="3" borderId="2" xfId="1" applyNumberFormat="1" applyFont="1" applyFill="1" applyBorder="1" applyAlignment="1">
      <alignment horizontal="center" vertical="center" wrapText="1"/>
    </xf>
    <xf numFmtId="10" fontId="0" fillId="3" borderId="0" xfId="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9"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9" fontId="0" fillId="7" borderId="4" xfId="0" applyNumberFormat="1" applyFont="1" applyFill="1" applyBorder="1" applyAlignment="1">
      <alignment horizontal="center" vertical="center" wrapText="1"/>
    </xf>
    <xf numFmtId="179"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2" fontId="0" fillId="0" borderId="0" xfId="0" applyNumberFormat="1" applyFont="1" applyAlignment="1">
      <alignment vertical="center"/>
    </xf>
    <xf numFmtId="179" fontId="0" fillId="0" borderId="0" xfId="0" applyNumberFormat="1" applyFont="1" applyAlignment="1">
      <alignment vertical="center"/>
    </xf>
    <xf numFmtId="178" fontId="0" fillId="0" borderId="1" xfId="1" applyNumberFormat="1" applyFont="1" applyBorder="1" applyAlignment="1">
      <alignment vertical="center"/>
    </xf>
    <xf numFmtId="180" fontId="6" fillId="7" borderId="4" xfId="0" applyNumberFormat="1" applyFont="1" applyFill="1" applyBorder="1" applyAlignment="1" applyProtection="1">
      <alignment horizontal="center" vertical="center" wrapText="1"/>
      <protection locked="0"/>
    </xf>
    <xf numFmtId="180" fontId="6" fillId="2" borderId="4" xfId="0" applyNumberFormat="1" applyFont="1" applyFill="1" applyBorder="1" applyAlignment="1" applyProtection="1">
      <alignment horizontal="center" vertical="center" wrapText="1"/>
      <protection locked="0"/>
    </xf>
    <xf numFmtId="182"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5" fontId="0" fillId="0" borderId="1" xfId="0" applyNumberFormat="1" applyFont="1" applyBorder="1" applyAlignment="1">
      <alignment horizontal="center" vertical="center"/>
    </xf>
    <xf numFmtId="185" fontId="0" fillId="4" borderId="1" xfId="0" applyNumberFormat="1" applyFont="1" applyFill="1" applyBorder="1" applyAlignment="1">
      <alignment horizontal="center" vertical="center"/>
    </xf>
    <xf numFmtId="182" fontId="0" fillId="0" borderId="1" xfId="0" applyNumberFormat="1" applyFont="1" applyBorder="1" applyAlignment="1">
      <alignment horizontal="center" vertical="center"/>
    </xf>
    <xf numFmtId="0" fontId="0" fillId="9" borderId="1" xfId="0" applyFont="1" applyFill="1" applyBorder="1" applyAlignment="1">
      <alignment horizontal="center" vertical="center"/>
    </xf>
    <xf numFmtId="182" fontId="0" fillId="9" borderId="1" xfId="0" applyNumberFormat="1" applyFont="1" applyFill="1" applyBorder="1" applyAlignment="1">
      <alignment horizontal="center" vertical="center"/>
    </xf>
    <xf numFmtId="179" fontId="0" fillId="0" borderId="0" xfId="0" applyNumberFormat="1" applyFont="1" applyFill="1" applyAlignment="1">
      <alignment vertical="center"/>
    </xf>
    <xf numFmtId="182" fontId="6" fillId="2" borderId="4" xfId="0" applyNumberFormat="1" applyFont="1" applyFill="1" applyBorder="1" applyAlignment="1">
      <alignment horizontal="center" vertical="center" wrapText="1"/>
    </xf>
    <xf numFmtId="179" fontId="6" fillId="2" borderId="4" xfId="0" applyNumberFormat="1" applyFont="1" applyFill="1" applyBorder="1" applyAlignment="1">
      <alignment horizontal="center" vertical="center" wrapText="1"/>
    </xf>
    <xf numFmtId="180" fontId="6" fillId="10" borderId="4" xfId="0" applyNumberFormat="1" applyFont="1" applyFill="1" applyBorder="1" applyAlignment="1" applyProtection="1">
      <alignment horizontal="center" vertical="center" wrapText="1"/>
      <protection locked="0"/>
    </xf>
    <xf numFmtId="9" fontId="0" fillId="0" borderId="1" xfId="1" applyFont="1" applyBorder="1" applyAlignment="1">
      <alignment horizontal="center" vertical="center"/>
    </xf>
    <xf numFmtId="179" fontId="0" fillId="0" borderId="1" xfId="0" applyNumberFormat="1" applyFont="1" applyBorder="1" applyAlignment="1">
      <alignment horizontal="center" vertical="center"/>
    </xf>
    <xf numFmtId="182" fontId="6" fillId="10" borderId="4" xfId="0" applyNumberFormat="1" applyFont="1" applyFill="1" applyBorder="1" applyAlignment="1" applyProtection="1">
      <alignment horizontal="center" vertical="center" wrapText="1"/>
      <protection locked="0"/>
    </xf>
    <xf numFmtId="182" fontId="0" fillId="4" borderId="1" xfId="0" applyNumberFormat="1" applyFont="1" applyFill="1" applyBorder="1" applyAlignment="1">
      <alignment horizontal="center" vertical="center"/>
    </xf>
    <xf numFmtId="182" fontId="6" fillId="10" borderId="4" xfId="0" applyNumberFormat="1" applyFont="1" applyFill="1" applyBorder="1" applyAlignment="1">
      <alignment horizontal="center" vertical="center" wrapText="1"/>
    </xf>
    <xf numFmtId="179" fontId="6" fillId="10" borderId="4" xfId="0" applyNumberFormat="1" applyFont="1" applyFill="1" applyBorder="1" applyAlignment="1">
      <alignment horizontal="center" vertical="center" wrapText="1"/>
    </xf>
    <xf numFmtId="179" fontId="6" fillId="10" borderId="12" xfId="0" applyNumberFormat="1" applyFont="1" applyFill="1" applyBorder="1" applyAlignment="1">
      <alignment horizontal="center" vertical="center" wrapText="1"/>
    </xf>
    <xf numFmtId="180" fontId="6" fillId="2" borderId="1" xfId="0" applyNumberFormat="1" applyFont="1" applyFill="1" applyBorder="1" applyAlignment="1" applyProtection="1">
      <alignment horizontal="center" vertical="center" wrapText="1"/>
      <protection locked="0"/>
    </xf>
    <xf numFmtId="182" fontId="6" fillId="2" borderId="1" xfId="0" applyNumberFormat="1" applyFont="1" applyFill="1" applyBorder="1" applyAlignment="1" applyProtection="1">
      <alignment horizontal="center" vertical="center" wrapText="1"/>
      <protection locked="0"/>
    </xf>
    <xf numFmtId="182" fontId="6" fillId="2" borderId="1" xfId="0" applyNumberFormat="1" applyFont="1" applyFill="1" applyBorder="1" applyAlignment="1">
      <alignment horizontal="center" vertical="center" wrapText="1"/>
    </xf>
    <xf numFmtId="185" fontId="0" fillId="0" borderId="10" xfId="0" applyNumberFormat="1" applyFont="1" applyBorder="1" applyAlignment="1">
      <alignment horizontal="center" vertical="center"/>
    </xf>
    <xf numFmtId="182" fontId="0" fillId="4" borderId="10" xfId="0" applyNumberFormat="1" applyFont="1" applyFill="1" applyBorder="1" applyAlignment="1">
      <alignment horizontal="center" vertical="center"/>
    </xf>
    <xf numFmtId="182" fontId="0" fillId="0" borderId="10"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79" fontId="6" fillId="2" borderId="1" xfId="0" applyNumberFormat="1" applyFont="1" applyFill="1" applyBorder="1" applyAlignment="1">
      <alignment horizontal="center" vertical="center" wrapText="1"/>
    </xf>
    <xf numFmtId="179" fontId="0" fillId="0" borderId="5" xfId="0" applyNumberFormat="1" applyFont="1" applyBorder="1" applyAlignment="1">
      <alignment horizontal="center" vertical="center"/>
    </xf>
    <xf numFmtId="0" fontId="16" fillId="8" borderId="0" xfId="0" applyFont="1" applyFill="1" applyAlignment="1">
      <alignment vertical="center" wrapText="1"/>
    </xf>
    <xf numFmtId="0" fontId="16" fillId="8" borderId="0" xfId="5" applyFont="1" applyFill="1" applyAlignment="1">
      <alignment vertical="center" wrapText="1"/>
    </xf>
    <xf numFmtId="22" fontId="0" fillId="0" borderId="0" xfId="0" applyNumberFormat="1" applyFont="1" applyAlignment="1">
      <alignment vertical="center"/>
    </xf>
    <xf numFmtId="0" fontId="20" fillId="0" borderId="0" xfId="0" applyFont="1" applyBorder="1" applyAlignment="1">
      <alignment vertical="center"/>
    </xf>
    <xf numFmtId="180" fontId="21" fillId="0" borderId="0" xfId="0" applyNumberFormat="1" applyFont="1" applyAlignment="1">
      <alignment horizontal="center" vertical="center" wrapText="1"/>
    </xf>
    <xf numFmtId="180" fontId="22" fillId="0" borderId="0" xfId="0" applyNumberFormat="1" applyFont="1" applyAlignment="1">
      <alignment vertical="center"/>
    </xf>
    <xf numFmtId="180" fontId="22" fillId="0" borderId="0" xfId="0" applyNumberFormat="1" applyFont="1" applyAlignment="1">
      <alignment horizontal="center" vertical="center"/>
    </xf>
    <xf numFmtId="185" fontId="22" fillId="0" borderId="0" xfId="0" applyNumberFormat="1" applyFont="1" applyAlignment="1">
      <alignment horizontal="center" vertical="center"/>
    </xf>
    <xf numFmtId="179" fontId="22" fillId="0" borderId="0" xfId="0" applyNumberFormat="1" applyFont="1" applyAlignment="1">
      <alignment horizontal="center" vertical="center"/>
    </xf>
    <xf numFmtId="182" fontId="22" fillId="0" borderId="0" xfId="0" applyNumberFormat="1" applyFont="1" applyAlignment="1">
      <alignment horizontal="center" vertical="center"/>
    </xf>
    <xf numFmtId="179" fontId="22" fillId="0" borderId="0" xfId="0" applyNumberFormat="1" applyFont="1" applyAlignment="1">
      <alignment horizontal="center"/>
    </xf>
    <xf numFmtId="184" fontId="22" fillId="0" borderId="0" xfId="0" applyNumberFormat="1" applyFont="1" applyAlignment="1">
      <alignment horizontal="center"/>
    </xf>
    <xf numFmtId="182" fontId="22" fillId="0" borderId="0" xfId="0" applyNumberFormat="1" applyFont="1" applyAlignment="1">
      <alignment horizontal="center"/>
    </xf>
    <xf numFmtId="182" fontId="22" fillId="0" borderId="0" xfId="0" applyNumberFormat="1" applyFont="1"/>
    <xf numFmtId="179" fontId="22" fillId="0" borderId="0" xfId="0" applyNumberFormat="1" applyFont="1" applyAlignment="1">
      <alignment vertical="top"/>
    </xf>
    <xf numFmtId="180" fontId="22" fillId="0" borderId="0" xfId="0" applyNumberFormat="1" applyFont="1" applyAlignment="1">
      <alignment horizontal="left" vertical="top" wrapText="1"/>
    </xf>
    <xf numFmtId="180" fontId="22" fillId="0" borderId="0" xfId="0" applyNumberFormat="1" applyFont="1" applyAlignment="1">
      <alignment wrapText="1"/>
    </xf>
    <xf numFmtId="179" fontId="22" fillId="0" borderId="0" xfId="0" applyNumberFormat="1" applyFont="1" applyFill="1"/>
    <xf numFmtId="180" fontId="22" fillId="0" borderId="0" xfId="0" applyNumberFormat="1" applyFont="1"/>
    <xf numFmtId="180" fontId="10" fillId="11" borderId="13" xfId="0" applyNumberFormat="1" applyFont="1" applyFill="1" applyBorder="1" applyAlignment="1">
      <alignment horizontal="center" vertical="center" wrapText="1"/>
    </xf>
    <xf numFmtId="180" fontId="10" fillId="11" borderId="1" xfId="0" applyNumberFormat="1" applyFont="1" applyFill="1" applyBorder="1" applyAlignment="1">
      <alignment horizontal="center" vertical="center" wrapText="1"/>
    </xf>
    <xf numFmtId="185" fontId="10" fillId="4" borderId="1" xfId="0" applyNumberFormat="1" applyFont="1" applyFill="1" applyBorder="1" applyAlignment="1">
      <alignment horizontal="center" vertical="center" wrapText="1"/>
    </xf>
    <xf numFmtId="185" fontId="10" fillId="11" borderId="1" xfId="0" applyNumberFormat="1" applyFont="1" applyFill="1" applyBorder="1" applyAlignment="1">
      <alignment horizontal="center" vertical="center" wrapText="1"/>
    </xf>
    <xf numFmtId="181" fontId="0" fillId="0" borderId="10" xfId="0" applyNumberFormat="1" applyFont="1" applyFill="1" applyBorder="1" applyAlignment="1">
      <alignment horizontal="center" vertical="center"/>
    </xf>
    <xf numFmtId="186"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5" fillId="0" borderId="1" xfId="0" applyFont="1" applyBorder="1" applyAlignment="1" applyProtection="1">
      <alignment horizontal="center"/>
    </xf>
    <xf numFmtId="185" fontId="0" fillId="0" borderId="10" xfId="0" applyNumberFormat="1" applyFont="1" applyFill="1" applyBorder="1" applyAlignment="1">
      <alignment horizontal="center" vertical="center"/>
    </xf>
    <xf numFmtId="181" fontId="0" fillId="0" borderId="1" xfId="0" applyNumberFormat="1" applyFont="1" applyFill="1" applyBorder="1" applyAlignment="1">
      <alignment horizontal="center" vertical="center"/>
    </xf>
    <xf numFmtId="186" fontId="0" fillId="0" borderId="1" xfId="0" applyNumberFormat="1" applyFont="1" applyFill="1" applyBorder="1" applyAlignment="1">
      <alignment horizontal="center" vertical="center"/>
    </xf>
    <xf numFmtId="0" fontId="25" fillId="0" borderId="1" xfId="0" applyFont="1" applyBorder="1" applyAlignment="1" applyProtection="1">
      <alignment horizontal="center" vertical="center"/>
    </xf>
    <xf numFmtId="179" fontId="10" fillId="11" borderId="1" xfId="0" applyNumberFormat="1" applyFont="1" applyFill="1" applyBorder="1" applyAlignment="1">
      <alignment horizontal="center" vertical="center" wrapText="1"/>
    </xf>
    <xf numFmtId="185" fontId="0" fillId="11" borderId="1" xfId="0" applyNumberFormat="1" applyFont="1" applyFill="1" applyBorder="1" applyAlignment="1" applyProtection="1">
      <alignment horizontal="center" vertical="center" wrapText="1"/>
      <protection locked="0"/>
    </xf>
    <xf numFmtId="180" fontId="0" fillId="11" borderId="1" xfId="0" applyNumberFormat="1" applyFont="1" applyFill="1" applyBorder="1" applyAlignment="1" applyProtection="1">
      <alignment horizontal="center" vertical="center" wrapText="1"/>
      <protection locked="0"/>
    </xf>
    <xf numFmtId="182" fontId="0" fillId="11" borderId="1" xfId="0" applyNumberFormat="1" applyFont="1" applyFill="1" applyBorder="1" applyAlignment="1" applyProtection="1">
      <alignment horizontal="center" vertical="center" wrapText="1"/>
      <protection locked="0"/>
    </xf>
    <xf numFmtId="179" fontId="0" fillId="11" borderId="1" xfId="0" applyNumberFormat="1" applyFont="1" applyFill="1" applyBorder="1" applyAlignment="1" applyProtection="1">
      <alignment horizontal="center" vertical="center" wrapText="1"/>
      <protection locked="0"/>
    </xf>
    <xf numFmtId="179" fontId="0" fillId="0" borderId="10" xfId="0" applyNumberFormat="1" applyFill="1" applyBorder="1" applyAlignment="1">
      <alignment horizontal="center" vertical="center"/>
    </xf>
    <xf numFmtId="0" fontId="26" fillId="0" borderId="1" xfId="0" applyFont="1" applyBorder="1" applyAlignment="1">
      <alignment horizontal="center"/>
    </xf>
    <xf numFmtId="182" fontId="0" fillId="0" borderId="10" xfId="0" applyNumberFormat="1" applyFont="1" applyFill="1" applyBorder="1" applyAlignment="1">
      <alignment horizontal="center" vertical="center"/>
    </xf>
    <xf numFmtId="179" fontId="0" fillId="0" borderId="10" xfId="0" applyNumberFormat="1" applyFont="1" applyFill="1" applyBorder="1" applyAlignment="1">
      <alignment horizontal="center" vertical="center"/>
    </xf>
    <xf numFmtId="184" fontId="0" fillId="0" borderId="10" xfId="0" applyNumberFormat="1" applyFont="1" applyFill="1" applyBorder="1" applyAlignment="1">
      <alignment horizontal="center" vertical="center"/>
    </xf>
    <xf numFmtId="182" fontId="23" fillId="0" borderId="0" xfId="0" applyNumberFormat="1" applyFont="1" applyBorder="1" applyAlignment="1">
      <alignment horizontal="center" vertical="center"/>
    </xf>
    <xf numFmtId="184" fontId="0" fillId="11" borderId="1" xfId="0" applyNumberFormat="1" applyFont="1" applyFill="1" applyBorder="1" applyAlignment="1" applyProtection="1">
      <alignment horizontal="center" vertical="center" wrapText="1"/>
      <protection locked="0"/>
    </xf>
    <xf numFmtId="182" fontId="10" fillId="0" borderId="10" xfId="0" applyNumberFormat="1" applyFont="1" applyFill="1" applyBorder="1" applyAlignment="1">
      <alignment horizontal="center" vertical="center"/>
    </xf>
    <xf numFmtId="182" fontId="27" fillId="0" borderId="10" xfId="0" applyNumberFormat="1" applyFont="1" applyFill="1" applyBorder="1" applyAlignment="1">
      <alignment horizontal="center" vertical="center"/>
    </xf>
    <xf numFmtId="179" fontId="0" fillId="0" borderId="10" xfId="0" applyNumberFormat="1" applyFont="1" applyFill="1" applyBorder="1" applyAlignment="1" applyProtection="1">
      <alignment horizontal="center" vertical="center"/>
      <protection locked="0"/>
    </xf>
    <xf numFmtId="179" fontId="0" fillId="0" borderId="1" xfId="0" applyNumberFormat="1" applyFont="1" applyFill="1" applyBorder="1" applyAlignment="1" applyProtection="1">
      <alignment horizontal="center" vertical="center"/>
      <protection locked="0"/>
    </xf>
    <xf numFmtId="179" fontId="0" fillId="0" borderId="4" xfId="0" applyNumberFormat="1" applyFont="1" applyFill="1" applyBorder="1" applyAlignment="1" applyProtection="1">
      <alignment horizontal="center" vertical="center"/>
      <protection locked="0"/>
    </xf>
    <xf numFmtId="179" fontId="22" fillId="0" borderId="1" xfId="0" applyNumberFormat="1" applyFont="1" applyBorder="1" applyAlignment="1">
      <alignment vertical="top"/>
    </xf>
    <xf numFmtId="180" fontId="10" fillId="11" borderId="1" xfId="0" applyNumberFormat="1" applyFont="1" applyFill="1" applyBorder="1" applyAlignment="1" applyProtection="1">
      <alignment horizontal="center" vertical="center" wrapText="1"/>
      <protection locked="0"/>
    </xf>
    <xf numFmtId="182" fontId="8" fillId="4" borderId="1" xfId="0" applyNumberFormat="1" applyFont="1" applyFill="1" applyBorder="1" applyAlignment="1" applyProtection="1">
      <alignment vertical="center" wrapText="1"/>
      <protection locked="0"/>
    </xf>
    <xf numFmtId="182" fontId="8" fillId="4" borderId="6" xfId="0" applyNumberFormat="1" applyFont="1" applyFill="1" applyBorder="1" applyAlignment="1" applyProtection="1">
      <alignment vertical="center" wrapText="1"/>
      <protection locked="0"/>
    </xf>
    <xf numFmtId="179" fontId="10" fillId="0" borderId="1" xfId="0" applyNumberFormat="1" applyFont="1" applyFill="1" applyBorder="1" applyAlignment="1">
      <alignment horizontal="center" vertical="center" wrapText="1"/>
    </xf>
    <xf numFmtId="180" fontId="8" fillId="0" borderId="10" xfId="0" applyNumberFormat="1" applyFont="1" applyFill="1" applyBorder="1" applyAlignment="1" applyProtection="1">
      <alignment horizontal="left" vertical="top" wrapText="1"/>
      <protection locked="0"/>
    </xf>
    <xf numFmtId="180" fontId="8" fillId="0" borderId="10" xfId="0" applyNumberFormat="1" applyFont="1" applyFill="1" applyBorder="1" applyAlignment="1" applyProtection="1">
      <alignment vertical="center" wrapText="1"/>
    </xf>
    <xf numFmtId="182" fontId="22" fillId="0" borderId="1" xfId="0" applyNumberFormat="1" applyFont="1" applyBorder="1"/>
    <xf numFmtId="182" fontId="22" fillId="0" borderId="6" xfId="0" applyNumberFormat="1" applyFont="1" applyBorder="1"/>
    <xf numFmtId="179" fontId="22" fillId="0" borderId="1" xfId="0" applyNumberFormat="1" applyFont="1" applyFill="1" applyBorder="1"/>
    <xf numFmtId="180" fontId="8" fillId="0" borderId="1" xfId="0" applyNumberFormat="1" applyFont="1" applyFill="1" applyBorder="1" applyAlignment="1" applyProtection="1">
      <alignment vertical="center" wrapText="1"/>
    </xf>
    <xf numFmtId="180" fontId="8" fillId="0" borderId="1" xfId="0" applyNumberFormat="1" applyFont="1" applyFill="1" applyBorder="1" applyAlignment="1" applyProtection="1">
      <alignment horizontal="left" vertical="top" wrapText="1"/>
      <protection locked="0"/>
    </xf>
    <xf numFmtId="180" fontId="7" fillId="0" borderId="1" xfId="0" applyNumberFormat="1" applyFont="1" applyFill="1" applyBorder="1" applyAlignment="1" applyProtection="1">
      <alignment vertical="center" wrapText="1"/>
    </xf>
    <xf numFmtId="180" fontId="8" fillId="0" borderId="4" xfId="0" applyNumberFormat="1" applyFont="1" applyFill="1" applyBorder="1" applyAlignment="1" applyProtection="1">
      <alignment horizontal="left" vertical="top" wrapText="1"/>
      <protection locked="0"/>
    </xf>
    <xf numFmtId="180" fontId="22" fillId="0" borderId="6" xfId="0" applyNumberFormat="1" applyFont="1" applyBorder="1" applyAlignment="1">
      <alignment horizontal="left" vertical="top" wrapText="1"/>
    </xf>
    <xf numFmtId="180" fontId="8" fillId="0" borderId="1" xfId="0" applyNumberFormat="1" applyFont="1" applyFill="1" applyBorder="1" applyAlignment="1" applyProtection="1">
      <alignment horizontal="left" vertical="center" wrapText="1"/>
      <protection locked="0"/>
    </xf>
    <xf numFmtId="180" fontId="10" fillId="0" borderId="0" xfId="0" applyNumberFormat="1" applyFont="1" applyAlignment="1">
      <alignment horizontal="center" vertical="center" wrapText="1"/>
    </xf>
    <xf numFmtId="180" fontId="0" fillId="0" borderId="1" xfId="0" applyNumberFormat="1" applyFont="1" applyBorder="1" applyAlignment="1">
      <alignment horizontal="center" vertical="center"/>
    </xf>
    <xf numFmtId="180" fontId="0" fillId="0" borderId="1" xfId="0" applyNumberFormat="1" applyBorder="1" applyAlignment="1">
      <alignment horizontal="center" vertical="center"/>
    </xf>
    <xf numFmtId="180" fontId="22" fillId="0" borderId="1" xfId="0" applyNumberFormat="1" applyFont="1" applyBorder="1" applyAlignment="1">
      <alignment horizontal="center" vertical="center"/>
    </xf>
    <xf numFmtId="185" fontId="22" fillId="0" borderId="1" xfId="0" applyNumberFormat="1" applyFont="1" applyBorder="1" applyAlignment="1">
      <alignment horizontal="center" vertical="center"/>
    </xf>
    <xf numFmtId="179" fontId="22" fillId="0" borderId="1" xfId="0" applyNumberFormat="1" applyFont="1" applyBorder="1" applyAlignment="1">
      <alignment horizontal="center" vertical="center"/>
    </xf>
    <xf numFmtId="184" fontId="0" fillId="0" borderId="1" xfId="0" applyNumberFormat="1" applyFont="1" applyFill="1" applyBorder="1" applyAlignment="1">
      <alignment horizontal="center" vertical="center"/>
    </xf>
    <xf numFmtId="184" fontId="22" fillId="0" borderId="1" xfId="0" applyNumberFormat="1" applyFont="1" applyBorder="1" applyAlignment="1">
      <alignment horizontal="center" vertical="center"/>
    </xf>
    <xf numFmtId="180" fontId="22" fillId="0" borderId="1" xfId="0" applyNumberFormat="1" applyFont="1" applyBorder="1" applyAlignment="1">
      <alignment horizontal="left" vertical="top" wrapText="1"/>
    </xf>
    <xf numFmtId="180" fontId="22" fillId="0" borderId="1" xfId="0" applyNumberFormat="1" applyFont="1" applyBorder="1" applyAlignment="1">
      <alignment wrapText="1"/>
    </xf>
    <xf numFmtId="180" fontId="8" fillId="0" borderId="1" xfId="0" applyNumberFormat="1" applyFont="1" applyBorder="1" applyAlignment="1">
      <alignment horizontal="left" vertical="top" wrapText="1"/>
    </xf>
    <xf numFmtId="180" fontId="8" fillId="0" borderId="1" xfId="0" applyNumberFormat="1" applyFont="1" applyBorder="1" applyAlignment="1">
      <alignment wrapText="1"/>
    </xf>
    <xf numFmtId="180" fontId="7" fillId="0" borderId="1" xfId="0" applyNumberFormat="1" applyFont="1" applyBorder="1" applyAlignment="1">
      <alignment wrapText="1"/>
    </xf>
    <xf numFmtId="0" fontId="0" fillId="8" borderId="0" xfId="0" applyFont="1" applyFill="1" applyAlignment="1">
      <alignment vertical="center" wrapText="1"/>
    </xf>
    <xf numFmtId="187" fontId="0" fillId="0" borderId="0" xfId="0" applyNumberFormat="1" applyFont="1" applyAlignment="1">
      <alignment vertical="center" wrapText="1"/>
    </xf>
    <xf numFmtId="0" fontId="28" fillId="0" borderId="0" xfId="3" applyAlignment="1">
      <alignment vertical="center" wrapText="1"/>
    </xf>
    <xf numFmtId="22" fontId="0" fillId="8" borderId="0" xfId="0" applyNumberFormat="1" applyFont="1" applyFill="1" applyAlignment="1">
      <alignment vertical="center" wrapText="1"/>
    </xf>
    <xf numFmtId="22" fontId="0" fillId="0" borderId="0" xfId="0" applyNumberFormat="1" applyFont="1" applyAlignment="1">
      <alignment vertical="center" wrapText="1"/>
    </xf>
    <xf numFmtId="0" fontId="28" fillId="0" borderId="0" xfId="3" applyFont="1" applyAlignment="1">
      <alignment vertical="center" wrapText="1"/>
    </xf>
    <xf numFmtId="0" fontId="0" fillId="13" borderId="0" xfId="0" applyFont="1" applyFill="1" applyAlignment="1">
      <alignment vertical="center" wrapText="1"/>
    </xf>
    <xf numFmtId="180" fontId="22" fillId="0" borderId="0" xfId="0" applyNumberFormat="1" applyFont="1" applyAlignment="1" applyProtection="1">
      <alignment horizontal="center" vertical="center"/>
      <protection locked="0"/>
    </xf>
    <xf numFmtId="183" fontId="22" fillId="0" borderId="0" xfId="0" applyNumberFormat="1" applyFont="1" applyAlignment="1">
      <alignment horizontal="center" vertical="center"/>
    </xf>
    <xf numFmtId="185" fontId="22" fillId="0" borderId="0" xfId="0" applyNumberFormat="1" applyFont="1" applyAlignment="1">
      <alignment horizontal="center"/>
    </xf>
    <xf numFmtId="180" fontId="10" fillId="11" borderId="13" xfId="0" applyNumberFormat="1" applyFont="1" applyFill="1" applyBorder="1" applyAlignment="1" applyProtection="1">
      <alignment horizontal="center" vertical="center" wrapText="1"/>
      <protection locked="0"/>
    </xf>
    <xf numFmtId="181" fontId="0" fillId="0" borderId="10" xfId="0" applyNumberFormat="1" applyFont="1" applyFill="1" applyBorder="1" applyAlignment="1" applyProtection="1">
      <alignment horizontal="center" vertical="center"/>
      <protection locked="0"/>
    </xf>
    <xf numFmtId="181" fontId="0" fillId="0" borderId="1" xfId="0" applyNumberFormat="1" applyFont="1" applyFill="1" applyBorder="1" applyAlignment="1" applyProtection="1">
      <alignment horizontal="center" vertical="center"/>
      <protection locked="0"/>
    </xf>
    <xf numFmtId="183" fontId="0" fillId="0" borderId="10" xfId="0" applyNumberFormat="1" applyFont="1" applyFill="1" applyBorder="1" applyAlignment="1">
      <alignment horizontal="center" vertical="center"/>
    </xf>
    <xf numFmtId="185" fontId="26" fillId="0" borderId="1" xfId="0" applyNumberFormat="1" applyFont="1" applyBorder="1" applyAlignment="1">
      <alignment horizontal="center" vertical="center"/>
    </xf>
    <xf numFmtId="179" fontId="0" fillId="0" borderId="6" xfId="0" applyNumberFormat="1" applyFont="1" applyFill="1" applyBorder="1" applyAlignment="1" applyProtection="1">
      <alignment horizontal="center" vertical="center"/>
      <protection locked="0"/>
    </xf>
    <xf numFmtId="180"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0" fontId="0" fillId="0" borderId="1" xfId="0" applyNumberFormat="1" applyFont="1" applyBorder="1" applyAlignment="1" applyProtection="1">
      <alignment horizontal="center" vertical="center"/>
      <protection locked="0"/>
    </xf>
    <xf numFmtId="183" fontId="22" fillId="0" borderId="1" xfId="0" applyNumberFormat="1" applyFont="1" applyBorder="1" applyAlignment="1">
      <alignment horizontal="center" vertical="center"/>
    </xf>
    <xf numFmtId="182" fontId="22" fillId="0" borderId="1" xfId="0" applyNumberFormat="1" applyFont="1" applyBorder="1" applyAlignment="1">
      <alignment horizontal="center" vertical="center"/>
    </xf>
    <xf numFmtId="185" fontId="0" fillId="0" borderId="1" xfId="0" applyNumberFormat="1" applyFont="1" applyFill="1" applyBorder="1" applyAlignment="1">
      <alignment horizontal="center" vertical="center"/>
    </xf>
    <xf numFmtId="180" fontId="7" fillId="0" borderId="1" xfId="0" applyNumberFormat="1" applyFont="1" applyFill="1" applyBorder="1" applyAlignment="1" applyProtection="1">
      <alignment horizontal="left" vertical="top" wrapText="1"/>
      <protection locked="0"/>
    </xf>
    <xf numFmtId="180" fontId="0" fillId="11" borderId="4" xfId="0" applyNumberFormat="1" applyFont="1" applyFill="1" applyBorder="1" applyAlignment="1" applyProtection="1">
      <alignment horizontal="center" vertical="center" wrapText="1"/>
      <protection locked="0"/>
    </xf>
    <xf numFmtId="185" fontId="0" fillId="11" borderId="4" xfId="0" applyNumberFormat="1" applyFont="1" applyFill="1" applyBorder="1" applyAlignment="1" applyProtection="1">
      <alignment horizontal="center" vertical="center" wrapText="1"/>
      <protection locked="0"/>
    </xf>
    <xf numFmtId="182" fontId="0" fillId="11" borderId="4" xfId="0" applyNumberFormat="1" applyFont="1" applyFill="1" applyBorder="1" applyAlignment="1" applyProtection="1">
      <alignment horizontal="center" vertical="center" wrapText="1"/>
      <protection locked="0"/>
    </xf>
    <xf numFmtId="182" fontId="0" fillId="11" borderId="4" xfId="0" applyNumberFormat="1" applyFill="1" applyBorder="1" applyAlignment="1" applyProtection="1">
      <alignment horizontal="center" vertical="center" wrapText="1"/>
      <protection locked="0"/>
    </xf>
    <xf numFmtId="182" fontId="10" fillId="0" borderId="1" xfId="0" applyNumberFormat="1" applyFont="1" applyFill="1" applyBorder="1" applyAlignment="1">
      <alignment horizontal="center" vertical="center"/>
    </xf>
    <xf numFmtId="182" fontId="27" fillId="0" borderId="1" xfId="0" applyNumberFormat="1" applyFont="1" applyFill="1" applyBorder="1" applyAlignment="1">
      <alignment horizontal="center" vertical="center"/>
    </xf>
    <xf numFmtId="0" fontId="0" fillId="0" borderId="1" xfId="0" applyFont="1" applyBorder="1" applyAlignment="1">
      <alignment vertical="center"/>
    </xf>
    <xf numFmtId="0" fontId="24" fillId="8" borderId="1" xfId="0" applyFont="1" applyFill="1" applyBorder="1" applyAlignment="1">
      <alignment horizontal="center" vertical="center" wrapText="1"/>
    </xf>
    <xf numFmtId="0" fontId="22" fillId="0" borderId="0" xfId="0" applyFont="1" applyAlignment="1">
      <alignment horizontal="center"/>
    </xf>
    <xf numFmtId="0" fontId="0" fillId="0" borderId="0" xfId="0" applyFont="1" applyAlignment="1">
      <alignment horizontal="center" vertical="center"/>
    </xf>
    <xf numFmtId="0" fontId="30" fillId="0" borderId="9" xfId="0" applyFont="1" applyBorder="1" applyAlignment="1">
      <alignment horizontal="center" vertical="center"/>
    </xf>
    <xf numFmtId="0" fontId="30"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24" fillId="8" borderId="4" xfId="0" applyFont="1" applyFill="1" applyBorder="1" applyAlignment="1">
      <alignment horizontal="center" vertical="center" wrapText="1"/>
    </xf>
    <xf numFmtId="181" fontId="0" fillId="14" borderId="4" xfId="0" applyNumberFormat="1" applyFont="1" applyFill="1" applyBorder="1" applyAlignment="1">
      <alignment horizontal="center" vertical="center"/>
    </xf>
    <xf numFmtId="20" fontId="26" fillId="3" borderId="1" xfId="0" applyNumberFormat="1" applyFont="1" applyFill="1" applyBorder="1" applyAlignment="1">
      <alignment horizontal="center"/>
    </xf>
    <xf numFmtId="182" fontId="31"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2" fontId="26" fillId="3" borderId="1" xfId="0" applyNumberFormat="1" applyFont="1" applyFill="1" applyBorder="1" applyAlignment="1">
      <alignment horizontal="center"/>
    </xf>
    <xf numFmtId="0" fontId="0" fillId="11" borderId="1" xfId="0" applyFont="1" applyFill="1" applyBorder="1" applyAlignment="1">
      <alignment horizontal="center" vertical="center"/>
    </xf>
    <xf numFmtId="181" fontId="0" fillId="14" borderId="15" xfId="0" applyNumberFormat="1" applyFont="1" applyFill="1" applyBorder="1" applyAlignment="1">
      <alignment horizontal="center" vertical="center"/>
    </xf>
    <xf numFmtId="0" fontId="32" fillId="11" borderId="1" xfId="0" applyFont="1" applyFill="1" applyBorder="1" applyAlignment="1">
      <alignment horizontal="center"/>
    </xf>
    <xf numFmtId="181" fontId="0" fillId="14" borderId="10" xfId="0" applyNumberFormat="1" applyFont="1" applyFill="1" applyBorder="1" applyAlignment="1">
      <alignment horizontal="center" vertical="center"/>
    </xf>
    <xf numFmtId="0" fontId="26" fillId="11" borderId="1" xfId="0" applyFont="1" applyFill="1" applyBorder="1" applyAlignment="1">
      <alignment horizontal="center"/>
    </xf>
    <xf numFmtId="0" fontId="33" fillId="11" borderId="1" xfId="0" applyFont="1" applyFill="1" applyBorder="1" applyAlignment="1">
      <alignment horizont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31"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4" fillId="11" borderId="9" xfId="0" applyFont="1" applyFill="1" applyBorder="1" applyAlignment="1">
      <alignment horizontal="center"/>
    </xf>
    <xf numFmtId="0" fontId="34"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6" fillId="11" borderId="9" xfId="0" applyFont="1" applyFill="1" applyBorder="1" applyAlignment="1">
      <alignment horizontal="center"/>
    </xf>
    <xf numFmtId="182" fontId="27"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5" fillId="0" borderId="1" xfId="0" applyFont="1" applyBorder="1" applyAlignment="1">
      <alignment horizontal="center" vertical="center"/>
    </xf>
    <xf numFmtId="182" fontId="0" fillId="11" borderId="1" xfId="0" applyNumberFormat="1" applyFont="1" applyFill="1" applyBorder="1" applyAlignment="1">
      <alignment horizontal="center" vertical="center"/>
    </xf>
    <xf numFmtId="0" fontId="36" fillId="11" borderId="1" xfId="0" applyFont="1" applyFill="1" applyBorder="1" applyAlignment="1">
      <alignment horizontal="center"/>
    </xf>
    <xf numFmtId="0" fontId="33" fillId="11" borderId="9" xfId="0" applyFont="1" applyFill="1" applyBorder="1" applyAlignment="1">
      <alignment horizontal="center" vertical="center"/>
    </xf>
    <xf numFmtId="0" fontId="33" fillId="11" borderId="1" xfId="0" applyFont="1" applyFill="1" applyBorder="1" applyAlignment="1">
      <alignment horizontal="center" vertical="center"/>
    </xf>
    <xf numFmtId="181" fontId="0" fillId="0" borderId="1" xfId="0" applyNumberFormat="1" applyFont="1" applyBorder="1" applyAlignment="1">
      <alignment vertical="center"/>
    </xf>
    <xf numFmtId="182" fontId="0" fillId="0" borderId="0" xfId="0" applyNumberFormat="1" applyFont="1" applyBorder="1" applyAlignment="1">
      <alignment vertical="center"/>
    </xf>
    <xf numFmtId="0" fontId="24" fillId="13" borderId="1" xfId="0" applyFont="1" applyFill="1" applyBorder="1" applyAlignment="1">
      <alignment horizontal="center" vertical="center" wrapText="1"/>
    </xf>
    <xf numFmtId="179" fontId="24" fillId="8" borderId="1" xfId="0" applyNumberFormat="1" applyFont="1" applyFill="1" applyBorder="1" applyAlignment="1" applyProtection="1">
      <alignment vertical="center" wrapText="1"/>
      <protection locked="0"/>
    </xf>
    <xf numFmtId="0" fontId="18" fillId="8" borderId="1" xfId="0" applyFont="1" applyFill="1" applyBorder="1" applyAlignment="1">
      <alignment horizontal="center" vertical="center" wrapText="1"/>
    </xf>
    <xf numFmtId="0" fontId="18" fillId="8" borderId="6" xfId="0" applyFont="1" applyFill="1" applyBorder="1" applyAlignment="1">
      <alignment horizontal="center" vertical="center" wrapText="1"/>
    </xf>
    <xf numFmtId="179" fontId="24" fillId="8"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7" fillId="0" borderId="0" xfId="0" applyFont="1" applyAlignment="1">
      <alignment horizontal="center"/>
    </xf>
    <xf numFmtId="188" fontId="37" fillId="0" borderId="0" xfId="0" applyNumberFormat="1" applyFont="1" applyAlignment="1">
      <alignment horizontal="center"/>
    </xf>
    <xf numFmtId="0" fontId="8" fillId="3" borderId="15" xfId="0" applyFont="1" applyFill="1" applyBorder="1" applyAlignment="1">
      <alignment horizontal="center"/>
    </xf>
    <xf numFmtId="0" fontId="37" fillId="0" borderId="0" xfId="0" applyNumberFormat="1" applyFont="1" applyAlignment="1">
      <alignment horizontal="center" wrapText="1"/>
    </xf>
    <xf numFmtId="0" fontId="38" fillId="0" borderId="0" xfId="0" applyFont="1" applyAlignment="1">
      <alignment horizontal="center"/>
    </xf>
    <xf numFmtId="0" fontId="39" fillId="3" borderId="0" xfId="0" applyFont="1" applyFill="1" applyBorder="1" applyAlignment="1">
      <alignment horizontal="center" vertical="center"/>
    </xf>
    <xf numFmtId="0" fontId="39" fillId="3" borderId="1" xfId="0" applyFont="1" applyFill="1" applyBorder="1" applyAlignment="1">
      <alignment horizontal="center" vertical="center"/>
    </xf>
    <xf numFmtId="0" fontId="40" fillId="3" borderId="3" xfId="0" applyFont="1" applyFill="1" applyBorder="1" applyAlignment="1">
      <alignment horizontal="center" vertical="center"/>
    </xf>
    <xf numFmtId="0" fontId="40" fillId="0" borderId="1" xfId="0" applyFont="1" applyBorder="1" applyAlignment="1">
      <alignment horizontal="center" vertical="center"/>
    </xf>
    <xf numFmtId="0" fontId="32" fillId="3" borderId="14" xfId="0" applyFont="1" applyFill="1" applyBorder="1" applyAlignment="1">
      <alignment horizontal="center" vertical="center"/>
    </xf>
    <xf numFmtId="14" fontId="41" fillId="4" borderId="1" xfId="0" applyNumberFormat="1" applyFont="1" applyFill="1" applyBorder="1" applyAlignment="1">
      <alignment horizontal="center" vertical="center"/>
    </xf>
    <xf numFmtId="0" fontId="32" fillId="3" borderId="16" xfId="0" applyFont="1" applyFill="1" applyBorder="1" applyAlignment="1">
      <alignment horizontal="center" vertical="center"/>
    </xf>
    <xf numFmtId="0" fontId="31" fillId="0" borderId="1" xfId="0" applyFont="1" applyBorder="1" applyAlignment="1">
      <alignment horizontal="center" vertical="center"/>
    </xf>
    <xf numFmtId="0" fontId="31" fillId="0" borderId="6" xfId="0" applyFont="1" applyBorder="1" applyAlignment="1">
      <alignment horizontal="center" vertical="center"/>
    </xf>
    <xf numFmtId="0" fontId="8" fillId="0" borderId="1" xfId="0" applyFont="1" applyBorder="1" applyAlignment="1">
      <alignment horizontal="center" vertical="center" wrapText="1"/>
    </xf>
    <xf numFmtId="0" fontId="31" fillId="0" borderId="1" xfId="0" applyFont="1" applyBorder="1" applyAlignment="1">
      <alignment horizontal="center"/>
    </xf>
    <xf numFmtId="20" fontId="31" fillId="0" borderId="1" xfId="0" applyNumberFormat="1" applyFont="1" applyBorder="1" applyAlignment="1">
      <alignment horizontal="center"/>
    </xf>
    <xf numFmtId="0" fontId="40" fillId="0" borderId="6" xfId="0" applyFont="1" applyBorder="1" applyAlignment="1">
      <alignment horizontal="center" vertical="center"/>
    </xf>
    <xf numFmtId="0" fontId="40" fillId="0" borderId="9" xfId="0" applyFont="1" applyBorder="1" applyAlignment="1">
      <alignment horizontal="center" vertical="center"/>
    </xf>
    <xf numFmtId="0" fontId="30" fillId="0" borderId="6" xfId="0" applyFont="1" applyBorder="1" applyAlignment="1">
      <alignment horizontal="center" vertical="center"/>
    </xf>
    <xf numFmtId="188" fontId="8" fillId="3" borderId="1" xfId="0" applyNumberFormat="1" applyFont="1" applyFill="1" applyBorder="1" applyAlignment="1" applyProtection="1">
      <alignment horizontal="center" vertical="center" wrapText="1"/>
      <protection locked="0"/>
    </xf>
    <xf numFmtId="188" fontId="32" fillId="11" borderId="1" xfId="0" applyNumberFormat="1" applyFont="1" applyFill="1" applyBorder="1" applyAlignment="1">
      <alignment horizontal="center"/>
    </xf>
    <xf numFmtId="188" fontId="26" fillId="11" borderId="1" xfId="0" applyNumberFormat="1" applyFont="1" applyFill="1" applyBorder="1" applyAlignment="1">
      <alignment horizontal="center"/>
    </xf>
    <xf numFmtId="188" fontId="0" fillId="11" borderId="1" xfId="0" applyNumberFormat="1" applyFont="1" applyFill="1" applyBorder="1" applyAlignment="1">
      <alignment horizontal="center" vertical="center"/>
    </xf>
    <xf numFmtId="0" fontId="42" fillId="11" borderId="1" xfId="0" applyFont="1" applyFill="1" applyBorder="1" applyAlignment="1">
      <alignment horizontal="center"/>
    </xf>
    <xf numFmtId="0" fontId="37" fillId="11" borderId="1" xfId="0" applyFont="1" applyFill="1" applyBorder="1" applyAlignment="1">
      <alignment horizontal="center"/>
    </xf>
    <xf numFmtId="188" fontId="37" fillId="11" borderId="1" xfId="0" applyNumberFormat="1" applyFont="1" applyFill="1" applyBorder="1" applyAlignment="1">
      <alignment horizontal="center"/>
    </xf>
    <xf numFmtId="0" fontId="40" fillId="3" borderId="15" xfId="0" applyFont="1" applyFill="1" applyBorder="1" applyAlignment="1">
      <alignment horizontal="center" vertical="center"/>
    </xf>
    <xf numFmtId="0" fontId="40" fillId="0" borderId="14" xfId="0" applyFont="1" applyBorder="1" applyAlignment="1">
      <alignment horizontal="center" vertical="center"/>
    </xf>
    <xf numFmtId="0" fontId="30" fillId="3" borderId="15" xfId="0" applyFont="1" applyFill="1" applyBorder="1" applyAlignment="1">
      <alignment vertical="center"/>
    </xf>
    <xf numFmtId="0" fontId="30"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4" fillId="11" borderId="6" xfId="0" applyFont="1" applyFill="1" applyBorder="1" applyAlignment="1">
      <alignment horizontal="center"/>
    </xf>
    <xf numFmtId="0" fontId="26"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3" fillId="3" borderId="15" xfId="0" applyFont="1" applyFill="1" applyBorder="1" applyAlignment="1">
      <alignment horizontal="center"/>
    </xf>
    <xf numFmtId="0" fontId="30" fillId="0" borderId="6" xfId="0" applyFont="1" applyBorder="1" applyAlignment="1">
      <alignment vertical="center"/>
    </xf>
    <xf numFmtId="0" fontId="43" fillId="0" borderId="9" xfId="0" applyFont="1" applyBorder="1" applyAlignment="1">
      <alignment vertical="center"/>
    </xf>
    <xf numFmtId="0" fontId="30" fillId="0" borderId="9" xfId="0" applyFont="1" applyBorder="1" applyAlignment="1">
      <alignment vertical="center"/>
    </xf>
    <xf numFmtId="179" fontId="8" fillId="3" borderId="1" xfId="0" applyNumberFormat="1" applyFont="1" applyFill="1" applyBorder="1" applyAlignment="1" applyProtection="1">
      <alignment vertical="center" wrapText="1"/>
      <protection locked="0"/>
    </xf>
    <xf numFmtId="188" fontId="8" fillId="3" borderId="1" xfId="0" applyNumberFormat="1" applyFont="1" applyFill="1" applyBorder="1" applyAlignment="1" applyProtection="1">
      <alignment vertical="center" wrapText="1"/>
      <protection locked="0"/>
    </xf>
    <xf numFmtId="179" fontId="8" fillId="3" borderId="6" xfId="0" applyNumberFormat="1" applyFont="1" applyFill="1" applyBorder="1" applyAlignment="1" applyProtection="1">
      <alignment vertical="center" wrapText="1"/>
      <protection locked="0"/>
    </xf>
    <xf numFmtId="0" fontId="40" fillId="0" borderId="14" xfId="0" applyNumberFormat="1" applyFont="1" applyBorder="1" applyAlignment="1">
      <alignment horizontal="center" vertical="center" wrapText="1"/>
    </xf>
    <xf numFmtId="0" fontId="40" fillId="0" borderId="0" xfId="0" applyFont="1" applyAlignment="1">
      <alignment horizontal="center" vertical="center"/>
    </xf>
    <xf numFmtId="0" fontId="30" fillId="0" borderId="9" xfId="0" applyNumberFormat="1" applyFont="1" applyBorder="1" applyAlignment="1">
      <alignment horizontal="center" vertical="center" wrapText="1"/>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6" fillId="11" borderId="1" xfId="0" applyNumberFormat="1" applyFont="1" applyFill="1" applyBorder="1" applyAlignment="1">
      <alignment horizontal="center" wrapText="1"/>
    </xf>
    <xf numFmtId="0" fontId="33"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5" fillId="0" borderId="0" xfId="0" applyFont="1" applyBorder="1" applyAlignment="1">
      <alignment horizontal="center"/>
    </xf>
    <xf numFmtId="0" fontId="22" fillId="0" borderId="0" xfId="0" applyFont="1" applyBorder="1" applyAlignment="1">
      <alignment horizontal="center"/>
    </xf>
    <xf numFmtId="182" fontId="0" fillId="0" borderId="0" xfId="0" applyNumberFormat="1" applyBorder="1" applyAlignment="1">
      <alignment horizontal="center" vertical="center"/>
    </xf>
    <xf numFmtId="181" fontId="22" fillId="0" borderId="0" xfId="0" applyNumberFormat="1" applyFont="1" applyAlignment="1">
      <alignment horizontal="center" vertical="center"/>
    </xf>
    <xf numFmtId="182" fontId="46" fillId="0" borderId="1" xfId="0" applyNumberFormat="1" applyFont="1" applyBorder="1" applyAlignment="1">
      <alignment horizontal="center" vertical="center"/>
    </xf>
    <xf numFmtId="58" fontId="47" fillId="0" borderId="1" xfId="0" applyNumberFormat="1" applyFont="1" applyBorder="1" applyAlignment="1">
      <alignment horizontal="center" vertical="center" wrapText="1"/>
    </xf>
    <xf numFmtId="0" fontId="48" fillId="0" borderId="1" xfId="0" applyFont="1" applyBorder="1" applyAlignment="1">
      <alignment horizontal="center"/>
    </xf>
    <xf numFmtId="0" fontId="49" fillId="0" borderId="1" xfId="0" applyFont="1" applyBorder="1" applyAlignment="1">
      <alignment horizontal="center"/>
    </xf>
    <xf numFmtId="188" fontId="0" fillId="11" borderId="1" xfId="0" applyNumberFormat="1" applyFont="1" applyFill="1" applyBorder="1" applyAlignment="1">
      <alignment horizontal="center"/>
    </xf>
    <xf numFmtId="188" fontId="34" fillId="11" borderId="1" xfId="0" applyNumberFormat="1" applyFont="1" applyFill="1" applyBorder="1" applyAlignment="1">
      <alignment horizontal="center"/>
    </xf>
    <xf numFmtId="188" fontId="48" fillId="0" borderId="1" xfId="0" applyNumberFormat="1" applyFont="1" applyBorder="1" applyAlignment="1">
      <alignment horizontal="center"/>
    </xf>
    <xf numFmtId="188" fontId="49" fillId="0" borderId="1" xfId="0" applyNumberFormat="1" applyFont="1" applyBorder="1" applyAlignment="1">
      <alignment horizontal="center"/>
    </xf>
    <xf numFmtId="0" fontId="33" fillId="11" borderId="6" xfId="0" applyFont="1" applyFill="1" applyBorder="1" applyAlignment="1">
      <alignment horizontal="center"/>
    </xf>
    <xf numFmtId="0" fontId="33" fillId="11" borderId="6" xfId="0" applyFont="1" applyFill="1" applyBorder="1" applyAlignment="1">
      <alignment horizontal="center" vertical="center"/>
    </xf>
    <xf numFmtId="0" fontId="33" fillId="3" borderId="15" xfId="0" applyFont="1" applyFill="1" applyBorder="1" applyAlignment="1">
      <alignment horizontal="center" vertical="center"/>
    </xf>
    <xf numFmtId="0" fontId="33" fillId="11" borderId="9" xfId="0" applyFont="1" applyFill="1" applyBorder="1" applyAlignment="1">
      <alignment horizontal="center"/>
    </xf>
    <xf numFmtId="0" fontId="26" fillId="11" borderId="6" xfId="0" applyFont="1" applyFill="1" applyBorder="1" applyAlignment="1">
      <alignment horizontal="center"/>
    </xf>
    <xf numFmtId="0" fontId="36" fillId="11" borderId="6" xfId="0" applyFont="1" applyFill="1" applyBorder="1" applyAlignment="1">
      <alignment horizontal="center"/>
    </xf>
    <xf numFmtId="0" fontId="36" fillId="3" borderId="15" xfId="0" applyFont="1" applyFill="1" applyBorder="1" applyAlignment="1">
      <alignment horizontal="center"/>
    </xf>
    <xf numFmtId="0" fontId="34"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49" fillId="0" borderId="6" xfId="0" applyFont="1" applyBorder="1" applyAlignment="1">
      <alignment horizontal="center"/>
    </xf>
    <xf numFmtId="0" fontId="49" fillId="3" borderId="15" xfId="0" applyFont="1" applyFill="1" applyBorder="1" applyAlignment="1">
      <alignment horizontal="center"/>
    </xf>
    <xf numFmtId="0" fontId="22" fillId="0" borderId="1" xfId="0" applyFont="1" applyBorder="1" applyAlignment="1">
      <alignment horizontal="center"/>
    </xf>
    <xf numFmtId="0" fontId="0" fillId="11" borderId="1" xfId="0" applyNumberFormat="1" applyFont="1" applyFill="1" applyBorder="1" applyAlignment="1">
      <alignment horizontal="center" vertical="center"/>
    </xf>
    <xf numFmtId="188" fontId="33" fillId="11" borderId="1" xfId="0" applyNumberFormat="1" applyFont="1" applyFill="1" applyBorder="1" applyAlignment="1">
      <alignment horizontal="center"/>
    </xf>
    <xf numFmtId="188" fontId="33" fillId="11" borderId="1" xfId="0" applyNumberFormat="1" applyFont="1" applyFill="1" applyBorder="1" applyAlignment="1">
      <alignment horizontal="center" vertical="center"/>
    </xf>
    <xf numFmtId="0" fontId="34" fillId="11" borderId="1" xfId="0" applyNumberFormat="1" applyFont="1" applyFill="1" applyBorder="1" applyAlignment="1">
      <alignment horizontal="center" wrapText="1"/>
    </xf>
    <xf numFmtId="0" fontId="48" fillId="0" borderId="1" xfId="0" applyNumberFormat="1" applyFont="1" applyBorder="1" applyAlignment="1">
      <alignment horizontal="center" wrapText="1"/>
    </xf>
    <xf numFmtId="0" fontId="49" fillId="0" borderId="1" xfId="0" applyNumberFormat="1" applyFont="1" applyBorder="1" applyAlignment="1">
      <alignment horizontal="center" wrapText="1"/>
    </xf>
    <xf numFmtId="0" fontId="48" fillId="0" borderId="0" xfId="0" applyFont="1" applyBorder="1" applyAlignment="1">
      <alignment horizontal="center"/>
    </xf>
    <xf numFmtId="0" fontId="49" fillId="0" borderId="0" xfId="0" applyFont="1" applyBorder="1" applyAlignment="1">
      <alignment horizontal="center"/>
    </xf>
    <xf numFmtId="0" fontId="40" fillId="0" borderId="1" xfId="0" applyFont="1" applyBorder="1" applyAlignment="1">
      <alignment horizontal="center" vertical="center"/>
    </xf>
    <xf numFmtId="0" fontId="40" fillId="0" borderId="5" xfId="0" applyFont="1" applyBorder="1" applyAlignment="1">
      <alignment horizontal="center" vertical="center"/>
    </xf>
    <xf numFmtId="0" fontId="40" fillId="0" borderId="14" xfId="0" applyFont="1" applyBorder="1" applyAlignment="1">
      <alignment horizontal="center" vertical="center"/>
    </xf>
    <xf numFmtId="0" fontId="40" fillId="0" borderId="14" xfId="0" applyNumberFormat="1" applyFont="1" applyBorder="1" applyAlignment="1">
      <alignment horizontal="center" vertical="center" wrapText="1"/>
    </xf>
    <xf numFmtId="0" fontId="30" fillId="0" borderId="1" xfId="0" applyFont="1" applyBorder="1" applyAlignment="1">
      <alignment horizontal="center" vertical="center"/>
    </xf>
    <xf numFmtId="0" fontId="30" fillId="0" borderId="6" xfId="0" applyFont="1" applyBorder="1" applyAlignment="1">
      <alignment horizontal="center" vertical="center"/>
    </xf>
    <xf numFmtId="0" fontId="30" fillId="0" borderId="9" xfId="0" applyFont="1" applyBorder="1" applyAlignment="1">
      <alignment horizontal="center" vertical="center"/>
    </xf>
    <xf numFmtId="188" fontId="30" fillId="0" borderId="6" xfId="0" applyNumberFormat="1" applyFont="1" applyBorder="1" applyAlignment="1">
      <alignment horizontal="center" vertical="center"/>
    </xf>
    <xf numFmtId="188" fontId="30" fillId="0" borderId="9" xfId="0" applyNumberFormat="1" applyFont="1" applyBorder="1" applyAlignment="1">
      <alignment horizontal="center" vertical="center"/>
    </xf>
    <xf numFmtId="0" fontId="44" fillId="0" borderId="1" xfId="0" applyFont="1" applyBorder="1" applyAlignment="1">
      <alignment horizontal="center" vertical="center"/>
    </xf>
    <xf numFmtId="182" fontId="31" fillId="0" borderId="1" xfId="0" applyNumberFormat="1" applyFont="1" applyBorder="1" applyAlignment="1">
      <alignment horizontal="center" vertical="center"/>
    </xf>
    <xf numFmtId="182" fontId="31" fillId="0" borderId="1" xfId="0" applyNumberFormat="1" applyFont="1" applyFill="1" applyBorder="1" applyAlignment="1">
      <alignment horizontal="center" vertical="center"/>
    </xf>
    <xf numFmtId="58" fontId="47" fillId="0" borderId="1" xfId="0" applyNumberFormat="1" applyFont="1" applyBorder="1" applyAlignment="1">
      <alignment horizontal="center" vertical="center" wrapText="1"/>
    </xf>
    <xf numFmtId="0" fontId="29" fillId="0" borderId="14" xfId="0" applyFont="1" applyBorder="1" applyAlignment="1">
      <alignment horizontal="center"/>
    </xf>
    <xf numFmtId="0" fontId="23" fillId="0" borderId="14" xfId="0" applyFont="1" applyBorder="1" applyAlignment="1">
      <alignment horizontal="center" vertical="center"/>
    </xf>
    <xf numFmtId="0" fontId="27" fillId="0" borderId="1" xfId="0" applyFont="1" applyBorder="1" applyAlignment="1">
      <alignment horizontal="center" vertical="center"/>
    </xf>
    <xf numFmtId="180" fontId="23" fillId="0" borderId="14" xfId="0" applyNumberFormat="1" applyFont="1" applyBorder="1" applyAlignment="1" applyProtection="1">
      <alignment horizontal="center" vertical="center"/>
      <protection hidden="1"/>
    </xf>
    <xf numFmtId="182" fontId="23" fillId="0" borderId="14" xfId="0" applyNumberFormat="1" applyFont="1" applyBorder="1" applyAlignment="1" applyProtection="1">
      <alignment horizontal="center" vertical="center"/>
      <protection hidden="1"/>
    </xf>
    <xf numFmtId="180" fontId="23" fillId="0" borderId="0" xfId="0" applyNumberFormat="1" applyFont="1" applyBorder="1" applyAlignment="1" applyProtection="1">
      <alignment horizontal="center" vertical="center"/>
      <protection locked="0"/>
    </xf>
    <xf numFmtId="180" fontId="23" fillId="0" borderId="0" xfId="0" applyNumberFormat="1" applyFont="1" applyBorder="1" applyAlignment="1">
      <alignment horizontal="center" vertical="center"/>
    </xf>
    <xf numFmtId="182" fontId="23" fillId="0" borderId="0" xfId="0" applyNumberFormat="1" applyFont="1" applyBorder="1" applyAlignment="1">
      <alignment horizontal="center" vertical="center"/>
    </xf>
    <xf numFmtId="184" fontId="23" fillId="0" borderId="0" xfId="0" applyNumberFormat="1" applyFont="1" applyBorder="1" applyAlignment="1">
      <alignment horizontal="center" vertical="center"/>
    </xf>
    <xf numFmtId="0" fontId="17" fillId="2" borderId="6" xfId="0" applyFont="1" applyFill="1" applyBorder="1" applyAlignment="1">
      <alignment horizontal="center" vertical="center"/>
    </xf>
    <xf numFmtId="0" fontId="17" fillId="10" borderId="5" xfId="0" applyFont="1" applyFill="1" applyBorder="1" applyAlignment="1">
      <alignment horizontal="center" vertical="center"/>
    </xf>
    <xf numFmtId="0" fontId="19" fillId="2" borderId="1" xfId="0" applyFont="1" applyFill="1" applyBorder="1" applyAlignment="1">
      <alignment horizontal="center" vertical="center"/>
    </xf>
    <xf numFmtId="179" fontId="0" fillId="5" borderId="6" xfId="0" applyNumberFormat="1" applyFont="1" applyFill="1" applyBorder="1" applyAlignment="1" applyProtection="1">
      <alignment horizontal="center" vertical="center" wrapText="1"/>
      <protection locked="0"/>
    </xf>
    <xf numFmtId="179" fontId="0" fillId="5" borderId="8" xfId="0" applyNumberFormat="1" applyFont="1" applyFill="1" applyBorder="1" applyAlignment="1" applyProtection="1">
      <alignment horizontal="center" vertical="center" wrapText="1"/>
      <protection locked="0"/>
    </xf>
    <xf numFmtId="179" fontId="0" fillId="5" borderId="9" xfId="0" applyNumberFormat="1" applyFont="1" applyFill="1" applyBorder="1" applyAlignment="1" applyProtection="1">
      <alignment horizontal="center" vertical="center" wrapText="1"/>
      <protection locked="0"/>
    </xf>
    <xf numFmtId="179" fontId="8" fillId="5" borderId="6" xfId="0" applyNumberFormat="1" applyFont="1" applyFill="1" applyBorder="1" applyAlignment="1" applyProtection="1">
      <alignment horizontal="center" vertical="center" wrapText="1"/>
      <protection locked="0"/>
    </xf>
    <xf numFmtId="179" fontId="8" fillId="5" borderId="8" xfId="0" applyNumberFormat="1" applyFont="1" applyFill="1" applyBorder="1" applyAlignment="1" applyProtection="1">
      <alignment horizontal="center" vertical="center" wrapText="1"/>
      <protection locked="0"/>
    </xf>
    <xf numFmtId="179" fontId="8" fillId="5" borderId="10" xfId="0" applyNumberFormat="1" applyFont="1" applyFill="1" applyBorder="1" applyAlignment="1" applyProtection="1">
      <alignment horizontal="center" vertical="center" wrapText="1"/>
      <protection locked="0"/>
    </xf>
    <xf numFmtId="179" fontId="8" fillId="5" borderId="1" xfId="0" applyNumberFormat="1" applyFont="1" applyFill="1" applyBorder="1" applyAlignment="1" applyProtection="1">
      <alignment horizontal="center" vertical="center" wrapText="1"/>
      <protection locked="0"/>
    </xf>
    <xf numFmtId="179" fontId="8" fillId="5" borderId="9" xfId="0" applyNumberFormat="1" applyFont="1" applyFill="1" applyBorder="1" applyAlignment="1" applyProtection="1">
      <alignment horizontal="center" vertical="center" wrapText="1"/>
      <protection locked="0"/>
    </xf>
    <xf numFmtId="179" fontId="0" fillId="5" borderId="1" xfId="0" applyNumberFormat="1" applyFont="1" applyFill="1" applyBorder="1" applyAlignment="1" applyProtection="1">
      <alignment horizontal="center" vertical="center" wrapText="1"/>
      <protection locked="0"/>
    </xf>
    <xf numFmtId="179" fontId="54" fillId="11" borderId="1" xfId="0" applyNumberFormat="1" applyFont="1" applyFill="1" applyBorder="1" applyAlignment="1">
      <alignment horizontal="center" vertical="center" wrapText="1"/>
    </xf>
  </cellXfs>
  <cellStyles count="6">
    <cellStyle name="_ET_STYLE_NoName_00_" xfId="2"/>
    <cellStyle name="百分比" xfId="1" builtinId="5"/>
    <cellStyle name="常规" xfId="0" builtinId="0"/>
    <cellStyle name="常规 2" xfId="3"/>
    <cellStyle name="常规 3" xfId="4"/>
    <cellStyle name="常规_6" xfId="5"/>
  </cellStyles>
  <dxfs count="1">
    <dxf>
      <font>
        <color indexed="10"/>
      </font>
    </dxf>
  </dxfs>
  <tableStyles count="0" defaultTableStyle="TableStyleMedium9" defaultPivotStyle="PivotStyleLight16"/>
  <colors>
    <mruColors>
      <color rgb="FF99CCFF"/>
      <color rgb="FF003366"/>
      <color rgb="FFFFFF00"/>
      <color rgb="FFCCFFFF"/>
      <color rgb="FF92D050"/>
      <color rgb="FFCCCCFF"/>
      <color rgb="FFFF0000"/>
      <color rgb="FFFFFFFF"/>
      <color rgb="FF00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699"/>
          <c:y val="2.7864264644937999E-2"/>
        </c:manualLayout>
      </c:layout>
      <c:overlay val="0"/>
      <c:spPr>
        <a:noFill/>
        <a:ln w="3175">
          <a:noFill/>
        </a:ln>
      </c:spPr>
    </c:title>
    <c:autoTitleDeleted val="0"/>
    <c:plotArea>
      <c:layout>
        <c:manualLayout>
          <c:layoutTarget val="inner"/>
          <c:xMode val="edge"/>
          <c:yMode val="edge"/>
          <c:x val="6.3075854570345202E-2"/>
          <c:y val="0.21517044127506499"/>
          <c:w val="0.82352969674990095"/>
          <c:h val="0.54024808636689003"/>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cat>
            <c:numRef>
              <c:f>'5烧主抽电耗'!$A$3:$A$95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'5烧主抽电耗'!$J$3:$J$95</c:f>
              <c:numCache>
                <c:formatCode>0_);[Red]\(0\)</c:formatCode>
                <c:ptCount val="93"/>
                <c:pt idx="0">
                  <c:v>42534</c:v>
                </c:pt>
                <c:pt idx="1">
                  <c:v>38481</c:v>
                </c:pt>
                <c:pt idx="2">
                  <c:v>39807</c:v>
                </c:pt>
                <c:pt idx="3">
                  <c:v>41409</c:v>
                </c:pt>
                <c:pt idx="4">
                  <c:v>43668</c:v>
                </c:pt>
                <c:pt idx="5">
                  <c:v>39174</c:v>
                </c:pt>
                <c:pt idx="6">
                  <c:v>41733</c:v>
                </c:pt>
                <c:pt idx="7">
                  <c:v>43785</c:v>
                </c:pt>
                <c:pt idx="8">
                  <c:v>42264</c:v>
                </c:pt>
                <c:pt idx="9">
                  <c:v>41034</c:v>
                </c:pt>
                <c:pt idx="10">
                  <c:v>42198</c:v>
                </c:pt>
                <c:pt idx="11">
                  <c:v>38820</c:v>
                </c:pt>
                <c:pt idx="12">
                  <c:v>40512</c:v>
                </c:pt>
                <c:pt idx="13">
                  <c:v>41913</c:v>
                </c:pt>
                <c:pt idx="14">
                  <c:v>38577</c:v>
                </c:pt>
                <c:pt idx="15">
                  <c:v>39927</c:v>
                </c:pt>
                <c:pt idx="16">
                  <c:v>40206</c:v>
                </c:pt>
                <c:pt idx="17">
                  <c:v>43323</c:v>
                </c:pt>
                <c:pt idx="18">
                  <c:v>39489</c:v>
                </c:pt>
                <c:pt idx="19">
                  <c:v>40629</c:v>
                </c:pt>
                <c:pt idx="20">
                  <c:v>42300</c:v>
                </c:pt>
                <c:pt idx="21">
                  <c:v>40836</c:v>
                </c:pt>
                <c:pt idx="22">
                  <c:v>40620</c:v>
                </c:pt>
                <c:pt idx="23">
                  <c:v>41415</c:v>
                </c:pt>
                <c:pt idx="24">
                  <c:v>39774</c:v>
                </c:pt>
                <c:pt idx="25">
                  <c:v>42777</c:v>
                </c:pt>
                <c:pt idx="26">
                  <c:v>40059</c:v>
                </c:pt>
                <c:pt idx="27">
                  <c:v>41229</c:v>
                </c:pt>
                <c:pt idx="28">
                  <c:v>44808</c:v>
                </c:pt>
                <c:pt idx="29">
                  <c:v>41217</c:v>
                </c:pt>
                <c:pt idx="30">
                  <c:v>41610</c:v>
                </c:pt>
                <c:pt idx="31">
                  <c:v>43680</c:v>
                </c:pt>
                <c:pt idx="32">
                  <c:v>40689</c:v>
                </c:pt>
                <c:pt idx="33">
                  <c:v>43758</c:v>
                </c:pt>
                <c:pt idx="34">
                  <c:v>43866</c:v>
                </c:pt>
                <c:pt idx="35">
                  <c:v>36543</c:v>
                </c:pt>
                <c:pt idx="36">
                  <c:v>40548</c:v>
                </c:pt>
                <c:pt idx="37">
                  <c:v>44859</c:v>
                </c:pt>
                <c:pt idx="38">
                  <c:v>41883</c:v>
                </c:pt>
                <c:pt idx="39">
                  <c:v>40563</c:v>
                </c:pt>
                <c:pt idx="40">
                  <c:v>-132285597</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cat>
            <c:numRef>
              <c:f>'5烧主抽电耗'!$A$3:$A$95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crossAx val="676163456"/>
        <c:crosses val="autoZero"/>
        <c:auto val="1"/>
        <c:lblAlgn val="ctr"/>
        <c:lblOffset val="100"/>
        <c:noMultiLvlLbl val="1"/>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03"/>
          <c:y val="1.7028188813859601E-2"/>
          <c:w val="0.26800000000000002"/>
          <c:h val="9.9000000000000005E-2"/>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699"/>
          <c:y val="2.7864264644937999E-2"/>
        </c:manualLayout>
      </c:layout>
      <c:overlay val="0"/>
      <c:spPr>
        <a:noFill/>
        <a:ln w="3175">
          <a:noFill/>
        </a:ln>
      </c:spPr>
    </c:title>
    <c:autoTitleDeleted val="0"/>
    <c:plotArea>
      <c:layout>
        <c:manualLayout>
          <c:layoutTarget val="inner"/>
          <c:xMode val="edge"/>
          <c:yMode val="edge"/>
          <c:x val="6.3075854570345202E-2"/>
          <c:y val="0.21517044127506499"/>
          <c:w val="0.82069482688157003"/>
          <c:h val="0.5371521087945869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cat>
            <c:numRef>
              <c:f>'5烧主抽电耗'!$A$3:$A$95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'5烧主抽电耗'!$K$3:$K$95</c:f>
              <c:numCache>
                <c:formatCode>0_);[Red]\(0\)</c:formatCode>
                <c:ptCount val="93"/>
                <c:pt idx="0">
                  <c:v>36957</c:v>
                </c:pt>
                <c:pt idx="1">
                  <c:v>35424</c:v>
                </c:pt>
                <c:pt idx="2">
                  <c:v>33681</c:v>
                </c:pt>
                <c:pt idx="3">
                  <c:v>35067</c:v>
                </c:pt>
                <c:pt idx="4">
                  <c:v>37290</c:v>
                </c:pt>
                <c:pt idx="5">
                  <c:v>33855</c:v>
                </c:pt>
                <c:pt idx="6">
                  <c:v>35610</c:v>
                </c:pt>
                <c:pt idx="7">
                  <c:v>37680</c:v>
                </c:pt>
                <c:pt idx="8">
                  <c:v>35526</c:v>
                </c:pt>
                <c:pt idx="9">
                  <c:v>35406</c:v>
                </c:pt>
                <c:pt idx="10">
                  <c:v>36954</c:v>
                </c:pt>
                <c:pt idx="11">
                  <c:v>33522</c:v>
                </c:pt>
                <c:pt idx="12">
                  <c:v>35367</c:v>
                </c:pt>
                <c:pt idx="13">
                  <c:v>35589</c:v>
                </c:pt>
                <c:pt idx="14">
                  <c:v>33921</c:v>
                </c:pt>
                <c:pt idx="15">
                  <c:v>33627</c:v>
                </c:pt>
                <c:pt idx="16">
                  <c:v>35115</c:v>
                </c:pt>
                <c:pt idx="17">
                  <c:v>37269</c:v>
                </c:pt>
                <c:pt idx="18">
                  <c:v>34290</c:v>
                </c:pt>
                <c:pt idx="19">
                  <c:v>35418</c:v>
                </c:pt>
                <c:pt idx="20">
                  <c:v>37842</c:v>
                </c:pt>
                <c:pt idx="21">
                  <c:v>36438</c:v>
                </c:pt>
                <c:pt idx="22">
                  <c:v>36426</c:v>
                </c:pt>
                <c:pt idx="23">
                  <c:v>36216</c:v>
                </c:pt>
                <c:pt idx="24">
                  <c:v>34443</c:v>
                </c:pt>
                <c:pt idx="25">
                  <c:v>37743</c:v>
                </c:pt>
                <c:pt idx="26">
                  <c:v>34881</c:v>
                </c:pt>
                <c:pt idx="27">
                  <c:v>35124</c:v>
                </c:pt>
                <c:pt idx="28">
                  <c:v>38793</c:v>
                </c:pt>
                <c:pt idx="29">
                  <c:v>35286</c:v>
                </c:pt>
                <c:pt idx="30">
                  <c:v>36009</c:v>
                </c:pt>
                <c:pt idx="31">
                  <c:v>38004</c:v>
                </c:pt>
                <c:pt idx="32">
                  <c:v>34845</c:v>
                </c:pt>
                <c:pt idx="33">
                  <c:v>36732</c:v>
                </c:pt>
                <c:pt idx="34">
                  <c:v>37731</c:v>
                </c:pt>
                <c:pt idx="35">
                  <c:v>33954</c:v>
                </c:pt>
                <c:pt idx="36">
                  <c:v>35898</c:v>
                </c:pt>
                <c:pt idx="37">
                  <c:v>38619</c:v>
                </c:pt>
                <c:pt idx="38">
                  <c:v>35352</c:v>
                </c:pt>
                <c:pt idx="39">
                  <c:v>33927</c:v>
                </c:pt>
                <c:pt idx="40">
                  <c:v>-106491918</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cat>
            <c:numRef>
              <c:f>'5烧主抽电耗'!$A$3:$A$95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crossAx val="676170736"/>
        <c:crosses val="autoZero"/>
        <c:auto val="1"/>
        <c:lblAlgn val="ctr"/>
        <c:lblOffset val="100"/>
        <c:noMultiLvlLbl val="1"/>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03"/>
          <c:y val="1.2384063447177501E-2"/>
          <c:w val="0.27024999999999999"/>
          <c:h val="4.2500000000000003E-2"/>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298"/>
          <c:y val="2.7864264644937999E-2"/>
        </c:manualLayout>
      </c:layout>
      <c:overlay val="0"/>
      <c:spPr>
        <a:noFill/>
        <a:ln w="3175">
          <a:noFill/>
        </a:ln>
      </c:spPr>
    </c:title>
    <c:autoTitleDeleted val="0"/>
    <c:plotArea>
      <c:layout>
        <c:manualLayout>
          <c:layoutTarget val="inner"/>
          <c:xMode val="edge"/>
          <c:yMode val="edge"/>
          <c:x val="6.4658339456282105E-2"/>
          <c:y val="0.21517044127506499"/>
          <c:w val="0.80675973548861102"/>
          <c:h val="0.5371521087945869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cat>
            <c:numRef>
              <c:f>'6烧主抽电耗'!$A$3:$A$95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cat>
            <c:numRef>
              <c:f>'6烧主抽电耗'!$A$3:$A$95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crossAx val="676177456"/>
        <c:crosses val="autoZero"/>
        <c:auto val="1"/>
        <c:lblAlgn val="ctr"/>
        <c:lblOffset val="100"/>
        <c:noMultiLvlLbl val="1"/>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03"/>
          <c:y val="1.0836075831078399E-2"/>
          <c:w val="0.27875"/>
          <c:h val="4.2500000000000003E-2"/>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01"/>
          <c:y val="2.7864264644937999E-2"/>
        </c:manualLayout>
      </c:layout>
      <c:overlay val="0"/>
      <c:spPr>
        <a:noFill/>
        <a:ln w="3175">
          <a:noFill/>
        </a:ln>
      </c:spPr>
    </c:title>
    <c:autoTitleDeleted val="0"/>
    <c:plotArea>
      <c:layout>
        <c:manualLayout>
          <c:layoutTarget val="inner"/>
          <c:xMode val="edge"/>
          <c:yMode val="edge"/>
          <c:x val="6.4658339456282105E-2"/>
          <c:y val="0.21517044127506499"/>
          <c:w val="0.80675973548861102"/>
          <c:h val="0.59752367145449703"/>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cat>
            <c:numRef>
              <c:f>'6烧主抽电耗'!$A$3:$A$95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cat>
            <c:numRef>
              <c:f>'6烧主抽电耗'!$A$3:$A$95</c:f>
              <c:numCache>
                <c:formatCode>m"月"d"日";@</c:formatCode>
                <c:ptCount val="93"/>
                <c:pt idx="0">
                  <c:v>43344</c:v>
                </c:pt>
                <c:pt idx="1">
                  <c:v>43344</c:v>
                </c:pt>
                <c:pt idx="2">
                  <c:v>43344</c:v>
                </c:pt>
                <c:pt idx="3">
                  <c:v>43345</c:v>
                </c:pt>
                <c:pt idx="4">
                  <c:v>43345</c:v>
                </c:pt>
                <c:pt idx="5">
                  <c:v>43345</c:v>
                </c:pt>
                <c:pt idx="6">
                  <c:v>43346</c:v>
                </c:pt>
                <c:pt idx="7">
                  <c:v>43346</c:v>
                </c:pt>
                <c:pt idx="8">
                  <c:v>43346</c:v>
                </c:pt>
                <c:pt idx="9">
                  <c:v>43347</c:v>
                </c:pt>
                <c:pt idx="10">
                  <c:v>43347</c:v>
                </c:pt>
                <c:pt idx="11">
                  <c:v>43347</c:v>
                </c:pt>
                <c:pt idx="12">
                  <c:v>43348</c:v>
                </c:pt>
                <c:pt idx="13">
                  <c:v>43348</c:v>
                </c:pt>
                <c:pt idx="14">
                  <c:v>43348</c:v>
                </c:pt>
                <c:pt idx="15">
                  <c:v>43349</c:v>
                </c:pt>
                <c:pt idx="16">
                  <c:v>43349</c:v>
                </c:pt>
                <c:pt idx="17">
                  <c:v>43349</c:v>
                </c:pt>
                <c:pt idx="18">
                  <c:v>43350</c:v>
                </c:pt>
                <c:pt idx="19">
                  <c:v>43350</c:v>
                </c:pt>
                <c:pt idx="20">
                  <c:v>43350</c:v>
                </c:pt>
                <c:pt idx="21">
                  <c:v>43351</c:v>
                </c:pt>
                <c:pt idx="22">
                  <c:v>43351</c:v>
                </c:pt>
                <c:pt idx="23">
                  <c:v>43351</c:v>
                </c:pt>
                <c:pt idx="24">
                  <c:v>43352</c:v>
                </c:pt>
                <c:pt idx="25">
                  <c:v>43352</c:v>
                </c:pt>
                <c:pt idx="26">
                  <c:v>43352</c:v>
                </c:pt>
                <c:pt idx="27">
                  <c:v>43353</c:v>
                </c:pt>
                <c:pt idx="28">
                  <c:v>43353</c:v>
                </c:pt>
                <c:pt idx="29">
                  <c:v>43353</c:v>
                </c:pt>
                <c:pt idx="30">
                  <c:v>43354</c:v>
                </c:pt>
                <c:pt idx="31">
                  <c:v>43354</c:v>
                </c:pt>
                <c:pt idx="32">
                  <c:v>43354</c:v>
                </c:pt>
                <c:pt idx="33">
                  <c:v>43355</c:v>
                </c:pt>
                <c:pt idx="34">
                  <c:v>43355</c:v>
                </c:pt>
                <c:pt idx="35">
                  <c:v>43355</c:v>
                </c:pt>
                <c:pt idx="36">
                  <c:v>43356</c:v>
                </c:pt>
                <c:pt idx="37">
                  <c:v>43356</c:v>
                </c:pt>
                <c:pt idx="38">
                  <c:v>43356</c:v>
                </c:pt>
                <c:pt idx="39">
                  <c:v>43357</c:v>
                </c:pt>
                <c:pt idx="40">
                  <c:v>43357</c:v>
                </c:pt>
                <c:pt idx="41">
                  <c:v>43357</c:v>
                </c:pt>
                <c:pt idx="42">
                  <c:v>43358</c:v>
                </c:pt>
                <c:pt idx="43">
                  <c:v>43358</c:v>
                </c:pt>
                <c:pt idx="44">
                  <c:v>43358</c:v>
                </c:pt>
                <c:pt idx="45">
                  <c:v>43359</c:v>
                </c:pt>
                <c:pt idx="46">
                  <c:v>43359</c:v>
                </c:pt>
                <c:pt idx="47">
                  <c:v>43359</c:v>
                </c:pt>
                <c:pt idx="48">
                  <c:v>43360</c:v>
                </c:pt>
                <c:pt idx="49">
                  <c:v>43360</c:v>
                </c:pt>
                <c:pt idx="50">
                  <c:v>43360</c:v>
                </c:pt>
                <c:pt idx="51">
                  <c:v>43361</c:v>
                </c:pt>
                <c:pt idx="52">
                  <c:v>43361</c:v>
                </c:pt>
                <c:pt idx="53">
                  <c:v>43361</c:v>
                </c:pt>
                <c:pt idx="54">
                  <c:v>43362</c:v>
                </c:pt>
                <c:pt idx="55">
                  <c:v>43362</c:v>
                </c:pt>
                <c:pt idx="56">
                  <c:v>43362</c:v>
                </c:pt>
                <c:pt idx="57">
                  <c:v>43363</c:v>
                </c:pt>
                <c:pt idx="58">
                  <c:v>43363</c:v>
                </c:pt>
                <c:pt idx="59">
                  <c:v>43363</c:v>
                </c:pt>
                <c:pt idx="60">
                  <c:v>43364</c:v>
                </c:pt>
                <c:pt idx="61">
                  <c:v>43364</c:v>
                </c:pt>
                <c:pt idx="62">
                  <c:v>43364</c:v>
                </c:pt>
                <c:pt idx="63">
                  <c:v>43365</c:v>
                </c:pt>
                <c:pt idx="64">
                  <c:v>43365</c:v>
                </c:pt>
                <c:pt idx="65">
                  <c:v>43365</c:v>
                </c:pt>
                <c:pt idx="66">
                  <c:v>43366</c:v>
                </c:pt>
                <c:pt idx="67">
                  <c:v>43366</c:v>
                </c:pt>
                <c:pt idx="68">
                  <c:v>43366</c:v>
                </c:pt>
                <c:pt idx="69">
                  <c:v>43367</c:v>
                </c:pt>
                <c:pt idx="70">
                  <c:v>43367</c:v>
                </c:pt>
                <c:pt idx="71">
                  <c:v>43367</c:v>
                </c:pt>
                <c:pt idx="72">
                  <c:v>43368</c:v>
                </c:pt>
                <c:pt idx="73">
                  <c:v>43368</c:v>
                </c:pt>
                <c:pt idx="74">
                  <c:v>43368</c:v>
                </c:pt>
                <c:pt idx="75">
                  <c:v>43369</c:v>
                </c:pt>
                <c:pt idx="76">
                  <c:v>43369</c:v>
                </c:pt>
                <c:pt idx="77">
                  <c:v>43369</c:v>
                </c:pt>
                <c:pt idx="78">
                  <c:v>43370</c:v>
                </c:pt>
                <c:pt idx="79">
                  <c:v>43370</c:v>
                </c:pt>
                <c:pt idx="80">
                  <c:v>43370</c:v>
                </c:pt>
                <c:pt idx="81">
                  <c:v>43371</c:v>
                </c:pt>
                <c:pt idx="82">
                  <c:v>43371</c:v>
                </c:pt>
                <c:pt idx="83">
                  <c:v>43371</c:v>
                </c:pt>
                <c:pt idx="84">
                  <c:v>43372</c:v>
                </c:pt>
                <c:pt idx="85">
                  <c:v>43372</c:v>
                </c:pt>
                <c:pt idx="86">
                  <c:v>43372</c:v>
                </c:pt>
                <c:pt idx="87">
                  <c:v>43373</c:v>
                </c:pt>
                <c:pt idx="88">
                  <c:v>43373</c:v>
                </c:pt>
                <c:pt idx="89">
                  <c:v>43373</c:v>
                </c:pt>
                <c:pt idx="90">
                  <c:v>43374</c:v>
                </c:pt>
                <c:pt idx="91">
                  <c:v>43374</c:v>
                </c:pt>
                <c:pt idx="92">
                  <c:v>43374</c:v>
                </c:pt>
              </c:numCache>
            </c:num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crossAx val="676225760"/>
        <c:crosses val="autoZero"/>
        <c:auto val="1"/>
        <c:lblAlgn val="ctr"/>
        <c:lblOffset val="100"/>
        <c:noMultiLvlLbl val="1"/>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05"/>
          <c:y val="1.2384063447177501E-2"/>
          <c:w val="0.28025"/>
          <c:h val="4.2500000000000003E-2"/>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01"/>
          <c:y val="2.7972578602499899E-2"/>
        </c:manualLayout>
      </c:layout>
      <c:overlay val="0"/>
      <c:spPr>
        <a:noFill/>
        <a:ln w="3175">
          <a:noFill/>
        </a:ln>
      </c:spPr>
    </c:title>
    <c:autoTitleDeleted val="0"/>
    <c:plotArea>
      <c:layout>
        <c:manualLayout>
          <c:layoutTarget val="inner"/>
          <c:xMode val="edge"/>
          <c:yMode val="edge"/>
          <c:x val="6.2944751762169807E-2"/>
          <c:y val="0.34965034965035002"/>
          <c:w val="0.84893313028804596"/>
          <c:h val="0.393356643356643"/>
        </c:manualLayout>
      </c:layout>
      <c:lineChart>
        <c:grouping val="standard"/>
        <c:varyColors val="0"/>
        <c:ser>
          <c:idx val="0"/>
          <c:order val="0"/>
          <c:tx>
            <c:v>5烧用电量</c:v>
          </c:tx>
          <c:spPr>
            <a:ln w="25400" cap="rnd" cmpd="sng" algn="ctr">
              <a:solidFill>
                <a:srgbClr val="666699">
                  <a:alpha val="100000"/>
                </a:srgbClr>
              </a:solidFill>
              <a:prstDash val="solid"/>
              <a:round/>
            </a:ln>
            <a:effectLst/>
          </c:spPr>
          <c:marker>
            <c:symbol val="none"/>
          </c:marker>
          <c:cat>
            <c:numRef>
              <c:f>日报!$A$3:$A$33</c:f>
              <c:numCache>
                <c:formatCode>m"月"d"日"</c:formatCode>
                <c:ptCount val="31"/>
                <c:pt idx="0">
                  <c:v>43344</c:v>
                </c:pt>
                <c:pt idx="1">
                  <c:v>43345</c:v>
                </c:pt>
                <c:pt idx="2">
                  <c:v>43346</c:v>
                </c:pt>
                <c:pt idx="3">
                  <c:v>43347</c:v>
                </c:pt>
                <c:pt idx="4">
                  <c:v>43348</c:v>
                </c:pt>
                <c:pt idx="5">
                  <c:v>43349</c:v>
                </c:pt>
                <c:pt idx="6">
                  <c:v>43350</c:v>
                </c:pt>
                <c:pt idx="7">
                  <c:v>43351</c:v>
                </c:pt>
                <c:pt idx="8">
                  <c:v>43352</c:v>
                </c:pt>
                <c:pt idx="9">
                  <c:v>43353</c:v>
                </c:pt>
                <c:pt idx="10">
                  <c:v>43354</c:v>
                </c:pt>
                <c:pt idx="11">
                  <c:v>43355</c:v>
                </c:pt>
                <c:pt idx="12">
                  <c:v>43356</c:v>
                </c:pt>
                <c:pt idx="13">
                  <c:v>43357</c:v>
                </c:pt>
                <c:pt idx="14">
                  <c:v>43358</c:v>
                </c:pt>
                <c:pt idx="15">
                  <c:v>43359</c:v>
                </c:pt>
                <c:pt idx="16">
                  <c:v>43360</c:v>
                </c:pt>
                <c:pt idx="17">
                  <c:v>43361</c:v>
                </c:pt>
                <c:pt idx="18">
                  <c:v>43362</c:v>
                </c:pt>
                <c:pt idx="19">
                  <c:v>43363</c:v>
                </c:pt>
                <c:pt idx="20">
                  <c:v>43364</c:v>
                </c:pt>
                <c:pt idx="21">
                  <c:v>43365</c:v>
                </c:pt>
                <c:pt idx="22">
                  <c:v>43366</c:v>
                </c:pt>
                <c:pt idx="23">
                  <c:v>43367</c:v>
                </c:pt>
                <c:pt idx="24">
                  <c:v>43368</c:v>
                </c:pt>
                <c:pt idx="25">
                  <c:v>43369</c:v>
                </c:pt>
                <c:pt idx="26">
                  <c:v>43370</c:v>
                </c:pt>
                <c:pt idx="27">
                  <c:v>43371</c:v>
                </c:pt>
                <c:pt idx="28">
                  <c:v>43372</c:v>
                </c:pt>
                <c:pt idx="29">
                  <c:v>43373</c:v>
                </c:pt>
                <c:pt idx="30">
                  <c:v>43374</c:v>
                </c:pt>
              </c:numCache>
            </c:numRef>
          </c:cat>
          <c:val>
            <c:numRef>
              <c:f>日报!$D$3:$D$33</c:f>
              <c:numCache>
                <c:formatCode>0_);[Red]\(0\)</c:formatCode>
                <c:ptCount val="31"/>
                <c:pt idx="0">
                  <c:v>226884</c:v>
                </c:pt>
                <c:pt idx="1">
                  <c:v>230463</c:v>
                </c:pt>
                <c:pt idx="2">
                  <c:v>236598</c:v>
                </c:pt>
                <c:pt idx="3">
                  <c:v>227934</c:v>
                </c:pt>
                <c:pt idx="4">
                  <c:v>225879</c:v>
                </c:pt>
                <c:pt idx="5">
                  <c:v>229467</c:v>
                </c:pt>
                <c:pt idx="6">
                  <c:v>229968</c:v>
                </c:pt>
                <c:pt idx="7">
                  <c:v>231951</c:v>
                </c:pt>
                <c:pt idx="8">
                  <c:v>229677</c:v>
                </c:pt>
                <c:pt idx="9">
                  <c:v>236457</c:v>
                </c:pt>
                <c:pt idx="10">
                  <c:v>234837</c:v>
                </c:pt>
                <c:pt idx="11">
                  <c:v>232584</c:v>
                </c:pt>
                <c:pt idx="12">
                  <c:v>237159</c:v>
                </c:pt>
                <c:pt idx="13">
                  <c:v>-238703025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v>6烧用电量</c:v>
          </c:tx>
          <c:spPr>
            <a:ln w="25400" cap="rnd" cmpd="sng" algn="ctr">
              <a:solidFill>
                <a:srgbClr val="993366">
                  <a:alpha val="100000"/>
                </a:srgbClr>
              </a:solidFill>
              <a:prstDash val="solid"/>
              <a:round/>
            </a:ln>
            <a:effectLst/>
          </c:spPr>
          <c:marker>
            <c:symbol val="none"/>
          </c:marker>
          <c:cat>
            <c:numRef>
              <c:f>日报!$A$3:$A$33</c:f>
              <c:numCache>
                <c:formatCode>m"月"d"日"</c:formatCode>
                <c:ptCount val="31"/>
                <c:pt idx="0">
                  <c:v>43344</c:v>
                </c:pt>
                <c:pt idx="1">
                  <c:v>43345</c:v>
                </c:pt>
                <c:pt idx="2">
                  <c:v>43346</c:v>
                </c:pt>
                <c:pt idx="3">
                  <c:v>43347</c:v>
                </c:pt>
                <c:pt idx="4">
                  <c:v>43348</c:v>
                </c:pt>
                <c:pt idx="5">
                  <c:v>43349</c:v>
                </c:pt>
                <c:pt idx="6">
                  <c:v>43350</c:v>
                </c:pt>
                <c:pt idx="7">
                  <c:v>43351</c:v>
                </c:pt>
                <c:pt idx="8">
                  <c:v>43352</c:v>
                </c:pt>
                <c:pt idx="9">
                  <c:v>43353</c:v>
                </c:pt>
                <c:pt idx="10">
                  <c:v>43354</c:v>
                </c:pt>
                <c:pt idx="11">
                  <c:v>43355</c:v>
                </c:pt>
                <c:pt idx="12">
                  <c:v>43356</c:v>
                </c:pt>
                <c:pt idx="13">
                  <c:v>43357</c:v>
                </c:pt>
                <c:pt idx="14">
                  <c:v>43358</c:v>
                </c:pt>
                <c:pt idx="15">
                  <c:v>43359</c:v>
                </c:pt>
                <c:pt idx="16">
                  <c:v>43360</c:v>
                </c:pt>
                <c:pt idx="17">
                  <c:v>43361</c:v>
                </c:pt>
                <c:pt idx="18">
                  <c:v>43362</c:v>
                </c:pt>
                <c:pt idx="19">
                  <c:v>43363</c:v>
                </c:pt>
                <c:pt idx="20">
                  <c:v>43364</c:v>
                </c:pt>
                <c:pt idx="21">
                  <c:v>43365</c:v>
                </c:pt>
                <c:pt idx="22">
                  <c:v>43366</c:v>
                </c:pt>
                <c:pt idx="23">
                  <c:v>43367</c:v>
                </c:pt>
                <c:pt idx="24">
                  <c:v>43368</c:v>
                </c:pt>
                <c:pt idx="25">
                  <c:v>43369</c:v>
                </c:pt>
                <c:pt idx="26">
                  <c:v>43370</c:v>
                </c:pt>
                <c:pt idx="27">
                  <c:v>43371</c:v>
                </c:pt>
                <c:pt idx="28">
                  <c:v>43372</c:v>
                </c:pt>
                <c:pt idx="29">
                  <c:v>43373</c:v>
                </c:pt>
                <c:pt idx="30">
                  <c:v>43374</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229680"/>
        <c:crosses val="autoZero"/>
        <c:auto val="1"/>
        <c:lblOffset val="100"/>
        <c:baseTimeUnit val="days"/>
        <c:majorUnit val="1"/>
        <c:majorTimeUnit val="days"/>
        <c:minorUnit val="1"/>
        <c:minor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02"/>
          <c:y val="0.125876511939504"/>
          <c:w val="0.34225"/>
          <c:h val="9.7750000000000004E-2"/>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485775</xdr:colOff>
      <xdr:row>98</xdr:row>
      <xdr:rowOff>66040</xdr:rowOff>
    </xdr:from>
    <xdr:to>
      <xdr:col>21</xdr:col>
      <xdr:colOff>218440</xdr:colOff>
      <xdr:row>122</xdr:row>
      <xdr:rowOff>46990</xdr:rowOff>
    </xdr:to>
    <xdr:graphicFrame macro="">
      <xdr:nvGraphicFramePr>
        <xdr:cNvPr id="2230020"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macro="">
      <xdr:nvGraphicFramePr>
        <xdr:cNvPr id="2230021"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97</xdr:row>
      <xdr:rowOff>0</xdr:rowOff>
    </xdr:from>
    <xdr:to>
      <xdr:col>18</xdr:col>
      <xdr:colOff>19050</xdr:colOff>
      <xdr:row>120</xdr:row>
      <xdr:rowOff>238125</xdr:rowOff>
    </xdr:to>
    <xdr:graphicFrame macro="">
      <xdr:nvGraphicFramePr>
        <xdr:cNvPr id="2231044"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macro="">
      <xdr:nvGraphicFramePr>
        <xdr:cNvPr id="2231045"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237490</xdr:colOff>
      <xdr:row>38</xdr:row>
      <xdr:rowOff>161925</xdr:rowOff>
    </xdr:from>
    <xdr:to>
      <xdr:col>25</xdr:col>
      <xdr:colOff>762000</xdr:colOff>
      <xdr:row>69</xdr:row>
      <xdr:rowOff>0</xdr:rowOff>
    </xdr:to>
    <xdr:graphicFrame macro="">
      <xdr:nvGraphicFramePr>
        <xdr:cNvPr id="215232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5"/>
  <sheetViews>
    <sheetView workbookViewId="0">
      <pane xSplit="3" ySplit="4" topLeftCell="AH5" activePane="bottomRight" state="frozen"/>
      <selection pane="topRight"/>
      <selection pane="bottomLeft"/>
      <selection pane="bottomRight" activeCell="AR8" sqref="AR8"/>
    </sheetView>
  </sheetViews>
  <sheetFormatPr defaultColWidth="9" defaultRowHeight="15.75"/>
  <cols>
    <col min="1" max="1" width="4.625" style="213" customWidth="1"/>
    <col min="2" max="2" width="6.625" style="213" customWidth="1"/>
    <col min="3" max="3" width="4.625" style="213" customWidth="1"/>
    <col min="4" max="4" width="7.375" style="213" customWidth="1"/>
    <col min="5" max="5" width="20.5" style="259" customWidth="1"/>
    <col min="6" max="6" width="14.75" style="260" customWidth="1"/>
    <col min="7" max="7" width="13.25" style="260" customWidth="1"/>
    <col min="8" max="8" width="13.625" style="260" customWidth="1"/>
    <col min="9" max="9" width="12.125" style="260" customWidth="1"/>
    <col min="10" max="10" width="10.125" style="260" customWidth="1"/>
    <col min="11" max="11" width="15" style="261" customWidth="1"/>
    <col min="12" max="12" width="13.625" style="261" customWidth="1"/>
    <col min="13" max="13" width="17.25" style="261" customWidth="1"/>
    <col min="14" max="14" width="19" style="261" customWidth="1"/>
    <col min="15" max="16" width="8.125" style="262" customWidth="1"/>
    <col min="17" max="17" width="10.25" style="260" customWidth="1"/>
    <col min="18" max="18" width="29.375" style="260" customWidth="1"/>
    <col min="19" max="19" width="5.5" style="263" customWidth="1"/>
    <col min="20" max="20" width="10.625" style="259" customWidth="1"/>
    <col min="21" max="21" width="8.625" style="261" customWidth="1"/>
    <col min="22" max="22" width="9.375"/>
    <col min="26" max="26" width="12" style="261" customWidth="1"/>
    <col min="27" max="27" width="9.875" style="261" customWidth="1"/>
    <col min="28" max="28" width="10.5" style="261" customWidth="1"/>
    <col min="29" max="29" width="15.375" style="261" customWidth="1"/>
    <col min="30" max="31" width="7.25" style="262" customWidth="1"/>
    <col min="32" max="32" width="7.25" style="261" customWidth="1"/>
    <col min="33" max="33" width="44.875" style="264" customWidth="1"/>
    <col min="34" max="34" width="7.875" style="265" customWidth="1"/>
    <col min="35" max="35" width="11.5" style="213"/>
    <col min="36" max="36" width="8.125" style="213" customWidth="1"/>
    <col min="37" max="37" width="7.5" style="213" customWidth="1"/>
    <col min="38" max="38" width="9.75" style="213" customWidth="1"/>
    <col min="39" max="39" width="8.125" style="213"/>
    <col min="40" max="40" width="11.5" style="213"/>
    <col min="41" max="45" width="8.375" style="213"/>
    <col min="46" max="46" width="11.625" style="213" customWidth="1"/>
    <col min="47" max="47" width="9.875" style="213" customWidth="1"/>
    <col min="48" max="16384" width="9" style="213"/>
  </cols>
  <sheetData>
    <row r="1" spans="1:48" ht="33.75" customHeight="1">
      <c r="A1" s="266"/>
      <c r="B1" s="267" t="s">
        <v>0</v>
      </c>
      <c r="C1" s="268"/>
      <c r="D1" s="268"/>
      <c r="E1" s="350" t="s">
        <v>1</v>
      </c>
      <c r="F1" s="350"/>
      <c r="G1" s="350"/>
      <c r="H1" s="350"/>
      <c r="I1" s="350"/>
      <c r="J1" s="350"/>
      <c r="K1" s="350"/>
      <c r="L1" s="350"/>
      <c r="M1" s="350"/>
      <c r="N1" s="350"/>
      <c r="O1" s="350"/>
      <c r="P1" s="350"/>
      <c r="Q1" s="350"/>
      <c r="R1" s="350"/>
      <c r="S1" s="288"/>
      <c r="T1" s="351" t="s">
        <v>2</v>
      </c>
      <c r="U1" s="352"/>
      <c r="V1" s="352"/>
      <c r="W1" s="352"/>
      <c r="X1" s="352"/>
      <c r="Y1" s="352"/>
      <c r="Z1" s="352"/>
      <c r="AA1" s="352"/>
      <c r="AB1" s="352"/>
      <c r="AC1" s="352"/>
      <c r="AD1" s="352"/>
      <c r="AE1" s="352"/>
      <c r="AF1" s="352"/>
      <c r="AG1" s="353"/>
      <c r="AH1" s="309"/>
      <c r="AI1" s="309"/>
      <c r="AJ1" s="309"/>
      <c r="AK1" s="309"/>
      <c r="AL1" s="309"/>
      <c r="AM1" s="309"/>
      <c r="AN1" s="309"/>
      <c r="AO1" s="309"/>
      <c r="AP1" s="309"/>
      <c r="AQ1" s="309"/>
      <c r="AR1" s="309"/>
      <c r="AS1" s="309"/>
    </row>
    <row r="2" spans="1:48" ht="33.75" customHeight="1">
      <c r="A2" s="266" t="s">
        <v>3</v>
      </c>
      <c r="B2" s="267"/>
      <c r="C2" s="268"/>
      <c r="D2" s="268"/>
      <c r="E2" s="269"/>
      <c r="F2" s="269"/>
      <c r="G2" s="269"/>
      <c r="H2" s="269"/>
      <c r="I2" s="269"/>
      <c r="J2" s="269"/>
      <c r="K2" s="269"/>
      <c r="L2" s="269"/>
      <c r="M2" s="278"/>
      <c r="N2" s="279"/>
      <c r="O2" s="278"/>
      <c r="P2" s="279"/>
      <c r="Q2" s="269"/>
      <c r="R2" s="278"/>
      <c r="S2" s="288"/>
      <c r="T2" s="289"/>
      <c r="U2" s="289"/>
      <c r="V2" s="289"/>
      <c r="W2" s="289"/>
      <c r="X2" s="289"/>
      <c r="Y2" s="289"/>
      <c r="Z2" s="289"/>
      <c r="AA2" s="289"/>
      <c r="AB2" s="289"/>
      <c r="AC2" s="289"/>
      <c r="AD2" s="289"/>
      <c r="AE2" s="289"/>
      <c r="AF2" s="289"/>
      <c r="AG2" s="308"/>
      <c r="AH2" s="309"/>
      <c r="AI2" s="309"/>
      <c r="AJ2" s="309"/>
      <c r="AK2" s="309"/>
      <c r="AL2" s="309"/>
      <c r="AM2" s="309"/>
      <c r="AN2" s="309"/>
      <c r="AO2" s="309"/>
      <c r="AP2" s="309"/>
      <c r="AQ2" s="309"/>
      <c r="AR2" s="309"/>
      <c r="AS2" s="309"/>
    </row>
    <row r="3" spans="1:48" ht="24" customHeight="1">
      <c r="A3" s="270"/>
      <c r="B3" s="271">
        <v>43344</v>
      </c>
      <c r="C3" s="272"/>
      <c r="D3" s="272"/>
      <c r="E3" s="354" t="s">
        <v>4</v>
      </c>
      <c r="F3" s="354"/>
      <c r="G3" s="354" t="s">
        <v>5</v>
      </c>
      <c r="H3" s="354"/>
      <c r="I3" s="354" t="s">
        <v>6</v>
      </c>
      <c r="J3" s="354"/>
      <c r="K3" s="354" t="s">
        <v>7</v>
      </c>
      <c r="L3" s="354"/>
      <c r="M3" s="355" t="s">
        <v>8</v>
      </c>
      <c r="N3" s="356"/>
      <c r="O3" s="357" t="s">
        <v>9</v>
      </c>
      <c r="P3" s="358"/>
      <c r="Q3" s="216"/>
      <c r="R3" s="280"/>
      <c r="S3" s="290"/>
      <c r="T3" s="291" t="s">
        <v>4</v>
      </c>
      <c r="U3" s="291"/>
      <c r="V3" s="354" t="s">
        <v>5</v>
      </c>
      <c r="W3" s="354"/>
      <c r="X3" s="354" t="s">
        <v>6</v>
      </c>
      <c r="Y3" s="354"/>
      <c r="Z3" s="302" t="s">
        <v>7</v>
      </c>
      <c r="AA3" s="303"/>
      <c r="AB3" s="302" t="s">
        <v>8</v>
      </c>
      <c r="AC3" s="304"/>
      <c r="AD3" s="357" t="s">
        <v>9</v>
      </c>
      <c r="AE3" s="358"/>
      <c r="AF3" s="304"/>
      <c r="AG3" s="310"/>
      <c r="AH3" s="359" t="s">
        <v>10</v>
      </c>
      <c r="AI3" s="359"/>
      <c r="AJ3" s="359"/>
      <c r="AK3" s="359"/>
      <c r="AL3" s="359"/>
      <c r="AM3" s="359"/>
      <c r="AN3" s="359" t="s">
        <v>11</v>
      </c>
      <c r="AO3" s="359"/>
      <c r="AP3" s="359"/>
      <c r="AQ3" s="359"/>
      <c r="AR3" s="359"/>
      <c r="AS3" s="359"/>
      <c r="AT3" s="317"/>
    </row>
    <row r="4" spans="1:48" ht="29.25" customHeight="1">
      <c r="A4" s="273" t="s">
        <v>12</v>
      </c>
      <c r="B4" s="273" t="s">
        <v>13</v>
      </c>
      <c r="C4" s="274" t="s">
        <v>14</v>
      </c>
      <c r="D4" s="275" t="s">
        <v>15</v>
      </c>
      <c r="E4" s="217" t="s">
        <v>16</v>
      </c>
      <c r="F4" s="217" t="s">
        <v>17</v>
      </c>
      <c r="G4" s="217" t="s">
        <v>16</v>
      </c>
      <c r="H4" s="217" t="s">
        <v>17</v>
      </c>
      <c r="I4" s="217" t="s">
        <v>16</v>
      </c>
      <c r="J4" s="217" t="s">
        <v>17</v>
      </c>
      <c r="K4" s="217" t="s">
        <v>16</v>
      </c>
      <c r="L4" s="217" t="s">
        <v>17</v>
      </c>
      <c r="M4" s="18" t="s">
        <v>16</v>
      </c>
      <c r="N4" s="18" t="s">
        <v>17</v>
      </c>
      <c r="O4" s="281" t="s">
        <v>16</v>
      </c>
      <c r="P4" s="281" t="s">
        <v>17</v>
      </c>
      <c r="Q4" s="217" t="s">
        <v>18</v>
      </c>
      <c r="R4" s="292" t="s">
        <v>19</v>
      </c>
      <c r="S4" s="293"/>
      <c r="T4" s="294" t="s">
        <v>20</v>
      </c>
      <c r="U4" s="295" t="s">
        <v>21</v>
      </c>
      <c r="V4" s="217" t="s">
        <v>20</v>
      </c>
      <c r="W4" s="217" t="s">
        <v>21</v>
      </c>
      <c r="X4" s="217" t="s">
        <v>20</v>
      </c>
      <c r="Y4" s="217" t="s">
        <v>21</v>
      </c>
      <c r="Z4" s="295" t="s">
        <v>20</v>
      </c>
      <c r="AA4" s="295" t="s">
        <v>21</v>
      </c>
      <c r="AB4" s="305" t="s">
        <v>20</v>
      </c>
      <c r="AC4" s="305" t="s">
        <v>21</v>
      </c>
      <c r="AD4" s="306" t="s">
        <v>20</v>
      </c>
      <c r="AE4" s="306" t="s">
        <v>21</v>
      </c>
      <c r="AF4" s="307" t="s">
        <v>18</v>
      </c>
      <c r="AG4" s="311" t="s">
        <v>19</v>
      </c>
      <c r="AH4" s="295" t="s">
        <v>16</v>
      </c>
      <c r="AI4" s="295" t="s">
        <v>17</v>
      </c>
      <c r="AJ4" s="312" t="s">
        <v>22</v>
      </c>
      <c r="AK4" s="295" t="s">
        <v>20</v>
      </c>
      <c r="AL4" s="295" t="s">
        <v>21</v>
      </c>
      <c r="AM4" s="312" t="s">
        <v>23</v>
      </c>
      <c r="AN4" s="295" t="s">
        <v>16</v>
      </c>
      <c r="AO4" s="295" t="s">
        <v>17</v>
      </c>
      <c r="AP4" s="312" t="s">
        <v>22</v>
      </c>
      <c r="AQ4" s="295" t="s">
        <v>20</v>
      </c>
      <c r="AR4" s="295" t="s">
        <v>21</v>
      </c>
      <c r="AS4" s="312" t="s">
        <v>23</v>
      </c>
      <c r="AT4" s="318"/>
    </row>
    <row r="5" spans="1:48" ht="15.75" customHeight="1">
      <c r="A5" s="360">
        <v>1</v>
      </c>
      <c r="B5" s="222" t="s">
        <v>37</v>
      </c>
      <c r="C5" s="276" t="str">
        <f>'6烧主抽电耗'!F3</f>
        <v>乙班</v>
      </c>
      <c r="D5" s="277">
        <v>0</v>
      </c>
      <c r="E5" s="239">
        <v>43544360</v>
      </c>
      <c r="F5" s="239">
        <v>35020029</v>
      </c>
      <c r="G5" s="239" t="str">
        <f>IF(_zhuchou5_month_day!E2="","",_zhuchou5_month_day!E2)</f>
        <v/>
      </c>
      <c r="H5" s="239" t="str">
        <f>IF(_zhuchou5_month_day!F2="","",_zhuchou5_month_day!F2)</f>
        <v/>
      </c>
      <c r="I5" s="239">
        <v>0.94</v>
      </c>
      <c r="J5" s="239">
        <v>0.94</v>
      </c>
      <c r="K5" s="239" t="str">
        <f>IF(_zhuchou5_month_day!G2="","",_zhuchou5_month_day!G2)</f>
        <v/>
      </c>
      <c r="L5" s="239" t="str">
        <f>IF(_zhuchou5_month_day!H2="","",_zhuchou5_month_day!H2)</f>
        <v/>
      </c>
      <c r="M5" s="239" t="str">
        <f>IF(_zhuchou5_month_day!I2="","",_zhuchou5_month_day!I2)</f>
        <v/>
      </c>
      <c r="N5" s="227" t="str">
        <f>IF(_zhuchou5_month_day!J2="","",_zhuchou5_month_day!J2)</f>
        <v/>
      </c>
      <c r="O5" s="282"/>
      <c r="P5" s="282"/>
      <c r="Q5" s="225" t="s">
        <v>38</v>
      </c>
      <c r="R5" s="296"/>
      <c r="S5" s="297"/>
      <c r="T5" s="235"/>
      <c r="U5" s="236"/>
      <c r="V5" s="229" t="str">
        <f>IF(_zhuchou6_month_day!A2="","",_zhuchou6_month_day!A2)</f>
        <v/>
      </c>
      <c r="W5" s="229" t="str">
        <f>IF(_zhuchou6_month_day!B2="","",_zhuchou6_month_day!B2)</f>
        <v/>
      </c>
      <c r="X5" s="229"/>
      <c r="Y5" s="229"/>
      <c r="Z5" s="236" t="str">
        <f>IF(_zhuchou6_month_day!C2="","",_zhuchou6_month_dayC2)</f>
        <v/>
      </c>
      <c r="AA5" s="236" t="str">
        <f>IF(_zhuchou6_month_day!D2="","",_zhuchou6_month_dayC2)</f>
        <v/>
      </c>
      <c r="AB5" s="236" t="str">
        <f>IF(_zhuchou6_month_day!E2="","",_zhuchou6_month_dayC2)</f>
        <v/>
      </c>
      <c r="AC5" s="229" t="str">
        <f>IF(_zhuchou6_month_day!F2="","",_zhuchou6_month_dayC2)</f>
        <v/>
      </c>
      <c r="AD5" s="283"/>
      <c r="AE5" s="283"/>
      <c r="AF5" s="229"/>
      <c r="AG5" s="313"/>
      <c r="AH5" s="142">
        <f>(E6-E5)*3</f>
        <v>42534</v>
      </c>
      <c r="AI5" s="314">
        <f>(F6-F5)*3</f>
        <v>36957</v>
      </c>
      <c r="AJ5" s="314">
        <f>AH5+AI5</f>
        <v>79491</v>
      </c>
      <c r="AK5" s="314">
        <f t="shared" ref="AK5:AK19" si="0">(T6-T5)*3</f>
        <v>0</v>
      </c>
      <c r="AL5" s="314">
        <f t="shared" ref="AL5:AL19" si="1">(U6-U5)*3</f>
        <v>0</v>
      </c>
      <c r="AM5" s="314">
        <f>AK5+AL5</f>
        <v>0</v>
      </c>
      <c r="AN5" s="314" t="e">
        <f>G5*10000*(8-O5)*1.732*I5/1000</f>
        <v>#VALUE!</v>
      </c>
      <c r="AO5" s="314" t="e">
        <f>H5*10000*(8-P5)*1.732*J5/1000</f>
        <v>#VALUE!</v>
      </c>
      <c r="AP5" s="314" t="e">
        <f>AN5+AO5</f>
        <v>#VALUE!</v>
      </c>
      <c r="AQ5" s="314" t="e">
        <f t="shared" ref="AQ5:AQ11" si="2">V5*10000*(8-$AD5)*1.732*X5/1000</f>
        <v>#VALUE!</v>
      </c>
      <c r="AR5" s="314" t="e">
        <f t="shared" ref="AR5:AR11" si="3">W5*10000*(8-$AD5)*1.732*Y5/1000</f>
        <v>#VALUE!</v>
      </c>
      <c r="AS5" s="314" t="e">
        <f>AQ5+AR5</f>
        <v>#VALUE!</v>
      </c>
      <c r="AT5" s="319">
        <f>A5</f>
        <v>1</v>
      </c>
      <c r="AU5" s="320">
        <f>'5烧主抽电耗'!$A$3+AT5-1</f>
        <v>43344</v>
      </c>
      <c r="AV5" s="213" t="str">
        <f>C5</f>
        <v>乙班</v>
      </c>
    </row>
    <row r="6" spans="1:48">
      <c r="A6" s="360"/>
      <c r="B6" s="222" t="s">
        <v>39</v>
      </c>
      <c r="C6" s="276" t="str">
        <f>'6烧主抽电耗'!F4</f>
        <v>丙班</v>
      </c>
      <c r="D6" s="277">
        <v>0.33333333333333298</v>
      </c>
      <c r="E6" s="227">
        <v>43558538</v>
      </c>
      <c r="F6" s="227">
        <v>35032348</v>
      </c>
      <c r="G6" s="227" t="str">
        <f>IF(_zhuchou5_month_day!E3="","",_zhuchou5_month_day!E3)</f>
        <v/>
      </c>
      <c r="H6" s="227" t="str">
        <f>IF(_zhuchou5_month_day!F3="","",_zhuchou5_month_day!F3)</f>
        <v/>
      </c>
      <c r="I6" s="239">
        <v>0.94</v>
      </c>
      <c r="J6" s="239">
        <v>0.94</v>
      </c>
      <c r="K6" s="239" t="str">
        <f>IF(_zhuchou5_month_day!G3="","",_zhuchou5_month_day!G3)</f>
        <v/>
      </c>
      <c r="L6" s="239" t="str">
        <f>IF(_zhuchou5_month_day!H3="","",_zhuchou5_month_day!H3)</f>
        <v/>
      </c>
      <c r="M6" s="227" t="str">
        <f>IF(_zhuchou5_month_day!I3="","",_zhuchou5_month_day!I3)</f>
        <v/>
      </c>
      <c r="N6" s="225" t="str">
        <f>IF(_zhuchou5_month_day!J3="","",_zhuchou5_month_day!J3)</f>
        <v/>
      </c>
      <c r="O6" s="282"/>
      <c r="P6" s="282"/>
      <c r="Q6" s="227" t="s">
        <v>40</v>
      </c>
      <c r="R6" s="298"/>
      <c r="S6" s="299"/>
      <c r="T6" s="229"/>
      <c r="U6" s="229"/>
      <c r="V6" s="229" t="str">
        <f>IF(_zhuchou6_month_day!A3="","",_zhuchou6_month_day!A3)</f>
        <v/>
      </c>
      <c r="W6" s="229" t="str">
        <f>IF(_zhuchou6_month_day!B3="","",_zhuchou6_month_day!B3)</f>
        <v/>
      </c>
      <c r="X6" s="229"/>
      <c r="Y6" s="229"/>
      <c r="Z6" s="236" t="str">
        <f>IF(_zhuchou6_month_day!C3="","",_zhuchou6_month_dayC2)</f>
        <v/>
      </c>
      <c r="AA6" s="236" t="str">
        <f>IF(_zhuchou6_month_day!D3="","",_zhuchou6_month_dayC2)</f>
        <v/>
      </c>
      <c r="AB6" s="236" t="str">
        <f>IF(_zhuchou6_month_day!E3="","",_zhuchou6_month_dayC2)</f>
        <v/>
      </c>
      <c r="AC6" s="229" t="str">
        <f>IF(_zhuchou6_month_day!F3="","",_zhuchou6_month_dayC2)</f>
        <v/>
      </c>
      <c r="AD6" s="283"/>
      <c r="AE6" s="283"/>
      <c r="AF6" s="225"/>
      <c r="AG6" s="315"/>
      <c r="AH6" s="142">
        <f t="shared" ref="AH6:AH47" si="4">(E7-E6)*3</f>
        <v>38481</v>
      </c>
      <c r="AI6" s="314">
        <f t="shared" ref="AI6:AI37" si="5">(F7-F6)*3</f>
        <v>35424</v>
      </c>
      <c r="AJ6" s="314">
        <f t="shared" ref="AJ6:AJ37" si="6">AH6+AI6</f>
        <v>73905</v>
      </c>
      <c r="AK6" s="314">
        <f t="shared" si="0"/>
        <v>0</v>
      </c>
      <c r="AL6" s="314">
        <f t="shared" si="1"/>
        <v>0</v>
      </c>
      <c r="AM6" s="314">
        <f t="shared" ref="AM6:AM37" si="7">AK6+AL6</f>
        <v>0</v>
      </c>
      <c r="AN6" s="314" t="e">
        <f t="shared" ref="AN6:AN37" si="8">G6*10000*(8-O6)*1.732*I6/1000</f>
        <v>#VALUE!</v>
      </c>
      <c r="AO6" s="314" t="e">
        <f t="shared" ref="AO6:AO37" si="9">H6*10000*(8-P6)*1.732*J6/1000</f>
        <v>#VALUE!</v>
      </c>
      <c r="AP6" s="314" t="e">
        <f t="shared" ref="AP6:AP69" si="10">AN6+AO6</f>
        <v>#VALUE!</v>
      </c>
      <c r="AQ6" s="314" t="e">
        <f t="shared" si="2"/>
        <v>#VALUE!</v>
      </c>
      <c r="AR6" s="314" t="e">
        <f t="shared" si="3"/>
        <v>#VALUE!</v>
      </c>
      <c r="AS6" s="314" t="e">
        <f t="shared" ref="AS6:AS69" si="11">AQ6+AR6</f>
        <v>#VALUE!</v>
      </c>
      <c r="AT6" s="319">
        <f>AT5</f>
        <v>1</v>
      </c>
      <c r="AU6" s="320">
        <f>'5烧主抽电耗'!$A$3+AT6-1</f>
        <v>43344</v>
      </c>
      <c r="AV6" s="213" t="str">
        <f t="shared" ref="AV6:AV37" si="12">C6</f>
        <v>丙班</v>
      </c>
    </row>
    <row r="7" spans="1:48">
      <c r="A7" s="360"/>
      <c r="B7" s="222" t="s">
        <v>41</v>
      </c>
      <c r="C7" s="276" t="str">
        <f>'6烧主抽电耗'!F5</f>
        <v>丁班</v>
      </c>
      <c r="D7" s="277">
        <v>0.66666666666666696</v>
      </c>
      <c r="E7" s="229">
        <v>43571365</v>
      </c>
      <c r="F7" s="229">
        <v>35044156</v>
      </c>
      <c r="G7" s="229" t="str">
        <f>IF(_zhuchou5_month_day!E4="","",_zhuchou5_month_day!E4)</f>
        <v/>
      </c>
      <c r="H7" s="229" t="str">
        <f>IF(_zhuchou5_month_day!F4="","",_zhuchou5_month_day!F4)</f>
        <v/>
      </c>
      <c r="I7" s="239">
        <v>0.94</v>
      </c>
      <c r="J7" s="239">
        <v>0.94</v>
      </c>
      <c r="K7" s="239" t="str">
        <f>IF(_zhuchou5_month_day!G4="","",_zhuchou5_month_day!G4)</f>
        <v/>
      </c>
      <c r="L7" s="239" t="str">
        <f>IF(_zhuchou5_month_day!H4="","",_zhuchou5_month_day!H4)</f>
        <v/>
      </c>
      <c r="M7" s="229" t="str">
        <f>IF(_zhuchou5_month_day!I4="","",_zhuchou5_month_day!I4)</f>
        <v/>
      </c>
      <c r="N7" s="225" t="str">
        <f>IF(_zhuchou5_month_day!J4="","",_zhuchou5_month_day!J4)</f>
        <v/>
      </c>
      <c r="O7" s="283"/>
      <c r="P7" s="283"/>
      <c r="Q7" s="229" t="s">
        <v>42</v>
      </c>
      <c r="R7" s="298"/>
      <c r="S7" s="299"/>
      <c r="T7" s="235"/>
      <c r="U7" s="236"/>
      <c r="V7" s="229" t="str">
        <f>IF(_zhuchou6_month_day!A4="","",_zhuchou6_month_day!A4)</f>
        <v/>
      </c>
      <c r="W7" s="229" t="str">
        <f>IF(_zhuchou6_month_day!B4="","",_zhuchou6_month_day!B4)</f>
        <v/>
      </c>
      <c r="X7" s="229"/>
      <c r="Y7" s="229"/>
      <c r="Z7" s="236" t="str">
        <f>IF(_zhuchou6_month_day!C4="","",_zhuchou6_month_dayC2)</f>
        <v/>
      </c>
      <c r="AA7" s="236" t="str">
        <f>IF(_zhuchou6_month_day!D4="","",_zhuchou6_month_dayC2)</f>
        <v/>
      </c>
      <c r="AB7" s="236" t="str">
        <f>IF(_zhuchou6_month_day!E4="","",_zhuchou6_month_dayC2)</f>
        <v/>
      </c>
      <c r="AC7" s="239" t="str">
        <f>IF(_zhuchou6_month_day!F4="","",_zhuchou6_month_dayC2)</f>
        <v/>
      </c>
      <c r="AD7" s="283"/>
      <c r="AE7" s="283"/>
      <c r="AF7" s="225"/>
      <c r="AG7" s="315"/>
      <c r="AH7" s="142">
        <f t="shared" si="4"/>
        <v>39807</v>
      </c>
      <c r="AI7" s="314">
        <f t="shared" si="5"/>
        <v>33681</v>
      </c>
      <c r="AJ7" s="314">
        <f t="shared" si="6"/>
        <v>73488</v>
      </c>
      <c r="AK7" s="314">
        <f t="shared" si="0"/>
        <v>0</v>
      </c>
      <c r="AL7" s="314">
        <f t="shared" si="1"/>
        <v>0</v>
      </c>
      <c r="AM7" s="314">
        <f t="shared" si="7"/>
        <v>0</v>
      </c>
      <c r="AN7" s="314" t="e">
        <f t="shared" si="8"/>
        <v>#VALUE!</v>
      </c>
      <c r="AO7" s="314" t="e">
        <f t="shared" si="9"/>
        <v>#VALUE!</v>
      </c>
      <c r="AP7" s="314" t="e">
        <f t="shared" si="10"/>
        <v>#VALUE!</v>
      </c>
      <c r="AQ7" s="314" t="e">
        <f t="shared" si="2"/>
        <v>#VALUE!</v>
      </c>
      <c r="AR7" s="314" t="e">
        <f t="shared" si="3"/>
        <v>#VALUE!</v>
      </c>
      <c r="AS7" s="314" t="e">
        <f t="shared" si="11"/>
        <v>#VALUE!</v>
      </c>
      <c r="AT7" s="319">
        <f>AT6</f>
        <v>1</v>
      </c>
      <c r="AU7" s="320">
        <f>'5烧主抽电耗'!$A$3+AT7-1</f>
        <v>43344</v>
      </c>
      <c r="AV7" s="213" t="str">
        <f t="shared" si="12"/>
        <v>丁班</v>
      </c>
    </row>
    <row r="8" spans="1:48">
      <c r="A8" s="360">
        <v>2</v>
      </c>
      <c r="B8" s="222" t="s">
        <v>37</v>
      </c>
      <c r="C8" s="276" t="str">
        <f>'6烧主抽电耗'!F6</f>
        <v>甲班</v>
      </c>
      <c r="D8" s="277">
        <v>1</v>
      </c>
      <c r="E8" s="229">
        <v>43584634</v>
      </c>
      <c r="F8" s="229">
        <v>35055383</v>
      </c>
      <c r="G8" s="229" t="str">
        <f>IF(_zhuchou5_month_day!E5="","",_zhuchou5_month_day!E5)</f>
        <v/>
      </c>
      <c r="H8" s="229" t="str">
        <f>IF(_zhuchou5_month_day!F5="","",_zhuchou5_month_day!F5)</f>
        <v/>
      </c>
      <c r="I8" s="229">
        <v>0.94</v>
      </c>
      <c r="J8" s="229">
        <v>0.94</v>
      </c>
      <c r="K8" s="229" t="str">
        <f>IF(_zhuchou5_month_day!G5="","",_zhuchou5_month_day!G5)</f>
        <v/>
      </c>
      <c r="L8" s="229" t="str">
        <f>IF(_zhuchou5_month_day!H5="","",_zhuchou5_month_day!H5)</f>
        <v/>
      </c>
      <c r="M8" s="229" t="str">
        <f>IF(_zhuchou5_month_day!I5="","",_zhuchou5_month_day!I5)</f>
        <v/>
      </c>
      <c r="N8" s="225" t="str">
        <f>IF(_zhuchou5_month_day!J5="","",_zhuchou5_month_day!J5)</f>
        <v/>
      </c>
      <c r="O8" s="283"/>
      <c r="P8" s="283"/>
      <c r="Q8" s="225" t="s">
        <v>43</v>
      </c>
      <c r="R8" s="298"/>
      <c r="S8" s="299"/>
      <c r="T8" s="237"/>
      <c r="U8" s="225"/>
      <c r="V8" s="229" t="str">
        <f>IF(_zhuchou6_month_day!A5="","",_zhuchou6_month_day!A5)</f>
        <v/>
      </c>
      <c r="W8" s="229" t="str">
        <f>IF(_zhuchou6_month_day!B5="","",_zhuchou6_month_day!B5)</f>
        <v/>
      </c>
      <c r="X8" s="229"/>
      <c r="Y8" s="229"/>
      <c r="Z8" s="225" t="str">
        <f>IF(_zhuchou6_month_day!C5="","",_zhuchou6_month_dayC2)</f>
        <v/>
      </c>
      <c r="AA8" s="225" t="str">
        <f>IF(_zhuchou6_month_day!D5="","",_zhuchou6_month_dayC2)</f>
        <v/>
      </c>
      <c r="AB8" s="225" t="str">
        <f>IF(_zhuchou6_month_day!E5="","",_zhuchou6_month_dayC2)</f>
        <v/>
      </c>
      <c r="AC8" s="225" t="str">
        <f>IF(_zhuchou6_month_day!F5="","",_zhuchou6_month_dayC2)</f>
        <v/>
      </c>
      <c r="AD8" s="283"/>
      <c r="AE8" s="284"/>
      <c r="AF8" s="225"/>
      <c r="AG8" s="315"/>
      <c r="AH8" s="142">
        <f t="shared" si="4"/>
        <v>41409</v>
      </c>
      <c r="AI8" s="314">
        <f t="shared" si="5"/>
        <v>35067</v>
      </c>
      <c r="AJ8" s="314">
        <f t="shared" si="6"/>
        <v>76476</v>
      </c>
      <c r="AK8" s="314">
        <f t="shared" si="0"/>
        <v>0</v>
      </c>
      <c r="AL8" s="314">
        <f t="shared" si="1"/>
        <v>0</v>
      </c>
      <c r="AM8" s="314">
        <f t="shared" si="7"/>
        <v>0</v>
      </c>
      <c r="AN8" s="314" t="e">
        <f t="shared" si="8"/>
        <v>#VALUE!</v>
      </c>
      <c r="AO8" s="314" t="e">
        <f t="shared" si="9"/>
        <v>#VALUE!</v>
      </c>
      <c r="AP8" s="314" t="e">
        <f t="shared" si="10"/>
        <v>#VALUE!</v>
      </c>
      <c r="AQ8" s="314" t="e">
        <f t="shared" si="2"/>
        <v>#VALUE!</v>
      </c>
      <c r="AR8" s="314" t="e">
        <f t="shared" si="3"/>
        <v>#VALUE!</v>
      </c>
      <c r="AS8" s="314" t="e">
        <f t="shared" si="11"/>
        <v>#VALUE!</v>
      </c>
      <c r="AT8" s="319">
        <f t="shared" ref="AT8:AT39" si="13">AT5+1</f>
        <v>2</v>
      </c>
      <c r="AU8" s="320">
        <f>'5烧主抽电耗'!$A$3+AT8-1</f>
        <v>43345</v>
      </c>
      <c r="AV8" s="213" t="str">
        <f t="shared" si="12"/>
        <v>甲班</v>
      </c>
    </row>
    <row r="9" spans="1:48">
      <c r="A9" s="360"/>
      <c r="B9" s="222" t="s">
        <v>39</v>
      </c>
      <c r="C9" s="276" t="str">
        <f>'6烧主抽电耗'!F7</f>
        <v>乙班</v>
      </c>
      <c r="D9" s="277">
        <v>1.3333333333333299</v>
      </c>
      <c r="E9" s="229">
        <v>43598437</v>
      </c>
      <c r="F9" s="229">
        <v>35067072</v>
      </c>
      <c r="G9" s="229" t="str">
        <f>IF(_zhuchou5_month_day!E6="","",_zhuchou5_month_day!E6)</f>
        <v/>
      </c>
      <c r="H9" s="229" t="str">
        <f>IF(_zhuchou5_month_day!F6="","",_zhuchou5_month_day!F6)</f>
        <v/>
      </c>
      <c r="I9" s="229">
        <v>0.94</v>
      </c>
      <c r="J9" s="229">
        <v>0.94</v>
      </c>
      <c r="K9" s="229" t="str">
        <f>IF(_zhuchou5_month_day!G6="","",_zhuchou5_month_day!G6)</f>
        <v/>
      </c>
      <c r="L9" s="229" t="str">
        <f>IF(_zhuchou5_month_day!H6="","",_zhuchou5_month_day!H6)</f>
        <v/>
      </c>
      <c r="M9" s="229" t="str">
        <f>IF(_zhuchou5_month_day!I6="","",_zhuchou5_month_day!I6)</f>
        <v/>
      </c>
      <c r="N9" s="225" t="str">
        <f>IF(_zhuchou5_month_day!J6="","",_zhuchou5_month_day!J6)</f>
        <v/>
      </c>
      <c r="O9" s="283"/>
      <c r="P9" s="283"/>
      <c r="Q9" s="225" t="s">
        <v>44</v>
      </c>
      <c r="R9" s="298"/>
      <c r="S9" s="299"/>
      <c r="T9" s="237"/>
      <c r="U9" s="225"/>
      <c r="V9" s="229" t="str">
        <f>IF(_zhuchou6_month_day!A6="","",_zhuchou6_month_day!A6)</f>
        <v/>
      </c>
      <c r="W9" s="229" t="str">
        <f>IF(_zhuchou6_month_day!B6="","",_zhuchou6_month_day!B6)</f>
        <v/>
      </c>
      <c r="X9" s="229"/>
      <c r="Y9" s="229"/>
      <c r="Z9" s="225" t="str">
        <f>IF(_zhuchou6_month_day!C6="","",_zhuchou6_month_dayC2)</f>
        <v/>
      </c>
      <c r="AA9" s="225" t="str">
        <f>IF(_zhuchou6_month_day!D6="","",_zhuchou6_month_dayC2)</f>
        <v/>
      </c>
      <c r="AB9" s="225" t="str">
        <f>IF(_zhuchou6_month_day!E6="","",_zhuchou6_month_dayC2)</f>
        <v/>
      </c>
      <c r="AC9" s="225" t="str">
        <f>IF(_zhuchou6_month_day!F6="","",_zhuchou6_month_dayC2)</f>
        <v/>
      </c>
      <c r="AD9" s="284"/>
      <c r="AE9" s="284"/>
      <c r="AF9" s="225"/>
      <c r="AG9" s="315"/>
      <c r="AH9" s="142">
        <f t="shared" si="4"/>
        <v>43668</v>
      </c>
      <c r="AI9" s="314">
        <f t="shared" si="5"/>
        <v>37290</v>
      </c>
      <c r="AJ9" s="314">
        <f t="shared" si="6"/>
        <v>80958</v>
      </c>
      <c r="AK9" s="314">
        <f t="shared" si="0"/>
        <v>0</v>
      </c>
      <c r="AL9" s="314">
        <f t="shared" si="1"/>
        <v>0</v>
      </c>
      <c r="AM9" s="314">
        <f t="shared" si="7"/>
        <v>0</v>
      </c>
      <c r="AN9" s="314" t="e">
        <f t="shared" si="8"/>
        <v>#VALUE!</v>
      </c>
      <c r="AO9" s="314" t="e">
        <f t="shared" si="9"/>
        <v>#VALUE!</v>
      </c>
      <c r="AP9" s="314" t="e">
        <f t="shared" si="10"/>
        <v>#VALUE!</v>
      </c>
      <c r="AQ9" s="314" t="e">
        <f t="shared" si="2"/>
        <v>#VALUE!</v>
      </c>
      <c r="AR9" s="314" t="e">
        <f t="shared" si="3"/>
        <v>#VALUE!</v>
      </c>
      <c r="AS9" s="314" t="e">
        <f t="shared" si="11"/>
        <v>#VALUE!</v>
      </c>
      <c r="AT9" s="319">
        <f t="shared" si="13"/>
        <v>2</v>
      </c>
      <c r="AU9" s="320">
        <f>'5烧主抽电耗'!$A$3+AT9-1</f>
        <v>43345</v>
      </c>
      <c r="AV9" s="213" t="str">
        <f t="shared" si="12"/>
        <v>乙班</v>
      </c>
    </row>
    <row r="10" spans="1:48">
      <c r="A10" s="360"/>
      <c r="B10" s="222" t="s">
        <v>41</v>
      </c>
      <c r="C10" s="276" t="str">
        <f>'6烧主抽电耗'!F8</f>
        <v>丙班</v>
      </c>
      <c r="D10" s="277">
        <v>1.6666666666666701</v>
      </c>
      <c r="E10" s="225">
        <v>43612993</v>
      </c>
      <c r="F10" s="225">
        <v>35079502</v>
      </c>
      <c r="G10" s="225" t="str">
        <f>IF(_zhuchou5_month_day!E7="","",_zhuchou5_month_day!E7)</f>
        <v/>
      </c>
      <c r="H10" s="225" t="str">
        <f>IF(_zhuchou5_month_day!F7="","",_zhuchou5_month_day!F7)</f>
        <v/>
      </c>
      <c r="I10" s="229">
        <v>0.94</v>
      </c>
      <c r="J10" s="229">
        <v>0.94</v>
      </c>
      <c r="K10" s="229" t="str">
        <f>IF(_zhuchou5_month_day!G7="","",_zhuchou5_month_day!G7)</f>
        <v/>
      </c>
      <c r="L10" s="229" t="str">
        <f>IF(_zhuchou5_month_day!H7="","",_zhuchou5_month_day!H7)</f>
        <v/>
      </c>
      <c r="M10" s="225" t="str">
        <f>IF(_zhuchou5_month_day!I7="","",_zhuchou5_month_day!I7)</f>
        <v/>
      </c>
      <c r="N10" s="225" t="str">
        <f>IF(_zhuchou5_month_day!J7="","",_zhuchou5_month_day!J7)</f>
        <v/>
      </c>
      <c r="O10" s="284"/>
      <c r="P10" s="284"/>
      <c r="Q10" s="227" t="s">
        <v>40</v>
      </c>
      <c r="R10" s="298"/>
      <c r="S10" s="299"/>
      <c r="T10" s="229"/>
      <c r="U10" s="229"/>
      <c r="V10" s="229" t="str">
        <f>IF(_zhuchou6_month_day!A7="","",_zhuchou6_month_day!A7)</f>
        <v/>
      </c>
      <c r="W10" s="229" t="str">
        <f>IF(_zhuchou6_month_day!B7="","",_zhuchou6_month_day!B7)</f>
        <v/>
      </c>
      <c r="X10" s="229"/>
      <c r="Y10" s="229"/>
      <c r="Z10" s="225" t="str">
        <f>IF(_zhuchou6_month_day!C7="","",_zhuchou6_month_dayC2)</f>
        <v/>
      </c>
      <c r="AA10" s="225" t="str">
        <f>IF(_zhuchou6_month_day!D7="","",_zhuchou6_month_dayC2)</f>
        <v/>
      </c>
      <c r="AB10" s="225" t="str">
        <f>IF(_zhuchou6_month_day!E7="","",_zhuchou6_month_dayC2)</f>
        <v/>
      </c>
      <c r="AC10" s="225" t="str">
        <f>IF(_zhuchou6_month_day!F7="","",_zhuchou6_month_dayC2)</f>
        <v/>
      </c>
      <c r="AD10" s="283"/>
      <c r="AE10" s="283"/>
      <c r="AF10" s="225"/>
      <c r="AG10" s="315"/>
      <c r="AH10" s="142">
        <f t="shared" si="4"/>
        <v>39174</v>
      </c>
      <c r="AI10" s="314">
        <f t="shared" si="5"/>
        <v>33855</v>
      </c>
      <c r="AJ10" s="314">
        <f t="shared" si="6"/>
        <v>73029</v>
      </c>
      <c r="AK10" s="314">
        <f t="shared" si="0"/>
        <v>0</v>
      </c>
      <c r="AL10" s="314">
        <f t="shared" si="1"/>
        <v>0</v>
      </c>
      <c r="AM10" s="314">
        <f t="shared" si="7"/>
        <v>0</v>
      </c>
      <c r="AN10" s="314" t="e">
        <f t="shared" si="8"/>
        <v>#VALUE!</v>
      </c>
      <c r="AO10" s="314" t="e">
        <f t="shared" si="9"/>
        <v>#VALUE!</v>
      </c>
      <c r="AP10" s="314" t="e">
        <f t="shared" si="10"/>
        <v>#VALUE!</v>
      </c>
      <c r="AQ10" s="314" t="e">
        <f t="shared" si="2"/>
        <v>#VALUE!</v>
      </c>
      <c r="AR10" s="314" t="e">
        <f t="shared" si="3"/>
        <v>#VALUE!</v>
      </c>
      <c r="AS10" s="314" t="e">
        <f t="shared" si="11"/>
        <v>#VALUE!</v>
      </c>
      <c r="AT10" s="319">
        <f t="shared" si="13"/>
        <v>2</v>
      </c>
      <c r="AU10" s="320">
        <f>'5烧主抽电耗'!$A$3+AT10-1</f>
        <v>43345</v>
      </c>
      <c r="AV10" s="213" t="str">
        <f t="shared" si="12"/>
        <v>丙班</v>
      </c>
    </row>
    <row r="11" spans="1:48">
      <c r="A11" s="361">
        <v>3</v>
      </c>
      <c r="B11" s="222" t="s">
        <v>37</v>
      </c>
      <c r="C11" s="276" t="str">
        <f>'6烧主抽电耗'!F9</f>
        <v>甲班</v>
      </c>
      <c r="D11" s="277">
        <v>2</v>
      </c>
      <c r="E11" s="225">
        <v>43626051</v>
      </c>
      <c r="F11" s="225">
        <v>35090787</v>
      </c>
      <c r="G11" s="225" t="str">
        <f>IF(_zhuchou5_month_day!E8="","",_zhuchou5_month_day!E8)</f>
        <v/>
      </c>
      <c r="H11" s="225" t="str">
        <f>IF(_zhuchou5_month_day!F8="","",_zhuchou5_month_day!F8)</f>
        <v/>
      </c>
      <c r="I11" s="225">
        <v>0.94</v>
      </c>
      <c r="J11" s="225">
        <v>0.94</v>
      </c>
      <c r="K11" s="225" t="str">
        <f>IF(_zhuchou5_month_day!G8="","",_zhuchou5_month_day!G8)</f>
        <v/>
      </c>
      <c r="L11" s="225" t="str">
        <f>IF(_zhuchou5_month_day!H8="","",_zhuchou5_month_day!H8)</f>
        <v/>
      </c>
      <c r="M11" s="225" t="str">
        <f>IF(_zhuchou5_month_day!I8="","",_zhuchou5_month_day!I8)</f>
        <v/>
      </c>
      <c r="N11" s="225" t="str">
        <f>IF(_zhuchou5_month_day!J8="","",_zhuchou5_month_day!J8)</f>
        <v/>
      </c>
      <c r="O11" s="284"/>
      <c r="P11" s="284"/>
      <c r="Q11" s="229" t="s">
        <v>43</v>
      </c>
      <c r="R11" s="298"/>
      <c r="S11" s="299"/>
      <c r="T11" s="237"/>
      <c r="U11" s="225"/>
      <c r="V11" s="229" t="str">
        <f>IF(_zhuchou6_month_day!A8="","",_zhuchou6_month_day!A8)</f>
        <v/>
      </c>
      <c r="W11" s="229" t="str">
        <f>IF(_zhuchou6_month_day!B8="","",_zhuchou6_month_day!B8)</f>
        <v/>
      </c>
      <c r="X11" s="229"/>
      <c r="Y11" s="229"/>
      <c r="Z11" s="225" t="str">
        <f>IF(_zhuchou6_month_day!C8="","",_zhuchou6_month_dayC2)</f>
        <v/>
      </c>
      <c r="AA11" s="225" t="str">
        <f>IF(_zhuchou6_month_day!D8="","",_zhuchou6_month_dayC2)</f>
        <v/>
      </c>
      <c r="AB11" s="225" t="str">
        <f>IF(_zhuchou6_month_day!E8="","",_zhuchou6_month_dayC2)</f>
        <v/>
      </c>
      <c r="AC11" s="225" t="str">
        <f>IF(_zhuchou6_month_day!F8="","",_zhuchou6_month_dayC2)</f>
        <v/>
      </c>
      <c r="AD11" s="283"/>
      <c r="AE11" s="284"/>
      <c r="AF11" s="225"/>
      <c r="AG11" s="315"/>
      <c r="AH11" s="142">
        <f t="shared" si="4"/>
        <v>41733</v>
      </c>
      <c r="AI11" s="314">
        <f t="shared" si="5"/>
        <v>35610</v>
      </c>
      <c r="AJ11" s="314">
        <f t="shared" si="6"/>
        <v>77343</v>
      </c>
      <c r="AK11" s="314">
        <f t="shared" si="0"/>
        <v>0</v>
      </c>
      <c r="AL11" s="314">
        <f t="shared" si="1"/>
        <v>0</v>
      </c>
      <c r="AM11" s="314">
        <f t="shared" si="7"/>
        <v>0</v>
      </c>
      <c r="AN11" s="314" t="e">
        <f t="shared" si="8"/>
        <v>#VALUE!</v>
      </c>
      <c r="AO11" s="314" t="e">
        <f t="shared" si="9"/>
        <v>#VALUE!</v>
      </c>
      <c r="AP11" s="314" t="e">
        <f t="shared" si="10"/>
        <v>#VALUE!</v>
      </c>
      <c r="AQ11" s="314" t="e">
        <f t="shared" si="2"/>
        <v>#VALUE!</v>
      </c>
      <c r="AR11" s="314" t="e">
        <f t="shared" si="3"/>
        <v>#VALUE!</v>
      </c>
      <c r="AS11" s="314" t="e">
        <f t="shared" si="11"/>
        <v>#VALUE!</v>
      </c>
      <c r="AT11" s="319">
        <f t="shared" si="13"/>
        <v>3</v>
      </c>
      <c r="AU11" s="320">
        <f>'5烧主抽电耗'!$A$3+AT11-1</f>
        <v>43346</v>
      </c>
      <c r="AV11" s="213" t="str">
        <f t="shared" si="12"/>
        <v>甲班</v>
      </c>
    </row>
    <row r="12" spans="1:48">
      <c r="A12" s="361"/>
      <c r="B12" s="222" t="s">
        <v>39</v>
      </c>
      <c r="C12" s="276" t="str">
        <f>'6烧主抽电耗'!F10</f>
        <v>乙班</v>
      </c>
      <c r="D12" s="277">
        <v>2.3333333333333299</v>
      </c>
      <c r="E12" s="225">
        <v>43639962</v>
      </c>
      <c r="F12" s="225">
        <v>35102657</v>
      </c>
      <c r="G12" s="225" t="str">
        <f>IF(_zhuchou5_month_day!E9="","",_zhuchou5_month_day!E9)</f>
        <v/>
      </c>
      <c r="H12" s="225" t="str">
        <f>IF(_zhuchou5_month_day!F9="","",_zhuchou5_month_day!F9)</f>
        <v/>
      </c>
      <c r="I12" s="225">
        <v>0.94</v>
      </c>
      <c r="J12" s="225">
        <v>0.94</v>
      </c>
      <c r="K12" s="225" t="str">
        <f>IF(_zhuchou5_month_day!G9="","",_zhuchou5_month_day!G9)</f>
        <v/>
      </c>
      <c r="L12" s="225" t="str">
        <f>IF(_zhuchou5_month_day!H9="","",_zhuchou5_month_day!H9)</f>
        <v/>
      </c>
      <c r="M12" s="225" t="str">
        <f>IF(_zhuchou5_month_day!I9="","",_zhuchou5_month_day!I9)</f>
        <v/>
      </c>
      <c r="N12" s="225" t="str">
        <f>IF(_zhuchou5_month_day!J9="","",_zhuchou5_month_day!J9)</f>
        <v/>
      </c>
      <c r="O12" s="284"/>
      <c r="P12" s="284"/>
      <c r="Q12" s="225" t="s">
        <v>38</v>
      </c>
      <c r="R12" s="298"/>
      <c r="S12" s="299"/>
      <c r="T12" s="237"/>
      <c r="U12" s="225"/>
      <c r="V12" s="229" t="str">
        <f>IF(_zhuchou6_month_day!A9="","",_zhuchou6_month_day!A9)</f>
        <v/>
      </c>
      <c r="W12" s="229" t="str">
        <f>IF(_zhuchou6_month_day!B9="","",_zhuchou6_month_day!B9)</f>
        <v/>
      </c>
      <c r="X12" s="229"/>
      <c r="Y12" s="229"/>
      <c r="Z12" s="225" t="str">
        <f>IF(_zhuchou6_month_day!C9="","",_zhuchou6_month_dayC2)</f>
        <v/>
      </c>
      <c r="AA12" s="225" t="str">
        <f>IF(_zhuchou6_month_day!D9="","",_zhuchou6_month_dayC2)</f>
        <v/>
      </c>
      <c r="AB12" s="225" t="str">
        <f>IF(_zhuchou6_month_day!E9="","",_zhuchou6_month_dayC2)</f>
        <v/>
      </c>
      <c r="AC12" s="225" t="str">
        <f>IF(_zhuchou6_month_day!F9="","",_zhuchou6_month_dayC2)</f>
        <v/>
      </c>
      <c r="AD12" s="284"/>
      <c r="AE12" s="284"/>
      <c r="AF12" s="225"/>
      <c r="AG12" s="315"/>
      <c r="AH12" s="142">
        <f t="shared" si="4"/>
        <v>43785</v>
      </c>
      <c r="AI12" s="314">
        <f t="shared" si="5"/>
        <v>37680</v>
      </c>
      <c r="AJ12" s="314">
        <f t="shared" si="6"/>
        <v>81465</v>
      </c>
      <c r="AK12" s="314">
        <f t="shared" si="0"/>
        <v>0</v>
      </c>
      <c r="AL12" s="314">
        <f t="shared" si="1"/>
        <v>0</v>
      </c>
      <c r="AM12" s="314">
        <f t="shared" si="7"/>
        <v>0</v>
      </c>
      <c r="AN12" s="314" t="e">
        <f t="shared" si="8"/>
        <v>#VALUE!</v>
      </c>
      <c r="AO12" s="314" t="e">
        <f t="shared" si="9"/>
        <v>#VALUE!</v>
      </c>
      <c r="AP12" s="314" t="e">
        <f t="shared" si="10"/>
        <v>#VALUE!</v>
      </c>
      <c r="AQ12" s="314" t="e">
        <f>V12*10000*(8-$AD16)*1.732*X12/1000</f>
        <v>#VALUE!</v>
      </c>
      <c r="AR12" s="314" t="e">
        <f>W12*10000*(8-$AD16)*1.732*Y12/1000</f>
        <v>#VALUE!</v>
      </c>
      <c r="AS12" s="314" t="e">
        <f t="shared" si="11"/>
        <v>#VALUE!</v>
      </c>
      <c r="AT12" s="319">
        <f t="shared" si="13"/>
        <v>3</v>
      </c>
      <c r="AU12" s="320">
        <f>'5烧主抽电耗'!$A$3+AT12-1</f>
        <v>43346</v>
      </c>
      <c r="AV12" s="213" t="str">
        <f t="shared" si="12"/>
        <v>乙班</v>
      </c>
    </row>
    <row r="13" spans="1:48">
      <c r="A13" s="361"/>
      <c r="B13" s="222" t="s">
        <v>41</v>
      </c>
      <c r="C13" s="276" t="str">
        <f>'6烧主抽电耗'!F11</f>
        <v>丙班</v>
      </c>
      <c r="D13" s="277">
        <v>2.6666666666666701</v>
      </c>
      <c r="E13" s="225">
        <v>43654557</v>
      </c>
      <c r="F13" s="225">
        <v>35115217</v>
      </c>
      <c r="G13" s="225" t="str">
        <f>IF(_zhuchou5_month_day!E10="","",_zhuchou5_month_day!E10)</f>
        <v/>
      </c>
      <c r="H13" s="225" t="str">
        <f>IF(_zhuchou5_month_day!F10="","",_zhuchou5_month_day!F10)</f>
        <v/>
      </c>
      <c r="I13" s="225">
        <v>0.94</v>
      </c>
      <c r="J13" s="225">
        <v>0.94</v>
      </c>
      <c r="K13" s="225" t="str">
        <f>IF(_zhuchou5_month_day!G10="","",_zhuchou5_month_day!G10)</f>
        <v/>
      </c>
      <c r="L13" s="225" t="str">
        <f>IF(_zhuchou5_month_day!H10="","",_zhuchou5_month_day!H10)</f>
        <v/>
      </c>
      <c r="M13" s="225" t="str">
        <f>IF(_zhuchou5_month_day!I10="","",_zhuchou5_month_day!I10)</f>
        <v/>
      </c>
      <c r="N13" s="225" t="str">
        <f>IF(_zhuchou5_month_day!J10="","",_zhuchou5_month_day!J10)</f>
        <v/>
      </c>
      <c r="O13" s="284"/>
      <c r="P13" s="284"/>
      <c r="Q13" s="227" t="s">
        <v>40</v>
      </c>
      <c r="R13" s="298"/>
      <c r="S13" s="299"/>
      <c r="T13" s="237"/>
      <c r="U13" s="225"/>
      <c r="V13" s="229" t="str">
        <f>IF(_zhuchou6_month_day!A10="","",_zhuchou6_month_day!A10)</f>
        <v/>
      </c>
      <c r="W13" s="229" t="str">
        <f>IF(_zhuchou6_month_day!B10="","",_zhuchou6_month_day!B10)</f>
        <v/>
      </c>
      <c r="X13" s="229"/>
      <c r="Y13" s="229"/>
      <c r="Z13" s="225" t="str">
        <f>IF(_zhuchou6_month_day!C10="","",_zhuchou6_month_dayC2)</f>
        <v/>
      </c>
      <c r="AA13" s="225" t="str">
        <f>IF(_zhuchou6_month_day!D10="","",_zhuchou6_month_dayC2)</f>
        <v/>
      </c>
      <c r="AB13" s="225" t="str">
        <f>IF(_zhuchou6_month_day!E10="","",_zhuchou6_month_dayC2)</f>
        <v/>
      </c>
      <c r="AC13" s="225" t="str">
        <f>IF(_zhuchou6_month_day!F10="","",_zhuchou6_month_dayC2)</f>
        <v/>
      </c>
      <c r="AD13" s="284"/>
      <c r="AE13" s="284"/>
      <c r="AF13" s="225"/>
      <c r="AG13" s="315"/>
      <c r="AH13" s="142">
        <f t="shared" si="4"/>
        <v>42264</v>
      </c>
      <c r="AI13" s="314">
        <f t="shared" si="5"/>
        <v>35526</v>
      </c>
      <c r="AJ13" s="314">
        <f t="shared" si="6"/>
        <v>77790</v>
      </c>
      <c r="AK13" s="314">
        <f t="shared" si="0"/>
        <v>0</v>
      </c>
      <c r="AL13" s="314">
        <f t="shared" si="1"/>
        <v>0</v>
      </c>
      <c r="AM13" s="314">
        <f t="shared" si="7"/>
        <v>0</v>
      </c>
      <c r="AN13" s="314" t="e">
        <f t="shared" si="8"/>
        <v>#VALUE!</v>
      </c>
      <c r="AO13" s="314" t="e">
        <f t="shared" si="9"/>
        <v>#VALUE!</v>
      </c>
      <c r="AP13" s="314" t="e">
        <f t="shared" si="10"/>
        <v>#VALUE!</v>
      </c>
      <c r="AQ13" s="314" t="e">
        <f t="shared" ref="AQ13:AR20" si="14">V13*10000*(8-$AD13)*1.732*X13/1000</f>
        <v>#VALUE!</v>
      </c>
      <c r="AR13" s="314" t="e">
        <f t="shared" si="14"/>
        <v>#VALUE!</v>
      </c>
      <c r="AS13" s="314" t="e">
        <f t="shared" si="11"/>
        <v>#VALUE!</v>
      </c>
      <c r="AT13" s="319">
        <f t="shared" si="13"/>
        <v>3</v>
      </c>
      <c r="AU13" s="320">
        <f>'5烧主抽电耗'!$A$3+AT13-1</f>
        <v>43346</v>
      </c>
      <c r="AV13" s="213" t="str">
        <f t="shared" si="12"/>
        <v>丙班</v>
      </c>
    </row>
    <row r="14" spans="1:48">
      <c r="A14" s="361">
        <v>4</v>
      </c>
      <c r="B14" s="222" t="s">
        <v>37</v>
      </c>
      <c r="C14" s="276" t="str">
        <f>'6烧主抽电耗'!F12</f>
        <v>丁班</v>
      </c>
      <c r="D14" s="277">
        <v>3</v>
      </c>
      <c r="E14" s="225">
        <v>43668645</v>
      </c>
      <c r="F14" s="225">
        <v>35127059</v>
      </c>
      <c r="G14" s="230" t="str">
        <f>IF(_zhuchou5_month_day!E11="","",_zhuchou5_month_day!E11)</f>
        <v/>
      </c>
      <c r="H14" s="239" t="str">
        <f>IF(_zhuchou5_month_day!F11="","",_zhuchou5_month_day!F11)</f>
        <v/>
      </c>
      <c r="I14" s="225">
        <v>0.94</v>
      </c>
      <c r="J14" s="225">
        <v>0.94</v>
      </c>
      <c r="K14" s="225" t="str">
        <f>IF(_zhuchou5_month_day!G11="","",_zhuchou5_month_day!G11)</f>
        <v/>
      </c>
      <c r="L14" s="225" t="str">
        <f>IF(_zhuchou5_month_day!H11="","",_zhuchou5_month_day!H11)</f>
        <v/>
      </c>
      <c r="M14" s="285" t="str">
        <f>IF(_zhuchou5_month_day!I11="","",_zhuchou5_month_day!I11)</f>
        <v/>
      </c>
      <c r="N14" s="286" t="str">
        <f>IF(_zhuchou5_month_day!J11="","",_zhuchou5_month_day!J11)</f>
        <v/>
      </c>
      <c r="O14" s="287"/>
      <c r="P14" s="287"/>
      <c r="Q14" s="229" t="s">
        <v>42</v>
      </c>
      <c r="R14" s="300"/>
      <c r="T14" s="238"/>
      <c r="U14" s="239"/>
      <c r="V14" s="227" t="str">
        <f>IF(_zhuchou6_month_day!A11="","",_zhuchou6_month_day!A11)</f>
        <v/>
      </c>
      <c r="W14" s="227" t="str">
        <f>IF(_zhuchou6_month_day!B11="","",_zhuchou6_month_day!B11)</f>
        <v/>
      </c>
      <c r="X14" s="227"/>
      <c r="Y14" s="227"/>
      <c r="Z14" s="225" t="str">
        <f>IF(_zhuchou6_month_day!C11="","",_zhuchou6_month_dayC2)</f>
        <v/>
      </c>
      <c r="AA14" s="225" t="str">
        <f>IF(_zhuchou6_month_day!D11="","",_zhuchou6_month_dayC2)</f>
        <v/>
      </c>
      <c r="AB14" s="239" t="str">
        <f>IF(_zhuchou6_month_day!E11="","",_zhuchou6_month_dayC2)</f>
        <v/>
      </c>
      <c r="AC14" s="225" t="str">
        <f>IF(_zhuchou6_month_day!F11="","",_zhuchou6_month_dayC2)</f>
        <v/>
      </c>
      <c r="AD14" s="283"/>
      <c r="AE14" s="283"/>
      <c r="AF14" s="225"/>
      <c r="AG14" s="315"/>
      <c r="AH14" s="142">
        <f t="shared" si="4"/>
        <v>41034</v>
      </c>
      <c r="AI14" s="314">
        <f t="shared" si="5"/>
        <v>35406</v>
      </c>
      <c r="AJ14" s="314">
        <f t="shared" si="6"/>
        <v>76440</v>
      </c>
      <c r="AK14" s="314">
        <f t="shared" si="0"/>
        <v>0</v>
      </c>
      <c r="AL14" s="314">
        <f t="shared" si="1"/>
        <v>0</v>
      </c>
      <c r="AM14" s="314">
        <f t="shared" si="7"/>
        <v>0</v>
      </c>
      <c r="AN14" s="314" t="e">
        <f t="shared" si="8"/>
        <v>#VALUE!</v>
      </c>
      <c r="AO14" s="314" t="e">
        <f t="shared" si="9"/>
        <v>#VALUE!</v>
      </c>
      <c r="AP14" s="314" t="e">
        <f t="shared" si="10"/>
        <v>#VALUE!</v>
      </c>
      <c r="AQ14" s="314" t="e">
        <f t="shared" si="14"/>
        <v>#VALUE!</v>
      </c>
      <c r="AR14" s="314" t="e">
        <f t="shared" si="14"/>
        <v>#VALUE!</v>
      </c>
      <c r="AS14" s="314" t="e">
        <f t="shared" si="11"/>
        <v>#VALUE!</v>
      </c>
      <c r="AT14" s="319">
        <f t="shared" si="13"/>
        <v>4</v>
      </c>
      <c r="AU14" s="320">
        <f>'5烧主抽电耗'!$A$3+AT14-1</f>
        <v>43347</v>
      </c>
      <c r="AV14" s="213" t="str">
        <f t="shared" si="12"/>
        <v>丁班</v>
      </c>
    </row>
    <row r="15" spans="1:48">
      <c r="A15" s="361"/>
      <c r="B15" s="222" t="s">
        <v>39</v>
      </c>
      <c r="C15" s="276" t="str">
        <f>'6烧主抽电耗'!F13</f>
        <v>甲班</v>
      </c>
      <c r="D15" s="277">
        <v>3.3333333333333299</v>
      </c>
      <c r="E15" s="225">
        <v>43682323</v>
      </c>
      <c r="F15" s="229">
        <v>35138861</v>
      </c>
      <c r="G15" s="225" t="str">
        <f>IF(_zhuchou5_month_day!E12="","",_zhuchou5_month_day!E12)</f>
        <v/>
      </c>
      <c r="H15" s="225" t="str">
        <f>IF(_zhuchou5_month_day!F12="","",_zhuchou5_month_day!F12)</f>
        <v/>
      </c>
      <c r="I15" s="225">
        <v>0.94</v>
      </c>
      <c r="J15" s="225">
        <v>0.94</v>
      </c>
      <c r="K15" s="225" t="str">
        <f>IF(_zhuchou5_month_day!G12="","",_zhuchou5_month_day!G12)</f>
        <v/>
      </c>
      <c r="L15" s="225" t="str">
        <f>IF(_zhuchou5_month_day!H12="","",_zhuchou5_month_day!H12)</f>
        <v/>
      </c>
      <c r="M15" s="225" t="str">
        <f>IF(_zhuchou5_month_day!I12="","",_zhuchou5_month_day!I12)</f>
        <v/>
      </c>
      <c r="N15" s="225" t="str">
        <f>IF(_zhuchou5_month_day!J12="","",_zhuchou5_month_day!J12)</f>
        <v/>
      </c>
      <c r="O15" s="284"/>
      <c r="P15" s="284"/>
      <c r="Q15" s="229" t="s">
        <v>43</v>
      </c>
      <c r="R15" s="298"/>
      <c r="S15" s="299"/>
      <c r="T15" s="237"/>
      <c r="U15" s="225"/>
      <c r="V15" s="229" t="str">
        <f>IF(_zhuchou6_month_day!A12="","",_zhuchou6_month_day!A12)</f>
        <v/>
      </c>
      <c r="W15" s="229" t="str">
        <f>IF(_zhuchou6_month_day!B12="","",_zhuchou6_month_day!B12)</f>
        <v/>
      </c>
      <c r="X15" s="229"/>
      <c r="Y15" s="229"/>
      <c r="Z15" s="225" t="str">
        <f>IF(_zhuchou6_month_day!C12="","",_zhuchou6_month_dayC2)</f>
        <v/>
      </c>
      <c r="AA15" s="225" t="str">
        <f>IF(_zhuchou6_month_day!D12="","",_zhuchou6_month_dayC2)</f>
        <v/>
      </c>
      <c r="AB15" s="225" t="str">
        <f>IF(_zhuchou6_month_day!E12="","",_zhuchou6_month_dayC2)</f>
        <v/>
      </c>
      <c r="AC15" s="225" t="str">
        <f>IF(_zhuchou6_month_day!F12="","",_zhuchou6_month_dayC2)</f>
        <v/>
      </c>
      <c r="AD15" s="283"/>
      <c r="AE15" s="284"/>
      <c r="AF15" s="225"/>
      <c r="AG15" s="315"/>
      <c r="AH15" s="142">
        <f t="shared" si="4"/>
        <v>42198</v>
      </c>
      <c r="AI15" s="314">
        <f t="shared" si="5"/>
        <v>36954</v>
      </c>
      <c r="AJ15" s="314">
        <f t="shared" si="6"/>
        <v>79152</v>
      </c>
      <c r="AK15" s="314">
        <f t="shared" si="0"/>
        <v>0</v>
      </c>
      <c r="AL15" s="314">
        <f t="shared" si="1"/>
        <v>0</v>
      </c>
      <c r="AM15" s="314">
        <f t="shared" si="7"/>
        <v>0</v>
      </c>
      <c r="AN15" s="314" t="e">
        <f t="shared" si="8"/>
        <v>#VALUE!</v>
      </c>
      <c r="AO15" s="314" t="e">
        <f t="shared" si="9"/>
        <v>#VALUE!</v>
      </c>
      <c r="AP15" s="314" t="e">
        <f t="shared" si="10"/>
        <v>#VALUE!</v>
      </c>
      <c r="AQ15" s="314" t="e">
        <f t="shared" si="14"/>
        <v>#VALUE!</v>
      </c>
      <c r="AR15" s="314" t="e">
        <f t="shared" si="14"/>
        <v>#VALUE!</v>
      </c>
      <c r="AS15" s="314" t="e">
        <f t="shared" si="11"/>
        <v>#VALUE!</v>
      </c>
      <c r="AT15" s="319">
        <f t="shared" si="13"/>
        <v>4</v>
      </c>
      <c r="AU15" s="320">
        <f>'5烧主抽电耗'!$A$3+AT15-1</f>
        <v>43347</v>
      </c>
      <c r="AV15" s="213" t="str">
        <f t="shared" si="12"/>
        <v>甲班</v>
      </c>
    </row>
    <row r="16" spans="1:48">
      <c r="A16" s="361"/>
      <c r="B16" s="222" t="s">
        <v>41</v>
      </c>
      <c r="C16" s="276" t="str">
        <f>'6烧主抽电耗'!F14</f>
        <v>乙班</v>
      </c>
      <c r="D16" s="277">
        <v>3.6666666666666701</v>
      </c>
      <c r="E16" s="225">
        <v>43696389</v>
      </c>
      <c r="F16" s="225">
        <v>35151179</v>
      </c>
      <c r="G16" s="225" t="str">
        <f>IF(_zhuchou5_month_day!E13="","",_zhuchou5_month_day!E13)</f>
        <v/>
      </c>
      <c r="H16" s="225" t="str">
        <f>IF(_zhuchou5_month_day!F13="","",_zhuchou5_month_day!F13)</f>
        <v/>
      </c>
      <c r="I16" s="225">
        <v>0.94</v>
      </c>
      <c r="J16" s="225">
        <v>0.94</v>
      </c>
      <c r="K16" s="225" t="str">
        <f>IF(_zhuchou5_month_day!G13="","",_zhuchou5_month_day!G13)</f>
        <v/>
      </c>
      <c r="L16" s="225" t="str">
        <f>IF(_zhuchou5_month_day!H13="","",_zhuchou5_month_day!H13)</f>
        <v/>
      </c>
      <c r="M16" s="225" t="str">
        <f>IF(_zhuchou5_month_day!I13="","",_zhuchou5_month_day!I13)</f>
        <v/>
      </c>
      <c r="N16" s="225" t="str">
        <f>IF(_zhuchou5_month_day!J13="","",_zhuchou5_month_day!J13)</f>
        <v/>
      </c>
      <c r="O16" s="284"/>
      <c r="P16" s="284"/>
      <c r="Q16" s="225" t="s">
        <v>38</v>
      </c>
      <c r="R16" s="298"/>
      <c r="S16" s="299"/>
      <c r="T16" s="237"/>
      <c r="U16" s="225"/>
      <c r="V16" s="229" t="str">
        <f>IF(_zhuchou6_month_day!A13="","",_zhuchou6_month_day!A13)</f>
        <v/>
      </c>
      <c r="W16" s="229" t="str">
        <f>IF(_zhuchou6_month_day!B13="","",_zhuchou6_month_day!B13)</f>
        <v/>
      </c>
      <c r="X16" s="229"/>
      <c r="Y16" s="229"/>
      <c r="Z16" s="225" t="str">
        <f>IF(_zhuchou6_month_day!C13="","",_zhuchou6_month_dayC2)</f>
        <v/>
      </c>
      <c r="AA16" s="225" t="str">
        <f>IF(_zhuchou6_month_day!D13="","",_zhuchou6_month_dayC2)</f>
        <v/>
      </c>
      <c r="AB16" s="225" t="str">
        <f>IF(_zhuchou6_month_day!E13="","",_zhuchou6_month_dayC2)</f>
        <v/>
      </c>
      <c r="AC16" s="225" t="str">
        <f>IF(_zhuchou6_month_day!F13="","",_zhuchou6_month_dayC2)</f>
        <v/>
      </c>
      <c r="AD16" s="284"/>
      <c r="AE16" s="284"/>
      <c r="AF16" s="225"/>
      <c r="AG16" s="315"/>
      <c r="AH16" s="142">
        <f t="shared" si="4"/>
        <v>38820</v>
      </c>
      <c r="AI16" s="314">
        <f t="shared" si="5"/>
        <v>33522</v>
      </c>
      <c r="AJ16" s="314">
        <f t="shared" si="6"/>
        <v>72342</v>
      </c>
      <c r="AK16" s="314">
        <f t="shared" si="0"/>
        <v>0</v>
      </c>
      <c r="AL16" s="314">
        <f t="shared" si="1"/>
        <v>0</v>
      </c>
      <c r="AM16" s="314">
        <f t="shared" si="7"/>
        <v>0</v>
      </c>
      <c r="AN16" s="314" t="e">
        <f t="shared" si="8"/>
        <v>#VALUE!</v>
      </c>
      <c r="AO16" s="314" t="e">
        <f t="shared" si="9"/>
        <v>#VALUE!</v>
      </c>
      <c r="AP16" s="314" t="e">
        <f t="shared" si="10"/>
        <v>#VALUE!</v>
      </c>
      <c r="AQ16" s="314" t="e">
        <f t="shared" si="14"/>
        <v>#VALUE!</v>
      </c>
      <c r="AR16" s="314" t="e">
        <f t="shared" si="14"/>
        <v>#VALUE!</v>
      </c>
      <c r="AS16" s="314" t="e">
        <f t="shared" si="11"/>
        <v>#VALUE!</v>
      </c>
      <c r="AT16" s="319">
        <f t="shared" si="13"/>
        <v>4</v>
      </c>
      <c r="AU16" s="320">
        <f>'5烧主抽电耗'!$A$3+AT16-1</f>
        <v>43347</v>
      </c>
      <c r="AV16" s="213" t="str">
        <f t="shared" si="12"/>
        <v>乙班</v>
      </c>
    </row>
    <row r="17" spans="1:48">
      <c r="A17" s="361">
        <v>5</v>
      </c>
      <c r="B17" s="222" t="s">
        <v>37</v>
      </c>
      <c r="C17" s="276" t="str">
        <f>'6烧主抽电耗'!F15</f>
        <v>丁班</v>
      </c>
      <c r="D17" s="277">
        <v>4</v>
      </c>
      <c r="E17" s="225">
        <v>43709329</v>
      </c>
      <c r="F17" s="225">
        <v>35162353</v>
      </c>
      <c r="G17" s="225" t="str">
        <f>IF(_zhuchou5_month_day!E14="","",_zhuchou5_month_day!E14)</f>
        <v/>
      </c>
      <c r="H17" s="225" t="str">
        <f>IF(_zhuchou5_month_day!F14="","",_zhuchou5_month_day!F14)</f>
        <v/>
      </c>
      <c r="I17" s="225">
        <v>0.94</v>
      </c>
      <c r="J17" s="225">
        <v>0.94</v>
      </c>
      <c r="K17" s="225" t="str">
        <f>IF(_zhuchou5_month_day!G14="","",_zhuchou5_month_day!G14)</f>
        <v/>
      </c>
      <c r="L17" s="225" t="str">
        <f>IF(_zhuchou5_month_day!H14="","",_zhuchou5_month_day!H14)</f>
        <v/>
      </c>
      <c r="M17" s="225" t="str">
        <f>IF(_zhuchou5_month_day!I14="","",_zhuchou5_month_day!I14)</f>
        <v/>
      </c>
      <c r="N17" s="225" t="str">
        <f>IF(_zhuchou5_month_day!J14="","",_zhuchou5_month_day!J14)</f>
        <v/>
      </c>
      <c r="O17" s="225"/>
      <c r="P17" s="225"/>
      <c r="Q17" s="229" t="s">
        <v>42</v>
      </c>
      <c r="R17" s="298"/>
      <c r="S17" s="299"/>
      <c r="T17" s="237"/>
      <c r="U17" s="225"/>
      <c r="V17" s="229" t="str">
        <f>IF(_zhuchou6_month_day!A14="","",_zhuchou6_month_day!A14)</f>
        <v/>
      </c>
      <c r="W17" s="229" t="str">
        <f>IF(_zhuchou6_month_day!B14="","",_zhuchou6_month_day!B14)</f>
        <v/>
      </c>
      <c r="X17" s="229"/>
      <c r="Y17" s="229"/>
      <c r="Z17" s="225" t="str">
        <f>IF(_zhuchou6_month_day!C14="","",_zhuchou6_month_dayC2)</f>
        <v/>
      </c>
      <c r="AA17" s="225" t="str">
        <f>IF(_zhuchou6_month_day!D14="","",_zhuchou6_month_dayC2)</f>
        <v/>
      </c>
      <c r="AB17" s="225" t="str">
        <f>IF(_zhuchou6_month_day!E14="","",_zhuchou6_month_dayC2)</f>
        <v/>
      </c>
      <c r="AC17" s="225" t="str">
        <f>IF(_zhuchou6_month_day!F14="","",_zhuchou6_month_dayC2)</f>
        <v/>
      </c>
      <c r="AD17" s="283"/>
      <c r="AE17" s="283"/>
      <c r="AF17" s="225"/>
      <c r="AG17" s="315"/>
      <c r="AH17" s="142">
        <f t="shared" si="4"/>
        <v>40512</v>
      </c>
      <c r="AI17" s="314">
        <f t="shared" si="5"/>
        <v>35367</v>
      </c>
      <c r="AJ17" s="314">
        <f t="shared" si="6"/>
        <v>75879</v>
      </c>
      <c r="AK17" s="314">
        <f t="shared" si="0"/>
        <v>0</v>
      </c>
      <c r="AL17" s="314">
        <f t="shared" si="1"/>
        <v>0</v>
      </c>
      <c r="AM17" s="314">
        <f t="shared" si="7"/>
        <v>0</v>
      </c>
      <c r="AN17" s="314" t="e">
        <f t="shared" si="8"/>
        <v>#VALUE!</v>
      </c>
      <c r="AO17" s="314" t="e">
        <f t="shared" si="9"/>
        <v>#VALUE!</v>
      </c>
      <c r="AP17" s="314" t="e">
        <f t="shared" si="10"/>
        <v>#VALUE!</v>
      </c>
      <c r="AQ17" s="314" t="e">
        <f t="shared" si="14"/>
        <v>#VALUE!</v>
      </c>
      <c r="AR17" s="314" t="e">
        <f t="shared" si="14"/>
        <v>#VALUE!</v>
      </c>
      <c r="AS17" s="314" t="e">
        <f t="shared" si="11"/>
        <v>#VALUE!</v>
      </c>
      <c r="AT17" s="319">
        <f t="shared" si="13"/>
        <v>5</v>
      </c>
      <c r="AU17" s="320">
        <f>'5烧主抽电耗'!$A$3+AT17-1</f>
        <v>43348</v>
      </c>
      <c r="AV17" s="213" t="str">
        <f t="shared" si="12"/>
        <v>丁班</v>
      </c>
    </row>
    <row r="18" spans="1:48">
      <c r="A18" s="361"/>
      <c r="B18" s="222" t="s">
        <v>39</v>
      </c>
      <c r="C18" s="276" t="str">
        <f>'6烧主抽电耗'!F16</f>
        <v>甲班</v>
      </c>
      <c r="D18" s="277">
        <v>4.3333333333333304</v>
      </c>
      <c r="E18" s="225">
        <v>43722833</v>
      </c>
      <c r="F18" s="225">
        <v>35174142</v>
      </c>
      <c r="G18" s="225" t="str">
        <f>IF(_zhuchou5_month_day!E15="","",_zhuchou5_month_day!E15)</f>
        <v/>
      </c>
      <c r="H18" s="225" t="str">
        <f>IF(_zhuchou5_month_day!F15="","",_zhuchou5_month_day!F15)</f>
        <v/>
      </c>
      <c r="I18" s="225">
        <v>0.94</v>
      </c>
      <c r="J18" s="225">
        <v>0.94</v>
      </c>
      <c r="K18" s="225" t="str">
        <f>IF(_zhuchou5_month_day!G15="","",_zhuchou5_month_day!G15)</f>
        <v/>
      </c>
      <c r="L18" s="225" t="str">
        <f>IF(_zhuchou5_month_day!H15="","",_zhuchou5_month_day!H15)</f>
        <v/>
      </c>
      <c r="M18" s="225" t="str">
        <f>IF(_zhuchou5_month_day!I15="","",_zhuchou5_month_day!I15)</f>
        <v/>
      </c>
      <c r="N18" s="225" t="str">
        <f>IF(_zhuchou5_month_day!J15="","",_zhuchou5_month_day!J15)</f>
        <v/>
      </c>
      <c r="O18" s="225"/>
      <c r="P18" s="225"/>
      <c r="Q18" s="225" t="s">
        <v>43</v>
      </c>
      <c r="R18" s="298"/>
      <c r="S18" s="299"/>
      <c r="T18" s="237"/>
      <c r="U18" s="225"/>
      <c r="V18" s="229" t="str">
        <f>IF(_zhuchou6_month_day!A15="","",_zhuchou6_month_day!A15)</f>
        <v/>
      </c>
      <c r="W18" s="229" t="str">
        <f>IF(_zhuchou6_month_day!B15="","",_zhuchou6_month_day!B15)</f>
        <v/>
      </c>
      <c r="X18" s="229"/>
      <c r="Y18" s="229"/>
      <c r="Z18" s="225" t="str">
        <f>IF(_zhuchou6_month_day!C15="","",_zhuchou6_month_dayC2)</f>
        <v/>
      </c>
      <c r="AA18" s="225" t="str">
        <f>IF(_zhuchou6_month_day!D15="","",_zhuchou6_month_dayC2)</f>
        <v/>
      </c>
      <c r="AB18" s="225" t="str">
        <f>IF(_zhuchou6_month_day!E15="","",_zhuchou6_month_dayC2)</f>
        <v/>
      </c>
      <c r="AC18" s="225" t="str">
        <f>IF(_zhuchou6_month_day!F15="","",_zhuchou6_month_dayC2)</f>
        <v/>
      </c>
      <c r="AD18" s="284"/>
      <c r="AE18" s="284"/>
      <c r="AF18" s="225"/>
      <c r="AG18" s="315"/>
      <c r="AH18" s="142">
        <f t="shared" si="4"/>
        <v>41913</v>
      </c>
      <c r="AI18" s="314">
        <f t="shared" si="5"/>
        <v>35589</v>
      </c>
      <c r="AJ18" s="314">
        <f t="shared" si="6"/>
        <v>77502</v>
      </c>
      <c r="AK18" s="314">
        <f t="shared" si="0"/>
        <v>0</v>
      </c>
      <c r="AL18" s="314">
        <f t="shared" si="1"/>
        <v>0</v>
      </c>
      <c r="AM18" s="314">
        <f t="shared" si="7"/>
        <v>0</v>
      </c>
      <c r="AN18" s="314" t="e">
        <f t="shared" si="8"/>
        <v>#VALUE!</v>
      </c>
      <c r="AO18" s="314" t="e">
        <f t="shared" si="9"/>
        <v>#VALUE!</v>
      </c>
      <c r="AP18" s="314" t="e">
        <f t="shared" si="10"/>
        <v>#VALUE!</v>
      </c>
      <c r="AQ18" s="314" t="e">
        <f t="shared" si="14"/>
        <v>#VALUE!</v>
      </c>
      <c r="AR18" s="314" t="e">
        <f t="shared" si="14"/>
        <v>#VALUE!</v>
      </c>
      <c r="AS18" s="314" t="e">
        <f t="shared" si="11"/>
        <v>#VALUE!</v>
      </c>
      <c r="AT18" s="319">
        <f t="shared" si="13"/>
        <v>5</v>
      </c>
      <c r="AU18" s="320">
        <f>'5烧主抽电耗'!$A$3+AT18-1</f>
        <v>43348</v>
      </c>
      <c r="AV18" s="213" t="str">
        <f t="shared" si="12"/>
        <v>甲班</v>
      </c>
    </row>
    <row r="19" spans="1:48">
      <c r="A19" s="361"/>
      <c r="B19" s="222" t="s">
        <v>41</v>
      </c>
      <c r="C19" s="276" t="str">
        <f>'6烧主抽电耗'!F17</f>
        <v>乙班</v>
      </c>
      <c r="D19" s="277">
        <v>4.6666666666666696</v>
      </c>
      <c r="E19" s="225">
        <v>43736804</v>
      </c>
      <c r="F19" s="225">
        <v>35186005</v>
      </c>
      <c r="G19" s="225" t="str">
        <f>IF(_zhuchou5_month_day!E16="","",_zhuchou5_month_day!E16)</f>
        <v/>
      </c>
      <c r="H19" s="225" t="str">
        <f>IF(_zhuchou5_month_day!F16="","",_zhuchou5_month_day!F16)</f>
        <v/>
      </c>
      <c r="I19" s="225">
        <v>0.94</v>
      </c>
      <c r="J19" s="225">
        <v>0.94</v>
      </c>
      <c r="K19" s="225" t="str">
        <f>IF(_zhuchou5_month_day!G16="","",_zhuchou5_month_day!G16)</f>
        <v/>
      </c>
      <c r="L19" s="225" t="str">
        <f>IF(_zhuchou5_month_day!H16="","",_zhuchou5_month_day!H16)</f>
        <v/>
      </c>
      <c r="M19" s="225" t="str">
        <f>IF(_zhuchou5_month_day!I16="","",_zhuchou5_month_day!I16)</f>
        <v/>
      </c>
      <c r="N19" s="225" t="str">
        <f>IF(_zhuchou5_month_day!J16="","",_zhuchou5_month_day!J16)</f>
        <v/>
      </c>
      <c r="O19" s="225"/>
      <c r="P19" s="225"/>
      <c r="Q19" s="225" t="s">
        <v>38</v>
      </c>
      <c r="R19" s="298"/>
      <c r="S19" s="299"/>
      <c r="T19" s="237"/>
      <c r="U19" s="225"/>
      <c r="V19" s="229" t="str">
        <f>IF(_zhuchou6_month_day!A16="","",_zhuchou6_month_day!A16)</f>
        <v/>
      </c>
      <c r="W19" s="229" t="str">
        <f>IF(_zhuchou6_month_day!B16="","",_zhuchou6_month_day!B16)</f>
        <v/>
      </c>
      <c r="X19" s="229"/>
      <c r="Y19" s="229"/>
      <c r="Z19" s="225" t="str">
        <f>IF(_zhuchou6_month_day!C16="","",_zhuchou6_month_dayC2)</f>
        <v/>
      </c>
      <c r="AA19" s="225" t="str">
        <f>IF(_zhuchou6_month_day!D16="","",_zhuchou6_month_dayC2)</f>
        <v/>
      </c>
      <c r="AB19" s="225" t="str">
        <f>IF(_zhuchou6_month_day!E16="","",_zhuchou6_month_dayC2)</f>
        <v/>
      </c>
      <c r="AC19" s="225" t="str">
        <f>IF(_zhuchou6_month_day!F16="","",_zhuchou6_month_dayC2)</f>
        <v/>
      </c>
      <c r="AD19" s="284"/>
      <c r="AE19" s="284"/>
      <c r="AF19" s="225"/>
      <c r="AG19" s="315"/>
      <c r="AH19" s="142">
        <f t="shared" si="4"/>
        <v>38577</v>
      </c>
      <c r="AI19" s="314">
        <f t="shared" si="5"/>
        <v>33921</v>
      </c>
      <c r="AJ19" s="314">
        <f t="shared" si="6"/>
        <v>72498</v>
      </c>
      <c r="AK19" s="314">
        <f t="shared" si="0"/>
        <v>0</v>
      </c>
      <c r="AL19" s="314">
        <f t="shared" si="1"/>
        <v>0</v>
      </c>
      <c r="AM19" s="314">
        <f t="shared" si="7"/>
        <v>0</v>
      </c>
      <c r="AN19" s="314" t="e">
        <f t="shared" si="8"/>
        <v>#VALUE!</v>
      </c>
      <c r="AO19" s="314" t="e">
        <f t="shared" si="9"/>
        <v>#VALUE!</v>
      </c>
      <c r="AP19" s="314" t="e">
        <f t="shared" si="10"/>
        <v>#VALUE!</v>
      </c>
      <c r="AQ19" s="314" t="e">
        <f t="shared" si="14"/>
        <v>#VALUE!</v>
      </c>
      <c r="AR19" s="314" t="e">
        <f t="shared" si="14"/>
        <v>#VALUE!</v>
      </c>
      <c r="AS19" s="314" t="e">
        <f t="shared" si="11"/>
        <v>#VALUE!</v>
      </c>
      <c r="AT19" s="319">
        <f t="shared" si="13"/>
        <v>5</v>
      </c>
      <c r="AU19" s="320">
        <f>'5烧主抽电耗'!$A$3+AT19-1</f>
        <v>43348</v>
      </c>
      <c r="AV19" s="213" t="str">
        <f t="shared" si="12"/>
        <v>乙班</v>
      </c>
    </row>
    <row r="20" spans="1:48">
      <c r="A20" s="361">
        <v>6</v>
      </c>
      <c r="B20" s="222" t="s">
        <v>37</v>
      </c>
      <c r="C20" s="276" t="str">
        <f>'6烧主抽电耗'!F18</f>
        <v>丙班</v>
      </c>
      <c r="D20" s="277">
        <v>5</v>
      </c>
      <c r="E20" s="225">
        <v>43749663</v>
      </c>
      <c r="F20" s="225">
        <v>35197312</v>
      </c>
      <c r="G20" s="225" t="str">
        <f>IF(_zhuchou5_month_day!E17="","",_zhuchou5_month_day!E17)</f>
        <v/>
      </c>
      <c r="H20" s="225" t="str">
        <f>IF(_zhuchou5_month_day!F17="","",_zhuchou5_month_day!F17)</f>
        <v/>
      </c>
      <c r="I20" s="225">
        <v>0.94</v>
      </c>
      <c r="J20" s="225">
        <v>0.94</v>
      </c>
      <c r="K20" s="225" t="str">
        <f>IF(_zhuchou5_month_day!G17="","",_zhuchou5_month_day!G17)</f>
        <v/>
      </c>
      <c r="L20" s="225" t="str">
        <f>IF(_zhuchou5_month_day!H17="","",_zhuchou5_month_day!H17)</f>
        <v/>
      </c>
      <c r="M20" s="225" t="str">
        <f>IF(_zhuchou5_month_day!I17="","",_zhuchou5_month_day!I17)</f>
        <v/>
      </c>
      <c r="N20" s="225" t="str">
        <f>IF(_zhuchou5_month_day!J17="","",_zhuchou5_month_day!J17)</f>
        <v/>
      </c>
      <c r="O20" s="225"/>
      <c r="P20" s="225"/>
      <c r="Q20" s="227" t="s">
        <v>40</v>
      </c>
      <c r="R20" s="298"/>
      <c r="S20" s="299"/>
      <c r="T20" s="229"/>
      <c r="U20" s="229"/>
      <c r="V20" s="229" t="str">
        <f>IF(_zhuchou6_month_day!A17="","",_zhuchou6_month_day!A17)</f>
        <v/>
      </c>
      <c r="W20" s="229" t="str">
        <f>IF(_zhuchou6_month_day!B17="","",_zhuchou6_month_day!B17)</f>
        <v/>
      </c>
      <c r="X20" s="229"/>
      <c r="Y20" s="229"/>
      <c r="Z20" s="225" t="str">
        <f>IF(_zhuchou6_month_day!C17="","",_zhuchou6_month_dayC2)</f>
        <v/>
      </c>
      <c r="AA20" s="225" t="str">
        <f>IF(_zhuchou6_month_day!D17="","",_zhuchou6_month_dayC2)</f>
        <v/>
      </c>
      <c r="AB20" s="225" t="str">
        <f>IF(_zhuchou6_month_day!E17="","",_zhuchou6_month_dayC2)</f>
        <v/>
      </c>
      <c r="AC20" s="225" t="str">
        <f>IF(_zhuchou6_month_day!F17="","",_zhuchou6_month_dayC2)</f>
        <v/>
      </c>
      <c r="AD20" s="284"/>
      <c r="AE20" s="284"/>
      <c r="AF20" s="225"/>
      <c r="AG20" s="315"/>
      <c r="AH20" s="142">
        <f t="shared" si="4"/>
        <v>39927</v>
      </c>
      <c r="AI20" s="314">
        <f t="shared" si="5"/>
        <v>33627</v>
      </c>
      <c r="AJ20" s="314">
        <f t="shared" si="6"/>
        <v>73554</v>
      </c>
      <c r="AK20" s="314">
        <f>(T23-T20)*3</f>
        <v>0</v>
      </c>
      <c r="AL20" s="314">
        <f>(U23-U20)*3</f>
        <v>0</v>
      </c>
      <c r="AM20" s="314">
        <f t="shared" si="7"/>
        <v>0</v>
      </c>
      <c r="AN20" s="314" t="e">
        <f t="shared" si="8"/>
        <v>#VALUE!</v>
      </c>
      <c r="AO20" s="314" t="e">
        <f t="shared" si="9"/>
        <v>#VALUE!</v>
      </c>
      <c r="AP20" s="314" t="e">
        <f t="shared" si="10"/>
        <v>#VALUE!</v>
      </c>
      <c r="AQ20" s="314" t="e">
        <f t="shared" si="14"/>
        <v>#VALUE!</v>
      </c>
      <c r="AR20" s="314" t="e">
        <f t="shared" si="14"/>
        <v>#VALUE!</v>
      </c>
      <c r="AS20" s="314" t="e">
        <f t="shared" si="11"/>
        <v>#VALUE!</v>
      </c>
      <c r="AT20" s="319">
        <f t="shared" si="13"/>
        <v>6</v>
      </c>
      <c r="AU20" s="320">
        <f>'5烧主抽电耗'!$A$3+AT20-1</f>
        <v>43349</v>
      </c>
      <c r="AV20" s="213" t="str">
        <f t="shared" si="12"/>
        <v>丙班</v>
      </c>
    </row>
    <row r="21" spans="1:48">
      <c r="A21" s="361"/>
      <c r="B21" s="222" t="s">
        <v>39</v>
      </c>
      <c r="C21" s="276" t="str">
        <f>'6烧主抽电耗'!F19</f>
        <v>丁班</v>
      </c>
      <c r="D21" s="277">
        <v>5.3333333333333304</v>
      </c>
      <c r="E21" s="225">
        <v>43762972</v>
      </c>
      <c r="F21" s="225">
        <v>35208521</v>
      </c>
      <c r="G21" s="225" t="str">
        <f>IF(_zhuchou5_month_day!E18="","",_zhuchou5_month_day!E18)</f>
        <v/>
      </c>
      <c r="H21" s="225" t="str">
        <f>IF(_zhuchou5_month_day!F18="","",_zhuchou5_month_day!F18)</f>
        <v/>
      </c>
      <c r="I21" s="225">
        <v>0.94</v>
      </c>
      <c r="J21" s="225">
        <v>0.94</v>
      </c>
      <c r="K21" s="225" t="str">
        <f>IF(_zhuchou5_month_day!G18="","",_zhuchou5_month_day!G18)</f>
        <v/>
      </c>
      <c r="L21" s="225" t="str">
        <f>IF(_zhuchou5_month_day!H18="","",_zhuchou5_month_day!H18)</f>
        <v/>
      </c>
      <c r="M21" s="225" t="str">
        <f>IF(_zhuchou5_month_day!I18="","",_zhuchou5_month_day!I18)</f>
        <v/>
      </c>
      <c r="N21" s="225" t="str">
        <f>IF(_zhuchou5_month_day!J18="","",_zhuchou5_month_day!J18)</f>
        <v/>
      </c>
      <c r="O21" s="225"/>
      <c r="P21" s="225"/>
      <c r="Q21" s="229" t="s">
        <v>42</v>
      </c>
      <c r="R21" s="298"/>
      <c r="S21" s="299"/>
      <c r="T21" s="240"/>
      <c r="U21" s="229"/>
      <c r="V21" s="229" t="str">
        <f>IF(_zhuchou6_month_day!A18="","",_zhuchou6_month_day!A18)</f>
        <v/>
      </c>
      <c r="W21" s="229" t="str">
        <f>IF(_zhuchou6_month_day!B18="","",_zhuchou6_month_day!B18)</f>
        <v/>
      </c>
      <c r="X21" s="229"/>
      <c r="Y21" s="229"/>
      <c r="Z21" s="225" t="str">
        <f>IF(_zhuchou6_month_day!C18="","",_zhuchou6_month_dayC2)</f>
        <v/>
      </c>
      <c r="AA21" s="225" t="str">
        <f>IF(_zhuchou6_month_day!D18="","",_zhuchou6_month_dayC2)</f>
        <v/>
      </c>
      <c r="AB21" s="225" t="str">
        <f>IF(_zhuchou6_month_day!E18="","",_zhuchou6_month_dayC2)</f>
        <v/>
      </c>
      <c r="AC21" s="225" t="str">
        <f>IF(_zhuchou6_month_day!F18="","",_zhuchou6_month_dayC2)</f>
        <v/>
      </c>
      <c r="AD21" s="283"/>
      <c r="AE21" s="283"/>
      <c r="AF21" s="225"/>
      <c r="AG21" s="315"/>
      <c r="AH21" s="142">
        <f t="shared" si="4"/>
        <v>40206</v>
      </c>
      <c r="AI21" s="314">
        <f t="shared" si="5"/>
        <v>35115</v>
      </c>
      <c r="AJ21" s="314">
        <f t="shared" si="6"/>
        <v>75321</v>
      </c>
      <c r="AK21" s="314">
        <f t="shared" ref="AK21:AK37" si="15">(T24-T23)*3</f>
        <v>0</v>
      </c>
      <c r="AL21" s="314">
        <f t="shared" ref="AL21:AL37" si="16">(U24-U23)*3</f>
        <v>0</v>
      </c>
      <c r="AM21" s="314">
        <f t="shared" si="7"/>
        <v>0</v>
      </c>
      <c r="AN21" s="314" t="e">
        <f t="shared" si="8"/>
        <v>#VALUE!</v>
      </c>
      <c r="AO21" s="314" t="e">
        <f t="shared" si="9"/>
        <v>#VALUE!</v>
      </c>
      <c r="AP21" s="314" t="e">
        <f t="shared" si="10"/>
        <v>#VALUE!</v>
      </c>
      <c r="AQ21" s="314" t="e">
        <f t="shared" ref="AQ21:AQ37" si="17">V23*10000*(8-$AD23)*1.732*X23/1000</f>
        <v>#VALUE!</v>
      </c>
      <c r="AR21" s="314" t="e">
        <f t="shared" ref="AR21:AR37" si="18">W23*10000*(8-$AD23)*1.732*Y23/1000</f>
        <v>#VALUE!</v>
      </c>
      <c r="AS21" s="314" t="e">
        <f t="shared" si="11"/>
        <v>#VALUE!</v>
      </c>
      <c r="AT21" s="319">
        <f t="shared" si="13"/>
        <v>6</v>
      </c>
      <c r="AU21" s="320">
        <f>'5烧主抽电耗'!$A$3+AT21-1</f>
        <v>43349</v>
      </c>
      <c r="AV21" s="213" t="str">
        <f t="shared" si="12"/>
        <v>丁班</v>
      </c>
    </row>
    <row r="22" spans="1:48">
      <c r="A22" s="361"/>
      <c r="B22" s="222" t="s">
        <v>41</v>
      </c>
      <c r="C22" s="276" t="str">
        <f>'6烧主抽电耗'!F20</f>
        <v>甲班</v>
      </c>
      <c r="D22" s="277">
        <v>5.6666666666666696</v>
      </c>
      <c r="E22" s="225">
        <v>43776374</v>
      </c>
      <c r="F22" s="225">
        <v>35220226</v>
      </c>
      <c r="G22" s="225" t="str">
        <f>IF(_zhuchou5_month_day!E19="","",_zhuchou5_month_day!E19)</f>
        <v/>
      </c>
      <c r="H22" s="225" t="str">
        <f>IF(_zhuchou5_month_day!F19="","",_zhuchou5_month_day!F19)</f>
        <v/>
      </c>
      <c r="I22" s="225">
        <v>0.94</v>
      </c>
      <c r="J22" s="225">
        <v>0.94</v>
      </c>
      <c r="K22" s="225" t="str">
        <f>IF(_zhuchou5_month_day!G19="","",_zhuchou5_month_day!G19)</f>
        <v/>
      </c>
      <c r="L22" s="225" t="str">
        <f>IF(_zhuchou5_month_day!H19="","",_zhuchou5_month_day!H19)</f>
        <v/>
      </c>
      <c r="M22" s="225" t="str">
        <f>IF(_zhuchou5_month_day!I19="","",_zhuchou5_month_day!I19)</f>
        <v/>
      </c>
      <c r="N22" s="225" t="str">
        <f>IF(_zhuchou5_month_day!J19="","",_zhuchou5_month_day!J19)</f>
        <v/>
      </c>
      <c r="O22" s="225"/>
      <c r="P22" s="225"/>
      <c r="Q22" s="225" t="s">
        <v>43</v>
      </c>
      <c r="R22" s="298"/>
      <c r="S22" s="299"/>
      <c r="T22" s="240"/>
      <c r="U22" s="229"/>
      <c r="V22" s="229" t="str">
        <f>IF(_zhuchou6_month_day!A19="","",_zhuchou6_month_day!A19)</f>
        <v/>
      </c>
      <c r="W22" s="229" t="str">
        <f>IF(_zhuchou6_month_day!B19="","",_zhuchou6_month_day!B19)</f>
        <v/>
      </c>
      <c r="X22" s="229"/>
      <c r="Y22" s="229"/>
      <c r="Z22" s="225" t="str">
        <f>IF(_zhuchou6_month_day!C19="","",_zhuchou6_month_dayC2)</f>
        <v/>
      </c>
      <c r="AA22" s="225" t="str">
        <f>IF(_zhuchou6_month_day!D19="","",_zhuchou6_month_dayC2)</f>
        <v/>
      </c>
      <c r="AB22" s="225" t="str">
        <f>IF(_zhuchou6_month_day!E19="","",_zhuchou6_month_dayC2)</f>
        <v/>
      </c>
      <c r="AC22" s="225" t="str">
        <f>IF(_zhuchou6_month_day!F19="","",_zhuchou6_month_dayC2)</f>
        <v/>
      </c>
      <c r="AD22" s="284"/>
      <c r="AE22" s="284"/>
      <c r="AF22" s="225"/>
      <c r="AG22" s="315"/>
      <c r="AH22" s="142">
        <f t="shared" si="4"/>
        <v>43323</v>
      </c>
      <c r="AI22" s="314">
        <f t="shared" si="5"/>
        <v>37269</v>
      </c>
      <c r="AJ22" s="314">
        <f t="shared" si="6"/>
        <v>80592</v>
      </c>
      <c r="AK22" s="314">
        <f t="shared" si="15"/>
        <v>0</v>
      </c>
      <c r="AL22" s="314">
        <f t="shared" si="16"/>
        <v>0</v>
      </c>
      <c r="AM22" s="314">
        <f t="shared" si="7"/>
        <v>0</v>
      </c>
      <c r="AN22" s="314" t="e">
        <f t="shared" si="8"/>
        <v>#VALUE!</v>
      </c>
      <c r="AO22" s="314" t="e">
        <f t="shared" si="9"/>
        <v>#VALUE!</v>
      </c>
      <c r="AP22" s="314" t="e">
        <f t="shared" si="10"/>
        <v>#VALUE!</v>
      </c>
      <c r="AQ22" s="314" t="e">
        <f t="shared" si="17"/>
        <v>#VALUE!</v>
      </c>
      <c r="AR22" s="314" t="e">
        <f t="shared" si="18"/>
        <v>#VALUE!</v>
      </c>
      <c r="AS22" s="314" t="e">
        <f t="shared" si="11"/>
        <v>#VALUE!</v>
      </c>
      <c r="AT22" s="319">
        <f t="shared" si="13"/>
        <v>6</v>
      </c>
      <c r="AU22" s="320">
        <f>'5烧主抽电耗'!$A$3+AT22-1</f>
        <v>43349</v>
      </c>
      <c r="AV22" s="213" t="str">
        <f t="shared" si="12"/>
        <v>甲班</v>
      </c>
    </row>
    <row r="23" spans="1:48">
      <c r="A23" s="361">
        <v>7</v>
      </c>
      <c r="B23" s="222" t="s">
        <v>37</v>
      </c>
      <c r="C23" s="276" t="str">
        <f>'6烧主抽电耗'!F21</f>
        <v>丙班</v>
      </c>
      <c r="D23" s="277">
        <v>6</v>
      </c>
      <c r="E23" s="225">
        <v>43790815</v>
      </c>
      <c r="F23" s="225">
        <v>35232649</v>
      </c>
      <c r="G23" s="225" t="str">
        <f>IF(_zhuchou5_month_day!E20="","",_zhuchou5_month_day!E20)</f>
        <v/>
      </c>
      <c r="H23" s="225" t="str">
        <f>IF(_zhuchou5_month_day!F20="","",_zhuchou5_month_day!F20)</f>
        <v/>
      </c>
      <c r="I23" s="225">
        <v>0.94</v>
      </c>
      <c r="J23" s="225">
        <v>0.94</v>
      </c>
      <c r="K23" s="225" t="str">
        <f>IF(_zhuchou5_month_day!G20="","",_zhuchou5_month_day!G20)</f>
        <v/>
      </c>
      <c r="L23" s="225" t="str">
        <f>IF(_zhuchou5_month_day!H20="","",_zhuchou5_month_day!H20)</f>
        <v/>
      </c>
      <c r="M23" s="225" t="str">
        <f>IF(_zhuchou5_month_day!I20="","",_zhuchou5_month_day!I20)</f>
        <v/>
      </c>
      <c r="N23" s="225" t="str">
        <f>IF(_zhuchou5_month_day!J20="","",_zhuchou5_month_day!J20)</f>
        <v/>
      </c>
      <c r="O23" s="225"/>
      <c r="P23" s="225"/>
      <c r="Q23" s="227" t="s">
        <v>40</v>
      </c>
      <c r="R23" s="298"/>
      <c r="S23" s="299"/>
      <c r="T23" s="237"/>
      <c r="U23" s="225"/>
      <c r="V23" s="229" t="str">
        <f>IF(_zhuchou6_month_day!A20="","",_zhuchou6_month_day!A20)</f>
        <v/>
      </c>
      <c r="W23" s="229" t="str">
        <f>IF(_zhuchou6_month_day!B20="","",_zhuchou6_month_day!B20)</f>
        <v/>
      </c>
      <c r="X23" s="229"/>
      <c r="Y23" s="229"/>
      <c r="Z23" s="225" t="str">
        <f>IF(_zhuchou6_month_day!C20="","",_zhuchou6_month_dayC2)</f>
        <v/>
      </c>
      <c r="AA23" s="225" t="str">
        <f>IF(_zhuchou6_month_day!D20="","",_zhuchou6_month_dayC2)</f>
        <v/>
      </c>
      <c r="AB23" s="225" t="str">
        <f>IF(_zhuchou6_month_day!E20="","",_zhuchou6_month_dayC2)</f>
        <v/>
      </c>
      <c r="AC23" s="225" t="str">
        <f>IF(_zhuchou6_month_day!F20="","",_zhuchou6_month_dayC2)</f>
        <v/>
      </c>
      <c r="AD23" s="284"/>
      <c r="AE23" s="284"/>
      <c r="AF23" s="225"/>
      <c r="AG23" s="315"/>
      <c r="AH23" s="142">
        <f t="shared" si="4"/>
        <v>39489</v>
      </c>
      <c r="AI23" s="314">
        <f t="shared" si="5"/>
        <v>34290</v>
      </c>
      <c r="AJ23" s="314">
        <f t="shared" si="6"/>
        <v>73779</v>
      </c>
      <c r="AK23" s="314">
        <f t="shared" si="15"/>
        <v>0</v>
      </c>
      <c r="AL23" s="314">
        <f t="shared" si="16"/>
        <v>0</v>
      </c>
      <c r="AM23" s="314">
        <f t="shared" si="7"/>
        <v>0</v>
      </c>
      <c r="AN23" s="314" t="e">
        <f t="shared" si="8"/>
        <v>#VALUE!</v>
      </c>
      <c r="AO23" s="314" t="e">
        <f t="shared" si="9"/>
        <v>#VALUE!</v>
      </c>
      <c r="AP23" s="314" t="e">
        <f t="shared" si="10"/>
        <v>#VALUE!</v>
      </c>
      <c r="AQ23" s="314" t="e">
        <f t="shared" si="17"/>
        <v>#VALUE!</v>
      </c>
      <c r="AR23" s="314" t="e">
        <f t="shared" si="18"/>
        <v>#VALUE!</v>
      </c>
      <c r="AS23" s="314" t="e">
        <f t="shared" si="11"/>
        <v>#VALUE!</v>
      </c>
      <c r="AT23" s="319">
        <f t="shared" si="13"/>
        <v>7</v>
      </c>
      <c r="AU23" s="320">
        <f>'5烧主抽电耗'!$A$3+AT23-1</f>
        <v>43350</v>
      </c>
      <c r="AV23" s="213" t="str">
        <f t="shared" si="12"/>
        <v>丙班</v>
      </c>
    </row>
    <row r="24" spans="1:48">
      <c r="A24" s="361"/>
      <c r="B24" s="222" t="s">
        <v>39</v>
      </c>
      <c r="C24" s="276" t="str">
        <f>'6烧主抽电耗'!F22</f>
        <v>丁班</v>
      </c>
      <c r="D24" s="277">
        <v>6.3333333333333304</v>
      </c>
      <c r="E24" s="225">
        <v>43803978</v>
      </c>
      <c r="F24" s="225">
        <v>35244079</v>
      </c>
      <c r="G24" s="225" t="str">
        <f>IF(_zhuchou5_month_day!E21="","",_zhuchou5_month_day!E21)</f>
        <v/>
      </c>
      <c r="H24" s="225" t="str">
        <f>IF(_zhuchou5_month_day!F21="","",_zhuchou5_month_day!F21)</f>
        <v/>
      </c>
      <c r="I24" s="225">
        <v>0.94</v>
      </c>
      <c r="J24" s="225">
        <v>0.94</v>
      </c>
      <c r="K24" s="225" t="str">
        <f>IF(_zhuchou5_month_day!G21="","",_zhuchou5_month_day!G21)</f>
        <v/>
      </c>
      <c r="L24" s="225" t="str">
        <f>IF(_zhuchou5_month_day!H21="","",_zhuchou5_month_day!H21)</f>
        <v/>
      </c>
      <c r="M24" s="225" t="str">
        <f>IF(_zhuchou5_month_day!I21="","",_zhuchou5_month_day!I21)</f>
        <v/>
      </c>
      <c r="N24" s="225" t="str">
        <f>IF(_zhuchou5_month_day!J21="","",_zhuchou5_month_day!J21)</f>
        <v/>
      </c>
      <c r="O24" s="225"/>
      <c r="P24" s="225"/>
      <c r="Q24" s="229" t="s">
        <v>42</v>
      </c>
      <c r="R24" s="298"/>
      <c r="S24" s="299"/>
      <c r="T24" s="237"/>
      <c r="U24" s="225"/>
      <c r="V24" s="229" t="str">
        <f>IF(_zhuchou6_month_day!A21="","",_zhuchou6_month_day!A21)</f>
        <v/>
      </c>
      <c r="W24" s="229" t="str">
        <f>IF(_zhuchou6_month_day!B21="","",_zhuchou6_month_day!B21)</f>
        <v/>
      </c>
      <c r="X24" s="229"/>
      <c r="Y24" s="229"/>
      <c r="Z24" s="225" t="str">
        <f>IF(_zhuchou6_month_day!C21="","",_zhuchou6_month_dayC2)</f>
        <v/>
      </c>
      <c r="AA24" s="225" t="str">
        <f>IF(_zhuchou6_month_day!D21="","",_zhuchou6_month_dayC2)</f>
        <v/>
      </c>
      <c r="AB24" s="225" t="str">
        <f>IF(_zhuchou6_month_day!E21="","",_zhuchou6_month_dayC2)</f>
        <v/>
      </c>
      <c r="AC24" s="225" t="str">
        <f>IF(_zhuchou6_month_day!F21="","",_zhuchou6_month_dayC2)</f>
        <v/>
      </c>
      <c r="AD24" s="283"/>
      <c r="AE24" s="283"/>
      <c r="AF24" s="225"/>
      <c r="AG24" s="315"/>
      <c r="AH24" s="142">
        <f t="shared" si="4"/>
        <v>40629</v>
      </c>
      <c r="AI24" s="314">
        <f t="shared" si="5"/>
        <v>35418</v>
      </c>
      <c r="AJ24" s="314">
        <f t="shared" si="6"/>
        <v>76047</v>
      </c>
      <c r="AK24" s="314">
        <f t="shared" si="15"/>
        <v>0</v>
      </c>
      <c r="AL24" s="314">
        <f t="shared" si="16"/>
        <v>0</v>
      </c>
      <c r="AM24" s="314">
        <f t="shared" si="7"/>
        <v>0</v>
      </c>
      <c r="AN24" s="314" t="e">
        <f t="shared" si="8"/>
        <v>#VALUE!</v>
      </c>
      <c r="AO24" s="314" t="e">
        <f t="shared" si="9"/>
        <v>#VALUE!</v>
      </c>
      <c r="AP24" s="314" t="e">
        <f t="shared" si="10"/>
        <v>#VALUE!</v>
      </c>
      <c r="AQ24" s="314" t="e">
        <f t="shared" si="17"/>
        <v>#VALUE!</v>
      </c>
      <c r="AR24" s="314" t="e">
        <f t="shared" si="18"/>
        <v>#VALUE!</v>
      </c>
      <c r="AS24" s="314" t="e">
        <f t="shared" si="11"/>
        <v>#VALUE!</v>
      </c>
      <c r="AT24" s="319">
        <f t="shared" si="13"/>
        <v>7</v>
      </c>
      <c r="AU24" s="320">
        <f>'5烧主抽电耗'!$A$3+AT24-1</f>
        <v>43350</v>
      </c>
      <c r="AV24" s="213" t="str">
        <f t="shared" si="12"/>
        <v>丁班</v>
      </c>
    </row>
    <row r="25" spans="1:48">
      <c r="A25" s="361"/>
      <c r="B25" s="222" t="s">
        <v>41</v>
      </c>
      <c r="C25" s="276" t="str">
        <f>'6烧主抽电耗'!F23</f>
        <v>甲班</v>
      </c>
      <c r="D25" s="277">
        <v>6.6666666666666696</v>
      </c>
      <c r="E25" s="225">
        <v>43817521</v>
      </c>
      <c r="F25" s="225">
        <v>35255885</v>
      </c>
      <c r="G25" s="225" t="str">
        <f>IF(_zhuchou5_month_day!E22="","",_zhuchou5_month_day!E22)</f>
        <v/>
      </c>
      <c r="H25" s="225" t="str">
        <f>IF(_zhuchou5_month_day!F22="","",_zhuchou5_month_day!F22)</f>
        <v/>
      </c>
      <c r="I25" s="225">
        <v>0.94</v>
      </c>
      <c r="J25" s="225">
        <v>0.94</v>
      </c>
      <c r="K25" s="225" t="str">
        <f>IF(_zhuchou5_month_day!G22="","",_zhuchou5_month_day!G22)</f>
        <v/>
      </c>
      <c r="L25" s="225" t="str">
        <f>IF(_zhuchou5_month_day!H22="","",_zhuchou5_month_day!H22)</f>
        <v/>
      </c>
      <c r="M25" s="225" t="str">
        <f>IF(_zhuchou5_month_day!I22="","",_zhuchou5_month_day!I22)</f>
        <v/>
      </c>
      <c r="N25" s="225" t="str">
        <f>IF(_zhuchou5_month_day!J22="","",_zhuchou5_month_day!J22)</f>
        <v/>
      </c>
      <c r="O25" s="225"/>
      <c r="P25" s="225"/>
      <c r="Q25" s="229" t="s">
        <v>43</v>
      </c>
      <c r="R25" s="298"/>
      <c r="S25" s="299"/>
      <c r="T25" s="229"/>
      <c r="U25" s="229"/>
      <c r="V25" s="229" t="str">
        <f>IF(_zhuchou6_month_day!A22="","",_zhuchou6_month_day!A22)</f>
        <v/>
      </c>
      <c r="W25" s="229" t="str">
        <f>IF(_zhuchou6_month_day!B22="","",_zhuchou6_month_day!B22)</f>
        <v/>
      </c>
      <c r="X25" s="229"/>
      <c r="Y25" s="229"/>
      <c r="Z25" s="225" t="str">
        <f>IF(_zhuchou6_month_day!C22="","",_zhuchou6_month_dayC2)</f>
        <v/>
      </c>
      <c r="AA25" s="225" t="str">
        <f>IF(_zhuchou6_month_day!D22="","",_zhuchou6_month_dayC2)</f>
        <v/>
      </c>
      <c r="AB25" s="225" t="str">
        <f>IF(_zhuchou6_month_day!E22="","",_zhuchou6_month_dayC2)</f>
        <v/>
      </c>
      <c r="AC25" s="225" t="str">
        <f>IF(_zhuchou6_month_day!F22="","",_zhuchou6_month_dayC2)</f>
        <v/>
      </c>
      <c r="AD25" s="284"/>
      <c r="AE25" s="284"/>
      <c r="AF25" s="225"/>
      <c r="AG25" s="315"/>
      <c r="AH25" s="142">
        <f t="shared" si="4"/>
        <v>42300</v>
      </c>
      <c r="AI25" s="314">
        <f t="shared" si="5"/>
        <v>37842</v>
      </c>
      <c r="AJ25" s="314">
        <f t="shared" si="6"/>
        <v>80142</v>
      </c>
      <c r="AK25" s="314">
        <f t="shared" si="15"/>
        <v>0</v>
      </c>
      <c r="AL25" s="314">
        <f t="shared" si="16"/>
        <v>0</v>
      </c>
      <c r="AM25" s="314">
        <f t="shared" si="7"/>
        <v>0</v>
      </c>
      <c r="AN25" s="314" t="e">
        <f t="shared" si="8"/>
        <v>#VALUE!</v>
      </c>
      <c r="AO25" s="314" t="e">
        <f t="shared" si="9"/>
        <v>#VALUE!</v>
      </c>
      <c r="AP25" s="314" t="e">
        <f t="shared" si="10"/>
        <v>#VALUE!</v>
      </c>
      <c r="AQ25" s="314" t="e">
        <f t="shared" si="17"/>
        <v>#VALUE!</v>
      </c>
      <c r="AR25" s="314" t="e">
        <f t="shared" si="18"/>
        <v>#VALUE!</v>
      </c>
      <c r="AS25" s="314" t="e">
        <f t="shared" si="11"/>
        <v>#VALUE!</v>
      </c>
      <c r="AT25" s="319">
        <f t="shared" si="13"/>
        <v>7</v>
      </c>
      <c r="AU25" s="320">
        <f>'5烧主抽电耗'!$A$3+AT25-1</f>
        <v>43350</v>
      </c>
      <c r="AV25" s="213" t="str">
        <f t="shared" si="12"/>
        <v>甲班</v>
      </c>
    </row>
    <row r="26" spans="1:48">
      <c r="A26" s="361">
        <v>8</v>
      </c>
      <c r="B26" s="222" t="s">
        <v>37</v>
      </c>
      <c r="C26" s="276" t="str">
        <f>'6烧主抽电耗'!F24</f>
        <v>乙班</v>
      </c>
      <c r="D26" s="277">
        <v>7</v>
      </c>
      <c r="E26" s="225">
        <v>43831621</v>
      </c>
      <c r="F26" s="225">
        <v>35268499</v>
      </c>
      <c r="G26" s="225" t="str">
        <f>IF(_zhuchou5_month_day!E23="","",_zhuchou5_month_day!E23)</f>
        <v/>
      </c>
      <c r="H26" s="225" t="str">
        <f>IF(_zhuchou5_month_day!F23="","",_zhuchou5_month_day!F23)</f>
        <v/>
      </c>
      <c r="I26" s="225">
        <v>0.94</v>
      </c>
      <c r="J26" s="225">
        <v>0.94</v>
      </c>
      <c r="K26" s="225" t="str">
        <f>IF(_zhuchou5_month_day!G23="","",_zhuchou5_month_day!G23)</f>
        <v/>
      </c>
      <c r="L26" s="225" t="str">
        <f>IF(_zhuchou5_month_day!H23="","",_zhuchou5_month_day!H23)</f>
        <v/>
      </c>
      <c r="M26" s="225" t="str">
        <f>IF(_zhuchou5_month_day!I23="","",_zhuchou5_month_day!I23)</f>
        <v/>
      </c>
      <c r="N26" s="225" t="str">
        <f>IF(_zhuchou5_month_day!J23="","",_zhuchou5_month_day!J23)</f>
        <v/>
      </c>
      <c r="O26" s="225"/>
      <c r="P26" s="225"/>
      <c r="Q26" s="225" t="s">
        <v>38</v>
      </c>
      <c r="R26" s="298"/>
      <c r="S26" s="299"/>
      <c r="T26" s="229"/>
      <c r="U26" s="229"/>
      <c r="V26" s="229" t="str">
        <f>IF(_zhuchou6_month_day!A23="","",_zhuchou6_month_day!A23)</f>
        <v/>
      </c>
      <c r="W26" s="229" t="str">
        <f>IF(_zhuchou6_month_day!B23="","",_zhuchou6_month_day!B23)</f>
        <v/>
      </c>
      <c r="X26" s="229"/>
      <c r="Y26" s="229"/>
      <c r="Z26" s="225" t="str">
        <f>IF(_zhuchou6_month_day!C23="","",_zhuchou6_month_dayC2)</f>
        <v/>
      </c>
      <c r="AA26" s="225" t="str">
        <f>IF(_zhuchou6_month_day!D23="","",_zhuchou6_month_dayC2)</f>
        <v/>
      </c>
      <c r="AB26" s="225" t="str">
        <f>IF(_zhuchou6_month_day!E23="","",_zhuchou6_month_dayC2)</f>
        <v/>
      </c>
      <c r="AC26" s="225" t="str">
        <f>IF(_zhuchou6_month_day!F23="","",_zhuchou6_month_dayC2)</f>
        <v/>
      </c>
      <c r="AD26" s="284"/>
      <c r="AE26" s="284"/>
      <c r="AF26" s="225"/>
      <c r="AG26" s="315"/>
      <c r="AH26" s="142">
        <f t="shared" si="4"/>
        <v>40836</v>
      </c>
      <c r="AI26" s="314">
        <f t="shared" si="5"/>
        <v>36438</v>
      </c>
      <c r="AJ26" s="314">
        <f t="shared" si="6"/>
        <v>77274</v>
      </c>
      <c r="AK26" s="314">
        <f t="shared" si="15"/>
        <v>0</v>
      </c>
      <c r="AL26" s="314">
        <f t="shared" si="16"/>
        <v>0</v>
      </c>
      <c r="AM26" s="314">
        <f t="shared" si="7"/>
        <v>0</v>
      </c>
      <c r="AN26" s="314" t="e">
        <f t="shared" si="8"/>
        <v>#VALUE!</v>
      </c>
      <c r="AO26" s="314" t="e">
        <f t="shared" si="9"/>
        <v>#VALUE!</v>
      </c>
      <c r="AP26" s="314" t="e">
        <f t="shared" si="10"/>
        <v>#VALUE!</v>
      </c>
      <c r="AQ26" s="314" t="e">
        <f t="shared" si="17"/>
        <v>#VALUE!</v>
      </c>
      <c r="AR26" s="314" t="e">
        <f t="shared" si="18"/>
        <v>#VALUE!</v>
      </c>
      <c r="AS26" s="314" t="e">
        <f t="shared" si="11"/>
        <v>#VALUE!</v>
      </c>
      <c r="AT26" s="319">
        <f t="shared" si="13"/>
        <v>8</v>
      </c>
      <c r="AU26" s="320">
        <f>'5烧主抽电耗'!$A$3+AT26-1</f>
        <v>43351</v>
      </c>
      <c r="AV26" s="213" t="str">
        <f t="shared" si="12"/>
        <v>乙班</v>
      </c>
    </row>
    <row r="27" spans="1:48">
      <c r="A27" s="361"/>
      <c r="B27" s="222" t="s">
        <v>39</v>
      </c>
      <c r="C27" s="276" t="str">
        <f>'6烧主抽电耗'!F25</f>
        <v>丙班</v>
      </c>
      <c r="D27" s="277">
        <v>7.3333333333333304</v>
      </c>
      <c r="E27" s="225">
        <v>43845233</v>
      </c>
      <c r="F27" s="225">
        <v>35280645</v>
      </c>
      <c r="G27" s="225" t="str">
        <f>IF(_zhuchou5_month_day!E24="","",_zhuchou5_month_day!E24)</f>
        <v/>
      </c>
      <c r="H27" s="225" t="str">
        <f>IF(_zhuchou5_month_day!F24="","",_zhuchou5_month_day!F24)</f>
        <v/>
      </c>
      <c r="I27" s="225">
        <v>0.94</v>
      </c>
      <c r="J27" s="225">
        <v>0.94</v>
      </c>
      <c r="K27" s="225" t="str">
        <f>IF(_zhuchou5_month_day!G24="","",_zhuchou5_month_day!G24)</f>
        <v/>
      </c>
      <c r="L27" s="225" t="str">
        <f>IF(_zhuchou5_month_day!H24="","",_zhuchou5_month_day!H24)</f>
        <v/>
      </c>
      <c r="M27" s="225" t="str">
        <f>IF(_zhuchou5_month_day!I24="","",_zhuchou5_month_day!I24)</f>
        <v/>
      </c>
      <c r="N27" s="225" t="str">
        <f>IF(_zhuchou5_month_day!J24="","",_zhuchou5_month_day!J24)</f>
        <v/>
      </c>
      <c r="O27" s="225"/>
      <c r="P27" s="225"/>
      <c r="Q27" s="227" t="s">
        <v>40</v>
      </c>
      <c r="R27" s="298"/>
      <c r="S27" s="299"/>
      <c r="T27" s="229"/>
      <c r="U27" s="229"/>
      <c r="V27" s="229" t="str">
        <f>IF(_zhuchou6_month_day!A24="","",_zhuchou6_month_day!A24)</f>
        <v/>
      </c>
      <c r="W27" s="229" t="str">
        <f>IF(_zhuchou6_month_day!B24="","",_zhuchou6_month_day!B24)</f>
        <v/>
      </c>
      <c r="X27" s="229"/>
      <c r="Y27" s="229"/>
      <c r="Z27" s="225" t="str">
        <f>IF(_zhuchou6_month_day!C24="","",_zhuchou6_month_dayC2)</f>
        <v/>
      </c>
      <c r="AA27" s="225" t="str">
        <f>IF(_zhuchou6_month_day!D24="","",_zhuchou6_month_dayC2)</f>
        <v/>
      </c>
      <c r="AB27" s="225" t="str">
        <f>IF(_zhuchou6_month_day!E24="","",_zhuchou6_month_dayC2)</f>
        <v/>
      </c>
      <c r="AC27" s="225" t="str">
        <f>IF(_zhuchou6_month_day!F24="","",_zhuchou6_month_dayC2)</f>
        <v/>
      </c>
      <c r="AD27" s="283"/>
      <c r="AE27" s="283"/>
      <c r="AF27" s="225"/>
      <c r="AG27" s="225"/>
      <c r="AH27" s="142">
        <f t="shared" si="4"/>
        <v>40620</v>
      </c>
      <c r="AI27" s="314">
        <f t="shared" si="5"/>
        <v>36426</v>
      </c>
      <c r="AJ27" s="314">
        <f t="shared" si="6"/>
        <v>77046</v>
      </c>
      <c r="AK27" s="314">
        <f t="shared" si="15"/>
        <v>0</v>
      </c>
      <c r="AL27" s="314">
        <f t="shared" si="16"/>
        <v>0</v>
      </c>
      <c r="AM27" s="314">
        <f t="shared" si="7"/>
        <v>0</v>
      </c>
      <c r="AN27" s="314" t="e">
        <f t="shared" si="8"/>
        <v>#VALUE!</v>
      </c>
      <c r="AO27" s="314" t="e">
        <f t="shared" si="9"/>
        <v>#VALUE!</v>
      </c>
      <c r="AP27" s="314" t="e">
        <f t="shared" si="10"/>
        <v>#VALUE!</v>
      </c>
      <c r="AQ27" s="314" t="e">
        <f t="shared" si="17"/>
        <v>#VALUE!</v>
      </c>
      <c r="AR27" s="314" t="e">
        <f t="shared" si="18"/>
        <v>#VALUE!</v>
      </c>
      <c r="AS27" s="314" t="e">
        <f t="shared" si="11"/>
        <v>#VALUE!</v>
      </c>
      <c r="AT27" s="319">
        <f t="shared" si="13"/>
        <v>8</v>
      </c>
      <c r="AU27" s="320">
        <f>'5烧主抽电耗'!$A$3+AT27-1</f>
        <v>43351</v>
      </c>
      <c r="AV27" s="213" t="str">
        <f t="shared" si="12"/>
        <v>丙班</v>
      </c>
    </row>
    <row r="28" spans="1:48">
      <c r="A28" s="361"/>
      <c r="B28" s="222" t="s">
        <v>41</v>
      </c>
      <c r="C28" s="276" t="str">
        <f>'6烧主抽电耗'!F26</f>
        <v>丁班</v>
      </c>
      <c r="D28" s="277">
        <v>7.6666666666666696</v>
      </c>
      <c r="E28" s="225">
        <v>43858773</v>
      </c>
      <c r="F28" s="225">
        <v>35292787</v>
      </c>
      <c r="G28" s="225" t="str">
        <f>IF(_zhuchou5_month_day!E25="","",_zhuchou5_month_day!E25)</f>
        <v/>
      </c>
      <c r="H28" s="225" t="str">
        <f>IF(_zhuchou5_month_day!F25="","",_zhuchou5_month_day!F25)</f>
        <v/>
      </c>
      <c r="I28" s="225">
        <v>0.94</v>
      </c>
      <c r="J28" s="225">
        <v>0.94</v>
      </c>
      <c r="K28" s="225" t="str">
        <f>IF(_zhuchou5_month_day!G25="","",_zhuchou5_month_day!G25)</f>
        <v/>
      </c>
      <c r="L28" s="225" t="str">
        <f>IF(_zhuchou5_month_day!H25="","",_zhuchou5_month_day!H25)</f>
        <v/>
      </c>
      <c r="M28" s="225" t="str">
        <f>IF(_zhuchou5_month_day!I25="","",_zhuchou5_month_day!I25)</f>
        <v/>
      </c>
      <c r="N28" s="225" t="str">
        <f>IF(_zhuchou5_month_day!J25="","",_zhuchou5_month_day!J25)</f>
        <v/>
      </c>
      <c r="O28" s="225"/>
      <c r="P28" s="225"/>
      <c r="Q28" s="229" t="s">
        <v>42</v>
      </c>
      <c r="R28" s="298"/>
      <c r="S28" s="299"/>
      <c r="T28" s="237"/>
      <c r="U28" s="225"/>
      <c r="V28" s="229" t="str">
        <f>IF(_zhuchou6_month_day!A25="","",_zhuchou6_month_day!A25)</f>
        <v/>
      </c>
      <c r="W28" s="229" t="str">
        <f>IF(_zhuchou6_month_day!B25="","",_zhuchou6_month_day!B25)</f>
        <v/>
      </c>
      <c r="X28" s="229"/>
      <c r="Y28" s="229"/>
      <c r="Z28" s="225" t="str">
        <f>IF(_zhuchou6_month_day!C25="","",_zhuchou6_month_dayC2)</f>
        <v/>
      </c>
      <c r="AA28" s="225" t="str">
        <f>IF(_zhuchou6_month_day!D25="","",_zhuchou6_month_dayC2)</f>
        <v/>
      </c>
      <c r="AB28" s="225" t="str">
        <f>IF(_zhuchou6_month_day!E25="","",_zhuchou6_month_dayC2)</f>
        <v/>
      </c>
      <c r="AC28" s="225" t="str">
        <f>IF(_zhuchou6_month_day!F25="","",_zhuchou6_month_dayC2)</f>
        <v/>
      </c>
      <c r="AD28" s="283"/>
      <c r="AE28" s="283"/>
      <c r="AF28" s="225"/>
      <c r="AG28" s="315"/>
      <c r="AH28" s="142">
        <f t="shared" si="4"/>
        <v>41415</v>
      </c>
      <c r="AI28" s="314">
        <f t="shared" si="5"/>
        <v>36216</v>
      </c>
      <c r="AJ28" s="314">
        <f t="shared" si="6"/>
        <v>77631</v>
      </c>
      <c r="AK28" s="314">
        <f t="shared" si="15"/>
        <v>0</v>
      </c>
      <c r="AL28" s="314">
        <f t="shared" si="16"/>
        <v>0</v>
      </c>
      <c r="AM28" s="314">
        <f t="shared" si="7"/>
        <v>0</v>
      </c>
      <c r="AN28" s="314" t="e">
        <f t="shared" si="8"/>
        <v>#VALUE!</v>
      </c>
      <c r="AO28" s="314" t="e">
        <f t="shared" si="9"/>
        <v>#VALUE!</v>
      </c>
      <c r="AP28" s="314" t="e">
        <f t="shared" si="10"/>
        <v>#VALUE!</v>
      </c>
      <c r="AQ28" s="314" t="e">
        <f t="shared" si="17"/>
        <v>#VALUE!</v>
      </c>
      <c r="AR28" s="314" t="e">
        <f t="shared" si="18"/>
        <v>#VALUE!</v>
      </c>
      <c r="AS28" s="314" t="e">
        <f t="shared" si="11"/>
        <v>#VALUE!</v>
      </c>
      <c r="AT28" s="319">
        <f t="shared" si="13"/>
        <v>8</v>
      </c>
      <c r="AU28" s="320">
        <f>'5烧主抽电耗'!$A$3+AT28-1</f>
        <v>43351</v>
      </c>
      <c r="AV28" s="213" t="str">
        <f t="shared" si="12"/>
        <v>丁班</v>
      </c>
    </row>
    <row r="29" spans="1:48">
      <c r="A29" s="361">
        <v>9</v>
      </c>
      <c r="B29" s="222" t="s">
        <v>37</v>
      </c>
      <c r="C29" s="276" t="str">
        <f>'6烧主抽电耗'!F27</f>
        <v>乙班</v>
      </c>
      <c r="D29" s="277">
        <v>8</v>
      </c>
      <c r="E29" s="225">
        <v>43872578</v>
      </c>
      <c r="F29" s="225">
        <v>35304859</v>
      </c>
      <c r="G29" s="225" t="str">
        <f>IF(_zhuchou5_month_day!E26="","",_zhuchou5_month_day!E26)</f>
        <v/>
      </c>
      <c r="H29" s="225" t="str">
        <f>IF(_zhuchou5_month_day!F26="","",_zhuchou5_month_day!F26)</f>
        <v/>
      </c>
      <c r="I29" s="225">
        <v>0.94</v>
      </c>
      <c r="J29" s="225">
        <v>0.94</v>
      </c>
      <c r="K29" s="225" t="str">
        <f>IF(_zhuchou5_month_day!G26="","",_zhuchou5_month_day!G26)</f>
        <v/>
      </c>
      <c r="L29" s="225" t="str">
        <f>IF(_zhuchou5_month_day!H26="","",_zhuchou5_month_day!H26)</f>
        <v/>
      </c>
      <c r="M29" s="225" t="str">
        <f>IF(_zhuchou5_month_day!I26="","",_zhuchou5_month_day!I26)</f>
        <v/>
      </c>
      <c r="N29" s="225" t="str">
        <f>IF(_zhuchou5_month_day!J26="","",_zhuchou5_month_day!J26)</f>
        <v/>
      </c>
      <c r="O29" s="225"/>
      <c r="P29" s="225"/>
      <c r="Q29" s="225" t="s">
        <v>38</v>
      </c>
      <c r="R29" s="298"/>
      <c r="S29" s="299"/>
      <c r="T29" s="229"/>
      <c r="U29" s="229"/>
      <c r="V29" s="229" t="str">
        <f>IF(_zhuchou6_month_day!A26="","",_zhuchou6_month_day!A26)</f>
        <v/>
      </c>
      <c r="W29" s="229" t="str">
        <f>IF(_zhuchou6_month_day!B26="","",_zhuchou6_month_day!B26)</f>
        <v/>
      </c>
      <c r="X29" s="229"/>
      <c r="Y29" s="229"/>
      <c r="Z29" s="225" t="str">
        <f>IF(_zhuchou6_month_day!C26="","",_zhuchou6_month_dayC2)</f>
        <v/>
      </c>
      <c r="AA29" s="225" t="str">
        <f>IF(_zhuchou6_month_day!D26="","",_zhuchou6_month_dayC2)</f>
        <v/>
      </c>
      <c r="AB29" s="225" t="str">
        <f>IF(_zhuchou6_month_day!E26="","",_zhuchou6_month_dayC2)</f>
        <v/>
      </c>
      <c r="AC29" s="225" t="str">
        <f>IF(_zhuchou6_month_day!F26="","",_zhuchou6_month_dayC2)</f>
        <v/>
      </c>
      <c r="AD29" s="284"/>
      <c r="AE29" s="284"/>
      <c r="AF29" s="225"/>
      <c r="AG29" s="313"/>
      <c r="AH29" s="142">
        <f t="shared" si="4"/>
        <v>39774</v>
      </c>
      <c r="AI29" s="314">
        <f t="shared" si="5"/>
        <v>34443</v>
      </c>
      <c r="AJ29" s="314">
        <f t="shared" si="6"/>
        <v>74217</v>
      </c>
      <c r="AK29" s="314">
        <f t="shared" si="15"/>
        <v>0</v>
      </c>
      <c r="AL29" s="314">
        <f t="shared" si="16"/>
        <v>0</v>
      </c>
      <c r="AM29" s="314">
        <f t="shared" si="7"/>
        <v>0</v>
      </c>
      <c r="AN29" s="314" t="e">
        <f t="shared" si="8"/>
        <v>#VALUE!</v>
      </c>
      <c r="AO29" s="314" t="e">
        <f t="shared" si="9"/>
        <v>#VALUE!</v>
      </c>
      <c r="AP29" s="314" t="e">
        <f t="shared" si="10"/>
        <v>#VALUE!</v>
      </c>
      <c r="AQ29" s="314" t="e">
        <f t="shared" si="17"/>
        <v>#VALUE!</v>
      </c>
      <c r="AR29" s="314" t="e">
        <f t="shared" si="18"/>
        <v>#VALUE!</v>
      </c>
      <c r="AS29" s="314" t="e">
        <f t="shared" si="11"/>
        <v>#VALUE!</v>
      </c>
      <c r="AT29" s="319">
        <f t="shared" si="13"/>
        <v>9</v>
      </c>
      <c r="AU29" s="320">
        <f>'5烧主抽电耗'!$A$3+AT29-1</f>
        <v>43352</v>
      </c>
      <c r="AV29" s="213" t="str">
        <f t="shared" si="12"/>
        <v>乙班</v>
      </c>
    </row>
    <row r="30" spans="1:48">
      <c r="A30" s="361"/>
      <c r="B30" s="222" t="s">
        <v>39</v>
      </c>
      <c r="C30" s="276" t="str">
        <f>'6烧主抽电耗'!F28</f>
        <v>丙班</v>
      </c>
      <c r="D30" s="277">
        <v>8.3333333333333304</v>
      </c>
      <c r="E30" s="225">
        <v>43885836</v>
      </c>
      <c r="F30" s="225">
        <v>35316340</v>
      </c>
      <c r="G30" s="225" t="str">
        <f>IF(_zhuchou5_month_day!E27="","",_zhuchou5_month_day!E27)</f>
        <v/>
      </c>
      <c r="H30" s="225" t="str">
        <f>IF(_zhuchou5_month_day!F27="","",_zhuchou5_month_day!F27)</f>
        <v/>
      </c>
      <c r="I30" s="225">
        <v>0.94</v>
      </c>
      <c r="J30" s="225">
        <v>0.94</v>
      </c>
      <c r="K30" s="225" t="str">
        <f>IF(_zhuchou5_month_day!G27="","",_zhuchou5_month_day!G27)</f>
        <v/>
      </c>
      <c r="L30" s="225" t="str">
        <f>IF(_zhuchou5_month_day!H27="","",_zhuchou5_month_day!H27)</f>
        <v/>
      </c>
      <c r="M30" s="225" t="str">
        <f>IF(_zhuchou5_month_day!I27="","",_zhuchou5_month_day!I27)</f>
        <v/>
      </c>
      <c r="N30" s="225" t="str">
        <f>IF(_zhuchou5_month_day!J27="","",_zhuchou5_month_day!J27)</f>
        <v/>
      </c>
      <c r="O30" s="225"/>
      <c r="P30" s="225"/>
      <c r="Q30" s="227" t="s">
        <v>40</v>
      </c>
      <c r="R30" s="298"/>
      <c r="S30" s="299"/>
      <c r="T30" s="237"/>
      <c r="U30" s="225"/>
      <c r="V30" s="229" t="str">
        <f>IF(_zhuchou6_month_day!A27="","",_zhuchou6_month_day!A27)</f>
        <v/>
      </c>
      <c r="W30" s="229" t="str">
        <f>IF(_zhuchou6_month_day!B27="","",_zhuchou6_month_day!B27)</f>
        <v/>
      </c>
      <c r="X30" s="229"/>
      <c r="Y30" s="229"/>
      <c r="Z30" s="225" t="str">
        <f>IF(_zhuchou6_month_day!C27="","",_zhuchou6_month_dayC2)</f>
        <v/>
      </c>
      <c r="AA30" s="225" t="str">
        <f>IF(_zhuchou6_month_day!D27="","",_zhuchou6_month_dayC2)</f>
        <v/>
      </c>
      <c r="AB30" s="225" t="str">
        <f>IF(_zhuchou6_month_day!E27="","",_zhuchou6_month_dayC2)</f>
        <v/>
      </c>
      <c r="AC30" s="225" t="str">
        <f>IF(_zhuchou6_month_day!F27="","",_zhuchou6_month_dayC2)</f>
        <v/>
      </c>
      <c r="AD30" s="284"/>
      <c r="AE30" s="284"/>
      <c r="AF30" s="225"/>
      <c r="AG30" s="225"/>
      <c r="AH30" s="142">
        <f t="shared" si="4"/>
        <v>42777</v>
      </c>
      <c r="AI30" s="314">
        <f t="shared" si="5"/>
        <v>37743</v>
      </c>
      <c r="AJ30" s="314">
        <f t="shared" si="6"/>
        <v>80520</v>
      </c>
      <c r="AK30" s="314">
        <f t="shared" si="15"/>
        <v>0</v>
      </c>
      <c r="AL30" s="314">
        <f t="shared" si="16"/>
        <v>0</v>
      </c>
      <c r="AM30" s="314">
        <f t="shared" si="7"/>
        <v>0</v>
      </c>
      <c r="AN30" s="314" t="e">
        <f t="shared" si="8"/>
        <v>#VALUE!</v>
      </c>
      <c r="AO30" s="314" t="e">
        <f t="shared" si="9"/>
        <v>#VALUE!</v>
      </c>
      <c r="AP30" s="314" t="e">
        <f t="shared" si="10"/>
        <v>#VALUE!</v>
      </c>
      <c r="AQ30" s="314" t="e">
        <f t="shared" si="17"/>
        <v>#VALUE!</v>
      </c>
      <c r="AR30" s="314" t="e">
        <f t="shared" si="18"/>
        <v>#VALUE!</v>
      </c>
      <c r="AS30" s="314" t="e">
        <f t="shared" si="11"/>
        <v>#VALUE!</v>
      </c>
      <c r="AT30" s="319">
        <f t="shared" si="13"/>
        <v>9</v>
      </c>
      <c r="AU30" s="320">
        <f>'5烧主抽电耗'!$A$3+AT30-1</f>
        <v>43352</v>
      </c>
      <c r="AV30" s="213" t="str">
        <f t="shared" si="12"/>
        <v>丙班</v>
      </c>
    </row>
    <row r="31" spans="1:48">
      <c r="A31" s="361"/>
      <c r="B31" s="222" t="s">
        <v>41</v>
      </c>
      <c r="C31" s="276" t="str">
        <f>'6烧主抽电耗'!F29</f>
        <v>丁班</v>
      </c>
      <c r="D31" s="277">
        <v>8.6666666666666696</v>
      </c>
      <c r="E31" s="225">
        <v>43900095</v>
      </c>
      <c r="F31" s="225">
        <v>35328921</v>
      </c>
      <c r="G31" s="225" t="str">
        <f>IF(_zhuchou5_month_day!E28="","",_zhuchou5_month_day!E28)</f>
        <v/>
      </c>
      <c r="H31" s="225" t="str">
        <f>IF(_zhuchou5_month_day!F28="","",_zhuchou5_month_day!F28)</f>
        <v/>
      </c>
      <c r="I31" s="225">
        <v>0.94</v>
      </c>
      <c r="J31" s="225">
        <v>0.94</v>
      </c>
      <c r="K31" s="225" t="str">
        <f>IF(_zhuchou5_month_day!G28="","",_zhuchou5_month_day!G28)</f>
        <v/>
      </c>
      <c r="L31" s="225" t="str">
        <f>IF(_zhuchou5_month_day!H28="","",_zhuchou5_month_day!H28)</f>
        <v/>
      </c>
      <c r="M31" s="225" t="str">
        <f>IF(_zhuchou5_month_day!I28="","",_zhuchou5_month_day!I28)</f>
        <v/>
      </c>
      <c r="N31" s="225" t="str">
        <f>IF(_zhuchou5_month_day!J28="","",_zhuchou5_month_day!J28)</f>
        <v/>
      </c>
      <c r="O31" s="225"/>
      <c r="P31" s="225"/>
      <c r="Q31" s="229" t="s">
        <v>42</v>
      </c>
      <c r="R31" s="298"/>
      <c r="S31" s="299"/>
      <c r="T31" s="237"/>
      <c r="U31" s="225"/>
      <c r="V31" s="229" t="str">
        <f>IF(_zhuchou6_month_day!A28="","",_zhuchou6_month_day!A28)</f>
        <v/>
      </c>
      <c r="W31" s="229" t="str">
        <f>IF(_zhuchou6_month_day!B28="","",_zhuchou6_month_day!B28)</f>
        <v/>
      </c>
      <c r="X31" s="229"/>
      <c r="Y31" s="229"/>
      <c r="Z31" s="225" t="str">
        <f>IF(_zhuchou6_month_day!C28="","",_zhuchou6_month_dayC2)</f>
        <v/>
      </c>
      <c r="AA31" s="225" t="str">
        <f>IF(_zhuchou6_month_day!D28="","",_zhuchou6_month_dayC2)</f>
        <v/>
      </c>
      <c r="AB31" s="225" t="str">
        <f>IF(_zhuchou6_month_day!E28="","",_zhuchou6_month_dayC2)</f>
        <v/>
      </c>
      <c r="AC31" s="225" t="str">
        <f>IF(_zhuchou6_month_day!F28="","",_zhuchou6_month_dayC2)</f>
        <v/>
      </c>
      <c r="AD31" s="284"/>
      <c r="AE31" s="284"/>
      <c r="AF31" s="225"/>
      <c r="AG31" s="316"/>
      <c r="AH31" s="142">
        <f t="shared" si="4"/>
        <v>40059</v>
      </c>
      <c r="AI31" s="314">
        <f t="shared" si="5"/>
        <v>34881</v>
      </c>
      <c r="AJ31" s="314">
        <f t="shared" si="6"/>
        <v>74940</v>
      </c>
      <c r="AK31" s="314">
        <f t="shared" si="15"/>
        <v>0</v>
      </c>
      <c r="AL31" s="314">
        <f t="shared" si="16"/>
        <v>0</v>
      </c>
      <c r="AM31" s="314">
        <f t="shared" si="7"/>
        <v>0</v>
      </c>
      <c r="AN31" s="314" t="e">
        <f t="shared" si="8"/>
        <v>#VALUE!</v>
      </c>
      <c r="AO31" s="314" t="e">
        <f t="shared" si="9"/>
        <v>#VALUE!</v>
      </c>
      <c r="AP31" s="314" t="e">
        <f t="shared" si="10"/>
        <v>#VALUE!</v>
      </c>
      <c r="AQ31" s="314" t="e">
        <f t="shared" si="17"/>
        <v>#VALUE!</v>
      </c>
      <c r="AR31" s="314" t="e">
        <f t="shared" si="18"/>
        <v>#VALUE!</v>
      </c>
      <c r="AS31" s="314" t="e">
        <f t="shared" si="11"/>
        <v>#VALUE!</v>
      </c>
      <c r="AT31" s="319">
        <f t="shared" si="13"/>
        <v>9</v>
      </c>
      <c r="AU31" s="320">
        <f>'5烧主抽电耗'!$A$3+AT31-1</f>
        <v>43352</v>
      </c>
      <c r="AV31" s="213" t="str">
        <f t="shared" si="12"/>
        <v>丁班</v>
      </c>
    </row>
    <row r="32" spans="1:48">
      <c r="A32" s="361">
        <v>10</v>
      </c>
      <c r="B32" s="222" t="s">
        <v>37</v>
      </c>
      <c r="C32" s="276" t="str">
        <f>'6烧主抽电耗'!F30</f>
        <v>甲班</v>
      </c>
      <c r="D32" s="277">
        <v>9</v>
      </c>
      <c r="E32" s="225">
        <v>43913448</v>
      </c>
      <c r="F32" s="225">
        <v>35340548</v>
      </c>
      <c r="G32" s="225" t="str">
        <f>IF(_zhuchou5_month_day!E29="","",_zhuchou5_month_day!E29)</f>
        <v/>
      </c>
      <c r="H32" s="225" t="str">
        <f>IF(_zhuchou5_month_day!F29="","",_zhuchou5_month_day!F29)</f>
        <v/>
      </c>
      <c r="I32" s="225">
        <v>0.94</v>
      </c>
      <c r="J32" s="225">
        <v>0.94</v>
      </c>
      <c r="K32" s="225" t="str">
        <f>IF(_zhuchou5_month_day!G29="","",_zhuchou5_month_day!G29)</f>
        <v/>
      </c>
      <c r="L32" s="225" t="str">
        <f>IF(_zhuchou5_month_day!H29="","",_zhuchou5_month_day!H29)</f>
        <v/>
      </c>
      <c r="M32" s="225" t="str">
        <f>IF(_zhuchou5_month_day!I29="","",_zhuchou5_month_day!I29)</f>
        <v/>
      </c>
      <c r="N32" s="225" t="str">
        <f>IF(_zhuchou5_month_day!J29="","",_zhuchou5_month_day!J29)</f>
        <v/>
      </c>
      <c r="O32" s="225"/>
      <c r="P32" s="225"/>
      <c r="Q32" s="225" t="s">
        <v>43</v>
      </c>
      <c r="R32" s="298"/>
      <c r="S32" s="299"/>
      <c r="T32" s="237"/>
      <c r="U32" s="225"/>
      <c r="V32" s="229" t="str">
        <f>IF(_zhuchou6_month_day!A29="","",_zhuchou6_month_day!A29)</f>
        <v/>
      </c>
      <c r="W32" s="229" t="str">
        <f>IF(_zhuchou6_month_day!B29="","",_zhuchou6_month_day!B29)</f>
        <v/>
      </c>
      <c r="X32" s="229"/>
      <c r="Y32" s="229"/>
      <c r="Z32" s="225" t="str">
        <f>IF(_zhuchou6_month_day!C29="","",_zhuchou6_month_dayC2)</f>
        <v/>
      </c>
      <c r="AA32" s="225" t="str">
        <f>IF(_zhuchou6_month_day!D29="","",_zhuchou6_month_dayC2)</f>
        <v/>
      </c>
      <c r="AB32" s="225" t="str">
        <f>IF(_zhuchou6_month_day!E29="","",_zhuchou6_month_dayC2)</f>
        <v/>
      </c>
      <c r="AC32" s="225" t="str">
        <f>IF(_zhuchou6_month_day!F29="","",_zhuchou6_month_dayC2)</f>
        <v/>
      </c>
      <c r="AD32" s="284"/>
      <c r="AE32" s="284"/>
      <c r="AF32" s="225"/>
      <c r="AG32" s="225"/>
      <c r="AH32" s="142">
        <f t="shared" si="4"/>
        <v>41229</v>
      </c>
      <c r="AI32" s="314">
        <f t="shared" si="5"/>
        <v>35124</v>
      </c>
      <c r="AJ32" s="314">
        <f t="shared" si="6"/>
        <v>76353</v>
      </c>
      <c r="AK32" s="314">
        <f t="shared" si="15"/>
        <v>0</v>
      </c>
      <c r="AL32" s="314">
        <f t="shared" si="16"/>
        <v>0</v>
      </c>
      <c r="AM32" s="314">
        <f t="shared" si="7"/>
        <v>0</v>
      </c>
      <c r="AN32" s="314" t="e">
        <f t="shared" si="8"/>
        <v>#VALUE!</v>
      </c>
      <c r="AO32" s="314" t="e">
        <f t="shared" si="9"/>
        <v>#VALUE!</v>
      </c>
      <c r="AP32" s="314" t="e">
        <f t="shared" si="10"/>
        <v>#VALUE!</v>
      </c>
      <c r="AQ32" s="314" t="e">
        <f t="shared" si="17"/>
        <v>#VALUE!</v>
      </c>
      <c r="AR32" s="314" t="e">
        <f t="shared" si="18"/>
        <v>#VALUE!</v>
      </c>
      <c r="AS32" s="314" t="e">
        <f t="shared" si="11"/>
        <v>#VALUE!</v>
      </c>
      <c r="AT32" s="319">
        <f t="shared" si="13"/>
        <v>10</v>
      </c>
      <c r="AU32" s="320">
        <f>'5烧主抽电耗'!$A$3+AT32-1</f>
        <v>43353</v>
      </c>
      <c r="AV32" s="213" t="str">
        <f t="shared" si="12"/>
        <v>甲班</v>
      </c>
    </row>
    <row r="33" spans="1:48">
      <c r="A33" s="361"/>
      <c r="B33" s="222" t="s">
        <v>39</v>
      </c>
      <c r="C33" s="276" t="str">
        <f>'6烧主抽电耗'!F31</f>
        <v>乙班</v>
      </c>
      <c r="D33" s="277">
        <v>9.3333333333333304</v>
      </c>
      <c r="E33" s="225">
        <v>43927191</v>
      </c>
      <c r="F33" s="225">
        <v>35352256</v>
      </c>
      <c r="G33" s="225" t="str">
        <f>IF(_zhuchou5_month_day!E30="","",_zhuchou5_month_day!E30)</f>
        <v/>
      </c>
      <c r="H33" s="225" t="str">
        <f>IF(_zhuchou5_month_day!F30="","",_zhuchou5_month_day!F30)</f>
        <v/>
      </c>
      <c r="I33" s="225">
        <v>0.94</v>
      </c>
      <c r="J33" s="225">
        <v>0.94</v>
      </c>
      <c r="K33" s="225" t="str">
        <f>IF(_zhuchou5_month_day!G30="","",_zhuchou5_month_day!G30)</f>
        <v/>
      </c>
      <c r="L33" s="225" t="str">
        <f>IF(_zhuchou5_month_day!H30="","",_zhuchou5_month_day!H30)</f>
        <v/>
      </c>
      <c r="M33" s="225" t="str">
        <f>IF(_zhuchou5_month_day!I30="","",_zhuchou5_month_day!I30)</f>
        <v/>
      </c>
      <c r="N33" s="225" t="str">
        <f>IF(_zhuchou5_month_day!J30="","",_zhuchou5_month_day!J30)</f>
        <v/>
      </c>
      <c r="O33" s="225"/>
      <c r="P33" s="225"/>
      <c r="Q33" s="225" t="s">
        <v>38</v>
      </c>
      <c r="R33" s="298"/>
      <c r="S33" s="299"/>
      <c r="T33" s="237"/>
      <c r="U33" s="225"/>
      <c r="V33" s="229" t="str">
        <f>IF(_zhuchou6_month_day!A30="","",_zhuchou6_month_day!A30)</f>
        <v/>
      </c>
      <c r="W33" s="229" t="str">
        <f>IF(_zhuchou6_month_day!B30="","",_zhuchou6_month_day!B30)</f>
        <v/>
      </c>
      <c r="X33" s="229"/>
      <c r="Y33" s="229"/>
      <c r="Z33" s="225" t="str">
        <f>IF(_zhuchou6_month_day!C30="","",_zhuchou6_month_dayC2)</f>
        <v/>
      </c>
      <c r="AA33" s="225" t="str">
        <f>IF(_zhuchou6_month_day!D30="","",_zhuchou6_month_dayC2)</f>
        <v/>
      </c>
      <c r="AB33" s="225" t="str">
        <f>IF(_zhuchou6_month_day!E30="","",_zhuchou6_month_dayC2)</f>
        <v/>
      </c>
      <c r="AC33" s="225" t="str">
        <f>IF(_zhuchou6_month_day!F30="","",_zhuchou6_month_dayC2)</f>
        <v/>
      </c>
      <c r="AD33" s="284"/>
      <c r="AE33" s="284"/>
      <c r="AF33" s="225"/>
      <c r="AG33" s="315"/>
      <c r="AH33" s="142">
        <f t="shared" si="4"/>
        <v>44808</v>
      </c>
      <c r="AI33" s="314">
        <f t="shared" si="5"/>
        <v>38793</v>
      </c>
      <c r="AJ33" s="314">
        <f t="shared" si="6"/>
        <v>83601</v>
      </c>
      <c r="AK33" s="314">
        <f t="shared" si="15"/>
        <v>0</v>
      </c>
      <c r="AL33" s="314">
        <f t="shared" si="16"/>
        <v>0</v>
      </c>
      <c r="AM33" s="314">
        <f t="shared" si="7"/>
        <v>0</v>
      </c>
      <c r="AN33" s="314" t="e">
        <f t="shared" si="8"/>
        <v>#VALUE!</v>
      </c>
      <c r="AO33" s="314" t="e">
        <f t="shared" si="9"/>
        <v>#VALUE!</v>
      </c>
      <c r="AP33" s="314" t="e">
        <f t="shared" si="10"/>
        <v>#VALUE!</v>
      </c>
      <c r="AQ33" s="314" t="e">
        <f t="shared" si="17"/>
        <v>#VALUE!</v>
      </c>
      <c r="AR33" s="314" t="e">
        <f t="shared" si="18"/>
        <v>#VALUE!</v>
      </c>
      <c r="AS33" s="314" t="e">
        <f t="shared" si="11"/>
        <v>#VALUE!</v>
      </c>
      <c r="AT33" s="319">
        <f t="shared" si="13"/>
        <v>10</v>
      </c>
      <c r="AU33" s="320">
        <f>'5烧主抽电耗'!$A$3+AT33-1</f>
        <v>43353</v>
      </c>
      <c r="AV33" s="213" t="str">
        <f t="shared" si="12"/>
        <v>乙班</v>
      </c>
    </row>
    <row r="34" spans="1:48">
      <c r="A34" s="361"/>
      <c r="B34" s="222" t="s">
        <v>41</v>
      </c>
      <c r="C34" s="276" t="str">
        <f>'6烧主抽电耗'!F32</f>
        <v>丙班</v>
      </c>
      <c r="D34" s="277">
        <v>9.6666666666666696</v>
      </c>
      <c r="E34" s="225">
        <v>43942127</v>
      </c>
      <c r="F34" s="225">
        <v>35365187</v>
      </c>
      <c r="G34" s="225" t="str">
        <f>IF(_zhuchou5_month_day!E31="","",_zhuchou5_month_day!E31)</f>
        <v/>
      </c>
      <c r="H34" s="225" t="str">
        <f>IF(_zhuchou5_month_day!F31="","",_zhuchou5_month_day!F31)</f>
        <v/>
      </c>
      <c r="I34" s="225">
        <v>0.94</v>
      </c>
      <c r="J34" s="225">
        <v>0.94</v>
      </c>
      <c r="K34" s="225" t="str">
        <f>IF(_zhuchou5_month_day!G31="","",_zhuchou5_month_day!G31)</f>
        <v/>
      </c>
      <c r="L34" s="225" t="str">
        <f>IF(_zhuchou5_month_day!H31="","",_zhuchou5_month_day!H31)</f>
        <v/>
      </c>
      <c r="M34" s="225" t="str">
        <f>IF(_zhuchou5_month_day!I31="","",_zhuchou5_month_day!I31)</f>
        <v/>
      </c>
      <c r="N34" s="225" t="str">
        <f>IF(_zhuchou5_month_day!J31="","",_zhuchou5_month_day!J31)</f>
        <v/>
      </c>
      <c r="O34" s="225"/>
      <c r="P34" s="225"/>
      <c r="Q34" s="227" t="s">
        <v>40</v>
      </c>
      <c r="R34" s="298"/>
      <c r="S34" s="299"/>
      <c r="T34" s="237"/>
      <c r="U34" s="225"/>
      <c r="V34" s="229" t="str">
        <f>IF(_zhuchou6_month_day!A31="","",_zhuchou6_month_day!A31)</f>
        <v/>
      </c>
      <c r="W34" s="229" t="str">
        <f>IF(_zhuchou6_month_day!B31="","",_zhuchou6_month_day!B31)</f>
        <v/>
      </c>
      <c r="X34" s="229"/>
      <c r="Y34" s="229"/>
      <c r="Z34" s="225" t="str">
        <f>IF(_zhuchou6_month_day!C31="","",_zhuchou6_month_dayC2)</f>
        <v/>
      </c>
      <c r="AA34" s="225" t="str">
        <f>IF(_zhuchou6_month_day!D31="","",_zhuchou6_month_dayC2)</f>
        <v/>
      </c>
      <c r="AB34" s="225" t="str">
        <f>IF(_zhuchou6_month_day!E31="","",_zhuchou6_month_dayC2)</f>
        <v/>
      </c>
      <c r="AC34" s="225" t="str">
        <f>IF(_zhuchou6_month_day!F31="","",_zhuchou6_month_dayC2)</f>
        <v/>
      </c>
      <c r="AD34" s="284"/>
      <c r="AE34" s="284"/>
      <c r="AF34" s="225"/>
      <c r="AG34" s="225"/>
      <c r="AH34" s="142">
        <f t="shared" si="4"/>
        <v>41217</v>
      </c>
      <c r="AI34" s="314">
        <f t="shared" si="5"/>
        <v>35286</v>
      </c>
      <c r="AJ34" s="314">
        <f t="shared" si="6"/>
        <v>76503</v>
      </c>
      <c r="AK34" s="314">
        <f t="shared" si="15"/>
        <v>0</v>
      </c>
      <c r="AL34" s="314">
        <f t="shared" si="16"/>
        <v>0</v>
      </c>
      <c r="AM34" s="314">
        <f t="shared" si="7"/>
        <v>0</v>
      </c>
      <c r="AN34" s="314" t="e">
        <f t="shared" si="8"/>
        <v>#VALUE!</v>
      </c>
      <c r="AO34" s="314" t="e">
        <f t="shared" si="9"/>
        <v>#VALUE!</v>
      </c>
      <c r="AP34" s="314" t="e">
        <f t="shared" si="10"/>
        <v>#VALUE!</v>
      </c>
      <c r="AQ34" s="314" t="e">
        <f t="shared" si="17"/>
        <v>#VALUE!</v>
      </c>
      <c r="AR34" s="314" t="e">
        <f t="shared" si="18"/>
        <v>#VALUE!</v>
      </c>
      <c r="AS34" s="314" t="e">
        <f t="shared" si="11"/>
        <v>#VALUE!</v>
      </c>
      <c r="AT34" s="319">
        <f t="shared" si="13"/>
        <v>10</v>
      </c>
      <c r="AU34" s="320">
        <f>'5烧主抽电耗'!$A$3+AT34-1</f>
        <v>43353</v>
      </c>
      <c r="AV34" s="213" t="str">
        <f t="shared" si="12"/>
        <v>丙班</v>
      </c>
    </row>
    <row r="35" spans="1:48">
      <c r="A35" s="361">
        <v>11</v>
      </c>
      <c r="B35" s="222" t="s">
        <v>37</v>
      </c>
      <c r="C35" s="276" t="str">
        <f>'6烧主抽电耗'!F33</f>
        <v>甲班</v>
      </c>
      <c r="D35" s="277">
        <v>10</v>
      </c>
      <c r="E35" s="225">
        <v>43955866</v>
      </c>
      <c r="F35" s="225">
        <v>35376949</v>
      </c>
      <c r="G35" s="225" t="str">
        <f>IF(_zhuchou5_month_day!E32="","",_zhuchou5_month_day!E32)</f>
        <v/>
      </c>
      <c r="H35" s="225" t="str">
        <f>IF(_zhuchou5_month_day!F32="","",_zhuchou5_month_day!F32)</f>
        <v/>
      </c>
      <c r="I35" s="225">
        <v>0.94</v>
      </c>
      <c r="J35" s="225">
        <v>0.94</v>
      </c>
      <c r="K35" s="225" t="str">
        <f>IF(_zhuchou5_month_day!G32="","",_zhuchou5_month_day!G32)</f>
        <v/>
      </c>
      <c r="L35" s="225" t="str">
        <f>IF(_zhuchou5_month_day!H32="","",_zhuchou5_month_day!H32)</f>
        <v/>
      </c>
      <c r="M35" s="225" t="str">
        <f>IF(_zhuchou5_month_day!I32="","",_zhuchou5_month_day!I32)</f>
        <v/>
      </c>
      <c r="N35" s="225" t="str">
        <f>IF(_zhuchou5_month_day!J32="","",_zhuchou5_month_day!J32)</f>
        <v/>
      </c>
      <c r="O35" s="225"/>
      <c r="P35" s="225"/>
      <c r="Q35" s="229" t="s">
        <v>43</v>
      </c>
      <c r="R35" s="298"/>
      <c r="S35" s="299"/>
      <c r="T35" s="237"/>
      <c r="U35" s="225"/>
      <c r="V35" s="229" t="str">
        <f>IF(_zhuchou6_month_day!A32="","",_zhuchou6_month_day!A32)</f>
        <v/>
      </c>
      <c r="W35" s="229" t="str">
        <f>IF(_zhuchou6_month_day!B32="","",_zhuchou6_month_day!B32)</f>
        <v/>
      </c>
      <c r="X35" s="229"/>
      <c r="Y35" s="229"/>
      <c r="Z35" s="225" t="str">
        <f>IF(_zhuchou6_month_day!C32="","",_zhuchou6_month_dayC2)</f>
        <v/>
      </c>
      <c r="AA35" s="225" t="str">
        <f>IF(_zhuchou6_month_day!D32="","",_zhuchou6_month_dayC2)</f>
        <v/>
      </c>
      <c r="AB35" s="225" t="str">
        <f>IF(_zhuchou6_month_day!E32="","",_zhuchou6_month_dayC2)</f>
        <v/>
      </c>
      <c r="AC35" s="225" t="str">
        <f>IF(_zhuchou6_month_day!F32="","",_zhuchou6_month_dayC2)</f>
        <v/>
      </c>
      <c r="AD35" s="284"/>
      <c r="AE35" s="284"/>
      <c r="AF35" s="225"/>
      <c r="AG35" s="225"/>
      <c r="AH35" s="142">
        <f t="shared" si="4"/>
        <v>41610</v>
      </c>
      <c r="AI35" s="314">
        <f t="shared" si="5"/>
        <v>36009</v>
      </c>
      <c r="AJ35" s="314">
        <f t="shared" si="6"/>
        <v>77619</v>
      </c>
      <c r="AK35" s="314">
        <f t="shared" si="15"/>
        <v>0</v>
      </c>
      <c r="AL35" s="314">
        <f t="shared" si="16"/>
        <v>0</v>
      </c>
      <c r="AM35" s="314">
        <f t="shared" si="7"/>
        <v>0</v>
      </c>
      <c r="AN35" s="314" t="e">
        <f t="shared" si="8"/>
        <v>#VALUE!</v>
      </c>
      <c r="AO35" s="314" t="e">
        <f t="shared" si="9"/>
        <v>#VALUE!</v>
      </c>
      <c r="AP35" s="314" t="e">
        <f t="shared" si="10"/>
        <v>#VALUE!</v>
      </c>
      <c r="AQ35" s="314" t="e">
        <f t="shared" si="17"/>
        <v>#VALUE!</v>
      </c>
      <c r="AR35" s="314" t="e">
        <f t="shared" si="18"/>
        <v>#VALUE!</v>
      </c>
      <c r="AS35" s="314" t="e">
        <f t="shared" si="11"/>
        <v>#VALUE!</v>
      </c>
      <c r="AT35" s="319">
        <f t="shared" si="13"/>
        <v>11</v>
      </c>
      <c r="AU35" s="320">
        <f>'5烧主抽电耗'!$A$3+AT35-1</f>
        <v>43354</v>
      </c>
      <c r="AV35" s="213" t="str">
        <f t="shared" si="12"/>
        <v>甲班</v>
      </c>
    </row>
    <row r="36" spans="1:48">
      <c r="A36" s="361"/>
      <c r="B36" s="222" t="s">
        <v>39</v>
      </c>
      <c r="C36" s="276" t="str">
        <f>'6烧主抽电耗'!F34</f>
        <v>乙班</v>
      </c>
      <c r="D36" s="277">
        <v>10.3333333333333</v>
      </c>
      <c r="E36" s="225">
        <v>43969736</v>
      </c>
      <c r="F36" s="225">
        <v>35388952</v>
      </c>
      <c r="G36" s="225" t="str">
        <f>IF(_zhuchou5_month_day!E33="","",_zhuchou5_month_day!E33)</f>
        <v/>
      </c>
      <c r="H36" s="225" t="str">
        <f>IF(_zhuchou5_month_day!F33="","",_zhuchou5_month_day!F33)</f>
        <v/>
      </c>
      <c r="I36" s="225">
        <v>0.94</v>
      </c>
      <c r="J36" s="225">
        <v>0.94</v>
      </c>
      <c r="K36" s="225" t="str">
        <f>IF(_zhuchou5_month_day!G33="","",_zhuchou5_month_day!G33)</f>
        <v/>
      </c>
      <c r="L36" s="225" t="str">
        <f>IF(_zhuchou5_month_day!H33="","",_zhuchou5_month_day!H33)</f>
        <v/>
      </c>
      <c r="M36" s="225" t="str">
        <f>IF(_zhuchou5_month_day!I33="","",_zhuchou5_month_day!I33)</f>
        <v/>
      </c>
      <c r="N36" s="225" t="str">
        <f>IF(_zhuchou5_month_day!J33="","",_zhuchou5_month_day!J33)</f>
        <v/>
      </c>
      <c r="O36" s="225"/>
      <c r="P36" s="225"/>
      <c r="Q36" s="225" t="s">
        <v>38</v>
      </c>
      <c r="R36" s="298"/>
      <c r="S36" s="299"/>
      <c r="T36" s="237"/>
      <c r="U36" s="225"/>
      <c r="V36" s="229" t="str">
        <f>IF(_zhuchou6_month_day!A33="","",_zhuchou6_month_day!A33)</f>
        <v/>
      </c>
      <c r="W36" s="229" t="str">
        <f>IF(_zhuchou6_month_day!B33="","",_zhuchou6_month_day!B33)</f>
        <v/>
      </c>
      <c r="X36" s="229"/>
      <c r="Y36" s="229"/>
      <c r="Z36" s="225" t="str">
        <f>IF(_zhuchou6_month_day!C33="","",_zhuchou6_month_dayC2)</f>
        <v/>
      </c>
      <c r="AA36" s="225" t="str">
        <f>IF(_zhuchou6_month_day!D33="","",_zhuchou6_month_dayC2)</f>
        <v/>
      </c>
      <c r="AB36" s="225" t="str">
        <f>IF(_zhuchou6_month_day!E33="","",_zhuchou6_month_dayC2)</f>
        <v/>
      </c>
      <c r="AC36" s="225" t="str">
        <f>IF(_zhuchou6_month_day!F33="","",_zhuchou6_month_dayC2)</f>
        <v/>
      </c>
      <c r="AD36" s="284"/>
      <c r="AE36" s="284"/>
      <c r="AF36" s="225"/>
      <c r="AG36" s="315"/>
      <c r="AH36" s="142">
        <f t="shared" si="4"/>
        <v>43680</v>
      </c>
      <c r="AI36" s="314">
        <f t="shared" si="5"/>
        <v>38004</v>
      </c>
      <c r="AJ36" s="314">
        <f t="shared" si="6"/>
        <v>81684</v>
      </c>
      <c r="AK36" s="314">
        <f t="shared" si="15"/>
        <v>0</v>
      </c>
      <c r="AL36" s="314">
        <f t="shared" si="16"/>
        <v>0</v>
      </c>
      <c r="AM36" s="314">
        <f t="shared" si="7"/>
        <v>0</v>
      </c>
      <c r="AN36" s="314" t="e">
        <f t="shared" si="8"/>
        <v>#VALUE!</v>
      </c>
      <c r="AO36" s="314" t="e">
        <f t="shared" si="9"/>
        <v>#VALUE!</v>
      </c>
      <c r="AP36" s="314" t="e">
        <f t="shared" si="10"/>
        <v>#VALUE!</v>
      </c>
      <c r="AQ36" s="314" t="e">
        <f t="shared" si="17"/>
        <v>#VALUE!</v>
      </c>
      <c r="AR36" s="314" t="e">
        <f t="shared" si="18"/>
        <v>#VALUE!</v>
      </c>
      <c r="AS36" s="314" t="e">
        <f t="shared" si="11"/>
        <v>#VALUE!</v>
      </c>
      <c r="AT36" s="319">
        <f t="shared" si="13"/>
        <v>11</v>
      </c>
      <c r="AU36" s="320">
        <f>'5烧主抽电耗'!$A$3+AT36-1</f>
        <v>43354</v>
      </c>
      <c r="AV36" s="213" t="str">
        <f t="shared" si="12"/>
        <v>乙班</v>
      </c>
    </row>
    <row r="37" spans="1:48">
      <c r="A37" s="361"/>
      <c r="B37" s="222" t="s">
        <v>41</v>
      </c>
      <c r="C37" s="276" t="str">
        <f>'6烧主抽电耗'!F35</f>
        <v>丙班</v>
      </c>
      <c r="D37" s="277">
        <v>10.6666666666667</v>
      </c>
      <c r="E37" s="225">
        <v>43984296</v>
      </c>
      <c r="F37" s="225">
        <v>35401620</v>
      </c>
      <c r="G37" s="225" t="str">
        <f>IF(_zhuchou5_month_day!E34="","",_zhuchou5_month_day!E34)</f>
        <v/>
      </c>
      <c r="H37" s="225" t="str">
        <f>IF(_zhuchou5_month_day!F34="","",_zhuchou5_month_day!F34)</f>
        <v/>
      </c>
      <c r="I37" s="225">
        <v>0.94</v>
      </c>
      <c r="J37" s="225">
        <v>0.94</v>
      </c>
      <c r="K37" s="225" t="str">
        <f>IF(_zhuchou5_month_day!G34="","",_zhuchou5_month_day!G34)</f>
        <v/>
      </c>
      <c r="L37" s="225" t="str">
        <f>IF(_zhuchou5_month_day!H34="","",_zhuchou5_month_day!H34)</f>
        <v/>
      </c>
      <c r="M37" s="225" t="str">
        <f>IF(_zhuchou5_month_day!I34="","",_zhuchou5_month_day!I34)</f>
        <v/>
      </c>
      <c r="N37" s="225" t="str">
        <f>IF(_zhuchou5_month_day!J34="","",_zhuchou5_month_day!J34)</f>
        <v/>
      </c>
      <c r="O37" s="225"/>
      <c r="P37" s="225"/>
      <c r="Q37" s="227" t="s">
        <v>40</v>
      </c>
      <c r="R37" s="298"/>
      <c r="S37" s="299"/>
      <c r="T37" s="237"/>
      <c r="U37" s="225"/>
      <c r="V37" s="229" t="str">
        <f>IF(_zhuchou6_month_day!A34="","",_zhuchou6_month_day!A34)</f>
        <v/>
      </c>
      <c r="W37" s="229" t="str">
        <f>IF(_zhuchou6_month_day!B34="","",_zhuchou6_month_day!B34)</f>
        <v/>
      </c>
      <c r="X37" s="229"/>
      <c r="Y37" s="229"/>
      <c r="Z37" s="225" t="str">
        <f>IF(_zhuchou6_month_day!C34="","",_zhuchou6_month_dayC2)</f>
        <v/>
      </c>
      <c r="AA37" s="225" t="str">
        <f>IF(_zhuchou6_month_day!D34="","",_zhuchou6_month_dayC2)</f>
        <v/>
      </c>
      <c r="AB37" s="225" t="str">
        <f>IF(_zhuchou6_month_day!E34="","",_zhuchou6_month_dayC2)</f>
        <v/>
      </c>
      <c r="AC37" s="225" t="str">
        <f>IF(_zhuchou6_month_day!F34="","",_zhuchou6_month_dayC2)</f>
        <v/>
      </c>
      <c r="AD37" s="284"/>
      <c r="AE37" s="284"/>
      <c r="AF37" s="225"/>
      <c r="AG37" s="225"/>
      <c r="AH37" s="142">
        <f t="shared" si="4"/>
        <v>40689</v>
      </c>
      <c r="AI37" s="314">
        <f t="shared" si="5"/>
        <v>34845</v>
      </c>
      <c r="AJ37" s="314">
        <f t="shared" si="6"/>
        <v>75534</v>
      </c>
      <c r="AK37" s="314">
        <f t="shared" si="15"/>
        <v>0</v>
      </c>
      <c r="AL37" s="314">
        <f t="shared" si="16"/>
        <v>0</v>
      </c>
      <c r="AM37" s="314">
        <f t="shared" si="7"/>
        <v>0</v>
      </c>
      <c r="AN37" s="314" t="e">
        <f t="shared" si="8"/>
        <v>#VALUE!</v>
      </c>
      <c r="AO37" s="314" t="e">
        <f t="shared" si="9"/>
        <v>#VALUE!</v>
      </c>
      <c r="AP37" s="314" t="e">
        <f t="shared" si="10"/>
        <v>#VALUE!</v>
      </c>
      <c r="AQ37" s="314" t="e">
        <f t="shared" si="17"/>
        <v>#VALUE!</v>
      </c>
      <c r="AR37" s="314" t="e">
        <f t="shared" si="18"/>
        <v>#VALUE!</v>
      </c>
      <c r="AS37" s="314" t="e">
        <f t="shared" si="11"/>
        <v>#VALUE!</v>
      </c>
      <c r="AT37" s="319">
        <f t="shared" si="13"/>
        <v>11</v>
      </c>
      <c r="AU37" s="320">
        <f>'5烧主抽电耗'!$A$3+AT37-1</f>
        <v>43354</v>
      </c>
      <c r="AV37" s="213" t="str">
        <f t="shared" si="12"/>
        <v>丙班</v>
      </c>
    </row>
    <row r="38" spans="1:48">
      <c r="A38" s="361">
        <v>12</v>
      </c>
      <c r="B38" s="222" t="s">
        <v>37</v>
      </c>
      <c r="C38" s="276" t="str">
        <f>'6烧主抽电耗'!F36</f>
        <v>丁班</v>
      </c>
      <c r="D38" s="277">
        <v>11</v>
      </c>
      <c r="E38" s="225">
        <v>43997859</v>
      </c>
      <c r="F38" s="225">
        <v>35413235</v>
      </c>
      <c r="G38" s="225" t="str">
        <f>IF(_zhuchou5_month_day!E35="","",_zhuchou5_month_day!E35)</f>
        <v/>
      </c>
      <c r="H38" s="225" t="str">
        <f>IF(_zhuchou5_month_day!F35="","",_zhuchou5_month_day!F35)</f>
        <v/>
      </c>
      <c r="I38" s="225">
        <v>0.94</v>
      </c>
      <c r="J38" s="225">
        <v>0.94</v>
      </c>
      <c r="K38" s="225" t="str">
        <f>IF(_zhuchou5_month_day!G35="","",_zhuchou5_month_day!G35)</f>
        <v/>
      </c>
      <c r="L38" s="225" t="str">
        <f>IF(_zhuchou5_month_day!H35="","",_zhuchou5_month_day!H35)</f>
        <v/>
      </c>
      <c r="M38" s="225" t="str">
        <f>IF(_zhuchou5_month_day!I35="","",_zhuchou5_month_day!I35)</f>
        <v/>
      </c>
      <c r="N38" s="225" t="str">
        <f>IF(_zhuchou5_month_day!J35="","",_zhuchou5_month_day!J35)</f>
        <v/>
      </c>
      <c r="O38" s="225"/>
      <c r="P38" s="225"/>
      <c r="Q38" s="229" t="s">
        <v>42</v>
      </c>
      <c r="R38" s="298"/>
      <c r="S38" s="299"/>
      <c r="T38" s="237"/>
      <c r="U38" s="225"/>
      <c r="V38" s="229" t="str">
        <f>IF(_zhuchou6_month_day!A35="","",_zhuchou6_month_day!A35)</f>
        <v/>
      </c>
      <c r="W38" s="229" t="str">
        <f>IF(_zhuchou6_month_day!B35="","",_zhuchou6_month_day!B35)</f>
        <v/>
      </c>
      <c r="X38" s="229"/>
      <c r="Y38" s="229"/>
      <c r="Z38" s="225" t="str">
        <f>IF(_zhuchou6_month_day!C35="","",_zhuchou6_month_dayC2)</f>
        <v/>
      </c>
      <c r="AA38" s="225" t="str">
        <f>IF(_zhuchou6_month_day!D35="","",_zhuchou6_month_dayC2)</f>
        <v/>
      </c>
      <c r="AB38" s="225" t="str">
        <f>IF(_zhuchou6_month_day!E35="","",_zhuchou6_month_dayC2)</f>
        <v/>
      </c>
      <c r="AC38" s="225" t="str">
        <f>IF(_zhuchou6_month_day!F35="","",_zhuchou6_month_dayC2)</f>
        <v/>
      </c>
      <c r="AD38" s="284"/>
      <c r="AE38" s="284"/>
      <c r="AF38" s="225"/>
      <c r="AG38" s="225"/>
      <c r="AH38" s="142">
        <f t="shared" si="4"/>
        <v>43758</v>
      </c>
      <c r="AI38" s="314">
        <f t="shared" ref="AI38:AI69" si="19">(F39-F38)*3</f>
        <v>36732</v>
      </c>
      <c r="AJ38" s="314">
        <f t="shared" ref="AJ38:AJ69" si="20">AH38+AI38</f>
        <v>80490</v>
      </c>
      <c r="AK38" s="314">
        <f t="shared" ref="AK38:AK69" si="21">(T41-T40)*3</f>
        <v>0</v>
      </c>
      <c r="AL38" s="314">
        <f t="shared" ref="AL38:AL69" si="22">(U41-U40)*3</f>
        <v>0</v>
      </c>
      <c r="AM38" s="314">
        <f t="shared" ref="AM38:AM69" si="23">AK38+AL38</f>
        <v>0</v>
      </c>
      <c r="AN38" s="314" t="e">
        <f t="shared" ref="AN38:AN69" si="24">G38*10000*(8-O38)*1.732*I38/1000</f>
        <v>#VALUE!</v>
      </c>
      <c r="AO38" s="314" t="e">
        <f t="shared" ref="AO38:AO69" si="25">H38*10000*(8-P38)*1.732*J38/1000</f>
        <v>#VALUE!</v>
      </c>
      <c r="AP38" s="314" t="e">
        <f t="shared" si="10"/>
        <v>#VALUE!</v>
      </c>
      <c r="AQ38" s="314" t="e">
        <f t="shared" ref="AQ38:AQ69" si="26">V40*10000*(8-$AD40)*1.732*X40/1000</f>
        <v>#VALUE!</v>
      </c>
      <c r="AR38" s="314" t="e">
        <f t="shared" ref="AR38:AR69" si="27">W40*10000*(8-$AD40)*1.732*Y40/1000</f>
        <v>#VALUE!</v>
      </c>
      <c r="AS38" s="314" t="e">
        <f t="shared" si="11"/>
        <v>#VALUE!</v>
      </c>
      <c r="AT38" s="319">
        <f t="shared" si="13"/>
        <v>12</v>
      </c>
      <c r="AU38" s="320">
        <f>'5烧主抽电耗'!$A$3+AT38-1</f>
        <v>43355</v>
      </c>
      <c r="AV38" s="213" t="str">
        <f t="shared" ref="AV38:AV69" si="28">C38</f>
        <v>丁班</v>
      </c>
    </row>
    <row r="39" spans="1:48">
      <c r="A39" s="361"/>
      <c r="B39" s="222" t="s">
        <v>39</v>
      </c>
      <c r="C39" s="276" t="str">
        <f>'6烧主抽电耗'!F37</f>
        <v>甲班</v>
      </c>
      <c r="D39" s="277">
        <v>11.3333333333333</v>
      </c>
      <c r="E39" s="225">
        <v>44012445</v>
      </c>
      <c r="F39" s="225">
        <v>35425479</v>
      </c>
      <c r="G39" s="225" t="str">
        <f>IF(_zhuchou5_month_day!E36="","",_zhuchou5_month_day!E36)</f>
        <v/>
      </c>
      <c r="H39" s="225" t="str">
        <f>IF(_zhuchou5_month_day!F36="","",_zhuchou5_month_day!F36)</f>
        <v/>
      </c>
      <c r="I39" s="225">
        <v>0.94</v>
      </c>
      <c r="J39" s="225">
        <v>0.94</v>
      </c>
      <c r="K39" s="225" t="str">
        <f>IF(_zhuchou5_month_day!G36="","",_zhuchou5_month_day!G36)</f>
        <v/>
      </c>
      <c r="L39" s="225" t="str">
        <f>IF(_zhuchou5_month_day!H36="","",_zhuchou5_month_day!H36)</f>
        <v/>
      </c>
      <c r="M39" s="225" t="str">
        <f>IF(_zhuchou5_month_day!I36="","",_zhuchou5_month_day!I36)</f>
        <v/>
      </c>
      <c r="N39" s="225" t="str">
        <f>IF(_zhuchou5_month_day!J36="","",_zhuchou5_month_day!J36)</f>
        <v/>
      </c>
      <c r="O39" s="225"/>
      <c r="P39" s="225"/>
      <c r="Q39" s="225" t="s">
        <v>43</v>
      </c>
      <c r="R39" s="298"/>
      <c r="S39" s="299"/>
      <c r="T39" s="237"/>
      <c r="U39" s="225"/>
      <c r="V39" s="229" t="str">
        <f>IF(_zhuchou6_month_day!A36="","",_zhuchou6_month_day!A36)</f>
        <v/>
      </c>
      <c r="W39" s="229" t="str">
        <f>IF(_zhuchou6_month_day!B36="","",_zhuchou6_month_day!B36)</f>
        <v/>
      </c>
      <c r="X39" s="229"/>
      <c r="Y39" s="229"/>
      <c r="Z39" s="225" t="str">
        <f>IF(_zhuchou6_month_day!C36="","",_zhuchou6_month_dayC2)</f>
        <v/>
      </c>
      <c r="AA39" s="225" t="str">
        <f>IF(_zhuchou6_month_day!D36="","",_zhuchou6_month_dayC2)</f>
        <v/>
      </c>
      <c r="AB39" s="225" t="str">
        <f>IF(_zhuchou6_month_day!E36="","",_zhuchou6_month_dayC2)</f>
        <v/>
      </c>
      <c r="AC39" s="225" t="str">
        <f>IF(_zhuchou6_month_day!F36="","",_zhuchou6_month_dayC2)</f>
        <v/>
      </c>
      <c r="AD39" s="284"/>
      <c r="AE39" s="284"/>
      <c r="AF39" s="225"/>
      <c r="AG39" s="315"/>
      <c r="AH39" s="142">
        <f t="shared" si="4"/>
        <v>43866</v>
      </c>
      <c r="AI39" s="314">
        <f t="shared" si="19"/>
        <v>37731</v>
      </c>
      <c r="AJ39" s="314">
        <f t="shared" si="20"/>
        <v>81597</v>
      </c>
      <c r="AK39" s="314">
        <f t="shared" si="21"/>
        <v>0</v>
      </c>
      <c r="AL39" s="314">
        <f t="shared" si="22"/>
        <v>0</v>
      </c>
      <c r="AM39" s="314">
        <f t="shared" si="23"/>
        <v>0</v>
      </c>
      <c r="AN39" s="314" t="e">
        <f t="shared" si="24"/>
        <v>#VALUE!</v>
      </c>
      <c r="AO39" s="314" t="e">
        <f t="shared" si="25"/>
        <v>#VALUE!</v>
      </c>
      <c r="AP39" s="314" t="e">
        <f t="shared" si="10"/>
        <v>#VALUE!</v>
      </c>
      <c r="AQ39" s="314" t="e">
        <f t="shared" si="26"/>
        <v>#VALUE!</v>
      </c>
      <c r="AR39" s="314" t="e">
        <f t="shared" si="27"/>
        <v>#VALUE!</v>
      </c>
      <c r="AS39" s="314" t="e">
        <f t="shared" si="11"/>
        <v>#VALUE!</v>
      </c>
      <c r="AT39" s="319">
        <f t="shared" si="13"/>
        <v>12</v>
      </c>
      <c r="AU39" s="320">
        <f>'5烧主抽电耗'!$A$3+AT39-1</f>
        <v>43355</v>
      </c>
      <c r="AV39" s="213" t="str">
        <f t="shared" si="28"/>
        <v>甲班</v>
      </c>
    </row>
    <row r="40" spans="1:48">
      <c r="A40" s="361"/>
      <c r="B40" s="222" t="s">
        <v>41</v>
      </c>
      <c r="C40" s="276" t="str">
        <f>'6烧主抽电耗'!F38</f>
        <v>乙班</v>
      </c>
      <c r="D40" s="277">
        <v>11.6666666666667</v>
      </c>
      <c r="E40" s="225">
        <v>44027067</v>
      </c>
      <c r="F40" s="225">
        <v>35438056</v>
      </c>
      <c r="G40" s="225" t="str">
        <f>IF(_zhuchou5_month_day!E37="","",_zhuchou5_month_day!E37)</f>
        <v/>
      </c>
      <c r="H40" s="225" t="str">
        <f>IF(_zhuchou5_month_day!F37="","",_zhuchou5_month_day!F37)</f>
        <v/>
      </c>
      <c r="I40" s="225">
        <v>0.94</v>
      </c>
      <c r="J40" s="225">
        <v>0.94</v>
      </c>
      <c r="K40" s="225" t="str">
        <f>IF(_zhuchou5_month_day!G37="","",_zhuchou5_month_day!G37)</f>
        <v/>
      </c>
      <c r="L40" s="225" t="str">
        <f>IF(_zhuchou5_month_day!H37="","",_zhuchou5_month_day!H37)</f>
        <v/>
      </c>
      <c r="M40" s="225" t="str">
        <f>IF(_zhuchou5_month_day!I37="","",_zhuchou5_month_day!I37)</f>
        <v/>
      </c>
      <c r="N40" s="225" t="str">
        <f>IF(_zhuchou5_month_day!J37="","",_zhuchou5_month_day!J37)</f>
        <v/>
      </c>
      <c r="O40" s="225"/>
      <c r="P40" s="225"/>
      <c r="Q40" s="225" t="s">
        <v>38</v>
      </c>
      <c r="R40" s="298"/>
      <c r="S40" s="299"/>
      <c r="T40" s="237"/>
      <c r="U40" s="225"/>
      <c r="V40" s="229" t="str">
        <f>IF(_zhuchou6_month_day!A37="","",_zhuchou6_month_day!A37)</f>
        <v/>
      </c>
      <c r="W40" s="229" t="str">
        <f>IF(_zhuchou6_month_day!B37="","",_zhuchou6_month_day!B37)</f>
        <v/>
      </c>
      <c r="X40" s="229"/>
      <c r="Y40" s="229"/>
      <c r="Z40" s="225" t="str">
        <f>IF(_zhuchou6_month_day!C37="","",_zhuchou6_month_dayC2)</f>
        <v/>
      </c>
      <c r="AA40" s="225" t="str">
        <f>IF(_zhuchou6_month_day!D37="","",_zhuchou6_month_dayC2)</f>
        <v/>
      </c>
      <c r="AB40" s="225" t="str">
        <f>IF(_zhuchou6_month_day!E37="","",_zhuchou6_month_dayC2)</f>
        <v/>
      </c>
      <c r="AC40" s="225" t="str">
        <f>IF(_zhuchou6_month_day!F37="","",_zhuchou6_month_dayC2)</f>
        <v/>
      </c>
      <c r="AD40" s="284"/>
      <c r="AE40" s="284"/>
      <c r="AF40" s="229"/>
      <c r="AG40" s="315"/>
      <c r="AH40" s="142">
        <f t="shared" si="4"/>
        <v>36543</v>
      </c>
      <c r="AI40" s="314">
        <f t="shared" si="19"/>
        <v>33954</v>
      </c>
      <c r="AJ40" s="314">
        <f t="shared" si="20"/>
        <v>70497</v>
      </c>
      <c r="AK40" s="314">
        <f t="shared" si="21"/>
        <v>0</v>
      </c>
      <c r="AL40" s="314">
        <f t="shared" si="22"/>
        <v>0</v>
      </c>
      <c r="AM40" s="314">
        <f t="shared" si="23"/>
        <v>0</v>
      </c>
      <c r="AN40" s="314" t="e">
        <f t="shared" si="24"/>
        <v>#VALUE!</v>
      </c>
      <c r="AO40" s="314" t="e">
        <f t="shared" si="25"/>
        <v>#VALUE!</v>
      </c>
      <c r="AP40" s="314" t="e">
        <f t="shared" si="10"/>
        <v>#VALUE!</v>
      </c>
      <c r="AQ40" s="314" t="e">
        <f t="shared" si="26"/>
        <v>#VALUE!</v>
      </c>
      <c r="AR40" s="314" t="e">
        <f t="shared" si="27"/>
        <v>#VALUE!</v>
      </c>
      <c r="AS40" s="314" t="e">
        <f t="shared" si="11"/>
        <v>#VALUE!</v>
      </c>
      <c r="AT40" s="319">
        <f t="shared" ref="AT40:AT71" si="29">AT37+1</f>
        <v>12</v>
      </c>
      <c r="AU40" s="320">
        <f>'5烧主抽电耗'!$A$3+AT40-1</f>
        <v>43355</v>
      </c>
      <c r="AV40" s="213" t="str">
        <f t="shared" si="28"/>
        <v>乙班</v>
      </c>
    </row>
    <row r="41" spans="1:48">
      <c r="A41" s="361">
        <v>13</v>
      </c>
      <c r="B41" s="222" t="s">
        <v>37</v>
      </c>
      <c r="C41" s="276" t="str">
        <f>'6烧主抽电耗'!F39</f>
        <v>丁班</v>
      </c>
      <c r="D41" s="277">
        <v>12</v>
      </c>
      <c r="E41" s="225">
        <v>44039248</v>
      </c>
      <c r="F41" s="225">
        <v>35449374</v>
      </c>
      <c r="G41" s="230" t="str">
        <f>IF(_zhuchou5_month_day!E38="","",_zhuchou5_month_day!E38)</f>
        <v/>
      </c>
      <c r="H41" s="230" t="str">
        <f>IF(_zhuchou5_month_day!F38="","",_zhuchou5_month_day!F38)</f>
        <v/>
      </c>
      <c r="I41" s="230">
        <v>0.94</v>
      </c>
      <c r="J41" s="230">
        <v>0.94</v>
      </c>
      <c r="K41" s="230" t="str">
        <f>IF(_zhuchou5_month_day!G38="","",_zhuchou5_month_day!G38)</f>
        <v/>
      </c>
      <c r="L41" s="230" t="str">
        <f>IF(_zhuchou5_month_day!H38="","",_zhuchou5_month_day!H38)</f>
        <v/>
      </c>
      <c r="M41" s="230" t="str">
        <f>IF(_zhuchou5_month_day!I38="","",_zhuchou5_month_day!I38)</f>
        <v/>
      </c>
      <c r="N41" s="230" t="str">
        <f>IF(_zhuchou5_month_day!J38="","",_zhuchou5_month_day!J38)</f>
        <v/>
      </c>
      <c r="O41" s="225"/>
      <c r="P41" s="225"/>
      <c r="Q41" s="229" t="s">
        <v>42</v>
      </c>
      <c r="R41" s="298"/>
      <c r="S41" s="301"/>
      <c r="T41" s="237"/>
      <c r="U41" s="225"/>
      <c r="V41" s="229" t="str">
        <f>IF(_zhuchou6_month_day!A38="","",_zhuchou6_month_day!A38)</f>
        <v/>
      </c>
      <c r="W41" s="229" t="str">
        <f>IF(_zhuchou6_month_day!B38="","",_zhuchou6_month_day!B38)</f>
        <v/>
      </c>
      <c r="X41" s="229"/>
      <c r="Y41" s="229"/>
      <c r="Z41" s="225" t="str">
        <f>IF(_zhuchou6_month_day!C38="","",_zhuchou6_month_dayC2)</f>
        <v/>
      </c>
      <c r="AA41" s="225" t="str">
        <f>IF(_zhuchou6_month_day!D38="","",_zhuchou6_month_dayC2)</f>
        <v/>
      </c>
      <c r="AB41" s="225" t="str">
        <f>IF(_zhuchou6_month_day!E38="","",_zhuchou6_month_dayC2)</f>
        <v/>
      </c>
      <c r="AC41" s="225" t="str">
        <f>IF(_zhuchou6_month_day!F38="","",_zhuchou6_month_dayC2)</f>
        <v/>
      </c>
      <c r="AD41" s="284"/>
      <c r="AE41" s="284"/>
      <c r="AF41" s="225"/>
      <c r="AG41" s="315"/>
      <c r="AH41" s="142">
        <f t="shared" si="4"/>
        <v>40548</v>
      </c>
      <c r="AI41" s="314">
        <f t="shared" si="19"/>
        <v>35898</v>
      </c>
      <c r="AJ41" s="314">
        <f t="shared" si="20"/>
        <v>76446</v>
      </c>
      <c r="AK41" s="314">
        <f t="shared" si="21"/>
        <v>0</v>
      </c>
      <c r="AL41" s="314">
        <f t="shared" si="22"/>
        <v>0</v>
      </c>
      <c r="AM41" s="314">
        <f t="shared" si="23"/>
        <v>0</v>
      </c>
      <c r="AN41" s="314" t="e">
        <f t="shared" si="24"/>
        <v>#VALUE!</v>
      </c>
      <c r="AO41" s="314" t="e">
        <f t="shared" si="25"/>
        <v>#VALUE!</v>
      </c>
      <c r="AP41" s="314" t="e">
        <f t="shared" si="10"/>
        <v>#VALUE!</v>
      </c>
      <c r="AQ41" s="314" t="e">
        <f t="shared" si="26"/>
        <v>#VALUE!</v>
      </c>
      <c r="AR41" s="314" t="e">
        <f t="shared" si="27"/>
        <v>#VALUE!</v>
      </c>
      <c r="AS41" s="314" t="e">
        <f t="shared" si="11"/>
        <v>#VALUE!</v>
      </c>
      <c r="AT41" s="319">
        <f t="shared" si="29"/>
        <v>13</v>
      </c>
      <c r="AU41" s="320">
        <f>'5烧主抽电耗'!$A$3+AT41-1</f>
        <v>43356</v>
      </c>
      <c r="AV41" s="213" t="str">
        <f t="shared" si="28"/>
        <v>丁班</v>
      </c>
    </row>
    <row r="42" spans="1:48">
      <c r="A42" s="361"/>
      <c r="B42" s="222" t="s">
        <v>39</v>
      </c>
      <c r="C42" s="276" t="str">
        <f>'6烧主抽电耗'!F40</f>
        <v>甲班</v>
      </c>
      <c r="D42" s="277">
        <v>12.3333333333333</v>
      </c>
      <c r="E42" s="225">
        <v>44052764</v>
      </c>
      <c r="F42" s="225">
        <v>35461340</v>
      </c>
      <c r="G42" s="225" t="str">
        <f>IF(_zhuchou5_month_day!E39="","",_zhuchou5_month_day!E39)</f>
        <v/>
      </c>
      <c r="H42" s="225" t="str">
        <f>IF(_zhuchou5_month_day!F39="","",_zhuchou5_month_day!F39)</f>
        <v/>
      </c>
      <c r="I42" s="225">
        <v>0.94</v>
      </c>
      <c r="J42" s="225">
        <v>0.94</v>
      </c>
      <c r="K42" s="225" t="str">
        <f>IF(_zhuchou5_month_day!G39="","",_zhuchou5_month_day!G39)</f>
        <v/>
      </c>
      <c r="L42" s="225" t="str">
        <f>IF(_zhuchou5_month_day!H39="","",_zhuchou5_month_day!H39)</f>
        <v/>
      </c>
      <c r="M42" s="225" t="str">
        <f>IF(_zhuchou5_month_day!I39="","",_zhuchou5_month_day!I39)</f>
        <v/>
      </c>
      <c r="N42" s="225" t="str">
        <f>IF(_zhuchou5_month_day!J39="","",_zhuchou5_month_day!J39)</f>
        <v/>
      </c>
      <c r="O42" s="225"/>
      <c r="P42" s="225"/>
      <c r="Q42" s="229" t="s">
        <v>43</v>
      </c>
      <c r="R42" s="298"/>
      <c r="S42" s="299"/>
      <c r="T42" s="237"/>
      <c r="U42" s="225"/>
      <c r="V42" s="229" t="str">
        <f>IF(_zhuchou6_month_day!A39="","",_zhuchou6_month_day!A39)</f>
        <v/>
      </c>
      <c r="W42" s="229" t="str">
        <f>IF(_zhuchou6_month_day!B39="","",_zhuchou6_month_day!B39)</f>
        <v/>
      </c>
      <c r="X42" s="229"/>
      <c r="Y42" s="229"/>
      <c r="Z42" s="225" t="str">
        <f>IF(_zhuchou6_month_day!C39="","",_zhuchou6_month_dayC2)</f>
        <v/>
      </c>
      <c r="AA42" s="225" t="str">
        <f>IF(_zhuchou6_month_day!D39="","",_zhuchou6_month_dayC2)</f>
        <v/>
      </c>
      <c r="AB42" s="225" t="str">
        <f>IF(_zhuchou6_month_day!E39="","",_zhuchou6_month_dayC2)</f>
        <v/>
      </c>
      <c r="AC42" s="225" t="str">
        <f>IF(_zhuchou6_month_day!F39="","",_zhuchou6_month_dayC2)</f>
        <v/>
      </c>
      <c r="AD42" s="284"/>
      <c r="AE42" s="284"/>
      <c r="AF42" s="225"/>
      <c r="AG42" s="315"/>
      <c r="AH42" s="142">
        <f t="shared" si="4"/>
        <v>44859</v>
      </c>
      <c r="AI42" s="314">
        <f t="shared" si="19"/>
        <v>38619</v>
      </c>
      <c r="AJ42" s="314">
        <f t="shared" si="20"/>
        <v>83478</v>
      </c>
      <c r="AK42" s="314">
        <f t="shared" si="21"/>
        <v>0</v>
      </c>
      <c r="AL42" s="314">
        <f t="shared" si="22"/>
        <v>0</v>
      </c>
      <c r="AM42" s="314">
        <f t="shared" si="23"/>
        <v>0</v>
      </c>
      <c r="AN42" s="314" t="e">
        <f t="shared" si="24"/>
        <v>#VALUE!</v>
      </c>
      <c r="AO42" s="314" t="e">
        <f t="shared" si="25"/>
        <v>#VALUE!</v>
      </c>
      <c r="AP42" s="314" t="e">
        <f t="shared" si="10"/>
        <v>#VALUE!</v>
      </c>
      <c r="AQ42" s="314" t="e">
        <f t="shared" si="26"/>
        <v>#VALUE!</v>
      </c>
      <c r="AR42" s="314" t="e">
        <f t="shared" si="27"/>
        <v>#VALUE!</v>
      </c>
      <c r="AS42" s="314" t="e">
        <f t="shared" si="11"/>
        <v>#VALUE!</v>
      </c>
      <c r="AT42" s="319">
        <f t="shared" si="29"/>
        <v>13</v>
      </c>
      <c r="AU42" s="320">
        <f>'5烧主抽电耗'!$A$3+AT42-1</f>
        <v>43356</v>
      </c>
      <c r="AV42" s="213" t="str">
        <f t="shared" si="28"/>
        <v>甲班</v>
      </c>
    </row>
    <row r="43" spans="1:48">
      <c r="A43" s="361"/>
      <c r="B43" s="222" t="s">
        <v>41</v>
      </c>
      <c r="C43" s="276" t="str">
        <f>'6烧主抽电耗'!F41</f>
        <v>乙班</v>
      </c>
      <c r="D43" s="277">
        <v>12.6666666666667</v>
      </c>
      <c r="E43" s="225">
        <v>44067717</v>
      </c>
      <c r="F43" s="225">
        <v>35474213</v>
      </c>
      <c r="G43" s="225" t="str">
        <f>IF(_zhuchou5_month_day!E40="","",_zhuchou5_month_day!E40)</f>
        <v/>
      </c>
      <c r="H43" s="225" t="str">
        <f>IF(_zhuchou5_month_day!F40="","",_zhuchou5_month_day!F40)</f>
        <v/>
      </c>
      <c r="I43" s="225">
        <v>0.94</v>
      </c>
      <c r="J43" s="225">
        <v>0.94</v>
      </c>
      <c r="K43" s="225" t="str">
        <f>IF(_zhuchou5_month_day!G40="","",_zhuchou5_month_day!G40)</f>
        <v/>
      </c>
      <c r="L43" s="225" t="str">
        <f>IF(_zhuchou5_month_day!H40="","",_zhuchou5_month_day!H40)</f>
        <v/>
      </c>
      <c r="M43" s="225" t="str">
        <f>IF(_zhuchou5_month_day!I40="","",_zhuchou5_month_day!I40)</f>
        <v/>
      </c>
      <c r="N43" s="225" t="str">
        <f>IF(_zhuchou5_month_day!J40="","",_zhuchou5_month_day!J40)</f>
        <v/>
      </c>
      <c r="O43" s="225"/>
      <c r="P43" s="225"/>
      <c r="Q43" s="225" t="s">
        <v>38</v>
      </c>
      <c r="R43" s="298"/>
      <c r="S43" s="299"/>
      <c r="T43" s="229"/>
      <c r="U43" s="229"/>
      <c r="V43" s="229" t="str">
        <f>IF(_zhuchou6_month_day!A40="","",_zhuchou6_month_day!A40)</f>
        <v/>
      </c>
      <c r="W43" s="229" t="str">
        <f>IF(_zhuchou6_month_day!B40="","",_zhuchou6_month_day!B40)</f>
        <v/>
      </c>
      <c r="X43" s="229"/>
      <c r="Y43" s="229"/>
      <c r="Z43" s="225" t="str">
        <f>IF(_zhuchou6_month_day!C40="","",_zhuchou6_month_dayC2)</f>
        <v/>
      </c>
      <c r="AA43" s="225" t="str">
        <f>IF(_zhuchou6_month_day!D40="","",_zhuchou6_month_dayC2)</f>
        <v/>
      </c>
      <c r="AB43" s="230" t="str">
        <f>IF(_zhuchou6_month_day!E40="","",_zhuchou6_month_dayC2)</f>
        <v/>
      </c>
      <c r="AC43" s="225" t="str">
        <f>IF(_zhuchou6_month_day!F40="","",_zhuchou6_month_dayC2)</f>
        <v/>
      </c>
      <c r="AD43" s="284"/>
      <c r="AE43" s="284"/>
      <c r="AF43" s="225"/>
      <c r="AG43" s="225"/>
      <c r="AH43" s="142">
        <f t="shared" si="4"/>
        <v>41883</v>
      </c>
      <c r="AI43" s="314">
        <f t="shared" si="19"/>
        <v>35352</v>
      </c>
      <c r="AJ43" s="314">
        <f t="shared" si="20"/>
        <v>77235</v>
      </c>
      <c r="AK43" s="314">
        <f t="shared" si="21"/>
        <v>0</v>
      </c>
      <c r="AL43" s="314">
        <f t="shared" si="22"/>
        <v>0</v>
      </c>
      <c r="AM43" s="314">
        <f t="shared" si="23"/>
        <v>0</v>
      </c>
      <c r="AN43" s="314" t="e">
        <f t="shared" si="24"/>
        <v>#VALUE!</v>
      </c>
      <c r="AO43" s="314" t="e">
        <f t="shared" si="25"/>
        <v>#VALUE!</v>
      </c>
      <c r="AP43" s="314" t="e">
        <f t="shared" si="10"/>
        <v>#VALUE!</v>
      </c>
      <c r="AQ43" s="314" t="e">
        <f t="shared" si="26"/>
        <v>#VALUE!</v>
      </c>
      <c r="AR43" s="314" t="e">
        <f t="shared" si="27"/>
        <v>#VALUE!</v>
      </c>
      <c r="AS43" s="314" t="e">
        <f t="shared" si="11"/>
        <v>#VALUE!</v>
      </c>
      <c r="AT43" s="319">
        <f t="shared" si="29"/>
        <v>13</v>
      </c>
      <c r="AU43" s="320">
        <f>'5烧主抽电耗'!$A$3+AT43-1</f>
        <v>43356</v>
      </c>
      <c r="AV43" s="213" t="str">
        <f t="shared" si="28"/>
        <v>乙班</v>
      </c>
    </row>
    <row r="44" spans="1:48">
      <c r="A44" s="361">
        <v>14</v>
      </c>
      <c r="B44" s="222" t="s">
        <v>37</v>
      </c>
      <c r="C44" s="276" t="str">
        <f>'6烧主抽电耗'!F42</f>
        <v>丙班</v>
      </c>
      <c r="D44" s="277">
        <v>13</v>
      </c>
      <c r="E44" s="225">
        <v>44081678</v>
      </c>
      <c r="F44" s="225">
        <v>35485997</v>
      </c>
      <c r="G44" s="225" t="str">
        <f>IF(_zhuchou5_month_day!E41="","",_zhuchou5_month_day!E41)</f>
        <v/>
      </c>
      <c r="H44" s="225" t="str">
        <f>IF(_zhuchou5_month_day!F41="","",_zhuchou5_month_day!F41)</f>
        <v/>
      </c>
      <c r="I44" s="225">
        <v>0.94</v>
      </c>
      <c r="J44" s="225">
        <v>0.94</v>
      </c>
      <c r="K44" s="225" t="str">
        <f>IF(_zhuchou5_month_day!G41="","",_zhuchou5_month_day!G41)</f>
        <v/>
      </c>
      <c r="L44" s="225" t="str">
        <f>IF(_zhuchou5_month_day!H41="","",_zhuchou5_month_day!H41)</f>
        <v/>
      </c>
      <c r="M44" s="225" t="str">
        <f>IF(_zhuchou5_month_day!I41="","",_zhuchou5_month_day!I41)</f>
        <v/>
      </c>
      <c r="N44" s="225" t="str">
        <f>IF(_zhuchou5_month_day!J41="","",_zhuchou5_month_day!J41)</f>
        <v/>
      </c>
      <c r="O44" s="225"/>
      <c r="P44" s="225"/>
      <c r="Q44" s="227" t="s">
        <v>40</v>
      </c>
      <c r="R44" s="298"/>
      <c r="S44" s="299"/>
      <c r="T44" s="229"/>
      <c r="U44" s="229"/>
      <c r="V44" s="229" t="str">
        <f>IF(_zhuchou6_month_day!A41="","",_zhuchou6_month_day!A41)</f>
        <v/>
      </c>
      <c r="W44" s="229" t="str">
        <f>IF(_zhuchou6_month_day!B41="","",_zhuchou6_month_day!B41)</f>
        <v/>
      </c>
      <c r="X44" s="229"/>
      <c r="Y44" s="229"/>
      <c r="Z44" s="225" t="str">
        <f>IF(_zhuchou6_month_day!C41="","",_zhuchou6_month_dayC2)</f>
        <v/>
      </c>
      <c r="AA44" s="225" t="str">
        <f>IF(_zhuchou6_month_day!D41="","",_zhuchou6_month_dayC2)</f>
        <v/>
      </c>
      <c r="AB44" s="225" t="str">
        <f>IF(_zhuchou6_month_day!E41="","",_zhuchou6_month_dayC2)</f>
        <v/>
      </c>
      <c r="AC44" s="225" t="str">
        <f>IF(_zhuchou6_month_day!F41="","",_zhuchou6_month_dayC2)</f>
        <v/>
      </c>
      <c r="AD44" s="284"/>
      <c r="AE44" s="284"/>
      <c r="AF44" s="225"/>
      <c r="AG44" s="225"/>
      <c r="AH44" s="142">
        <f t="shared" si="4"/>
        <v>40563</v>
      </c>
      <c r="AI44" s="314">
        <f t="shared" si="19"/>
        <v>33927</v>
      </c>
      <c r="AJ44" s="314">
        <f t="shared" si="20"/>
        <v>74490</v>
      </c>
      <c r="AK44" s="314">
        <f t="shared" si="21"/>
        <v>0</v>
      </c>
      <c r="AL44" s="314">
        <f t="shared" si="22"/>
        <v>0</v>
      </c>
      <c r="AM44" s="314">
        <f t="shared" si="23"/>
        <v>0</v>
      </c>
      <c r="AN44" s="314" t="e">
        <f t="shared" si="24"/>
        <v>#VALUE!</v>
      </c>
      <c r="AO44" s="314" t="e">
        <f t="shared" si="25"/>
        <v>#VALUE!</v>
      </c>
      <c r="AP44" s="314" t="e">
        <f t="shared" si="10"/>
        <v>#VALUE!</v>
      </c>
      <c r="AQ44" s="314" t="e">
        <f t="shared" si="26"/>
        <v>#VALUE!</v>
      </c>
      <c r="AR44" s="314" t="e">
        <f t="shared" si="27"/>
        <v>#VALUE!</v>
      </c>
      <c r="AS44" s="314" t="e">
        <f t="shared" si="11"/>
        <v>#VALUE!</v>
      </c>
      <c r="AT44" s="319">
        <f t="shared" si="29"/>
        <v>14</v>
      </c>
      <c r="AU44" s="320">
        <f>'5烧主抽电耗'!$A$3+AT44-1</f>
        <v>43357</v>
      </c>
      <c r="AV44" s="213" t="str">
        <f t="shared" si="28"/>
        <v>丙班</v>
      </c>
    </row>
    <row r="45" spans="1:48">
      <c r="A45" s="361"/>
      <c r="B45" s="222" t="s">
        <v>39</v>
      </c>
      <c r="C45" s="276" t="str">
        <f>'6烧主抽电耗'!F43</f>
        <v>丁班</v>
      </c>
      <c r="D45" s="277">
        <v>13.3333333333333</v>
      </c>
      <c r="E45" s="225">
        <v>44095199</v>
      </c>
      <c r="F45" s="225">
        <v>35497306</v>
      </c>
      <c r="G45" s="225" t="str">
        <f>IF(_zhuchou5_month_day!E42="","",_zhuchou5_month_day!E42)</f>
        <v/>
      </c>
      <c r="H45" s="225" t="str">
        <f>IF(_zhuchou5_month_day!F42="","",_zhuchou5_month_day!F42)</f>
        <v/>
      </c>
      <c r="I45" s="225">
        <v>0.94</v>
      </c>
      <c r="J45" s="225">
        <v>0.94</v>
      </c>
      <c r="K45" s="225" t="str">
        <f>IF(_zhuchou5_month_day!G42="","",_zhuchou5_month_day!G42)</f>
        <v/>
      </c>
      <c r="L45" s="225" t="str">
        <f>IF(_zhuchou5_month_day!H42="","",_zhuchou5_month_day!H42)</f>
        <v/>
      </c>
      <c r="M45" s="225" t="str">
        <f>IF(_zhuchou5_month_day!I42="","",_zhuchou5_month_day!I42)</f>
        <v/>
      </c>
      <c r="N45" s="225" t="str">
        <f>IF(_zhuchou5_month_day!J42="","",_zhuchou5_month_day!J42)</f>
        <v/>
      </c>
      <c r="O45" s="225"/>
      <c r="P45" s="225"/>
      <c r="Q45" s="229" t="s">
        <v>42</v>
      </c>
      <c r="R45" s="298"/>
      <c r="S45" s="299"/>
      <c r="T45" s="237"/>
      <c r="U45" s="225"/>
      <c r="V45" s="229" t="str">
        <f>IF(_zhuchou6_month_day!A42="","",_zhuchou6_month_day!A42)</f>
        <v/>
      </c>
      <c r="W45" s="229" t="str">
        <f>IF(_zhuchou6_month_day!B42="","",_zhuchou6_month_day!B42)</f>
        <v/>
      </c>
      <c r="X45" s="229"/>
      <c r="Y45" s="229"/>
      <c r="Z45" s="225" t="str">
        <f>IF(_zhuchou6_month_day!C42="","",_zhuchou6_month_dayC2)</f>
        <v/>
      </c>
      <c r="AA45" s="225" t="str">
        <f>IF(_zhuchou6_month_day!D42="","",_zhuchou6_month_dayC2)</f>
        <v/>
      </c>
      <c r="AB45" s="225" t="str">
        <f>IF(_zhuchou6_month_day!E42="","",_zhuchou6_month_dayC2)</f>
        <v/>
      </c>
      <c r="AC45" s="225" t="str">
        <f>IF(_zhuchou6_month_day!F42="","",_zhuchou6_month_dayC2)</f>
        <v/>
      </c>
      <c r="AD45" s="283"/>
      <c r="AE45" s="283"/>
      <c r="AF45" s="225"/>
      <c r="AG45" s="316"/>
      <c r="AH45" s="142">
        <f t="shared" si="4"/>
        <v>-132285597</v>
      </c>
      <c r="AI45" s="314">
        <f t="shared" si="19"/>
        <v>-106491918</v>
      </c>
      <c r="AJ45" s="314">
        <f t="shared" si="20"/>
        <v>-238777515</v>
      </c>
      <c r="AK45" s="314">
        <f t="shared" si="21"/>
        <v>0</v>
      </c>
      <c r="AL45" s="314">
        <f t="shared" si="22"/>
        <v>0</v>
      </c>
      <c r="AM45" s="314">
        <f t="shared" si="23"/>
        <v>0</v>
      </c>
      <c r="AN45" s="314" t="e">
        <f t="shared" si="24"/>
        <v>#VALUE!</v>
      </c>
      <c r="AO45" s="314" t="e">
        <f t="shared" si="25"/>
        <v>#VALUE!</v>
      </c>
      <c r="AP45" s="314" t="e">
        <f t="shared" si="10"/>
        <v>#VALUE!</v>
      </c>
      <c r="AQ45" s="314" t="e">
        <f t="shared" si="26"/>
        <v>#VALUE!</v>
      </c>
      <c r="AR45" s="314" t="e">
        <f t="shared" si="27"/>
        <v>#VALUE!</v>
      </c>
      <c r="AS45" s="314" t="e">
        <f t="shared" si="11"/>
        <v>#VALUE!</v>
      </c>
      <c r="AT45" s="319">
        <f t="shared" si="29"/>
        <v>14</v>
      </c>
      <c r="AU45" s="320">
        <f>'5烧主抽电耗'!$A$3+AT45-1</f>
        <v>43357</v>
      </c>
      <c r="AV45" s="213" t="str">
        <f t="shared" si="28"/>
        <v>丁班</v>
      </c>
    </row>
    <row r="46" spans="1:48">
      <c r="A46" s="361"/>
      <c r="B46" s="222" t="s">
        <v>41</v>
      </c>
      <c r="C46" s="276" t="str">
        <f>'6烧主抽电耗'!F44</f>
        <v>甲班</v>
      </c>
      <c r="D46" s="277">
        <v>13.6666666666667</v>
      </c>
      <c r="E46" s="225"/>
      <c r="F46" s="225"/>
      <c r="G46" s="225" t="str">
        <f>IF(_zhuchou5_month_day!E43="","",_zhuchou5_month_day!E43)</f>
        <v/>
      </c>
      <c r="H46" s="225" t="str">
        <f>IF(_zhuchou5_month_day!F43="","",_zhuchou5_month_day!F43)</f>
        <v/>
      </c>
      <c r="I46" s="225"/>
      <c r="J46" s="225"/>
      <c r="K46" s="225" t="str">
        <f>IF(_zhuchou5_month_day!G43="","",_zhuchou5_month_day!G43)</f>
        <v/>
      </c>
      <c r="L46" s="225" t="str">
        <f>IF(_zhuchou5_month_day!H43="","",_zhuchou5_month_day!H43)</f>
        <v/>
      </c>
      <c r="M46" s="225" t="str">
        <f>IF(_zhuchou5_month_day!I43="","",_zhuchou5_month_day!I43)</f>
        <v/>
      </c>
      <c r="N46" s="225" t="str">
        <f>IF(_zhuchou5_month_day!J43="","",_zhuchou5_month_day!J43)</f>
        <v/>
      </c>
      <c r="O46" s="225"/>
      <c r="P46" s="225"/>
      <c r="Q46" s="225"/>
      <c r="R46" s="298"/>
      <c r="S46" s="299"/>
      <c r="T46" s="229"/>
      <c r="U46" s="229"/>
      <c r="V46" s="229" t="str">
        <f>IF(_zhuchou6_month_day!A43="","",_zhuchou6_month_day!A43)</f>
        <v/>
      </c>
      <c r="W46" s="229" t="str">
        <f>IF(_zhuchou6_month_day!B43="","",_zhuchou6_month_day!B43)</f>
        <v/>
      </c>
      <c r="X46" s="229"/>
      <c r="Y46" s="229"/>
      <c r="Z46" s="225" t="str">
        <f>IF(_zhuchou6_month_day!C43="","",_zhuchou6_month_dayC2)</f>
        <v/>
      </c>
      <c r="AA46" s="225" t="str">
        <f>IF(_zhuchou6_month_day!D43="","",_zhuchou6_month_dayC2)</f>
        <v/>
      </c>
      <c r="AB46" s="225" t="str">
        <f>IF(_zhuchou6_month_day!E43="","",_zhuchou6_month_dayC2)</f>
        <v/>
      </c>
      <c r="AC46" s="225" t="str">
        <f>IF(_zhuchou6_month_day!F43="","",_zhuchou6_month_dayC2)</f>
        <v/>
      </c>
      <c r="AD46" s="284"/>
      <c r="AE46" s="284"/>
      <c r="AF46" s="225"/>
      <c r="AG46" s="225"/>
      <c r="AH46" s="142">
        <f t="shared" si="4"/>
        <v>0</v>
      </c>
      <c r="AI46" s="314">
        <f t="shared" si="19"/>
        <v>0</v>
      </c>
      <c r="AJ46" s="314">
        <f t="shared" si="20"/>
        <v>0</v>
      </c>
      <c r="AK46" s="314">
        <f t="shared" si="21"/>
        <v>0</v>
      </c>
      <c r="AL46" s="314">
        <f t="shared" si="22"/>
        <v>0</v>
      </c>
      <c r="AM46" s="314">
        <f t="shared" si="23"/>
        <v>0</v>
      </c>
      <c r="AN46" s="314" t="e">
        <f t="shared" si="24"/>
        <v>#VALUE!</v>
      </c>
      <c r="AO46" s="314" t="e">
        <f t="shared" si="25"/>
        <v>#VALUE!</v>
      </c>
      <c r="AP46" s="314" t="e">
        <f t="shared" si="10"/>
        <v>#VALUE!</v>
      </c>
      <c r="AQ46" s="314" t="e">
        <f t="shared" si="26"/>
        <v>#VALUE!</v>
      </c>
      <c r="AR46" s="314" t="e">
        <f t="shared" si="27"/>
        <v>#VALUE!</v>
      </c>
      <c r="AS46" s="314" t="e">
        <f t="shared" si="11"/>
        <v>#VALUE!</v>
      </c>
      <c r="AT46" s="319">
        <f t="shared" si="29"/>
        <v>14</v>
      </c>
      <c r="AU46" s="320">
        <f>'5烧主抽电耗'!$A$3+AT46-1</f>
        <v>43357</v>
      </c>
      <c r="AV46" s="213" t="str">
        <f t="shared" si="28"/>
        <v>甲班</v>
      </c>
    </row>
    <row r="47" spans="1:48">
      <c r="A47" s="360">
        <v>15</v>
      </c>
      <c r="B47" s="222" t="s">
        <v>37</v>
      </c>
      <c r="C47" s="276" t="str">
        <f>'6烧主抽电耗'!F45</f>
        <v>丙班</v>
      </c>
      <c r="D47" s="277">
        <v>14</v>
      </c>
      <c r="E47" s="225"/>
      <c r="F47" s="225"/>
      <c r="G47" s="225" t="str">
        <f>IF(_zhuchou5_month_day!E44="","",_zhuchou5_month_day!E44)</f>
        <v/>
      </c>
      <c r="H47" s="225" t="str">
        <f>IF(_zhuchou5_month_day!F44="","",_zhuchou5_month_day!F44)</f>
        <v/>
      </c>
      <c r="I47" s="225"/>
      <c r="J47" s="225"/>
      <c r="K47" s="225" t="str">
        <f>IF(_zhuchou5_month_day!G44="","",_zhuchou5_month_day!G44)</f>
        <v/>
      </c>
      <c r="L47" s="225" t="str">
        <f>IF(_zhuchou5_month_day!H44="","",_zhuchou5_month_day!H44)</f>
        <v/>
      </c>
      <c r="M47" s="225" t="str">
        <f>IF(_zhuchou5_month_day!I44="","",_zhuchou5_month_day!I44)</f>
        <v/>
      </c>
      <c r="N47" s="225" t="str">
        <f>IF(_zhuchou5_month_day!J44="","",_zhuchou5_month_day!J44)</f>
        <v/>
      </c>
      <c r="O47" s="225"/>
      <c r="P47" s="225"/>
      <c r="Q47" s="229"/>
      <c r="R47" s="298"/>
      <c r="S47" s="299"/>
      <c r="T47" s="237"/>
      <c r="U47" s="225"/>
      <c r="V47" s="229" t="str">
        <f>IF(_zhuchou6_month_day!A44="","",_zhuchou6_month_day!A44)</f>
        <v/>
      </c>
      <c r="W47" s="229" t="str">
        <f>IF(_zhuchou6_month_day!B44="","",_zhuchou6_month_day!B44)</f>
        <v/>
      </c>
      <c r="X47" s="229"/>
      <c r="Y47" s="229"/>
      <c r="Z47" s="225" t="str">
        <f>IF(_zhuchou6_month_day!C44="","",_zhuchou6_month_dayC2)</f>
        <v/>
      </c>
      <c r="AA47" s="225" t="str">
        <f>IF(_zhuchou6_month_day!D44="","",_zhuchou6_month_dayC2)</f>
        <v/>
      </c>
      <c r="AB47" s="225" t="str">
        <f>IF(_zhuchou6_month_day!E44="","",_zhuchou6_month_dayC2)</f>
        <v/>
      </c>
      <c r="AC47" s="225" t="str">
        <f>IF(_zhuchou6_month_day!F44="","",_zhuchou6_month_dayC2)</f>
        <v/>
      </c>
      <c r="AD47" s="284"/>
      <c r="AE47" s="284"/>
      <c r="AF47" s="225"/>
      <c r="AG47" s="225"/>
      <c r="AH47" s="142">
        <f t="shared" si="4"/>
        <v>0</v>
      </c>
      <c r="AI47" s="314">
        <f t="shared" si="19"/>
        <v>0</v>
      </c>
      <c r="AJ47" s="314">
        <f t="shared" si="20"/>
        <v>0</v>
      </c>
      <c r="AK47" s="314">
        <f t="shared" si="21"/>
        <v>0</v>
      </c>
      <c r="AL47" s="314">
        <f t="shared" si="22"/>
        <v>0</v>
      </c>
      <c r="AM47" s="314">
        <f t="shared" si="23"/>
        <v>0</v>
      </c>
      <c r="AN47" s="314" t="e">
        <f t="shared" si="24"/>
        <v>#VALUE!</v>
      </c>
      <c r="AO47" s="314" t="e">
        <f t="shared" si="25"/>
        <v>#VALUE!</v>
      </c>
      <c r="AP47" s="314" t="e">
        <f t="shared" si="10"/>
        <v>#VALUE!</v>
      </c>
      <c r="AQ47" s="314" t="e">
        <f t="shared" si="26"/>
        <v>#VALUE!</v>
      </c>
      <c r="AR47" s="314" t="e">
        <f t="shared" si="27"/>
        <v>#VALUE!</v>
      </c>
      <c r="AS47" s="314" t="e">
        <f t="shared" si="11"/>
        <v>#VALUE!</v>
      </c>
      <c r="AT47" s="319">
        <f t="shared" si="29"/>
        <v>15</v>
      </c>
      <c r="AU47" s="320">
        <f>'5烧主抽电耗'!$A$3+AT47-1</f>
        <v>43358</v>
      </c>
      <c r="AV47" s="213" t="str">
        <f t="shared" si="28"/>
        <v>丙班</v>
      </c>
    </row>
    <row r="48" spans="1:48">
      <c r="A48" s="360"/>
      <c r="B48" s="222" t="s">
        <v>39</v>
      </c>
      <c r="C48" s="276" t="str">
        <f>'6烧主抽电耗'!F46</f>
        <v>丁班</v>
      </c>
      <c r="D48" s="277">
        <v>14.3333333333333</v>
      </c>
      <c r="E48" s="225"/>
      <c r="F48" s="225"/>
      <c r="G48" s="225" t="str">
        <f>IF(_zhuchou5_month_day!E45="","",_zhuchou5_month_day!E45)</f>
        <v/>
      </c>
      <c r="H48" s="225" t="str">
        <f>IF(_zhuchou5_month_day!F45="","",_zhuchou5_month_day!F45)</f>
        <v/>
      </c>
      <c r="I48" s="225"/>
      <c r="J48" s="225"/>
      <c r="K48" s="225" t="str">
        <f>IF(_zhuchou5_month_day!G45="","",_zhuchou5_month_day!G45)</f>
        <v/>
      </c>
      <c r="L48" s="225" t="str">
        <f>IF(_zhuchou5_month_day!H45="","",_zhuchou5_month_day!H45)</f>
        <v/>
      </c>
      <c r="M48" s="225" t="str">
        <f>IF(_zhuchou5_month_day!I45="","",_zhuchou5_month_day!I45)</f>
        <v/>
      </c>
      <c r="N48" s="225" t="str">
        <f>IF(_zhuchou5_month_day!J45="","",_zhuchou5_month_day!J45)</f>
        <v/>
      </c>
      <c r="O48" s="225"/>
      <c r="P48" s="225"/>
      <c r="Q48" s="229"/>
      <c r="R48" s="298"/>
      <c r="S48" s="299"/>
      <c r="T48" s="237"/>
      <c r="U48" s="225"/>
      <c r="V48" s="229" t="str">
        <f>IF(_zhuchou6_month_day!A45="","",_zhuchou6_month_day!A45)</f>
        <v/>
      </c>
      <c r="W48" s="229" t="str">
        <f>IF(_zhuchou6_month_day!B45="","",_zhuchou6_month_day!B45)</f>
        <v/>
      </c>
      <c r="X48" s="229"/>
      <c r="Y48" s="229"/>
      <c r="Z48" s="225" t="str">
        <f>IF(_zhuchou6_month_day!C45="","",_zhuchou6_month_dayC2)</f>
        <v/>
      </c>
      <c r="AA48" s="225" t="str">
        <f>IF(_zhuchou6_month_day!D45="","",_zhuchou6_month_dayC2)</f>
        <v/>
      </c>
      <c r="AB48" s="225" t="str">
        <f>IF(_zhuchou6_month_day!E45="","",_zhuchou6_month_dayC2)</f>
        <v/>
      </c>
      <c r="AC48" s="225" t="str">
        <f>IF(_zhuchou6_month_day!F45="","",_zhuchou6_month_dayC2)</f>
        <v/>
      </c>
      <c r="AD48" s="284"/>
      <c r="AE48" s="284"/>
      <c r="AF48" s="225"/>
      <c r="AG48" s="225"/>
      <c r="AH48" s="142">
        <f t="shared" ref="AH48:AH78" si="30">(E49-E48)*3</f>
        <v>0</v>
      </c>
      <c r="AI48" s="314">
        <f t="shared" si="19"/>
        <v>0</v>
      </c>
      <c r="AJ48" s="314">
        <f t="shared" si="20"/>
        <v>0</v>
      </c>
      <c r="AK48" s="314">
        <f t="shared" si="21"/>
        <v>0</v>
      </c>
      <c r="AL48" s="314">
        <f t="shared" si="22"/>
        <v>0</v>
      </c>
      <c r="AM48" s="314">
        <f t="shared" si="23"/>
        <v>0</v>
      </c>
      <c r="AN48" s="314" t="e">
        <f t="shared" si="24"/>
        <v>#VALUE!</v>
      </c>
      <c r="AO48" s="314" t="e">
        <f t="shared" si="25"/>
        <v>#VALUE!</v>
      </c>
      <c r="AP48" s="314" t="e">
        <f t="shared" si="10"/>
        <v>#VALUE!</v>
      </c>
      <c r="AQ48" s="314" t="e">
        <f t="shared" si="26"/>
        <v>#VALUE!</v>
      </c>
      <c r="AR48" s="314" t="e">
        <f t="shared" si="27"/>
        <v>#VALUE!</v>
      </c>
      <c r="AS48" s="314" t="e">
        <f t="shared" si="11"/>
        <v>#VALUE!</v>
      </c>
      <c r="AT48" s="319">
        <f t="shared" si="29"/>
        <v>15</v>
      </c>
      <c r="AU48" s="320">
        <f>'5烧主抽电耗'!$A$3+AT48-1</f>
        <v>43358</v>
      </c>
      <c r="AV48" s="213" t="str">
        <f t="shared" si="28"/>
        <v>丁班</v>
      </c>
    </row>
    <row r="49" spans="1:48">
      <c r="A49" s="360"/>
      <c r="B49" s="222" t="s">
        <v>41</v>
      </c>
      <c r="C49" s="276" t="str">
        <f>'6烧主抽电耗'!F47</f>
        <v>甲班</v>
      </c>
      <c r="D49" s="277">
        <v>14.6666666666667</v>
      </c>
      <c r="E49" s="225"/>
      <c r="F49" s="225"/>
      <c r="G49" s="225" t="str">
        <f>IF(_zhuchou5_month_day!E46="","",_zhuchou5_month_day!E46)</f>
        <v/>
      </c>
      <c r="H49" s="225" t="str">
        <f>IF(_zhuchou5_month_day!F46="","",_zhuchou5_month_day!F46)</f>
        <v/>
      </c>
      <c r="I49" s="225"/>
      <c r="J49" s="225"/>
      <c r="K49" s="225" t="str">
        <f>IF(_zhuchou5_month_day!G46="","",_zhuchou5_month_day!G46)</f>
        <v/>
      </c>
      <c r="L49" s="225" t="str">
        <f>IF(_zhuchou5_month_day!H46="","",_zhuchou5_month_day!H46)</f>
        <v/>
      </c>
      <c r="M49" s="225" t="str">
        <f>IF(_zhuchou5_month_day!I46="","",_zhuchou5_month_day!I46)</f>
        <v/>
      </c>
      <c r="N49" s="225" t="str">
        <f>IF(_zhuchou5_month_day!J46="","",_zhuchou5_month_day!J46)</f>
        <v/>
      </c>
      <c r="O49" s="225"/>
      <c r="P49" s="225"/>
      <c r="Q49" s="225"/>
      <c r="R49" s="298"/>
      <c r="S49" s="299"/>
      <c r="T49" s="237"/>
      <c r="U49" s="225"/>
      <c r="V49" s="229" t="str">
        <f>IF(_zhuchou6_month_day!A46="","",_zhuchou6_month_day!A46)</f>
        <v/>
      </c>
      <c r="W49" s="229" t="str">
        <f>IF(_zhuchou6_month_day!B46="","",_zhuchou6_month_day!B46)</f>
        <v/>
      </c>
      <c r="X49" s="229"/>
      <c r="Y49" s="229"/>
      <c r="Z49" s="225" t="str">
        <f>IF(_zhuchou6_month_day!C46="","",_zhuchou6_month_dayC2)</f>
        <v/>
      </c>
      <c r="AA49" s="225" t="str">
        <f>IF(_zhuchou6_month_day!D46="","",_zhuchou6_month_dayC2)</f>
        <v/>
      </c>
      <c r="AB49" s="225" t="str">
        <f>IF(_zhuchou6_month_day!E46="","",_zhuchou6_month_dayC2)</f>
        <v/>
      </c>
      <c r="AC49" s="225" t="str">
        <f>IF(_zhuchou6_month_day!F46="","",_zhuchou6_month_dayC2)</f>
        <v/>
      </c>
      <c r="AD49" s="284"/>
      <c r="AE49" s="284"/>
      <c r="AF49" s="225"/>
      <c r="AG49" s="225"/>
      <c r="AH49" s="142">
        <f t="shared" si="30"/>
        <v>0</v>
      </c>
      <c r="AI49" s="314">
        <f t="shared" si="19"/>
        <v>0</v>
      </c>
      <c r="AJ49" s="314">
        <f t="shared" si="20"/>
        <v>0</v>
      </c>
      <c r="AK49" s="314">
        <f t="shared" si="21"/>
        <v>0</v>
      </c>
      <c r="AL49" s="314">
        <f t="shared" si="22"/>
        <v>0</v>
      </c>
      <c r="AM49" s="314">
        <f t="shared" si="23"/>
        <v>0</v>
      </c>
      <c r="AN49" s="314" t="e">
        <f t="shared" si="24"/>
        <v>#VALUE!</v>
      </c>
      <c r="AO49" s="314" t="e">
        <f t="shared" si="25"/>
        <v>#VALUE!</v>
      </c>
      <c r="AP49" s="314" t="e">
        <f t="shared" si="10"/>
        <v>#VALUE!</v>
      </c>
      <c r="AQ49" s="314" t="e">
        <f t="shared" si="26"/>
        <v>#VALUE!</v>
      </c>
      <c r="AR49" s="314" t="e">
        <f t="shared" si="27"/>
        <v>#VALUE!</v>
      </c>
      <c r="AS49" s="314" t="e">
        <f t="shared" si="11"/>
        <v>#VALUE!</v>
      </c>
      <c r="AT49" s="319">
        <f t="shared" si="29"/>
        <v>15</v>
      </c>
      <c r="AU49" s="320">
        <f>'5烧主抽电耗'!$A$3+AT49-1</f>
        <v>43358</v>
      </c>
      <c r="AV49" s="213" t="str">
        <f t="shared" si="28"/>
        <v>甲班</v>
      </c>
    </row>
    <row r="50" spans="1:48">
      <c r="A50" s="360">
        <v>16</v>
      </c>
      <c r="B50" s="222" t="s">
        <v>37</v>
      </c>
      <c r="C50" s="276" t="str">
        <f>'6烧主抽电耗'!F48</f>
        <v>乙班</v>
      </c>
      <c r="D50" s="277">
        <v>15</v>
      </c>
      <c r="E50" s="225"/>
      <c r="F50" s="225"/>
      <c r="G50" s="225" t="str">
        <f>IF(_zhuchou5_month_day!E47="","",_zhuchou5_month_day!E47)</f>
        <v/>
      </c>
      <c r="H50" s="225" t="str">
        <f>IF(_zhuchou5_month_day!F47="","",_zhuchou5_month_day!F47)</f>
        <v/>
      </c>
      <c r="I50" s="225"/>
      <c r="J50" s="225"/>
      <c r="K50" s="225" t="str">
        <f>IF(_zhuchou5_month_day!G47="","",_zhuchou5_month_day!G47)</f>
        <v/>
      </c>
      <c r="L50" s="225" t="str">
        <f>IF(_zhuchou5_month_day!H47="","",_zhuchou5_month_day!H47)</f>
        <v/>
      </c>
      <c r="M50" s="225" t="str">
        <f>IF(_zhuchou5_month_day!I47="","",_zhuchou5_month_day!I47)</f>
        <v/>
      </c>
      <c r="N50" s="225" t="str">
        <f>IF(_zhuchou5_month_day!J47="","",_zhuchou5_month_day!J47)</f>
        <v/>
      </c>
      <c r="O50" s="225"/>
      <c r="P50" s="225"/>
      <c r="Q50" s="229"/>
      <c r="R50" s="298"/>
      <c r="S50" s="299"/>
      <c r="T50" s="229"/>
      <c r="U50" s="229"/>
      <c r="V50" s="229" t="str">
        <f>IF(_zhuchou6_month_day!A47="","",_zhuchou6_month_day!A47)</f>
        <v/>
      </c>
      <c r="W50" s="229" t="str">
        <f>IF(_zhuchou6_month_day!B47="","",_zhuchou6_month_day!B47)</f>
        <v/>
      </c>
      <c r="X50" s="229"/>
      <c r="Y50" s="229"/>
      <c r="Z50" s="225" t="str">
        <f>IF(_zhuchou6_month_day!C47="","",_zhuchou6_month_dayC2)</f>
        <v/>
      </c>
      <c r="AA50" s="225" t="str">
        <f>IF(_zhuchou6_month_day!D47="","",_zhuchou6_month_dayC2)</f>
        <v/>
      </c>
      <c r="AB50" s="225" t="str">
        <f>IF(_zhuchou6_month_day!E47="","",_zhuchou6_month_dayC2)</f>
        <v/>
      </c>
      <c r="AC50" s="225" t="str">
        <f>IF(_zhuchou6_month_day!F47="","",_zhuchou6_month_dayC2)</f>
        <v/>
      </c>
      <c r="AD50" s="284"/>
      <c r="AE50" s="284"/>
      <c r="AF50" s="225"/>
      <c r="AG50" s="225"/>
      <c r="AH50" s="142">
        <f t="shared" si="30"/>
        <v>0</v>
      </c>
      <c r="AI50" s="314">
        <f t="shared" si="19"/>
        <v>0</v>
      </c>
      <c r="AJ50" s="314">
        <f t="shared" si="20"/>
        <v>0</v>
      </c>
      <c r="AK50" s="314">
        <f t="shared" si="21"/>
        <v>0</v>
      </c>
      <c r="AL50" s="314">
        <f t="shared" si="22"/>
        <v>0</v>
      </c>
      <c r="AM50" s="314">
        <f t="shared" si="23"/>
        <v>0</v>
      </c>
      <c r="AN50" s="314" t="e">
        <f t="shared" si="24"/>
        <v>#VALUE!</v>
      </c>
      <c r="AO50" s="314" t="e">
        <f t="shared" si="25"/>
        <v>#VALUE!</v>
      </c>
      <c r="AP50" s="314" t="e">
        <f t="shared" si="10"/>
        <v>#VALUE!</v>
      </c>
      <c r="AQ50" s="314" t="e">
        <f t="shared" si="26"/>
        <v>#VALUE!</v>
      </c>
      <c r="AR50" s="314" t="e">
        <f t="shared" si="27"/>
        <v>#VALUE!</v>
      </c>
      <c r="AS50" s="314" t="e">
        <f t="shared" si="11"/>
        <v>#VALUE!</v>
      </c>
      <c r="AT50" s="319">
        <f t="shared" si="29"/>
        <v>16</v>
      </c>
      <c r="AU50" s="320">
        <f>'5烧主抽电耗'!$A$3+AT50-1</f>
        <v>43359</v>
      </c>
      <c r="AV50" s="213" t="str">
        <f t="shared" si="28"/>
        <v>乙班</v>
      </c>
    </row>
    <row r="51" spans="1:48">
      <c r="A51" s="360"/>
      <c r="B51" s="222" t="s">
        <v>39</v>
      </c>
      <c r="C51" s="276" t="str">
        <f>'6烧主抽电耗'!F49</f>
        <v>丙班</v>
      </c>
      <c r="D51" s="277">
        <v>15.3333333333333</v>
      </c>
      <c r="E51" s="225"/>
      <c r="F51" s="225"/>
      <c r="G51" s="225" t="str">
        <f>IF(_zhuchou5_month_day!E48="","",_zhuchou5_month_day!E48)</f>
        <v/>
      </c>
      <c r="H51" s="225" t="str">
        <f>IF(_zhuchou5_month_day!F48="","",_zhuchou5_month_day!F48)</f>
        <v/>
      </c>
      <c r="I51" s="225"/>
      <c r="J51" s="225"/>
      <c r="K51" s="225" t="str">
        <f>IF(_zhuchou5_month_day!G48="","",_zhuchou5_month_day!G48)</f>
        <v/>
      </c>
      <c r="L51" s="225" t="str">
        <f>IF(_zhuchou5_month_day!H48="","",_zhuchou5_month_day!H48)</f>
        <v/>
      </c>
      <c r="M51" s="225" t="str">
        <f>IF(_zhuchou5_month_day!I48="","",_zhuchou5_month_day!I48)</f>
        <v/>
      </c>
      <c r="N51" s="225" t="str">
        <f>IF(_zhuchou5_month_day!J48="","",_zhuchou5_month_day!J48)</f>
        <v/>
      </c>
      <c r="O51" s="225"/>
      <c r="P51" s="225"/>
      <c r="Q51" s="229"/>
      <c r="R51" s="298"/>
      <c r="S51" s="299"/>
      <c r="T51" s="237"/>
      <c r="U51" s="225"/>
      <c r="V51" s="229" t="str">
        <f>IF(_zhuchou6_month_day!A48="","",_zhuchou6_month_day!A48)</f>
        <v/>
      </c>
      <c r="W51" s="229" t="str">
        <f>IF(_zhuchou6_month_day!B48="","",_zhuchou6_month_day!B48)</f>
        <v/>
      </c>
      <c r="X51" s="229"/>
      <c r="Y51" s="229"/>
      <c r="Z51" s="225" t="str">
        <f>IF(_zhuchou6_month_day!C48="","",_zhuchou6_month_dayC2)</f>
        <v/>
      </c>
      <c r="AA51" s="225" t="str">
        <f>IF(_zhuchou6_month_day!D48="","",_zhuchou6_month_dayC2)</f>
        <v/>
      </c>
      <c r="AB51" s="225" t="str">
        <f>IF(_zhuchou6_month_day!E48="","",_zhuchou6_month_dayC2)</f>
        <v/>
      </c>
      <c r="AC51" s="225" t="str">
        <f>IF(_zhuchou6_month_day!F48="","",_zhuchou6_month_dayC2)</f>
        <v/>
      </c>
      <c r="AD51" s="284"/>
      <c r="AE51" s="284"/>
      <c r="AF51" s="225"/>
      <c r="AG51" s="225"/>
      <c r="AH51" s="142">
        <f t="shared" si="30"/>
        <v>0</v>
      </c>
      <c r="AI51" s="314">
        <f t="shared" si="19"/>
        <v>0</v>
      </c>
      <c r="AJ51" s="314">
        <f t="shared" si="20"/>
        <v>0</v>
      </c>
      <c r="AK51" s="314">
        <f t="shared" si="21"/>
        <v>0</v>
      </c>
      <c r="AL51" s="314">
        <f t="shared" si="22"/>
        <v>0</v>
      </c>
      <c r="AM51" s="314">
        <f t="shared" si="23"/>
        <v>0</v>
      </c>
      <c r="AN51" s="314" t="e">
        <f t="shared" si="24"/>
        <v>#VALUE!</v>
      </c>
      <c r="AO51" s="314" t="e">
        <f t="shared" si="25"/>
        <v>#VALUE!</v>
      </c>
      <c r="AP51" s="314" t="e">
        <f t="shared" si="10"/>
        <v>#VALUE!</v>
      </c>
      <c r="AQ51" s="314" t="e">
        <f t="shared" si="26"/>
        <v>#VALUE!</v>
      </c>
      <c r="AR51" s="314" t="e">
        <f t="shared" si="27"/>
        <v>#VALUE!</v>
      </c>
      <c r="AS51" s="314" t="e">
        <f t="shared" si="11"/>
        <v>#VALUE!</v>
      </c>
      <c r="AT51" s="319">
        <f t="shared" si="29"/>
        <v>16</v>
      </c>
      <c r="AU51" s="320">
        <f>'5烧主抽电耗'!$A$3+AT51-1</f>
        <v>43359</v>
      </c>
      <c r="AV51" s="213" t="str">
        <f t="shared" si="28"/>
        <v>丙班</v>
      </c>
    </row>
    <row r="52" spans="1:48" ht="15" customHeight="1">
      <c r="A52" s="360"/>
      <c r="B52" s="222" t="s">
        <v>41</v>
      </c>
      <c r="C52" s="276" t="str">
        <f>'6烧主抽电耗'!F50</f>
        <v>丁班</v>
      </c>
      <c r="D52" s="277">
        <v>15.6666666666667</v>
      </c>
      <c r="E52" s="225"/>
      <c r="F52" s="225"/>
      <c r="G52" s="225" t="str">
        <f>IF(_zhuchou5_month_day!E49="","",_zhuchou5_month_day!E49)</f>
        <v/>
      </c>
      <c r="H52" s="225" t="str">
        <f>IF(_zhuchou5_month_day!F49="","",_zhuchou5_month_day!F49)</f>
        <v/>
      </c>
      <c r="I52" s="225"/>
      <c r="J52" s="225"/>
      <c r="K52" s="225" t="str">
        <f>IF(_zhuchou5_month_day!G49="","",_zhuchou5_month_day!G49)</f>
        <v/>
      </c>
      <c r="L52" s="225" t="str">
        <f>IF(_zhuchou5_month_day!H49="","",_zhuchou5_month_day!H49)</f>
        <v/>
      </c>
      <c r="M52" s="225" t="str">
        <f>IF(_zhuchou5_month_day!I49="","",_zhuchou5_month_day!I49)</f>
        <v/>
      </c>
      <c r="N52" s="225" t="str">
        <f>IF(_zhuchou5_month_day!J49="","",_zhuchou5_month_day!J49)</f>
        <v/>
      </c>
      <c r="O52" s="225"/>
      <c r="P52" s="225"/>
      <c r="Q52" s="229"/>
      <c r="R52" s="298"/>
      <c r="S52" s="299"/>
      <c r="T52" s="229"/>
      <c r="U52" s="229"/>
      <c r="V52" s="229" t="str">
        <f>IF(_zhuchou6_month_day!A49="","",_zhuchou6_month_day!A49)</f>
        <v/>
      </c>
      <c r="W52" s="229" t="str">
        <f>IF(_zhuchou6_month_day!B49="","",_zhuchou6_month_day!B49)</f>
        <v/>
      </c>
      <c r="X52" s="229"/>
      <c r="Y52" s="229"/>
      <c r="Z52" s="225" t="str">
        <f>IF(_zhuchou6_month_day!C49="","",_zhuchou6_month_dayC2)</f>
        <v/>
      </c>
      <c r="AA52" s="225" t="str">
        <f>IF(_zhuchou6_month_day!D49="","",_zhuchou6_month_dayC2)</f>
        <v/>
      </c>
      <c r="AB52" s="225" t="str">
        <f>IF(_zhuchou6_month_day!E49="","",_zhuchou6_month_dayC2)</f>
        <v/>
      </c>
      <c r="AC52" s="225" t="str">
        <f>IF(_zhuchou6_month_day!F49="","",_zhuchou6_month_dayC2)</f>
        <v/>
      </c>
      <c r="AD52" s="283"/>
      <c r="AE52" s="283"/>
      <c r="AF52" s="225"/>
      <c r="AG52" s="225"/>
      <c r="AH52" s="142">
        <f t="shared" si="30"/>
        <v>0</v>
      </c>
      <c r="AI52" s="314">
        <f t="shared" si="19"/>
        <v>0</v>
      </c>
      <c r="AJ52" s="314">
        <f t="shared" si="20"/>
        <v>0</v>
      </c>
      <c r="AK52" s="314">
        <f t="shared" si="21"/>
        <v>0</v>
      </c>
      <c r="AL52" s="314">
        <f t="shared" si="22"/>
        <v>0</v>
      </c>
      <c r="AM52" s="314">
        <f t="shared" si="23"/>
        <v>0</v>
      </c>
      <c r="AN52" s="314" t="e">
        <f t="shared" si="24"/>
        <v>#VALUE!</v>
      </c>
      <c r="AO52" s="314" t="e">
        <f t="shared" si="25"/>
        <v>#VALUE!</v>
      </c>
      <c r="AP52" s="314" t="e">
        <f t="shared" si="10"/>
        <v>#VALUE!</v>
      </c>
      <c r="AQ52" s="314" t="e">
        <f t="shared" si="26"/>
        <v>#VALUE!</v>
      </c>
      <c r="AR52" s="314" t="e">
        <f t="shared" si="27"/>
        <v>#VALUE!</v>
      </c>
      <c r="AS52" s="314" t="e">
        <f t="shared" si="11"/>
        <v>#VALUE!</v>
      </c>
      <c r="AT52" s="319">
        <f t="shared" si="29"/>
        <v>16</v>
      </c>
      <c r="AU52" s="320">
        <f>'5烧主抽电耗'!$A$3+AT52-1</f>
        <v>43359</v>
      </c>
      <c r="AV52" s="213" t="str">
        <f t="shared" si="28"/>
        <v>丁班</v>
      </c>
    </row>
    <row r="53" spans="1:48">
      <c r="A53" s="360">
        <v>17</v>
      </c>
      <c r="B53" s="222" t="s">
        <v>37</v>
      </c>
      <c r="C53" s="276" t="str">
        <f>'6烧主抽电耗'!F51</f>
        <v>乙班</v>
      </c>
      <c r="D53" s="277">
        <v>16</v>
      </c>
      <c r="E53" s="225"/>
      <c r="F53" s="225"/>
      <c r="G53" s="225" t="str">
        <f>IF(_zhuchou5_month_day!E50="","",_zhuchou5_month_day!E50)</f>
        <v/>
      </c>
      <c r="H53" s="225" t="str">
        <f>IF(_zhuchou5_month_day!F50="","",_zhuchou5_month_day!F50)</f>
        <v/>
      </c>
      <c r="I53" s="225"/>
      <c r="J53" s="225"/>
      <c r="K53" s="225" t="str">
        <f>IF(_zhuchou5_month_day!G50="","",_zhuchou5_month_day!G50)</f>
        <v/>
      </c>
      <c r="L53" s="225" t="str">
        <f>IF(_zhuchou5_month_day!H50="","",_zhuchou5_month_day!H50)</f>
        <v/>
      </c>
      <c r="M53" s="225" t="str">
        <f>IF(_zhuchou5_month_day!I50="","",_zhuchou5_month_day!I50)</f>
        <v/>
      </c>
      <c r="N53" s="225" t="str">
        <f>IF(_zhuchou5_month_day!J50="","",_zhuchou5_month_day!J50)</f>
        <v/>
      </c>
      <c r="O53" s="225"/>
      <c r="P53" s="225"/>
      <c r="Q53" s="229"/>
      <c r="R53" s="298"/>
      <c r="S53" s="299"/>
      <c r="T53" s="229"/>
      <c r="U53" s="229"/>
      <c r="V53" s="229" t="str">
        <f>IF(_zhuchou6_month_day!A50="","",_zhuchou6_month_day!A50)</f>
        <v/>
      </c>
      <c r="W53" s="229" t="str">
        <f>IF(_zhuchou6_month_day!B50="","",_zhuchou6_month_day!B50)</f>
        <v/>
      </c>
      <c r="X53" s="229"/>
      <c r="Y53" s="229"/>
      <c r="Z53" s="225" t="str">
        <f>IF(_zhuchou6_month_day!C50="","",_zhuchou6_month_dayC2)</f>
        <v/>
      </c>
      <c r="AA53" s="225" t="str">
        <f>IF(_zhuchou6_month_day!D50="","",_zhuchou6_month_dayC2)</f>
        <v/>
      </c>
      <c r="AB53" s="225" t="str">
        <f>IF(_zhuchou6_month_day!E50="","",_zhuchou6_month_dayC2)</f>
        <v/>
      </c>
      <c r="AC53" s="225" t="str">
        <f>IF(_zhuchou6_month_day!F50="","",_zhuchou6_month_dayC2)</f>
        <v/>
      </c>
      <c r="AD53" s="284"/>
      <c r="AE53" s="284"/>
      <c r="AF53" s="225"/>
      <c r="AG53" s="316"/>
      <c r="AH53" s="142">
        <f t="shared" si="30"/>
        <v>0</v>
      </c>
      <c r="AI53" s="314">
        <f t="shared" si="19"/>
        <v>0</v>
      </c>
      <c r="AJ53" s="314">
        <f t="shared" si="20"/>
        <v>0</v>
      </c>
      <c r="AK53" s="314">
        <f t="shared" si="21"/>
        <v>0</v>
      </c>
      <c r="AL53" s="314">
        <f t="shared" si="22"/>
        <v>0</v>
      </c>
      <c r="AM53" s="314">
        <f t="shared" si="23"/>
        <v>0</v>
      </c>
      <c r="AN53" s="314" t="e">
        <f t="shared" si="24"/>
        <v>#VALUE!</v>
      </c>
      <c r="AO53" s="314" t="e">
        <f t="shared" si="25"/>
        <v>#VALUE!</v>
      </c>
      <c r="AP53" s="314" t="e">
        <f t="shared" si="10"/>
        <v>#VALUE!</v>
      </c>
      <c r="AQ53" s="314" t="e">
        <f t="shared" si="26"/>
        <v>#VALUE!</v>
      </c>
      <c r="AR53" s="314" t="e">
        <f t="shared" si="27"/>
        <v>#VALUE!</v>
      </c>
      <c r="AS53" s="314" t="e">
        <f t="shared" si="11"/>
        <v>#VALUE!</v>
      </c>
      <c r="AT53" s="319">
        <f t="shared" si="29"/>
        <v>17</v>
      </c>
      <c r="AU53" s="320">
        <f>'5烧主抽电耗'!$A$3+AT53-1</f>
        <v>43360</v>
      </c>
      <c r="AV53" s="213" t="str">
        <f t="shared" si="28"/>
        <v>乙班</v>
      </c>
    </row>
    <row r="54" spans="1:48">
      <c r="A54" s="360"/>
      <c r="B54" s="222" t="s">
        <v>39</v>
      </c>
      <c r="C54" s="276" t="str">
        <f>'6烧主抽电耗'!F52</f>
        <v>丙班</v>
      </c>
      <c r="D54" s="277">
        <v>16.3333333333333</v>
      </c>
      <c r="E54" s="225"/>
      <c r="F54" s="225"/>
      <c r="G54" s="225" t="str">
        <f>IF(_zhuchou5_month_day!E51="","",_zhuchou5_month_day!E51)</f>
        <v/>
      </c>
      <c r="H54" s="225" t="str">
        <f>IF(_zhuchou5_month_day!F51="","",_zhuchou5_month_day!F51)</f>
        <v/>
      </c>
      <c r="I54" s="225"/>
      <c r="J54" s="225"/>
      <c r="K54" s="225" t="str">
        <f>IF(_zhuchou5_month_day!G51="","",_zhuchou5_month_day!G51)</f>
        <v/>
      </c>
      <c r="L54" s="225" t="str">
        <f>IF(_zhuchou5_month_day!H51="","",_zhuchou5_month_day!H51)</f>
        <v/>
      </c>
      <c r="M54" s="225" t="str">
        <f>IF(_zhuchou5_month_day!I51="","",_zhuchou5_month_day!I51)</f>
        <v/>
      </c>
      <c r="N54" s="225" t="str">
        <f>IF(_zhuchou5_month_day!J51="","",_zhuchou5_month_day!J51)</f>
        <v/>
      </c>
      <c r="O54" s="225"/>
      <c r="P54" s="225"/>
      <c r="Q54" s="225"/>
      <c r="R54" s="298"/>
      <c r="S54" s="299"/>
      <c r="T54" s="237"/>
      <c r="U54" s="225"/>
      <c r="V54" s="229" t="str">
        <f>IF(_zhuchou6_month_day!A51="","",_zhuchou6_month_day!A51)</f>
        <v/>
      </c>
      <c r="W54" s="229" t="str">
        <f>IF(_zhuchou6_month_day!B51="","",_zhuchou6_month_day!B51)</f>
        <v/>
      </c>
      <c r="X54" s="229"/>
      <c r="Y54" s="229"/>
      <c r="Z54" s="225" t="str">
        <f>IF(_zhuchou6_month_day!C51="","",_zhuchou6_month_dayC2)</f>
        <v/>
      </c>
      <c r="AA54" s="225" t="str">
        <f>IF(_zhuchou6_month_day!D51="","",_zhuchou6_month_dayC2)</f>
        <v/>
      </c>
      <c r="AB54" s="225" t="str">
        <f>IF(_zhuchou6_month_day!E51="","",_zhuchou6_month_dayC2)</f>
        <v/>
      </c>
      <c r="AC54" s="225" t="str">
        <f>IF(_zhuchou6_month_day!F51="","",_zhuchou6_month_dayC2)</f>
        <v/>
      </c>
      <c r="AD54" s="284"/>
      <c r="AE54" s="284"/>
      <c r="AF54" s="225"/>
      <c r="AG54" s="225"/>
      <c r="AH54" s="142">
        <f t="shared" si="30"/>
        <v>0</v>
      </c>
      <c r="AI54" s="314">
        <f t="shared" si="19"/>
        <v>0</v>
      </c>
      <c r="AJ54" s="314">
        <f t="shared" si="20"/>
        <v>0</v>
      </c>
      <c r="AK54" s="314">
        <f t="shared" si="21"/>
        <v>0</v>
      </c>
      <c r="AL54" s="314">
        <f t="shared" si="22"/>
        <v>0</v>
      </c>
      <c r="AM54" s="314">
        <f t="shared" si="23"/>
        <v>0</v>
      </c>
      <c r="AN54" s="314" t="e">
        <f t="shared" si="24"/>
        <v>#VALUE!</v>
      </c>
      <c r="AO54" s="314" t="e">
        <f t="shared" si="25"/>
        <v>#VALUE!</v>
      </c>
      <c r="AP54" s="314" t="e">
        <f t="shared" si="10"/>
        <v>#VALUE!</v>
      </c>
      <c r="AQ54" s="314" t="e">
        <f t="shared" si="26"/>
        <v>#VALUE!</v>
      </c>
      <c r="AR54" s="314" t="e">
        <f t="shared" si="27"/>
        <v>#VALUE!</v>
      </c>
      <c r="AS54" s="314" t="e">
        <f t="shared" si="11"/>
        <v>#VALUE!</v>
      </c>
      <c r="AT54" s="319">
        <f t="shared" si="29"/>
        <v>17</v>
      </c>
      <c r="AU54" s="320">
        <f>'5烧主抽电耗'!$A$3+AT54-1</f>
        <v>43360</v>
      </c>
      <c r="AV54" s="213" t="str">
        <f t="shared" si="28"/>
        <v>丙班</v>
      </c>
    </row>
    <row r="55" spans="1:48">
      <c r="A55" s="360"/>
      <c r="B55" s="222" t="s">
        <v>41</v>
      </c>
      <c r="C55" s="276" t="str">
        <f>'6烧主抽电耗'!F53</f>
        <v>丁班</v>
      </c>
      <c r="D55" s="277">
        <v>16.6666666666667</v>
      </c>
      <c r="E55" s="225"/>
      <c r="F55" s="225"/>
      <c r="G55" s="225" t="str">
        <f>IF(_zhuchou5_month_day!E52="","",_zhuchou5_month_day!E52)</f>
        <v/>
      </c>
      <c r="H55" s="225" t="str">
        <f>IF(_zhuchou5_month_day!F52="","",_zhuchou5_month_day!F52)</f>
        <v/>
      </c>
      <c r="I55" s="225"/>
      <c r="J55" s="225"/>
      <c r="K55" s="225" t="str">
        <f>IF(_zhuchou5_month_day!G52="","",_zhuchou5_month_day!G52)</f>
        <v/>
      </c>
      <c r="L55" s="225" t="str">
        <f>IF(_zhuchou5_month_day!H52="","",_zhuchou5_month_day!H52)</f>
        <v/>
      </c>
      <c r="M55" s="225" t="str">
        <f>IF(_zhuchou5_month_day!I52="","",_zhuchou5_month_day!I52)</f>
        <v/>
      </c>
      <c r="N55" s="225" t="str">
        <f>IF(_zhuchou5_month_day!J52="","",_zhuchou5_month_day!J52)</f>
        <v/>
      </c>
      <c r="O55" s="225"/>
      <c r="P55" s="225"/>
      <c r="Q55" s="229"/>
      <c r="R55" s="298"/>
      <c r="S55" s="299"/>
      <c r="T55" s="229"/>
      <c r="U55" s="229"/>
      <c r="V55" s="229" t="str">
        <f>IF(_zhuchou6_month_day!A52="","",_zhuchou6_month_day!A52)</f>
        <v/>
      </c>
      <c r="W55" s="229" t="str">
        <f>IF(_zhuchou6_month_day!B52="","",_zhuchou6_month_day!B52)</f>
        <v/>
      </c>
      <c r="X55" s="229"/>
      <c r="Y55" s="229"/>
      <c r="Z55" s="225" t="str">
        <f>IF(_zhuchou6_month_day!C52="","",_zhuchou6_month_dayC2)</f>
        <v/>
      </c>
      <c r="AA55" s="225" t="str">
        <f>IF(_zhuchou6_month_day!D52="","",_zhuchou6_month_dayC2)</f>
        <v/>
      </c>
      <c r="AB55" s="225" t="str">
        <f>IF(_zhuchou6_month_day!E52="","",_zhuchou6_month_dayC2)</f>
        <v/>
      </c>
      <c r="AC55" s="225" t="str">
        <f>IF(_zhuchou6_month_day!F52="","",_zhuchou6_month_dayC2)</f>
        <v/>
      </c>
      <c r="AD55" s="284"/>
      <c r="AE55" s="284"/>
      <c r="AF55" s="225"/>
      <c r="AG55" s="316"/>
      <c r="AH55" s="142">
        <f t="shared" si="30"/>
        <v>0</v>
      </c>
      <c r="AI55" s="314">
        <f t="shared" si="19"/>
        <v>0</v>
      </c>
      <c r="AJ55" s="314">
        <f t="shared" si="20"/>
        <v>0</v>
      </c>
      <c r="AK55" s="314">
        <f t="shared" si="21"/>
        <v>0</v>
      </c>
      <c r="AL55" s="314">
        <f t="shared" si="22"/>
        <v>0</v>
      </c>
      <c r="AM55" s="314">
        <f t="shared" si="23"/>
        <v>0</v>
      </c>
      <c r="AN55" s="314" t="e">
        <f t="shared" si="24"/>
        <v>#VALUE!</v>
      </c>
      <c r="AO55" s="314" t="e">
        <f t="shared" si="25"/>
        <v>#VALUE!</v>
      </c>
      <c r="AP55" s="314" t="e">
        <f t="shared" si="10"/>
        <v>#VALUE!</v>
      </c>
      <c r="AQ55" s="314" t="e">
        <f t="shared" si="26"/>
        <v>#VALUE!</v>
      </c>
      <c r="AR55" s="314" t="e">
        <f t="shared" si="27"/>
        <v>#VALUE!</v>
      </c>
      <c r="AS55" s="314" t="e">
        <f t="shared" si="11"/>
        <v>#VALUE!</v>
      </c>
      <c r="AT55" s="319">
        <f t="shared" si="29"/>
        <v>17</v>
      </c>
      <c r="AU55" s="320">
        <f>'5烧主抽电耗'!$A$3+AT55-1</f>
        <v>43360</v>
      </c>
      <c r="AV55" s="213" t="str">
        <f t="shared" si="28"/>
        <v>丁班</v>
      </c>
    </row>
    <row r="56" spans="1:48">
      <c r="A56" s="360">
        <v>18</v>
      </c>
      <c r="B56" s="222" t="s">
        <v>37</v>
      </c>
      <c r="C56" s="276" t="str">
        <f>'6烧主抽电耗'!F54</f>
        <v>甲班</v>
      </c>
      <c r="D56" s="277">
        <v>17</v>
      </c>
      <c r="E56" s="225"/>
      <c r="F56" s="225"/>
      <c r="G56" s="225" t="str">
        <f>IF(_zhuchou5_month_day!E53="","",_zhuchou5_month_day!E53)</f>
        <v/>
      </c>
      <c r="H56" s="225" t="str">
        <f>IF(_zhuchou5_month_day!F53="","",_zhuchou5_month_day!F53)</f>
        <v/>
      </c>
      <c r="I56" s="225"/>
      <c r="J56" s="225"/>
      <c r="K56" s="225" t="str">
        <f>IF(_zhuchou5_month_day!G53="","",_zhuchou5_month_day!G53)</f>
        <v/>
      </c>
      <c r="L56" s="225" t="str">
        <f>IF(_zhuchou5_month_day!H53="","",_zhuchou5_month_day!H53)</f>
        <v/>
      </c>
      <c r="M56" s="225" t="str">
        <f>IF(_zhuchou5_month_day!I53="","",_zhuchou5_month_day!I53)</f>
        <v/>
      </c>
      <c r="N56" s="225" t="str">
        <f>IF(_zhuchou5_month_day!J53="","",_zhuchou5_month_day!J53)</f>
        <v/>
      </c>
      <c r="O56" s="225"/>
      <c r="P56" s="225"/>
      <c r="Q56" s="225"/>
      <c r="R56" s="298"/>
      <c r="S56" s="299"/>
      <c r="T56" s="237"/>
      <c r="U56" s="225"/>
      <c r="V56" s="229" t="str">
        <f>IF(_zhuchou6_month_day!A53="","",_zhuchou6_month_day!A53)</f>
        <v/>
      </c>
      <c r="W56" s="229" t="str">
        <f>IF(_zhuchou6_month_day!B53="","",_zhuchou6_month_day!B53)</f>
        <v/>
      </c>
      <c r="X56" s="229"/>
      <c r="Y56" s="229"/>
      <c r="Z56" s="225" t="str">
        <f>IF(_zhuchou6_month_day!C53="","",_zhuchou6_month_dayC2)</f>
        <v/>
      </c>
      <c r="AA56" s="225" t="str">
        <f>IF(_zhuchou6_month_day!D53="","",_zhuchou6_month_dayC2)</f>
        <v/>
      </c>
      <c r="AB56" s="225" t="str">
        <f>IF(_zhuchou6_month_day!E53="","",_zhuchou6_month_dayC2)</f>
        <v/>
      </c>
      <c r="AC56" s="225" t="str">
        <f>IF(_zhuchou6_month_day!F53="","",_zhuchou6_month_dayC2)</f>
        <v/>
      </c>
      <c r="AD56" s="284"/>
      <c r="AE56" s="284"/>
      <c r="AF56" s="225"/>
      <c r="AG56" s="225"/>
      <c r="AH56" s="142">
        <f t="shared" si="30"/>
        <v>0</v>
      </c>
      <c r="AI56" s="314">
        <f t="shared" si="19"/>
        <v>0</v>
      </c>
      <c r="AJ56" s="314">
        <f t="shared" si="20"/>
        <v>0</v>
      </c>
      <c r="AK56" s="314">
        <f t="shared" si="21"/>
        <v>0</v>
      </c>
      <c r="AL56" s="314">
        <f t="shared" si="22"/>
        <v>0</v>
      </c>
      <c r="AM56" s="314">
        <f t="shared" si="23"/>
        <v>0</v>
      </c>
      <c r="AN56" s="314" t="e">
        <f t="shared" si="24"/>
        <v>#VALUE!</v>
      </c>
      <c r="AO56" s="314" t="e">
        <f t="shared" si="25"/>
        <v>#VALUE!</v>
      </c>
      <c r="AP56" s="314" t="e">
        <f t="shared" si="10"/>
        <v>#VALUE!</v>
      </c>
      <c r="AQ56" s="314" t="e">
        <f t="shared" si="26"/>
        <v>#VALUE!</v>
      </c>
      <c r="AR56" s="314" t="e">
        <f t="shared" si="27"/>
        <v>#VALUE!</v>
      </c>
      <c r="AS56" s="314" t="e">
        <f t="shared" si="11"/>
        <v>#VALUE!</v>
      </c>
      <c r="AT56" s="319">
        <f t="shared" si="29"/>
        <v>18</v>
      </c>
      <c r="AU56" s="320">
        <f>'5烧主抽电耗'!$A$3+AT56-1</f>
        <v>43361</v>
      </c>
      <c r="AV56" s="213" t="str">
        <f t="shared" si="28"/>
        <v>甲班</v>
      </c>
    </row>
    <row r="57" spans="1:48">
      <c r="A57" s="360"/>
      <c r="B57" s="222" t="s">
        <v>39</v>
      </c>
      <c r="C57" s="276" t="str">
        <f>'6烧主抽电耗'!F55</f>
        <v>乙班</v>
      </c>
      <c r="D57" s="277">
        <v>17.3333333333333</v>
      </c>
      <c r="E57" s="225"/>
      <c r="F57" s="225"/>
      <c r="G57" s="225" t="str">
        <f>IF(_zhuchou5_month_day!E54="","",_zhuchou5_month_day!E54)</f>
        <v/>
      </c>
      <c r="H57" s="225" t="str">
        <f>IF(_zhuchou5_month_day!F54="","",_zhuchou5_month_day!F54)</f>
        <v/>
      </c>
      <c r="I57" s="225"/>
      <c r="J57" s="225"/>
      <c r="K57" s="225" t="str">
        <f>IF(_zhuchou5_month_day!G54="","",_zhuchou5_month_day!G54)</f>
        <v/>
      </c>
      <c r="L57" s="225" t="str">
        <f>IF(_zhuchou5_month_day!H54="","",_zhuchou5_month_day!H54)</f>
        <v/>
      </c>
      <c r="M57" s="225" t="str">
        <f>IF(_zhuchou5_month_day!I54="","",_zhuchou5_month_day!I54)</f>
        <v/>
      </c>
      <c r="N57" s="225" t="str">
        <f>IF(_zhuchou5_month_day!J54="","",_zhuchou5_month_day!J54)</f>
        <v/>
      </c>
      <c r="O57" s="225"/>
      <c r="P57" s="225"/>
      <c r="Q57" s="229"/>
      <c r="R57" s="298"/>
      <c r="S57" s="299"/>
      <c r="T57" s="229"/>
      <c r="U57" s="229"/>
      <c r="V57" s="229" t="str">
        <f>IF(_zhuchou6_month_day!A54="","",_zhuchou6_month_day!A54)</f>
        <v/>
      </c>
      <c r="W57" s="229" t="str">
        <f>IF(_zhuchou6_month_day!B54="","",_zhuchou6_month_day!B54)</f>
        <v/>
      </c>
      <c r="X57" s="229"/>
      <c r="Y57" s="229"/>
      <c r="Z57" s="225" t="str">
        <f>IF(_zhuchou6_month_day!C54="","",_zhuchou6_month_dayC2)</f>
        <v/>
      </c>
      <c r="AA57" s="225" t="str">
        <f>IF(_zhuchou6_month_day!D54="","",_zhuchou6_month_dayC2)</f>
        <v/>
      </c>
      <c r="AB57" s="225" t="str">
        <f>IF(_zhuchou6_month_day!E54="","",_zhuchou6_month_dayC2)</f>
        <v/>
      </c>
      <c r="AC57" s="225" t="str">
        <f>IF(_zhuchou6_month_day!F54="","",_zhuchou6_month_dayC2)</f>
        <v/>
      </c>
      <c r="AD57" s="284"/>
      <c r="AE57" s="284"/>
      <c r="AF57" s="225"/>
      <c r="AG57" s="316"/>
      <c r="AH57" s="142">
        <f t="shared" si="30"/>
        <v>0</v>
      </c>
      <c r="AI57" s="314">
        <f t="shared" si="19"/>
        <v>0</v>
      </c>
      <c r="AJ57" s="314">
        <f t="shared" si="20"/>
        <v>0</v>
      </c>
      <c r="AK57" s="314">
        <f t="shared" si="21"/>
        <v>0</v>
      </c>
      <c r="AL57" s="314">
        <f t="shared" si="22"/>
        <v>0</v>
      </c>
      <c r="AM57" s="314">
        <f t="shared" si="23"/>
        <v>0</v>
      </c>
      <c r="AN57" s="314" t="e">
        <f t="shared" si="24"/>
        <v>#VALUE!</v>
      </c>
      <c r="AO57" s="314" t="e">
        <f t="shared" si="25"/>
        <v>#VALUE!</v>
      </c>
      <c r="AP57" s="314" t="e">
        <f t="shared" si="10"/>
        <v>#VALUE!</v>
      </c>
      <c r="AQ57" s="314" t="e">
        <f t="shared" si="26"/>
        <v>#VALUE!</v>
      </c>
      <c r="AR57" s="314" t="e">
        <f t="shared" si="27"/>
        <v>#VALUE!</v>
      </c>
      <c r="AS57" s="314" t="e">
        <f t="shared" si="11"/>
        <v>#VALUE!</v>
      </c>
      <c r="AT57" s="319">
        <f t="shared" si="29"/>
        <v>18</v>
      </c>
      <c r="AU57" s="320">
        <f>'5烧主抽电耗'!$A$3+AT57-1</f>
        <v>43361</v>
      </c>
      <c r="AV57" s="213" t="str">
        <f t="shared" si="28"/>
        <v>乙班</v>
      </c>
    </row>
    <row r="58" spans="1:48">
      <c r="A58" s="360"/>
      <c r="B58" s="222" t="s">
        <v>41</v>
      </c>
      <c r="C58" s="276" t="str">
        <f>'6烧主抽电耗'!F56</f>
        <v>丙班</v>
      </c>
      <c r="D58" s="277">
        <v>17.6666666666667</v>
      </c>
      <c r="E58" s="225"/>
      <c r="F58" s="225"/>
      <c r="G58" s="225" t="str">
        <f>IF(_zhuchou5_month_day!E55="","",_zhuchou5_month_day!E55)</f>
        <v/>
      </c>
      <c r="H58" s="225" t="str">
        <f>IF(_zhuchou5_month_day!F55="","",_zhuchou5_month_day!F55)</f>
        <v/>
      </c>
      <c r="I58" s="225"/>
      <c r="J58" s="225"/>
      <c r="K58" s="225" t="str">
        <f>IF(_zhuchou5_month_day!G55="","",_zhuchou5_month_day!G55)</f>
        <v/>
      </c>
      <c r="L58" s="225" t="str">
        <f>IF(_zhuchou5_month_day!H55="","",_zhuchou5_month_day!H55)</f>
        <v/>
      </c>
      <c r="M58" s="225" t="str">
        <f>IF(_zhuchou5_month_day!I55="","",_zhuchou5_month_day!I55)</f>
        <v/>
      </c>
      <c r="N58" s="225" t="str">
        <f>IF(_zhuchou5_month_day!J55="","",_zhuchou5_month_day!J55)</f>
        <v/>
      </c>
      <c r="O58" s="225"/>
      <c r="P58" s="225"/>
      <c r="Q58" s="225"/>
      <c r="R58" s="298"/>
      <c r="S58" s="299"/>
      <c r="T58" s="237"/>
      <c r="U58" s="225"/>
      <c r="V58" s="229" t="str">
        <f>IF(_zhuchou6_month_day!A55="","",_zhuchou6_month_day!A55)</f>
        <v/>
      </c>
      <c r="W58" s="229" t="str">
        <f>IF(_zhuchou6_month_day!B55="","",_zhuchou6_month_day!B55)</f>
        <v/>
      </c>
      <c r="X58" s="229"/>
      <c r="Y58" s="229"/>
      <c r="Z58" s="225" t="str">
        <f>IF(_zhuchou6_month_day!C55="","",_zhuchou6_month_dayC2)</f>
        <v/>
      </c>
      <c r="AA58" s="225" t="str">
        <f>IF(_zhuchou6_month_day!D55="","",_zhuchou6_month_dayC2)</f>
        <v/>
      </c>
      <c r="AB58" s="225" t="str">
        <f>IF(_zhuchou6_month_day!E55="","",_zhuchou6_month_dayC2)</f>
        <v/>
      </c>
      <c r="AC58" s="225" t="str">
        <f>IF(_zhuchou6_month_day!F55="","",_zhuchou6_month_dayC2)</f>
        <v/>
      </c>
      <c r="AD58" s="284"/>
      <c r="AE58" s="284"/>
      <c r="AF58" s="225"/>
      <c r="AG58" s="225"/>
      <c r="AH58" s="142">
        <f t="shared" si="30"/>
        <v>0</v>
      </c>
      <c r="AI58" s="314">
        <f t="shared" si="19"/>
        <v>0</v>
      </c>
      <c r="AJ58" s="314">
        <f t="shared" si="20"/>
        <v>0</v>
      </c>
      <c r="AK58" s="314">
        <f t="shared" si="21"/>
        <v>0</v>
      </c>
      <c r="AL58" s="314">
        <f t="shared" si="22"/>
        <v>0</v>
      </c>
      <c r="AM58" s="314">
        <f t="shared" si="23"/>
        <v>0</v>
      </c>
      <c r="AN58" s="314" t="e">
        <f t="shared" si="24"/>
        <v>#VALUE!</v>
      </c>
      <c r="AO58" s="314" t="e">
        <f t="shared" si="25"/>
        <v>#VALUE!</v>
      </c>
      <c r="AP58" s="314" t="e">
        <f t="shared" si="10"/>
        <v>#VALUE!</v>
      </c>
      <c r="AQ58" s="314" t="e">
        <f t="shared" si="26"/>
        <v>#VALUE!</v>
      </c>
      <c r="AR58" s="314" t="e">
        <f t="shared" si="27"/>
        <v>#VALUE!</v>
      </c>
      <c r="AS58" s="314" t="e">
        <f t="shared" si="11"/>
        <v>#VALUE!</v>
      </c>
      <c r="AT58" s="319">
        <f t="shared" si="29"/>
        <v>18</v>
      </c>
      <c r="AU58" s="320">
        <f>'5烧主抽电耗'!$A$3+AT58-1</f>
        <v>43361</v>
      </c>
      <c r="AV58" s="213" t="str">
        <f t="shared" si="28"/>
        <v>丙班</v>
      </c>
    </row>
    <row r="59" spans="1:48">
      <c r="A59" s="360">
        <v>19</v>
      </c>
      <c r="B59" s="222" t="s">
        <v>37</v>
      </c>
      <c r="C59" s="276" t="str">
        <f>'6烧主抽电耗'!F57</f>
        <v>甲班</v>
      </c>
      <c r="D59" s="277">
        <v>18</v>
      </c>
      <c r="E59" s="225"/>
      <c r="F59" s="225"/>
      <c r="G59" s="225" t="str">
        <f>IF(_zhuchou5_month_day!E56="","",_zhuchou5_month_day!E56)</f>
        <v/>
      </c>
      <c r="H59" s="225" t="str">
        <f>IF(_zhuchou5_month_day!F56="","",_zhuchou5_month_day!F56)</f>
        <v/>
      </c>
      <c r="I59" s="225"/>
      <c r="J59" s="225"/>
      <c r="K59" s="225" t="str">
        <f>IF(_zhuchou5_month_day!G56="","",_zhuchou5_month_day!G56)</f>
        <v/>
      </c>
      <c r="L59" s="225" t="str">
        <f>IF(_zhuchou5_month_day!H56="","",_zhuchou5_month_day!H56)</f>
        <v/>
      </c>
      <c r="M59" s="225" t="str">
        <f>IF(_zhuchou5_month_day!I56="","",_zhuchou5_month_day!I56)</f>
        <v/>
      </c>
      <c r="N59" s="225" t="str">
        <f>IF(_zhuchou5_month_day!J56="","",_zhuchou5_month_day!J56)</f>
        <v/>
      </c>
      <c r="O59" s="225"/>
      <c r="P59" s="225"/>
      <c r="Q59" s="225"/>
      <c r="R59" s="298"/>
      <c r="S59" s="299"/>
      <c r="T59" s="237"/>
      <c r="U59" s="225"/>
      <c r="V59" s="229" t="str">
        <f>IF(_zhuchou6_month_day!A56="","",_zhuchou6_month_day!A56)</f>
        <v/>
      </c>
      <c r="W59" s="229" t="str">
        <f>IF(_zhuchou6_month_day!B56="","",_zhuchou6_month_day!B56)</f>
        <v/>
      </c>
      <c r="X59" s="229"/>
      <c r="Y59" s="229"/>
      <c r="Z59" s="225" t="str">
        <f>IF(_zhuchou6_month_day!C56="","",_zhuchou6_month_dayC2)</f>
        <v/>
      </c>
      <c r="AA59" s="225" t="str">
        <f>IF(_zhuchou6_month_day!D56="","",_zhuchou6_month_dayC2)</f>
        <v/>
      </c>
      <c r="AB59" s="225" t="str">
        <f>IF(_zhuchou6_month_day!E56="","",_zhuchou6_month_dayC2)</f>
        <v/>
      </c>
      <c r="AC59" s="225" t="str">
        <f>IF(_zhuchou6_month_day!F56="","",_zhuchou6_month_dayC2)</f>
        <v/>
      </c>
      <c r="AD59" s="284"/>
      <c r="AE59" s="284"/>
      <c r="AF59" s="225"/>
      <c r="AG59" s="225"/>
      <c r="AH59" s="142">
        <f t="shared" si="30"/>
        <v>0</v>
      </c>
      <c r="AI59" s="314">
        <f t="shared" si="19"/>
        <v>0</v>
      </c>
      <c r="AJ59" s="314">
        <f t="shared" si="20"/>
        <v>0</v>
      </c>
      <c r="AK59" s="314">
        <f t="shared" si="21"/>
        <v>0</v>
      </c>
      <c r="AL59" s="314">
        <f t="shared" si="22"/>
        <v>0</v>
      </c>
      <c r="AM59" s="314">
        <f t="shared" si="23"/>
        <v>0</v>
      </c>
      <c r="AN59" s="314" t="e">
        <f t="shared" si="24"/>
        <v>#VALUE!</v>
      </c>
      <c r="AO59" s="314" t="e">
        <f t="shared" si="25"/>
        <v>#VALUE!</v>
      </c>
      <c r="AP59" s="314" t="e">
        <f t="shared" si="10"/>
        <v>#VALUE!</v>
      </c>
      <c r="AQ59" s="314" t="e">
        <f t="shared" si="26"/>
        <v>#VALUE!</v>
      </c>
      <c r="AR59" s="314" t="e">
        <f t="shared" si="27"/>
        <v>#VALUE!</v>
      </c>
      <c r="AS59" s="314" t="e">
        <f t="shared" si="11"/>
        <v>#VALUE!</v>
      </c>
      <c r="AT59" s="319">
        <f t="shared" si="29"/>
        <v>19</v>
      </c>
      <c r="AU59" s="320">
        <f>'5烧主抽电耗'!$A$3+AT59-1</f>
        <v>43362</v>
      </c>
      <c r="AV59" s="213" t="str">
        <f t="shared" si="28"/>
        <v>甲班</v>
      </c>
    </row>
    <row r="60" spans="1:48">
      <c r="A60" s="360"/>
      <c r="B60" s="222" t="s">
        <v>39</v>
      </c>
      <c r="C60" s="276" t="str">
        <f>'6烧主抽电耗'!F58</f>
        <v>乙班</v>
      </c>
      <c r="D60" s="277">
        <v>18.3333333333333</v>
      </c>
      <c r="E60" s="225"/>
      <c r="F60" s="225"/>
      <c r="G60" s="225" t="str">
        <f>IF(_zhuchou5_month_day!E57="","",_zhuchou5_month_day!E57)</f>
        <v/>
      </c>
      <c r="H60" s="225" t="str">
        <f>IF(_zhuchou5_month_day!F57="","",_zhuchou5_month_day!F57)</f>
        <v/>
      </c>
      <c r="I60" s="225"/>
      <c r="J60" s="225"/>
      <c r="K60" s="225" t="str">
        <f>IF(_zhuchou5_month_day!G57="","",_zhuchou5_month_day!G57)</f>
        <v/>
      </c>
      <c r="L60" s="225" t="str">
        <f>IF(_zhuchou5_month_day!H57="","",_zhuchou5_month_day!H57)</f>
        <v/>
      </c>
      <c r="M60" s="225" t="str">
        <f>IF(_zhuchou5_month_day!I57="","",_zhuchou5_month_day!I57)</f>
        <v/>
      </c>
      <c r="N60" s="225" t="str">
        <f>IF(_zhuchou5_month_day!J57="","",_zhuchou5_month_day!J57)</f>
        <v/>
      </c>
      <c r="O60" s="225"/>
      <c r="P60" s="225"/>
      <c r="Q60" s="229"/>
      <c r="R60" s="298"/>
      <c r="S60" s="299"/>
      <c r="T60" s="237"/>
      <c r="U60" s="225"/>
      <c r="V60" s="229" t="str">
        <f>IF(_zhuchou6_month_day!A57="","",_zhuchou6_month_day!A57)</f>
        <v/>
      </c>
      <c r="W60" s="229" t="str">
        <f>IF(_zhuchou6_month_day!B57="","",_zhuchou6_month_day!B57)</f>
        <v/>
      </c>
      <c r="X60" s="229"/>
      <c r="Y60" s="229"/>
      <c r="Z60" s="225" t="str">
        <f>IF(_zhuchou6_month_day!C57="","",_zhuchou6_month_dayC2)</f>
        <v/>
      </c>
      <c r="AA60" s="225" t="str">
        <f>IF(_zhuchou6_month_day!D57="","",_zhuchou6_month_dayC2)</f>
        <v/>
      </c>
      <c r="AB60" s="225" t="str">
        <f>IF(_zhuchou6_month_day!E57="","",_zhuchou6_month_dayC2)</f>
        <v/>
      </c>
      <c r="AC60" s="225" t="str">
        <f>IF(_zhuchou6_month_day!F57="","",_zhuchou6_month_dayC2)</f>
        <v/>
      </c>
      <c r="AD60" s="284"/>
      <c r="AE60" s="284"/>
      <c r="AF60" s="225"/>
      <c r="AG60" s="225"/>
      <c r="AH60" s="142">
        <f t="shared" si="30"/>
        <v>0</v>
      </c>
      <c r="AI60" s="314">
        <f t="shared" si="19"/>
        <v>0</v>
      </c>
      <c r="AJ60" s="314">
        <f t="shared" si="20"/>
        <v>0</v>
      </c>
      <c r="AK60" s="314">
        <f t="shared" si="21"/>
        <v>0</v>
      </c>
      <c r="AL60" s="314">
        <f t="shared" si="22"/>
        <v>0</v>
      </c>
      <c r="AM60" s="314">
        <f t="shared" si="23"/>
        <v>0</v>
      </c>
      <c r="AN60" s="314" t="e">
        <f t="shared" si="24"/>
        <v>#VALUE!</v>
      </c>
      <c r="AO60" s="314" t="e">
        <f t="shared" si="25"/>
        <v>#VALUE!</v>
      </c>
      <c r="AP60" s="314" t="e">
        <f t="shared" si="10"/>
        <v>#VALUE!</v>
      </c>
      <c r="AQ60" s="314" t="e">
        <f t="shared" si="26"/>
        <v>#VALUE!</v>
      </c>
      <c r="AR60" s="314" t="e">
        <f t="shared" si="27"/>
        <v>#VALUE!</v>
      </c>
      <c r="AS60" s="314" t="e">
        <f t="shared" si="11"/>
        <v>#VALUE!</v>
      </c>
      <c r="AT60" s="319">
        <f t="shared" si="29"/>
        <v>19</v>
      </c>
      <c r="AU60" s="320">
        <f>'5烧主抽电耗'!$A$3+AT60-1</f>
        <v>43362</v>
      </c>
      <c r="AV60" s="213" t="str">
        <f t="shared" si="28"/>
        <v>乙班</v>
      </c>
    </row>
    <row r="61" spans="1:48">
      <c r="A61" s="360"/>
      <c r="B61" s="222" t="s">
        <v>41</v>
      </c>
      <c r="C61" s="276" t="str">
        <f>'6烧主抽电耗'!F59</f>
        <v>丙班</v>
      </c>
      <c r="D61" s="277">
        <v>18.6666666666667</v>
      </c>
      <c r="E61" s="225"/>
      <c r="F61" s="225"/>
      <c r="G61" s="225" t="str">
        <f>IF(_zhuchou5_month_day!E58="","",_zhuchou5_month_day!E58)</f>
        <v/>
      </c>
      <c r="H61" s="225" t="str">
        <f>IF(_zhuchou5_month_day!F58="","",_zhuchou5_month_day!F58)</f>
        <v/>
      </c>
      <c r="I61" s="225"/>
      <c r="J61" s="225"/>
      <c r="K61" s="225" t="str">
        <f>IF(_zhuchou5_month_day!G58="","",_zhuchou5_month_day!G58)</f>
        <v/>
      </c>
      <c r="L61" s="225" t="str">
        <f>IF(_zhuchou5_month_day!H58="","",_zhuchou5_month_day!H58)</f>
        <v/>
      </c>
      <c r="M61" s="225" t="str">
        <f>IF(_zhuchou5_month_day!I58="","",_zhuchou5_month_day!I58)</f>
        <v/>
      </c>
      <c r="N61" s="225" t="str">
        <f>IF(_zhuchou5_month_day!J58="","",_zhuchou5_month_day!J58)</f>
        <v/>
      </c>
      <c r="O61" s="225"/>
      <c r="P61" s="225"/>
      <c r="Q61" s="225"/>
      <c r="R61" s="298"/>
      <c r="S61" s="299"/>
      <c r="T61" s="237"/>
      <c r="U61" s="225"/>
      <c r="V61" s="229" t="str">
        <f>IF(_zhuchou6_month_day!A58="","",_zhuchou6_month_day!A58)</f>
        <v/>
      </c>
      <c r="W61" s="229" t="str">
        <f>IF(_zhuchou6_month_day!B58="","",_zhuchou6_month_day!B58)</f>
        <v/>
      </c>
      <c r="X61" s="229"/>
      <c r="Y61" s="229"/>
      <c r="Z61" s="225" t="str">
        <f>IF(_zhuchou6_month_day!C58="","",_zhuchou6_month_dayC2)</f>
        <v/>
      </c>
      <c r="AA61" s="225" t="str">
        <f>IF(_zhuchou6_month_day!D58="","",_zhuchou6_month_dayC2)</f>
        <v/>
      </c>
      <c r="AB61" s="225" t="str">
        <f>IF(_zhuchou6_month_day!E58="","",_zhuchou6_month_dayC2)</f>
        <v/>
      </c>
      <c r="AC61" s="225" t="str">
        <f>IF(_zhuchou6_month_day!F58="","",_zhuchou6_month_dayC2)</f>
        <v/>
      </c>
      <c r="AD61" s="284"/>
      <c r="AE61" s="284"/>
      <c r="AF61" s="225"/>
      <c r="AG61" s="316"/>
      <c r="AH61" s="142">
        <f t="shared" si="30"/>
        <v>0</v>
      </c>
      <c r="AI61" s="314">
        <f t="shared" si="19"/>
        <v>0</v>
      </c>
      <c r="AJ61" s="314">
        <f t="shared" si="20"/>
        <v>0</v>
      </c>
      <c r="AK61" s="314">
        <f t="shared" si="21"/>
        <v>0</v>
      </c>
      <c r="AL61" s="314">
        <f t="shared" si="22"/>
        <v>0</v>
      </c>
      <c r="AM61" s="314">
        <f t="shared" si="23"/>
        <v>0</v>
      </c>
      <c r="AN61" s="314" t="e">
        <f t="shared" si="24"/>
        <v>#VALUE!</v>
      </c>
      <c r="AO61" s="314" t="e">
        <f t="shared" si="25"/>
        <v>#VALUE!</v>
      </c>
      <c r="AP61" s="314" t="e">
        <f t="shared" si="10"/>
        <v>#VALUE!</v>
      </c>
      <c r="AQ61" s="314" t="e">
        <f t="shared" si="26"/>
        <v>#VALUE!</v>
      </c>
      <c r="AR61" s="314" t="e">
        <f t="shared" si="27"/>
        <v>#VALUE!</v>
      </c>
      <c r="AS61" s="314" t="e">
        <f t="shared" si="11"/>
        <v>#VALUE!</v>
      </c>
      <c r="AT61" s="319">
        <f t="shared" si="29"/>
        <v>19</v>
      </c>
      <c r="AU61" s="320">
        <f>'5烧主抽电耗'!$A$3+AT61-1</f>
        <v>43362</v>
      </c>
      <c r="AV61" s="213" t="str">
        <f t="shared" si="28"/>
        <v>丙班</v>
      </c>
    </row>
    <row r="62" spans="1:48">
      <c r="A62" s="360">
        <v>20</v>
      </c>
      <c r="B62" s="222" t="s">
        <v>37</v>
      </c>
      <c r="C62" s="276" t="str">
        <f>'6烧主抽电耗'!F60</f>
        <v>丁班</v>
      </c>
      <c r="D62" s="277">
        <v>19</v>
      </c>
      <c r="E62" s="225"/>
      <c r="F62" s="225"/>
      <c r="G62" s="225" t="str">
        <f>IF(_zhuchou5_month_day!E59="","",_zhuchou5_month_day!E59)</f>
        <v/>
      </c>
      <c r="H62" s="225" t="str">
        <f>IF(_zhuchou5_month_day!F59="","",_zhuchou5_month_day!F59)</f>
        <v/>
      </c>
      <c r="I62" s="225"/>
      <c r="J62" s="225"/>
      <c r="K62" s="225" t="str">
        <f>IF(_zhuchou5_month_day!G59="","",_zhuchou5_month_day!G59)</f>
        <v/>
      </c>
      <c r="L62" s="225" t="str">
        <f>IF(_zhuchou5_month_day!H59="","",_zhuchou5_month_day!H59)</f>
        <v/>
      </c>
      <c r="M62" s="225" t="str">
        <f>IF(_zhuchou5_month_day!I59="","",_zhuchou5_month_day!I59)</f>
        <v/>
      </c>
      <c r="N62" s="225" t="str">
        <f>IF(_zhuchou5_month_day!J59="","",_zhuchou5_month_day!J59)</f>
        <v/>
      </c>
      <c r="O62" s="225"/>
      <c r="P62" s="225"/>
      <c r="Q62" s="229"/>
      <c r="R62" s="298"/>
      <c r="S62" s="299"/>
      <c r="T62" s="237"/>
      <c r="U62" s="225"/>
      <c r="V62" s="229" t="str">
        <f>IF(_zhuchou6_month_day!A59="","",_zhuchou6_month_day!A59)</f>
        <v/>
      </c>
      <c r="W62" s="229" t="str">
        <f>IF(_zhuchou6_month_day!B59="","",_zhuchou6_month_day!B59)</f>
        <v/>
      </c>
      <c r="X62" s="229"/>
      <c r="Y62" s="229"/>
      <c r="Z62" s="225" t="str">
        <f>IF(_zhuchou6_month_day!C59="","",_zhuchou6_month_dayC2)</f>
        <v/>
      </c>
      <c r="AA62" s="225" t="str">
        <f>IF(_zhuchou6_month_day!D59="","",_zhuchou6_month_dayC2)</f>
        <v/>
      </c>
      <c r="AB62" s="225" t="str">
        <f>IF(_zhuchou6_month_day!E59="","",_zhuchou6_month_dayC2)</f>
        <v/>
      </c>
      <c r="AC62" s="225" t="str">
        <f>IF(_zhuchou6_month_day!F59="","",_zhuchou6_month_dayC2)</f>
        <v/>
      </c>
      <c r="AD62" s="283"/>
      <c r="AE62" s="283"/>
      <c r="AF62" s="225"/>
      <c r="AG62" s="225"/>
      <c r="AH62" s="142">
        <f t="shared" si="30"/>
        <v>0</v>
      </c>
      <c r="AI62" s="314">
        <f t="shared" si="19"/>
        <v>0</v>
      </c>
      <c r="AJ62" s="314">
        <f t="shared" si="20"/>
        <v>0</v>
      </c>
      <c r="AK62" s="314">
        <f t="shared" si="21"/>
        <v>0</v>
      </c>
      <c r="AL62" s="314">
        <f t="shared" si="22"/>
        <v>0</v>
      </c>
      <c r="AM62" s="314">
        <f t="shared" si="23"/>
        <v>0</v>
      </c>
      <c r="AN62" s="314" t="e">
        <f t="shared" si="24"/>
        <v>#VALUE!</v>
      </c>
      <c r="AO62" s="314" t="e">
        <f t="shared" si="25"/>
        <v>#VALUE!</v>
      </c>
      <c r="AP62" s="314" t="e">
        <f t="shared" si="10"/>
        <v>#VALUE!</v>
      </c>
      <c r="AQ62" s="314" t="e">
        <f t="shared" si="26"/>
        <v>#VALUE!</v>
      </c>
      <c r="AR62" s="314" t="e">
        <f t="shared" si="27"/>
        <v>#VALUE!</v>
      </c>
      <c r="AS62" s="314" t="e">
        <f t="shared" si="11"/>
        <v>#VALUE!</v>
      </c>
      <c r="AT62" s="319">
        <f t="shared" si="29"/>
        <v>20</v>
      </c>
      <c r="AU62" s="320">
        <f>'5烧主抽电耗'!$A$3+AT62-1</f>
        <v>43363</v>
      </c>
      <c r="AV62" s="213" t="str">
        <f t="shared" si="28"/>
        <v>丁班</v>
      </c>
    </row>
    <row r="63" spans="1:48">
      <c r="A63" s="360"/>
      <c r="B63" s="222" t="s">
        <v>39</v>
      </c>
      <c r="C63" s="276" t="str">
        <f>'6烧主抽电耗'!F61</f>
        <v>甲班</v>
      </c>
      <c r="D63" s="277">
        <v>19.3333333333333</v>
      </c>
      <c r="E63" s="225"/>
      <c r="F63" s="225"/>
      <c r="G63" s="225" t="str">
        <f>IF(_zhuchou5_month_day!E60="","",_zhuchou5_month_day!E60)</f>
        <v/>
      </c>
      <c r="H63" s="225" t="str">
        <f>IF(_zhuchou5_month_day!F60="","",_zhuchou5_month_day!F60)</f>
        <v/>
      </c>
      <c r="I63" s="225"/>
      <c r="J63" s="225"/>
      <c r="K63" s="225" t="str">
        <f>IF(_zhuchou5_month_day!G60="","",_zhuchou5_month_day!G60)</f>
        <v/>
      </c>
      <c r="L63" s="225" t="str">
        <f>IF(_zhuchou5_month_day!H60="","",_zhuchou5_month_day!H60)</f>
        <v/>
      </c>
      <c r="M63" s="225" t="str">
        <f>IF(_zhuchou5_month_day!I60="","",_zhuchou5_month_day!I60)</f>
        <v/>
      </c>
      <c r="N63" s="225" t="str">
        <f>IF(_zhuchou5_month_day!J60="","",_zhuchou5_month_day!J60)</f>
        <v/>
      </c>
      <c r="O63" s="225"/>
      <c r="P63" s="225"/>
      <c r="Q63" s="225"/>
      <c r="R63" s="298"/>
      <c r="S63" s="299"/>
      <c r="T63" s="237"/>
      <c r="U63" s="225"/>
      <c r="V63" s="229" t="str">
        <f>IF(_zhuchou6_month_day!A60="","",_zhuchou6_month_day!A60)</f>
        <v/>
      </c>
      <c r="W63" s="229" t="str">
        <f>IF(_zhuchou6_month_day!B60="","",_zhuchou6_month_day!B60)</f>
        <v/>
      </c>
      <c r="X63" s="229"/>
      <c r="Y63" s="229"/>
      <c r="Z63" s="225" t="str">
        <f>IF(_zhuchou6_month_day!C60="","",_zhuchou6_month_dayC2)</f>
        <v/>
      </c>
      <c r="AA63" s="225" t="str">
        <f>IF(_zhuchou6_month_day!D60="","",_zhuchou6_month_dayC2)</f>
        <v/>
      </c>
      <c r="AB63" s="225" t="str">
        <f>IF(_zhuchou6_month_day!E60="","",_zhuchou6_month_dayC2)</f>
        <v/>
      </c>
      <c r="AC63" s="225" t="str">
        <f>IF(_zhuchou6_month_day!F60="","",_zhuchou6_month_dayC2)</f>
        <v/>
      </c>
      <c r="AD63" s="284"/>
      <c r="AE63" s="284"/>
      <c r="AF63" s="225"/>
      <c r="AG63" s="316"/>
      <c r="AH63" s="142">
        <f t="shared" si="30"/>
        <v>0</v>
      </c>
      <c r="AI63" s="314">
        <f t="shared" si="19"/>
        <v>0</v>
      </c>
      <c r="AJ63" s="314">
        <f t="shared" si="20"/>
        <v>0</v>
      </c>
      <c r="AK63" s="314">
        <f t="shared" si="21"/>
        <v>0</v>
      </c>
      <c r="AL63" s="314">
        <f t="shared" si="22"/>
        <v>0</v>
      </c>
      <c r="AM63" s="314">
        <f t="shared" si="23"/>
        <v>0</v>
      </c>
      <c r="AN63" s="314" t="e">
        <f t="shared" si="24"/>
        <v>#VALUE!</v>
      </c>
      <c r="AO63" s="314" t="e">
        <f t="shared" si="25"/>
        <v>#VALUE!</v>
      </c>
      <c r="AP63" s="314" t="e">
        <f t="shared" si="10"/>
        <v>#VALUE!</v>
      </c>
      <c r="AQ63" s="314" t="e">
        <f t="shared" si="26"/>
        <v>#VALUE!</v>
      </c>
      <c r="AR63" s="314" t="e">
        <f t="shared" si="27"/>
        <v>#VALUE!</v>
      </c>
      <c r="AS63" s="314" t="e">
        <f t="shared" si="11"/>
        <v>#VALUE!</v>
      </c>
      <c r="AT63" s="319">
        <f t="shared" si="29"/>
        <v>20</v>
      </c>
      <c r="AU63" s="320">
        <f>'5烧主抽电耗'!$A$3+AT63-1</f>
        <v>43363</v>
      </c>
      <c r="AV63" s="213" t="str">
        <f t="shared" si="28"/>
        <v>甲班</v>
      </c>
    </row>
    <row r="64" spans="1:48">
      <c r="A64" s="360"/>
      <c r="B64" s="222" t="s">
        <v>41</v>
      </c>
      <c r="C64" s="276" t="str">
        <f>'6烧主抽电耗'!F62</f>
        <v>乙班</v>
      </c>
      <c r="D64" s="277">
        <v>19.6666666666667</v>
      </c>
      <c r="E64" s="225"/>
      <c r="F64" s="225"/>
      <c r="G64" s="225" t="str">
        <f>IF(_zhuchou5_month_day!E61="","",_zhuchou5_month_day!E61)</f>
        <v/>
      </c>
      <c r="H64" s="225" t="str">
        <f>IF(_zhuchou5_month_day!F61="","",_zhuchou5_month_day!F61)</f>
        <v/>
      </c>
      <c r="I64" s="225"/>
      <c r="J64" s="225"/>
      <c r="K64" s="225" t="str">
        <f>IF(_zhuchou5_month_day!G61="","",_zhuchou5_month_day!G61)</f>
        <v/>
      </c>
      <c r="L64" s="225" t="str">
        <f>IF(_zhuchou5_month_day!H61="","",_zhuchou5_month_day!H61)</f>
        <v/>
      </c>
      <c r="M64" s="225" t="str">
        <f>IF(_zhuchou5_month_day!I61="","",_zhuchou5_month_day!I61)</f>
        <v/>
      </c>
      <c r="N64" s="225" t="str">
        <f>IF(_zhuchou5_month_day!J61="","",_zhuchou5_month_day!J61)</f>
        <v/>
      </c>
      <c r="O64" s="225"/>
      <c r="P64" s="225"/>
      <c r="Q64" s="229"/>
      <c r="R64" s="298"/>
      <c r="S64" s="299"/>
      <c r="T64" s="237"/>
      <c r="U64" s="225"/>
      <c r="V64" s="229" t="str">
        <f>IF(_zhuchou6_month_day!A61="","",_zhuchou6_month_day!A61)</f>
        <v/>
      </c>
      <c r="W64" s="229" t="str">
        <f>IF(_zhuchou6_month_day!B61="","",_zhuchou6_month_day!B61)</f>
        <v/>
      </c>
      <c r="X64" s="229"/>
      <c r="Y64" s="229"/>
      <c r="Z64" s="225" t="str">
        <f>IF(_zhuchou6_month_day!C61="","",_zhuchou6_month_dayC2)</f>
        <v/>
      </c>
      <c r="AA64" s="225" t="str">
        <f>IF(_zhuchou6_month_day!D61="","",_zhuchou6_month_dayC2)</f>
        <v/>
      </c>
      <c r="AB64" s="225" t="str">
        <f>IF(_zhuchou6_month_day!E61="","",_zhuchou6_month_dayC2)</f>
        <v/>
      </c>
      <c r="AC64" s="225" t="str">
        <f>IF(_zhuchou6_month_day!F61="","",_zhuchou6_month_dayC2)</f>
        <v/>
      </c>
      <c r="AD64" s="284"/>
      <c r="AE64" s="284"/>
      <c r="AF64" s="225"/>
      <c r="AG64" s="225"/>
      <c r="AH64" s="142">
        <f t="shared" si="30"/>
        <v>0</v>
      </c>
      <c r="AI64" s="314">
        <f t="shared" si="19"/>
        <v>0</v>
      </c>
      <c r="AJ64" s="314">
        <f t="shared" si="20"/>
        <v>0</v>
      </c>
      <c r="AK64" s="314">
        <f t="shared" si="21"/>
        <v>0</v>
      </c>
      <c r="AL64" s="314">
        <f t="shared" si="22"/>
        <v>0</v>
      </c>
      <c r="AM64" s="314">
        <f t="shared" si="23"/>
        <v>0</v>
      </c>
      <c r="AN64" s="314" t="e">
        <f t="shared" si="24"/>
        <v>#VALUE!</v>
      </c>
      <c r="AO64" s="314" t="e">
        <f t="shared" si="25"/>
        <v>#VALUE!</v>
      </c>
      <c r="AP64" s="314" t="e">
        <f t="shared" si="10"/>
        <v>#VALUE!</v>
      </c>
      <c r="AQ64" s="314" t="e">
        <f t="shared" si="26"/>
        <v>#VALUE!</v>
      </c>
      <c r="AR64" s="314" t="e">
        <f t="shared" si="27"/>
        <v>#VALUE!</v>
      </c>
      <c r="AS64" s="314" t="e">
        <f t="shared" si="11"/>
        <v>#VALUE!</v>
      </c>
      <c r="AT64" s="319">
        <f t="shared" si="29"/>
        <v>20</v>
      </c>
      <c r="AU64" s="320">
        <f>'5烧主抽电耗'!$A$3+AT64-1</f>
        <v>43363</v>
      </c>
      <c r="AV64" s="213" t="str">
        <f t="shared" si="28"/>
        <v>乙班</v>
      </c>
    </row>
    <row r="65" spans="1:48">
      <c r="A65" s="360">
        <v>21</v>
      </c>
      <c r="B65" s="222" t="s">
        <v>37</v>
      </c>
      <c r="C65" s="276" t="str">
        <f>'6烧主抽电耗'!F63</f>
        <v>丁班</v>
      </c>
      <c r="D65" s="277">
        <v>20</v>
      </c>
      <c r="E65" s="225"/>
      <c r="F65" s="225"/>
      <c r="G65" s="225" t="str">
        <f>IF(_zhuchou5_month_day!E62="","",_zhuchou5_month_day!E62)</f>
        <v/>
      </c>
      <c r="H65" s="225" t="str">
        <f>IF(_zhuchou5_month_day!F62="","",_zhuchou5_month_day!F62)</f>
        <v/>
      </c>
      <c r="I65" s="225"/>
      <c r="J65" s="225"/>
      <c r="K65" s="225" t="str">
        <f>IF(_zhuchou5_month_day!G62="","",_zhuchou5_month_day!G62)</f>
        <v/>
      </c>
      <c r="L65" s="225" t="str">
        <f>IF(_zhuchou5_month_day!H62="","",_zhuchou5_month_day!H62)</f>
        <v/>
      </c>
      <c r="M65" s="225" t="str">
        <f>IF(_zhuchou5_month_day!I62="","",_zhuchou5_month_day!I62)</f>
        <v/>
      </c>
      <c r="N65" s="225" t="str">
        <f>IF(_zhuchou5_month_day!J62="","",_zhuchou5_month_day!J62)</f>
        <v/>
      </c>
      <c r="O65" s="225"/>
      <c r="P65" s="225"/>
      <c r="Q65" s="229"/>
      <c r="R65" s="298"/>
      <c r="S65" s="299"/>
      <c r="T65" s="237"/>
      <c r="U65" s="225"/>
      <c r="V65" s="229" t="str">
        <f>IF(_zhuchou6_month_day!A62="","",_zhuchou6_month_day!A62)</f>
        <v/>
      </c>
      <c r="W65" s="229" t="str">
        <f>IF(_zhuchou6_month_day!B62="","",_zhuchou6_month_day!B62)</f>
        <v/>
      </c>
      <c r="X65" s="229"/>
      <c r="Y65" s="229"/>
      <c r="Z65" s="225" t="str">
        <f>IF(_zhuchou6_month_day!C62="","",_zhuchou6_month_dayC2)</f>
        <v/>
      </c>
      <c r="AA65" s="225" t="str">
        <f>IF(_zhuchou6_month_day!D62="","",_zhuchou6_month_dayC2)</f>
        <v/>
      </c>
      <c r="AB65" s="225" t="str">
        <f>IF(_zhuchou6_month_day!E62="","",_zhuchou6_month_dayC2)</f>
        <v/>
      </c>
      <c r="AC65" s="342" t="str">
        <f>IF(_zhuchou6_month_day!F62="","",_zhuchou6_month_dayC2)</f>
        <v/>
      </c>
      <c r="AD65" s="284"/>
      <c r="AE65" s="284"/>
      <c r="AF65" s="225"/>
      <c r="AG65" s="315"/>
      <c r="AH65" s="142">
        <f t="shared" si="30"/>
        <v>0</v>
      </c>
      <c r="AI65" s="314">
        <f t="shared" si="19"/>
        <v>0</v>
      </c>
      <c r="AJ65" s="314">
        <f t="shared" si="20"/>
        <v>0</v>
      </c>
      <c r="AK65" s="314">
        <f t="shared" si="21"/>
        <v>0</v>
      </c>
      <c r="AL65" s="314">
        <f t="shared" si="22"/>
        <v>0</v>
      </c>
      <c r="AM65" s="314">
        <f t="shared" si="23"/>
        <v>0</v>
      </c>
      <c r="AN65" s="314" t="e">
        <f t="shared" si="24"/>
        <v>#VALUE!</v>
      </c>
      <c r="AO65" s="314" t="e">
        <f t="shared" si="25"/>
        <v>#VALUE!</v>
      </c>
      <c r="AP65" s="314" t="e">
        <f t="shared" si="10"/>
        <v>#VALUE!</v>
      </c>
      <c r="AQ65" s="314" t="e">
        <f t="shared" si="26"/>
        <v>#VALUE!</v>
      </c>
      <c r="AR65" s="314" t="e">
        <f t="shared" si="27"/>
        <v>#VALUE!</v>
      </c>
      <c r="AS65" s="314" t="e">
        <f t="shared" si="11"/>
        <v>#VALUE!</v>
      </c>
      <c r="AT65" s="319">
        <f t="shared" si="29"/>
        <v>21</v>
      </c>
      <c r="AU65" s="320">
        <f>'5烧主抽电耗'!$A$3+AT65-1</f>
        <v>43364</v>
      </c>
      <c r="AV65" s="213" t="str">
        <f t="shared" si="28"/>
        <v>丁班</v>
      </c>
    </row>
    <row r="66" spans="1:48">
      <c r="A66" s="360"/>
      <c r="B66" s="222" t="s">
        <v>39</v>
      </c>
      <c r="C66" s="276" t="str">
        <f>'6烧主抽电耗'!F64</f>
        <v>甲班</v>
      </c>
      <c r="D66" s="277">
        <v>20.3333333333333</v>
      </c>
      <c r="E66" s="225"/>
      <c r="F66" s="225"/>
      <c r="G66" s="225" t="str">
        <f>IF(_zhuchou5_month_day!E63="","",_zhuchou5_month_day!E63)</f>
        <v/>
      </c>
      <c r="H66" s="225" t="str">
        <f>IF(_zhuchou5_month_day!F63="","",_zhuchou5_month_day!F63)</f>
        <v/>
      </c>
      <c r="I66" s="225"/>
      <c r="J66" s="225"/>
      <c r="K66" s="225" t="str">
        <f>IF(_zhuchou5_month_day!G63="","",_zhuchou5_month_day!G63)</f>
        <v/>
      </c>
      <c r="L66" s="225" t="str">
        <f>IF(_zhuchou5_month_day!H63="","",_zhuchou5_month_day!H63)</f>
        <v/>
      </c>
      <c r="M66" s="225" t="str">
        <f>IF(_zhuchou5_month_day!I63="","",_zhuchou5_month_day!I63)</f>
        <v/>
      </c>
      <c r="N66" s="225" t="str">
        <f>IF(_zhuchou5_month_day!J63="","",_zhuchou5_month_day!J63)</f>
        <v/>
      </c>
      <c r="O66" s="225"/>
      <c r="P66" s="225"/>
      <c r="Q66" s="225"/>
      <c r="R66" s="298"/>
      <c r="S66" s="299"/>
      <c r="T66" s="229"/>
      <c r="U66" s="229"/>
      <c r="V66" s="229" t="str">
        <f>IF(_zhuchou6_month_day!A63="","",_zhuchou6_month_day!A63)</f>
        <v/>
      </c>
      <c r="W66" s="229" t="str">
        <f>IF(_zhuchou6_month_day!B63="","",_zhuchou6_month_day!B63)</f>
        <v/>
      </c>
      <c r="X66" s="229"/>
      <c r="Y66" s="229"/>
      <c r="Z66" s="229" t="str">
        <f>IF(_zhuchou6_month_day!C63="","",_zhuchou6_month_dayC2)</f>
        <v/>
      </c>
      <c r="AA66" s="229" t="str">
        <f>IF(_zhuchou6_month_day!D63="","",_zhuchou6_month_dayC2)</f>
        <v/>
      </c>
      <c r="AB66" s="225" t="str">
        <f>IF(_zhuchou6_month_day!E63="","",_zhuchou6_month_dayC2)</f>
        <v/>
      </c>
      <c r="AC66" s="225" t="str">
        <f>IF(_zhuchou6_month_day!F63="","",_zhuchou6_month_dayC2)</f>
        <v/>
      </c>
      <c r="AD66" s="284"/>
      <c r="AE66" s="284"/>
      <c r="AF66" s="225"/>
      <c r="AG66" s="225"/>
      <c r="AH66" s="142">
        <f t="shared" si="30"/>
        <v>0</v>
      </c>
      <c r="AI66" s="314">
        <f t="shared" si="19"/>
        <v>0</v>
      </c>
      <c r="AJ66" s="314">
        <f t="shared" si="20"/>
        <v>0</v>
      </c>
      <c r="AK66" s="314">
        <f t="shared" si="21"/>
        <v>0</v>
      </c>
      <c r="AL66" s="314">
        <f t="shared" si="22"/>
        <v>0</v>
      </c>
      <c r="AM66" s="314">
        <f t="shared" si="23"/>
        <v>0</v>
      </c>
      <c r="AN66" s="314" t="e">
        <f t="shared" si="24"/>
        <v>#VALUE!</v>
      </c>
      <c r="AO66" s="314" t="e">
        <f t="shared" si="25"/>
        <v>#VALUE!</v>
      </c>
      <c r="AP66" s="314" t="e">
        <f t="shared" si="10"/>
        <v>#VALUE!</v>
      </c>
      <c r="AQ66" s="314" t="e">
        <f t="shared" si="26"/>
        <v>#VALUE!</v>
      </c>
      <c r="AR66" s="314" t="e">
        <f t="shared" si="27"/>
        <v>#VALUE!</v>
      </c>
      <c r="AS66" s="314" t="e">
        <f t="shared" si="11"/>
        <v>#VALUE!</v>
      </c>
      <c r="AT66" s="319">
        <f t="shared" si="29"/>
        <v>21</v>
      </c>
      <c r="AU66" s="320">
        <f>'5烧主抽电耗'!$A$3+AT66-1</f>
        <v>43364</v>
      </c>
      <c r="AV66" s="213" t="str">
        <f t="shared" si="28"/>
        <v>甲班</v>
      </c>
    </row>
    <row r="67" spans="1:48">
      <c r="A67" s="360"/>
      <c r="B67" s="222" t="s">
        <v>41</v>
      </c>
      <c r="C67" s="276" t="str">
        <f>'6烧主抽电耗'!F65</f>
        <v>乙班</v>
      </c>
      <c r="D67" s="277">
        <v>20.6666666666667</v>
      </c>
      <c r="E67" s="225"/>
      <c r="F67" s="225"/>
      <c r="G67" s="225" t="str">
        <f>IF(_zhuchou5_month_day!E64="","",_zhuchou5_month_day!E64)</f>
        <v/>
      </c>
      <c r="H67" s="225" t="str">
        <f>IF(_zhuchou5_month_day!F64="","",_zhuchou5_month_day!F64)</f>
        <v/>
      </c>
      <c r="I67" s="225"/>
      <c r="J67" s="225"/>
      <c r="K67" s="225" t="str">
        <f>IF(_zhuchou5_month_day!G64="","",_zhuchou5_month_day!G64)</f>
        <v/>
      </c>
      <c r="L67" s="225" t="str">
        <f>IF(_zhuchou5_month_day!H64="","",_zhuchou5_month_day!H64)</f>
        <v/>
      </c>
      <c r="M67" s="225" t="str">
        <f>IF(_zhuchou5_month_day!I64="","",_zhuchou5_month_day!I64)</f>
        <v/>
      </c>
      <c r="N67" s="225" t="str">
        <f>IF(_zhuchou5_month_day!J64="","",_zhuchou5_month_day!J64)</f>
        <v/>
      </c>
      <c r="O67" s="225"/>
      <c r="P67" s="225"/>
      <c r="Q67" s="229"/>
      <c r="R67" s="298"/>
      <c r="S67" s="299"/>
      <c r="T67" s="229"/>
      <c r="U67" s="229"/>
      <c r="V67" s="229" t="str">
        <f>IF(_zhuchou6_month_day!A64="","",_zhuchou6_month_day!A64)</f>
        <v/>
      </c>
      <c r="W67" s="229" t="str">
        <f>IF(_zhuchou6_month_day!B64="","",_zhuchou6_month_day!B64)</f>
        <v/>
      </c>
      <c r="X67" s="229"/>
      <c r="Y67" s="229"/>
      <c r="Z67" s="225" t="str">
        <f>IF(_zhuchou6_month_day!C64="","",_zhuchou6_month_dayC2)</f>
        <v/>
      </c>
      <c r="AA67" s="225" t="str">
        <f>IF(_zhuchou6_month_day!D64="","",_zhuchou6_month_dayC2)</f>
        <v/>
      </c>
      <c r="AB67" s="225" t="str">
        <f>IF(_zhuchou6_month_day!E64="","",_zhuchou6_month_dayC2)</f>
        <v/>
      </c>
      <c r="AC67" s="225" t="str">
        <f>IF(_zhuchou6_month_day!F64="","",_zhuchou6_month_dayC2)</f>
        <v/>
      </c>
      <c r="AD67" s="284"/>
      <c r="AE67" s="284"/>
      <c r="AF67" s="225"/>
      <c r="AG67" s="225"/>
      <c r="AH67" s="142">
        <f t="shared" si="30"/>
        <v>0</v>
      </c>
      <c r="AI67" s="314">
        <f t="shared" si="19"/>
        <v>0</v>
      </c>
      <c r="AJ67" s="314">
        <f t="shared" si="20"/>
        <v>0</v>
      </c>
      <c r="AK67" s="314">
        <f t="shared" si="21"/>
        <v>0</v>
      </c>
      <c r="AL67" s="314">
        <f t="shared" si="22"/>
        <v>0</v>
      </c>
      <c r="AM67" s="314">
        <f t="shared" si="23"/>
        <v>0</v>
      </c>
      <c r="AN67" s="314" t="e">
        <f t="shared" si="24"/>
        <v>#VALUE!</v>
      </c>
      <c r="AO67" s="314" t="e">
        <f t="shared" si="25"/>
        <v>#VALUE!</v>
      </c>
      <c r="AP67" s="314" t="e">
        <f t="shared" si="10"/>
        <v>#VALUE!</v>
      </c>
      <c r="AQ67" s="314" t="e">
        <f t="shared" si="26"/>
        <v>#VALUE!</v>
      </c>
      <c r="AR67" s="314" t="e">
        <f t="shared" si="27"/>
        <v>#VALUE!</v>
      </c>
      <c r="AS67" s="314" t="e">
        <f t="shared" si="11"/>
        <v>#VALUE!</v>
      </c>
      <c r="AT67" s="319">
        <f t="shared" si="29"/>
        <v>21</v>
      </c>
      <c r="AU67" s="320">
        <f>'5烧主抽电耗'!$A$3+AT67-1</f>
        <v>43364</v>
      </c>
      <c r="AV67" s="213" t="str">
        <f t="shared" si="28"/>
        <v>乙班</v>
      </c>
    </row>
    <row r="68" spans="1:48">
      <c r="A68" s="360">
        <v>22</v>
      </c>
      <c r="B68" s="222" t="s">
        <v>37</v>
      </c>
      <c r="C68" s="276" t="str">
        <f>'6烧主抽电耗'!F66</f>
        <v>丙班</v>
      </c>
      <c r="D68" s="277">
        <v>21</v>
      </c>
      <c r="E68" s="225"/>
      <c r="F68" s="225"/>
      <c r="G68" s="225" t="str">
        <f>IF(_zhuchou5_month_day!E65="","",_zhuchou5_month_day!E65)</f>
        <v/>
      </c>
      <c r="H68" s="225" t="str">
        <f>IF(_zhuchou5_month_day!F65="","",_zhuchou5_month_day!F65)</f>
        <v/>
      </c>
      <c r="I68" s="225"/>
      <c r="J68" s="225"/>
      <c r="K68" s="225" t="str">
        <f>IF(_zhuchou5_month_day!G65="","",_zhuchou5_month_day!G65)</f>
        <v/>
      </c>
      <c r="L68" s="225" t="str">
        <f>IF(_zhuchou5_month_day!H65="","",_zhuchou5_month_day!H65)</f>
        <v/>
      </c>
      <c r="M68" s="225" t="str">
        <f>IF(_zhuchou5_month_day!I65="","",_zhuchou5_month_day!I65)</f>
        <v/>
      </c>
      <c r="N68" s="225" t="str">
        <f>IF(_zhuchou5_month_day!J65="","",_zhuchou5_month_day!J65)</f>
        <v/>
      </c>
      <c r="O68" s="225"/>
      <c r="P68" s="225"/>
      <c r="Q68" s="225"/>
      <c r="R68" s="298"/>
      <c r="S68" s="299"/>
      <c r="T68" s="229"/>
      <c r="U68" s="229"/>
      <c r="V68" s="229" t="str">
        <f>IF(_zhuchou6_month_day!A65="","",_zhuchou6_month_day!A65)</f>
        <v/>
      </c>
      <c r="W68" s="229" t="str">
        <f>IF(_zhuchou6_month_day!B65="","",_zhuchou6_month_day!B65)</f>
        <v/>
      </c>
      <c r="X68" s="229"/>
      <c r="Y68" s="229"/>
      <c r="Z68" s="225" t="str">
        <f>IF(_zhuchou6_month_day!C65="","",_zhuchou6_month_dayC2)</f>
        <v/>
      </c>
      <c r="AA68" s="225" t="str">
        <f>IF(_zhuchou6_month_day!D65="","",_zhuchou6_month_dayC2)</f>
        <v/>
      </c>
      <c r="AB68" s="225" t="str">
        <f>IF(_zhuchou6_month_day!E65="","",_zhuchou6_month_dayC2)</f>
        <v/>
      </c>
      <c r="AC68" s="225" t="str">
        <f>IF(_zhuchou6_month_day!F65="","",_zhuchou6_month_dayC2)</f>
        <v/>
      </c>
      <c r="AD68" s="284"/>
      <c r="AE68" s="284"/>
      <c r="AF68" s="225"/>
      <c r="AG68" s="225"/>
      <c r="AH68" s="142">
        <f t="shared" si="30"/>
        <v>0</v>
      </c>
      <c r="AI68" s="314">
        <f t="shared" si="19"/>
        <v>0</v>
      </c>
      <c r="AJ68" s="314">
        <f t="shared" si="20"/>
        <v>0</v>
      </c>
      <c r="AK68" s="314">
        <f t="shared" si="21"/>
        <v>0</v>
      </c>
      <c r="AL68" s="314">
        <f t="shared" si="22"/>
        <v>0</v>
      </c>
      <c r="AM68" s="314">
        <f t="shared" si="23"/>
        <v>0</v>
      </c>
      <c r="AN68" s="314" t="e">
        <f t="shared" si="24"/>
        <v>#VALUE!</v>
      </c>
      <c r="AO68" s="314" t="e">
        <f t="shared" si="25"/>
        <v>#VALUE!</v>
      </c>
      <c r="AP68" s="314" t="e">
        <f t="shared" si="10"/>
        <v>#VALUE!</v>
      </c>
      <c r="AQ68" s="314" t="e">
        <f t="shared" si="26"/>
        <v>#VALUE!</v>
      </c>
      <c r="AR68" s="314" t="e">
        <f t="shared" si="27"/>
        <v>#VALUE!</v>
      </c>
      <c r="AS68" s="314" t="e">
        <f t="shared" si="11"/>
        <v>#VALUE!</v>
      </c>
      <c r="AT68" s="319">
        <f t="shared" si="29"/>
        <v>22</v>
      </c>
      <c r="AU68" s="320">
        <f>'5烧主抽电耗'!$A$3+AT68-1</f>
        <v>43365</v>
      </c>
      <c r="AV68" s="213" t="str">
        <f t="shared" si="28"/>
        <v>丙班</v>
      </c>
    </row>
    <row r="69" spans="1:48">
      <c r="A69" s="360"/>
      <c r="B69" s="222" t="s">
        <v>39</v>
      </c>
      <c r="C69" s="276" t="str">
        <f>'6烧主抽电耗'!F67</f>
        <v>丁班</v>
      </c>
      <c r="D69" s="277">
        <v>21.3333333333333</v>
      </c>
      <c r="E69" s="225"/>
      <c r="F69" s="225"/>
      <c r="G69" s="225" t="str">
        <f>IF(_zhuchou5_month_day!E66="","",_zhuchou5_month_day!E66)</f>
        <v/>
      </c>
      <c r="H69" s="225" t="str">
        <f>IF(_zhuchou5_month_day!F66="","",_zhuchou5_month_day!F66)</f>
        <v/>
      </c>
      <c r="I69" s="225"/>
      <c r="J69" s="225"/>
      <c r="K69" s="225" t="str">
        <f>IF(_zhuchou5_month_day!G66="","",_zhuchou5_month_day!G66)</f>
        <v/>
      </c>
      <c r="L69" s="225" t="str">
        <f>IF(_zhuchou5_month_day!H66="","",_zhuchou5_month_day!H66)</f>
        <v/>
      </c>
      <c r="M69" s="225" t="str">
        <f>IF(_zhuchou5_month_day!I66="","",_zhuchou5_month_day!I66)</f>
        <v/>
      </c>
      <c r="N69" s="225" t="str">
        <f>IF(_zhuchou5_month_day!J66="","",_zhuchou5_month_day!J66)</f>
        <v/>
      </c>
      <c r="O69" s="225"/>
      <c r="P69" s="225"/>
      <c r="Q69" s="229"/>
      <c r="R69" s="298"/>
      <c r="S69" s="299"/>
      <c r="T69" s="237"/>
      <c r="U69" s="225"/>
      <c r="V69" s="229" t="str">
        <f>IF(_zhuchou6_month_day!A66="","",_zhuchou6_month_day!A66)</f>
        <v/>
      </c>
      <c r="W69" s="229" t="str">
        <f>IF(_zhuchou6_month_day!B66="","",_zhuchou6_month_day!B66)</f>
        <v/>
      </c>
      <c r="X69" s="229"/>
      <c r="Y69" s="229"/>
      <c r="Z69" s="225" t="str">
        <f>IF(_zhuchou6_month_day!C66="","",_zhuchou6_month_dayC2)</f>
        <v/>
      </c>
      <c r="AA69" s="225" t="str">
        <f>IF(_zhuchou6_month_day!D66="","",_zhuchou6_month_dayC2)</f>
        <v/>
      </c>
      <c r="AB69" s="225" t="str">
        <f>IF(_zhuchou6_month_day!E66="","",_zhuchou6_month_dayC2)</f>
        <v/>
      </c>
      <c r="AC69" s="225" t="str">
        <f>IF(_zhuchou6_month_day!F66="","",_zhuchou6_month_dayC2)</f>
        <v/>
      </c>
      <c r="AD69" s="284"/>
      <c r="AE69" s="284"/>
      <c r="AF69" s="225"/>
      <c r="AG69" s="225"/>
      <c r="AH69" s="142">
        <f t="shared" si="30"/>
        <v>0</v>
      </c>
      <c r="AI69" s="314">
        <f t="shared" si="19"/>
        <v>0</v>
      </c>
      <c r="AJ69" s="314">
        <f t="shared" si="20"/>
        <v>0</v>
      </c>
      <c r="AK69" s="314">
        <f t="shared" si="21"/>
        <v>0</v>
      </c>
      <c r="AL69" s="314">
        <f t="shared" si="22"/>
        <v>0</v>
      </c>
      <c r="AM69" s="314">
        <f t="shared" si="23"/>
        <v>0</v>
      </c>
      <c r="AN69" s="314" t="e">
        <f t="shared" si="24"/>
        <v>#VALUE!</v>
      </c>
      <c r="AO69" s="314" t="e">
        <f t="shared" si="25"/>
        <v>#VALUE!</v>
      </c>
      <c r="AP69" s="314" t="e">
        <f t="shared" si="10"/>
        <v>#VALUE!</v>
      </c>
      <c r="AQ69" s="314" t="e">
        <f t="shared" si="26"/>
        <v>#VALUE!</v>
      </c>
      <c r="AR69" s="314" t="e">
        <f t="shared" si="27"/>
        <v>#VALUE!</v>
      </c>
      <c r="AS69" s="314" t="e">
        <f t="shared" si="11"/>
        <v>#VALUE!</v>
      </c>
      <c r="AT69" s="319">
        <f t="shared" si="29"/>
        <v>22</v>
      </c>
      <c r="AU69" s="320">
        <f>'5烧主抽电耗'!$A$3+AT69-1</f>
        <v>43365</v>
      </c>
      <c r="AV69" s="213" t="str">
        <f t="shared" si="28"/>
        <v>丁班</v>
      </c>
    </row>
    <row r="70" spans="1:48">
      <c r="A70" s="360"/>
      <c r="B70" s="222" t="s">
        <v>41</v>
      </c>
      <c r="C70" s="276" t="str">
        <f>'6烧主抽电耗'!F68</f>
        <v>甲班</v>
      </c>
      <c r="D70" s="277">
        <v>21.6666666666667</v>
      </c>
      <c r="E70" s="225"/>
      <c r="F70" s="225"/>
      <c r="G70" s="225" t="str">
        <f>IF(_zhuchou5_month_day!E67="","",_zhuchou5_month_day!E67)</f>
        <v/>
      </c>
      <c r="H70" s="225" t="str">
        <f>IF(_zhuchou5_month_day!F67="","",_zhuchou5_month_day!F67)</f>
        <v/>
      </c>
      <c r="I70" s="225"/>
      <c r="J70" s="225"/>
      <c r="K70" s="225" t="str">
        <f>IF(_zhuchou5_month_day!G67="","",_zhuchou5_month_day!G67)</f>
        <v/>
      </c>
      <c r="L70" s="225" t="str">
        <f>IF(_zhuchou5_month_day!H67="","",_zhuchou5_month_day!H67)</f>
        <v/>
      </c>
      <c r="M70" s="225" t="str">
        <f>IF(_zhuchou5_month_day!I67="","",_zhuchou5_month_day!I67)</f>
        <v/>
      </c>
      <c r="N70" s="225" t="str">
        <f>IF(_zhuchou5_month_day!J67="","",_zhuchou5_month_day!J67)</f>
        <v/>
      </c>
      <c r="O70" s="225"/>
      <c r="P70" s="225"/>
      <c r="Q70" s="225"/>
      <c r="R70" s="298"/>
      <c r="S70" s="299"/>
      <c r="T70" s="237"/>
      <c r="U70" s="225"/>
      <c r="V70" s="229" t="str">
        <f>IF(_zhuchou6_month_day!A67="","",_zhuchou6_month_day!A67)</f>
        <v/>
      </c>
      <c r="W70" s="229" t="str">
        <f>IF(_zhuchou6_month_day!B67="","",_zhuchou6_month_day!B67)</f>
        <v/>
      </c>
      <c r="X70" s="229"/>
      <c r="Y70" s="229"/>
      <c r="Z70" s="225" t="str">
        <f>IF(_zhuchou6_month_day!C67="","",_zhuchou6_month_dayC2)</f>
        <v/>
      </c>
      <c r="AA70" s="225" t="str">
        <f>IF(_zhuchou6_month_day!D67="","",_zhuchou6_month_dayC2)</f>
        <v/>
      </c>
      <c r="AB70" s="225" t="str">
        <f>IF(_zhuchou6_month_day!E67="","",_zhuchou6_month_dayC2)</f>
        <v/>
      </c>
      <c r="AC70" s="225" t="str">
        <f>IF(_zhuchou6_month_day!F67="","",_zhuchou6_month_dayC2)</f>
        <v/>
      </c>
      <c r="AD70" s="284"/>
      <c r="AE70" s="284"/>
      <c r="AF70" s="225"/>
      <c r="AG70" s="225"/>
      <c r="AH70" s="142">
        <f t="shared" si="30"/>
        <v>0</v>
      </c>
      <c r="AI70" s="314">
        <f t="shared" ref="AI70:AI97" si="31">(F71-F70)*3</f>
        <v>0</v>
      </c>
      <c r="AJ70" s="314">
        <f t="shared" ref="AJ70:AJ97" si="32">AH70+AI70</f>
        <v>0</v>
      </c>
      <c r="AK70" s="314">
        <f t="shared" ref="AK70:AK95" si="33">(T73-T72)*3</f>
        <v>0</v>
      </c>
      <c r="AL70" s="314">
        <f t="shared" ref="AL70:AL95" si="34">(U73-U72)*3</f>
        <v>0</v>
      </c>
      <c r="AM70" s="314">
        <f t="shared" ref="AM70:AM97" si="35">AK70+AL70</f>
        <v>0</v>
      </c>
      <c r="AN70" s="314" t="e">
        <f t="shared" ref="AN70:AN97" si="36">G70*10000*(8-O70)*1.732*I70/1000</f>
        <v>#VALUE!</v>
      </c>
      <c r="AO70" s="314" t="e">
        <f t="shared" ref="AO70:AO97" si="37">H70*10000*(8-P70)*1.732*J70/1000</f>
        <v>#VALUE!</v>
      </c>
      <c r="AP70" s="314" t="e">
        <f t="shared" ref="AP70:AP97" si="38">AN70+AO70</f>
        <v>#VALUE!</v>
      </c>
      <c r="AQ70" s="314" t="e">
        <f t="shared" ref="AQ70:AQ96" si="39">V72*10000*(8-$AD72)*1.732*X72/1000</f>
        <v>#VALUE!</v>
      </c>
      <c r="AR70" s="314" t="e">
        <f t="shared" ref="AR70:AR96" si="40">W72*10000*(8-$AD72)*1.732*Y72/1000</f>
        <v>#VALUE!</v>
      </c>
      <c r="AS70" s="314" t="e">
        <f t="shared" ref="AS70:AS97" si="41">AQ70+AR70</f>
        <v>#VALUE!</v>
      </c>
      <c r="AT70" s="319">
        <f t="shared" si="29"/>
        <v>22</v>
      </c>
      <c r="AU70" s="320">
        <f>'5烧主抽电耗'!$A$3+AT70-1</f>
        <v>43365</v>
      </c>
      <c r="AV70" s="213" t="str">
        <f t="shared" ref="AV70:AV97" si="42">C70</f>
        <v>甲班</v>
      </c>
    </row>
    <row r="71" spans="1:48">
      <c r="A71" s="360">
        <v>23</v>
      </c>
      <c r="B71" s="222" t="s">
        <v>37</v>
      </c>
      <c r="C71" s="276" t="str">
        <f>'6烧主抽电耗'!F69</f>
        <v>丙班</v>
      </c>
      <c r="D71" s="277">
        <v>22</v>
      </c>
      <c r="E71" s="225"/>
      <c r="F71" s="225"/>
      <c r="G71" s="225" t="str">
        <f>IF(_zhuchou5_month_day!E68="","",_zhuchou5_month_day!E68)</f>
        <v/>
      </c>
      <c r="H71" s="225" t="str">
        <f>IF(_zhuchou5_month_day!F68="","",_zhuchou5_month_day!F68)</f>
        <v/>
      </c>
      <c r="I71" s="225"/>
      <c r="J71" s="225"/>
      <c r="K71" s="225" t="str">
        <f>IF(_zhuchou5_month_day!G68="","",_zhuchou5_month_day!G68)</f>
        <v/>
      </c>
      <c r="L71" s="225" t="str">
        <f>IF(_zhuchou5_month_day!H68="","",_zhuchou5_month_day!H68)</f>
        <v/>
      </c>
      <c r="M71" s="225" t="str">
        <f>IF(_zhuchou5_month_day!I68="","",_zhuchou5_month_day!I68)</f>
        <v/>
      </c>
      <c r="N71" s="225" t="str">
        <f>IF(_zhuchou5_month_day!J68="","",_zhuchou5_month_day!J68)</f>
        <v/>
      </c>
      <c r="O71" s="225"/>
      <c r="P71" s="225"/>
      <c r="Q71" s="225"/>
      <c r="R71" s="298"/>
      <c r="S71" s="299"/>
      <c r="T71" s="237"/>
      <c r="U71" s="225"/>
      <c r="V71" s="229" t="str">
        <f>IF(_zhuchou6_month_day!A68="","",_zhuchou6_month_day!A68)</f>
        <v/>
      </c>
      <c r="W71" s="229" t="str">
        <f>IF(_zhuchou6_month_day!B68="","",_zhuchou6_month_day!B68)</f>
        <v/>
      </c>
      <c r="X71" s="229"/>
      <c r="Y71" s="229"/>
      <c r="Z71" s="225" t="str">
        <f>IF(_zhuchou6_month_day!C68="","",_zhuchou6_month_dayC2)</f>
        <v/>
      </c>
      <c r="AA71" s="225" t="str">
        <f>IF(_zhuchou6_month_day!D68="","",_zhuchou6_month_dayC2)</f>
        <v/>
      </c>
      <c r="AB71" s="225" t="str">
        <f>IF(_zhuchou6_month_day!E68="","",_zhuchou6_month_dayC2)</f>
        <v/>
      </c>
      <c r="AC71" s="225" t="str">
        <f>IF(_zhuchou6_month_day!F68="","",_zhuchou6_month_dayC2)</f>
        <v/>
      </c>
      <c r="AD71" s="284"/>
      <c r="AE71" s="284"/>
      <c r="AF71" s="225"/>
      <c r="AG71" s="225"/>
      <c r="AH71" s="142">
        <f t="shared" si="30"/>
        <v>0</v>
      </c>
      <c r="AI71" s="314">
        <f t="shared" si="31"/>
        <v>0</v>
      </c>
      <c r="AJ71" s="314">
        <f t="shared" si="32"/>
        <v>0</v>
      </c>
      <c r="AK71" s="314">
        <f t="shared" si="33"/>
        <v>0</v>
      </c>
      <c r="AL71" s="314">
        <f t="shared" si="34"/>
        <v>0</v>
      </c>
      <c r="AM71" s="314">
        <f t="shared" si="35"/>
        <v>0</v>
      </c>
      <c r="AN71" s="314" t="e">
        <f t="shared" si="36"/>
        <v>#VALUE!</v>
      </c>
      <c r="AO71" s="314" t="e">
        <f t="shared" si="37"/>
        <v>#VALUE!</v>
      </c>
      <c r="AP71" s="314" t="e">
        <f t="shared" si="38"/>
        <v>#VALUE!</v>
      </c>
      <c r="AQ71" s="314" t="e">
        <f t="shared" si="39"/>
        <v>#VALUE!</v>
      </c>
      <c r="AR71" s="314" t="e">
        <f t="shared" si="40"/>
        <v>#VALUE!</v>
      </c>
      <c r="AS71" s="314" t="e">
        <f t="shared" si="41"/>
        <v>#VALUE!</v>
      </c>
      <c r="AT71" s="319">
        <f t="shared" si="29"/>
        <v>23</v>
      </c>
      <c r="AU71" s="320">
        <f>'5烧主抽电耗'!$A$3+AT71-1</f>
        <v>43366</v>
      </c>
      <c r="AV71" s="213" t="str">
        <f t="shared" si="42"/>
        <v>丙班</v>
      </c>
    </row>
    <row r="72" spans="1:48">
      <c r="A72" s="360"/>
      <c r="B72" s="222" t="s">
        <v>39</v>
      </c>
      <c r="C72" s="276" t="str">
        <f>'6烧主抽电耗'!F70</f>
        <v>丁班</v>
      </c>
      <c r="D72" s="277">
        <v>22.3333333333333</v>
      </c>
      <c r="E72" s="225"/>
      <c r="F72" s="225"/>
      <c r="G72" s="225" t="str">
        <f>IF(_zhuchou5_month_day!E69="","",_zhuchou5_month_day!E69)</f>
        <v/>
      </c>
      <c r="H72" s="225" t="str">
        <f>IF(_zhuchou5_month_day!F69="","",_zhuchou5_month_day!F69)</f>
        <v/>
      </c>
      <c r="I72" s="225"/>
      <c r="J72" s="225"/>
      <c r="K72" s="225" t="str">
        <f>IF(_zhuchou5_month_day!G69="","",_zhuchou5_month_day!G69)</f>
        <v/>
      </c>
      <c r="L72" s="225" t="str">
        <f>IF(_zhuchou5_month_day!H69="","",_zhuchou5_month_day!H69)</f>
        <v/>
      </c>
      <c r="M72" s="225" t="str">
        <f>IF(_zhuchou5_month_day!I69="","",_zhuchou5_month_day!I69)</f>
        <v/>
      </c>
      <c r="N72" s="225" t="str">
        <f>IF(_zhuchou5_month_day!J69="","",_zhuchou5_month_day!J69)</f>
        <v/>
      </c>
      <c r="O72" s="225"/>
      <c r="P72" s="225"/>
      <c r="Q72" s="229"/>
      <c r="R72" s="298"/>
      <c r="S72" s="299"/>
      <c r="T72" s="237"/>
      <c r="U72" s="225"/>
      <c r="V72" s="229" t="str">
        <f>IF(_zhuchou6_month_day!A69="","",_zhuchou6_month_day!A69)</f>
        <v/>
      </c>
      <c r="W72" s="229" t="str">
        <f>IF(_zhuchou6_month_day!B69="","",_zhuchou6_month_day!B69)</f>
        <v/>
      </c>
      <c r="X72" s="229"/>
      <c r="Y72" s="229"/>
      <c r="Z72" s="225" t="str">
        <f>IF(_zhuchou6_month_day!C69="","",_zhuchou6_month_dayC2)</f>
        <v/>
      </c>
      <c r="AA72" s="225" t="str">
        <f>IF(_zhuchou6_month_day!D69="","",_zhuchou6_month_dayC2)</f>
        <v/>
      </c>
      <c r="AB72" s="225" t="str">
        <f>IF(_zhuchou6_month_day!E69="","",_zhuchou6_month_dayC2)</f>
        <v/>
      </c>
      <c r="AC72" s="225" t="str">
        <f>IF(_zhuchou6_month_day!F69="","",_zhuchou6_month_dayC2)</f>
        <v/>
      </c>
      <c r="AD72" s="284"/>
      <c r="AE72" s="284"/>
      <c r="AF72" s="225"/>
      <c r="AG72" s="316"/>
      <c r="AH72" s="142">
        <f t="shared" si="30"/>
        <v>0</v>
      </c>
      <c r="AI72" s="314">
        <f t="shared" si="31"/>
        <v>0</v>
      </c>
      <c r="AJ72" s="314">
        <f t="shared" si="32"/>
        <v>0</v>
      </c>
      <c r="AK72" s="314">
        <f t="shared" si="33"/>
        <v>0</v>
      </c>
      <c r="AL72" s="314">
        <f t="shared" si="34"/>
        <v>0</v>
      </c>
      <c r="AM72" s="314">
        <f t="shared" si="35"/>
        <v>0</v>
      </c>
      <c r="AN72" s="314" t="e">
        <f t="shared" si="36"/>
        <v>#VALUE!</v>
      </c>
      <c r="AO72" s="314" t="e">
        <f t="shared" si="37"/>
        <v>#VALUE!</v>
      </c>
      <c r="AP72" s="314" t="e">
        <f t="shared" si="38"/>
        <v>#VALUE!</v>
      </c>
      <c r="AQ72" s="314" t="e">
        <f t="shared" si="39"/>
        <v>#VALUE!</v>
      </c>
      <c r="AR72" s="314" t="e">
        <f t="shared" si="40"/>
        <v>#VALUE!</v>
      </c>
      <c r="AS72" s="314" t="e">
        <f t="shared" si="41"/>
        <v>#VALUE!</v>
      </c>
      <c r="AT72" s="319">
        <f t="shared" ref="AT72:AT97" si="43">AT69+1</f>
        <v>23</v>
      </c>
      <c r="AU72" s="320">
        <f>'5烧主抽电耗'!$A$3+AT72-1</f>
        <v>43366</v>
      </c>
      <c r="AV72" s="213" t="str">
        <f t="shared" si="42"/>
        <v>丁班</v>
      </c>
    </row>
    <row r="73" spans="1:48">
      <c r="A73" s="360"/>
      <c r="B73" s="222" t="s">
        <v>41</v>
      </c>
      <c r="C73" s="276" t="str">
        <f>'6烧主抽电耗'!F71</f>
        <v>甲班</v>
      </c>
      <c r="D73" s="277">
        <v>22.6666666666667</v>
      </c>
      <c r="E73" s="225"/>
      <c r="F73" s="225"/>
      <c r="G73" s="225" t="str">
        <f>IF(_zhuchou5_month_day!E70="","",_zhuchou5_month_day!E70)</f>
        <v/>
      </c>
      <c r="H73" s="225" t="str">
        <f>IF(_zhuchou5_month_day!F70="","",_zhuchou5_month_day!F70)</f>
        <v/>
      </c>
      <c r="I73" s="225"/>
      <c r="J73" s="225"/>
      <c r="K73" s="225" t="str">
        <f>IF(_zhuchou5_month_day!G70="","",_zhuchou5_month_day!G70)</f>
        <v/>
      </c>
      <c r="L73" s="225" t="str">
        <f>IF(_zhuchou5_month_day!H70="","",_zhuchou5_month_day!H70)</f>
        <v/>
      </c>
      <c r="M73" s="225" t="str">
        <f>IF(_zhuchou5_month_day!I70="","",_zhuchou5_month_day!I70)</f>
        <v/>
      </c>
      <c r="N73" s="225" t="str">
        <f>IF(_zhuchou5_month_day!J70="","",_zhuchou5_month_day!J70)</f>
        <v/>
      </c>
      <c r="O73" s="225"/>
      <c r="P73" s="225"/>
      <c r="Q73" s="225"/>
      <c r="R73" s="298"/>
      <c r="S73" s="299"/>
      <c r="T73" s="237"/>
      <c r="U73" s="225"/>
      <c r="V73" s="229" t="str">
        <f>IF(_zhuchou6_month_day!A70="","",_zhuchou6_month_day!A70)</f>
        <v/>
      </c>
      <c r="W73" s="229" t="str">
        <f>IF(_zhuchou6_month_day!B70="","",_zhuchou6_month_day!B70)</f>
        <v/>
      </c>
      <c r="X73" s="229"/>
      <c r="Y73" s="229"/>
      <c r="Z73" s="225" t="str">
        <f>IF(_zhuchou6_month_day!C70="","",_zhuchou6_month_dayC2)</f>
        <v/>
      </c>
      <c r="AA73" s="225" t="str">
        <f>IF(_zhuchou6_month_day!D70="","",_zhuchou6_month_dayC2)</f>
        <v/>
      </c>
      <c r="AB73" s="225" t="str">
        <f>IF(_zhuchou6_month_day!E70="","",_zhuchou6_month_dayC2)</f>
        <v/>
      </c>
      <c r="AC73" s="225" t="str">
        <f>IF(_zhuchou6_month_day!F70="","",_zhuchou6_month_dayC2)</f>
        <v/>
      </c>
      <c r="AD73" s="284"/>
      <c r="AE73" s="284"/>
      <c r="AF73" s="225"/>
      <c r="AG73" s="225"/>
      <c r="AH73" s="142">
        <f t="shared" si="30"/>
        <v>0</v>
      </c>
      <c r="AI73" s="314">
        <f t="shared" si="31"/>
        <v>0</v>
      </c>
      <c r="AJ73" s="314">
        <f t="shared" si="32"/>
        <v>0</v>
      </c>
      <c r="AK73" s="314">
        <f t="shared" si="33"/>
        <v>0</v>
      </c>
      <c r="AL73" s="314">
        <f t="shared" si="34"/>
        <v>0</v>
      </c>
      <c r="AM73" s="314">
        <f t="shared" si="35"/>
        <v>0</v>
      </c>
      <c r="AN73" s="314" t="e">
        <f t="shared" si="36"/>
        <v>#VALUE!</v>
      </c>
      <c r="AO73" s="314" t="e">
        <f t="shared" si="37"/>
        <v>#VALUE!</v>
      </c>
      <c r="AP73" s="314" t="e">
        <f t="shared" si="38"/>
        <v>#VALUE!</v>
      </c>
      <c r="AQ73" s="314" t="e">
        <f t="shared" si="39"/>
        <v>#VALUE!</v>
      </c>
      <c r="AR73" s="314" t="e">
        <f t="shared" si="40"/>
        <v>#VALUE!</v>
      </c>
      <c r="AS73" s="314" t="e">
        <f t="shared" si="41"/>
        <v>#VALUE!</v>
      </c>
      <c r="AT73" s="319">
        <f t="shared" si="43"/>
        <v>23</v>
      </c>
      <c r="AU73" s="320">
        <f>'5烧主抽电耗'!$A$3+AT73-1</f>
        <v>43366</v>
      </c>
      <c r="AV73" s="213" t="str">
        <f t="shared" si="42"/>
        <v>甲班</v>
      </c>
    </row>
    <row r="74" spans="1:48">
      <c r="A74" s="360">
        <v>24</v>
      </c>
      <c r="B74" s="222" t="s">
        <v>37</v>
      </c>
      <c r="C74" s="276" t="str">
        <f>'6烧主抽电耗'!F72</f>
        <v>乙班</v>
      </c>
      <c r="D74" s="277">
        <v>23</v>
      </c>
      <c r="E74" s="230"/>
      <c r="F74" s="230"/>
      <c r="G74" s="230" t="str">
        <f>IF(_zhuchou5_month_day!E71="","",_zhuchou5_month_day!E71)</f>
        <v/>
      </c>
      <c r="H74" s="230" t="str">
        <f>IF(_zhuchou5_month_day!F71="","",_zhuchou5_month_day!F71)</f>
        <v/>
      </c>
      <c r="I74" s="230"/>
      <c r="J74" s="230"/>
      <c r="K74" s="230" t="str">
        <f>IF(_zhuchou5_month_day!G71="","",_zhuchou5_month_day!G71)</f>
        <v/>
      </c>
      <c r="L74" s="230" t="str">
        <f>IF(_zhuchou5_month_day!H71="","",_zhuchou5_month_day!H71)</f>
        <v/>
      </c>
      <c r="M74" s="230" t="str">
        <f>IF(_zhuchou5_month_day!I71="","",_zhuchou5_month_day!I71)</f>
        <v/>
      </c>
      <c r="N74" s="230" t="str">
        <f>IF(_zhuchou5_month_day!J71="","",_zhuchou5_month_day!J71)</f>
        <v/>
      </c>
      <c r="O74" s="230"/>
      <c r="P74" s="230"/>
      <c r="Q74" s="229"/>
      <c r="R74" s="329"/>
      <c r="S74" s="301"/>
      <c r="T74" s="237"/>
      <c r="U74" s="225"/>
      <c r="V74" s="229" t="str">
        <f>IF(_zhuchou6_month_day!A71="","",_zhuchou6_month_day!A71)</f>
        <v/>
      </c>
      <c r="W74" s="229" t="str">
        <f>IF(_zhuchou6_month_day!B71="","",_zhuchou6_month_day!B71)</f>
        <v/>
      </c>
      <c r="X74" s="229"/>
      <c r="Y74" s="229"/>
      <c r="Z74" s="225" t="str">
        <f>IF(_zhuchou6_month_day!C71="","",_zhuchou6_month_dayC2)</f>
        <v/>
      </c>
      <c r="AA74" s="225" t="str">
        <f>IF(_zhuchou6_month_day!D71="","",_zhuchou6_month_dayC2)</f>
        <v/>
      </c>
      <c r="AB74" s="225" t="str">
        <f>IF(_zhuchou6_month_day!E71="","",_zhuchou6_month_dayC2)</f>
        <v/>
      </c>
      <c r="AC74" s="225" t="str">
        <f>IF(_zhuchou6_month_day!F71="","",_zhuchou6_month_dayC2)</f>
        <v/>
      </c>
      <c r="AD74" s="284"/>
      <c r="AE74" s="284"/>
      <c r="AF74" s="225"/>
      <c r="AG74" s="316"/>
      <c r="AH74" s="142">
        <f t="shared" si="30"/>
        <v>0</v>
      </c>
      <c r="AI74" s="314">
        <f t="shared" si="31"/>
        <v>0</v>
      </c>
      <c r="AJ74" s="314">
        <f t="shared" si="32"/>
        <v>0</v>
      </c>
      <c r="AK74" s="314">
        <f t="shared" si="33"/>
        <v>0</v>
      </c>
      <c r="AL74" s="314">
        <f t="shared" si="34"/>
        <v>0</v>
      </c>
      <c r="AM74" s="314">
        <f t="shared" si="35"/>
        <v>0</v>
      </c>
      <c r="AN74" s="314" t="e">
        <f t="shared" si="36"/>
        <v>#VALUE!</v>
      </c>
      <c r="AO74" s="314" t="e">
        <f t="shared" si="37"/>
        <v>#VALUE!</v>
      </c>
      <c r="AP74" s="314" t="e">
        <f t="shared" si="38"/>
        <v>#VALUE!</v>
      </c>
      <c r="AQ74" s="314" t="e">
        <f t="shared" si="39"/>
        <v>#VALUE!</v>
      </c>
      <c r="AR74" s="314" t="e">
        <f t="shared" si="40"/>
        <v>#VALUE!</v>
      </c>
      <c r="AS74" s="314" t="e">
        <f t="shared" si="41"/>
        <v>#VALUE!</v>
      </c>
      <c r="AT74" s="319">
        <f t="shared" si="43"/>
        <v>24</v>
      </c>
      <c r="AU74" s="320">
        <f>'5烧主抽电耗'!$A$3+AT74-1</f>
        <v>43367</v>
      </c>
      <c r="AV74" s="213" t="str">
        <f t="shared" si="42"/>
        <v>乙班</v>
      </c>
    </row>
    <row r="75" spans="1:48">
      <c r="A75" s="360"/>
      <c r="B75" s="222" t="s">
        <v>39</v>
      </c>
      <c r="C75" s="276" t="str">
        <f>'6烧主抽电耗'!F73</f>
        <v>丙班</v>
      </c>
      <c r="D75" s="277">
        <v>23.3333333333333</v>
      </c>
      <c r="E75" s="251"/>
      <c r="F75" s="251"/>
      <c r="G75" s="251" t="str">
        <f>IF(_zhuchou5_month_day!E72="","",_zhuchou5_month_day!E72)</f>
        <v/>
      </c>
      <c r="H75" s="251" t="str">
        <f>IF(_zhuchou5_month_day!F72="","",_zhuchou5_month_day!F72)</f>
        <v/>
      </c>
      <c r="I75" s="251"/>
      <c r="J75" s="251"/>
      <c r="K75" s="251" t="str">
        <f>IF(_zhuchou5_month_day!G72="","",_zhuchou5_month_day!G72)</f>
        <v/>
      </c>
      <c r="L75" s="251" t="str">
        <f>IF(_zhuchou5_month_day!H72="","",_zhuchou5_month_day!H72)</f>
        <v/>
      </c>
      <c r="M75" s="251" t="str">
        <f>IF(_zhuchou5_month_day!I72="","",_zhuchou5_month_day!I72)</f>
        <v/>
      </c>
      <c r="N75" s="251" t="str">
        <f>IF(_zhuchou5_month_day!J72="","",_zhuchou5_month_day!J72)</f>
        <v/>
      </c>
      <c r="O75" s="251"/>
      <c r="P75" s="251"/>
      <c r="Q75" s="229"/>
      <c r="R75" s="330"/>
      <c r="S75" s="331"/>
      <c r="T75" s="237"/>
      <c r="U75" s="225"/>
      <c r="V75" s="229" t="str">
        <f>IF(_zhuchou6_month_day!A72="","",_zhuchou6_month_day!A72)</f>
        <v/>
      </c>
      <c r="W75" s="229" t="str">
        <f>IF(_zhuchou6_month_day!B72="","",_zhuchou6_month_day!B72)</f>
        <v/>
      </c>
      <c r="X75" s="229"/>
      <c r="Y75" s="229"/>
      <c r="Z75" s="225" t="str">
        <f>IF(_zhuchou6_month_day!C72="","",_zhuchou6_month_dayC2)</f>
        <v/>
      </c>
      <c r="AA75" s="225" t="str">
        <f>IF(_zhuchou6_month_day!D72="","",_zhuchou6_month_dayC2)</f>
        <v/>
      </c>
      <c r="AB75" s="225" t="str">
        <f>IF(_zhuchou6_month_day!E72="","",_zhuchou6_month_dayC2)</f>
        <v/>
      </c>
      <c r="AC75" s="225" t="str">
        <f>IF(_zhuchou6_month_day!F72="","",_zhuchou6_month_dayC2)</f>
        <v/>
      </c>
      <c r="AD75" s="284"/>
      <c r="AE75" s="284"/>
      <c r="AF75" s="225"/>
      <c r="AG75" s="225"/>
      <c r="AH75" s="142">
        <f t="shared" si="30"/>
        <v>0</v>
      </c>
      <c r="AI75" s="314">
        <f t="shared" si="31"/>
        <v>0</v>
      </c>
      <c r="AJ75" s="314">
        <f t="shared" si="32"/>
        <v>0</v>
      </c>
      <c r="AK75" s="314">
        <f t="shared" si="33"/>
        <v>0</v>
      </c>
      <c r="AL75" s="314">
        <f t="shared" si="34"/>
        <v>0</v>
      </c>
      <c r="AM75" s="314">
        <f t="shared" si="35"/>
        <v>0</v>
      </c>
      <c r="AN75" s="314" t="e">
        <f t="shared" si="36"/>
        <v>#VALUE!</v>
      </c>
      <c r="AO75" s="314" t="e">
        <f t="shared" si="37"/>
        <v>#VALUE!</v>
      </c>
      <c r="AP75" s="314" t="e">
        <f t="shared" si="38"/>
        <v>#VALUE!</v>
      </c>
      <c r="AQ75" s="314" t="e">
        <f t="shared" si="39"/>
        <v>#VALUE!</v>
      </c>
      <c r="AR75" s="314" t="e">
        <f t="shared" si="40"/>
        <v>#VALUE!</v>
      </c>
      <c r="AS75" s="314" t="e">
        <f t="shared" si="41"/>
        <v>#VALUE!</v>
      </c>
      <c r="AT75" s="319">
        <f t="shared" si="43"/>
        <v>24</v>
      </c>
      <c r="AU75" s="320">
        <f>'5烧主抽电耗'!$A$3+AT75-1</f>
        <v>43367</v>
      </c>
      <c r="AV75" s="213" t="str">
        <f t="shared" si="42"/>
        <v>丙班</v>
      </c>
    </row>
    <row r="76" spans="1:48">
      <c r="A76" s="360"/>
      <c r="B76" s="222" t="s">
        <v>41</v>
      </c>
      <c r="C76" s="276" t="str">
        <f>'6烧主抽电耗'!F74</f>
        <v>丁班</v>
      </c>
      <c r="D76" s="277">
        <v>23.6666666666667</v>
      </c>
      <c r="E76" s="229"/>
      <c r="F76" s="230"/>
      <c r="G76" s="230" t="str">
        <f>IF(_zhuchou5_month_day!E73="","",_zhuchou5_month_day!E73)</f>
        <v/>
      </c>
      <c r="H76" s="229" t="str">
        <f>IF(_zhuchou5_month_day!F73="","",_zhuchou5_month_day!F73)</f>
        <v/>
      </c>
      <c r="I76" s="251"/>
      <c r="J76" s="251"/>
      <c r="K76" s="251" t="str">
        <f>IF(_zhuchou5_month_day!G73="","",_zhuchou5_month_day!G73)</f>
        <v/>
      </c>
      <c r="L76" s="251" t="str">
        <f>IF(_zhuchou5_month_day!H73="","",_zhuchou5_month_day!H73)</f>
        <v/>
      </c>
      <c r="M76" s="230" t="str">
        <f>IF(_zhuchou5_month_day!I73="","",_zhuchou5_month_day!I73)</f>
        <v/>
      </c>
      <c r="N76" s="230" t="str">
        <f>IF(_zhuchou5_month_day!J73="","",_zhuchou5_month_day!J73)</f>
        <v/>
      </c>
      <c r="O76" s="230"/>
      <c r="P76" s="230"/>
      <c r="Q76" s="229"/>
      <c r="R76" s="329"/>
      <c r="S76" s="301"/>
      <c r="T76" s="332"/>
      <c r="U76" s="230"/>
      <c r="V76" s="229" t="str">
        <f>IF(_zhuchou6_month_day!A73="","",_zhuchou6_month_day!A73)</f>
        <v/>
      </c>
      <c r="W76" s="229" t="str">
        <f>IF(_zhuchou6_month_day!B73="","",_zhuchou6_month_day!B73)</f>
        <v/>
      </c>
      <c r="X76" s="229"/>
      <c r="Y76" s="229"/>
      <c r="Z76" s="230" t="str">
        <f>IF(_zhuchou6_month_day!C73="","",_zhuchou6_month_dayC2)</f>
        <v/>
      </c>
      <c r="AA76" s="230" t="str">
        <f>IF(_zhuchou6_month_day!D73="","",_zhuchou6_month_dayC2)</f>
        <v/>
      </c>
      <c r="AB76" s="230" t="str">
        <f>IF(_zhuchou6_month_day!E73="","",_zhuchou6_month_dayC2)</f>
        <v/>
      </c>
      <c r="AC76" s="225" t="str">
        <f>IF(_zhuchou6_month_day!F73="","",_zhuchou6_month_dayC2)</f>
        <v/>
      </c>
      <c r="AD76" s="284"/>
      <c r="AE76" s="284"/>
      <c r="AF76" s="225"/>
      <c r="AG76" s="230"/>
      <c r="AH76" s="142">
        <f t="shared" si="30"/>
        <v>0</v>
      </c>
      <c r="AI76" s="314">
        <f t="shared" si="31"/>
        <v>0</v>
      </c>
      <c r="AJ76" s="314">
        <f t="shared" si="32"/>
        <v>0</v>
      </c>
      <c r="AK76" s="314">
        <f t="shared" si="33"/>
        <v>0</v>
      </c>
      <c r="AL76" s="314">
        <f t="shared" si="34"/>
        <v>0</v>
      </c>
      <c r="AM76" s="314">
        <f t="shared" si="35"/>
        <v>0</v>
      </c>
      <c r="AN76" s="314" t="e">
        <f t="shared" si="36"/>
        <v>#VALUE!</v>
      </c>
      <c r="AO76" s="314" t="e">
        <f t="shared" si="37"/>
        <v>#VALUE!</v>
      </c>
      <c r="AP76" s="314" t="e">
        <f t="shared" si="38"/>
        <v>#VALUE!</v>
      </c>
      <c r="AQ76" s="314" t="e">
        <f t="shared" si="39"/>
        <v>#VALUE!</v>
      </c>
      <c r="AR76" s="314" t="e">
        <f t="shared" si="40"/>
        <v>#VALUE!</v>
      </c>
      <c r="AS76" s="314" t="e">
        <f t="shared" si="41"/>
        <v>#VALUE!</v>
      </c>
      <c r="AT76" s="319">
        <f t="shared" si="43"/>
        <v>24</v>
      </c>
      <c r="AU76" s="320">
        <f>'5烧主抽电耗'!$A$3+AT76-1</f>
        <v>43367</v>
      </c>
      <c r="AV76" s="213" t="str">
        <f t="shared" si="42"/>
        <v>丁班</v>
      </c>
    </row>
    <row r="77" spans="1:48">
      <c r="A77" s="360">
        <v>25</v>
      </c>
      <c r="B77" s="222" t="s">
        <v>37</v>
      </c>
      <c r="C77" s="276" t="str">
        <f>'6烧主抽电耗'!F75</f>
        <v>乙班</v>
      </c>
      <c r="D77" s="277">
        <v>24</v>
      </c>
      <c r="E77" s="229"/>
      <c r="F77" s="229"/>
      <c r="G77" s="229" t="str">
        <f>IF(_zhuchou5_month_day!E74="","",_zhuchou5_month_day!E74)</f>
        <v/>
      </c>
      <c r="H77" s="229" t="str">
        <f>IF(_zhuchou5_month_day!F74="","",_zhuchou5_month_day!F74)</f>
        <v/>
      </c>
      <c r="I77" s="251"/>
      <c r="J77" s="251"/>
      <c r="K77" s="251" t="str">
        <f>IF(_zhuchou5_month_day!G74="","",_zhuchou5_month_day!G74)</f>
        <v/>
      </c>
      <c r="L77" s="251" t="str">
        <f>IF(_zhuchou5_month_day!H74="","",_zhuchou5_month_day!H74)</f>
        <v/>
      </c>
      <c r="M77" s="229" t="str">
        <f>IF(_zhuchou5_month_day!I74="","",_zhuchou5_month_day!I74)</f>
        <v/>
      </c>
      <c r="N77" s="229" t="str">
        <f>IF(_zhuchou5_month_day!J74="","",_zhuchou5_month_day!J74)</f>
        <v/>
      </c>
      <c r="O77" s="229"/>
      <c r="P77" s="229"/>
      <c r="Q77" s="229"/>
      <c r="R77" s="333"/>
      <c r="S77" s="297"/>
      <c r="T77" s="250"/>
      <c r="U77" s="251"/>
      <c r="V77" s="229" t="str">
        <f>IF(_zhuchou6_month_day!A74="","",_zhuchou6_month_day!A74)</f>
        <v/>
      </c>
      <c r="W77" s="229" t="str">
        <f>IF(_zhuchou6_month_day!B74="","",_zhuchou6_month_day!B74)</f>
        <v/>
      </c>
      <c r="X77" s="229"/>
      <c r="Y77" s="229"/>
      <c r="Z77" s="251" t="str">
        <f>IF(_zhuchou6_month_day!C74="","",_zhuchou6_month_dayC2)</f>
        <v/>
      </c>
      <c r="AA77" s="251" t="str">
        <f>IF(_zhuchou6_month_day!D74="","",_zhuchou6_month_dayC2)</f>
        <v/>
      </c>
      <c r="AB77" s="251" t="str">
        <f>IF(_zhuchou6_month_day!E74="","",_zhuchou6_month_dayC2)</f>
        <v/>
      </c>
      <c r="AC77" s="225" t="str">
        <f>IF(_zhuchou6_month_day!F74="","",_zhuchou6_month_dayC2)</f>
        <v/>
      </c>
      <c r="AD77" s="343"/>
      <c r="AE77" s="343"/>
      <c r="AF77" s="225"/>
      <c r="AG77" s="230"/>
      <c r="AH77" s="142">
        <f t="shared" si="30"/>
        <v>0</v>
      </c>
      <c r="AI77" s="314">
        <f t="shared" si="31"/>
        <v>0</v>
      </c>
      <c r="AJ77" s="314">
        <f t="shared" si="32"/>
        <v>0</v>
      </c>
      <c r="AK77" s="314">
        <f t="shared" si="33"/>
        <v>0</v>
      </c>
      <c r="AL77" s="314">
        <f t="shared" si="34"/>
        <v>0</v>
      </c>
      <c r="AM77" s="314">
        <f t="shared" si="35"/>
        <v>0</v>
      </c>
      <c r="AN77" s="314" t="e">
        <f t="shared" si="36"/>
        <v>#VALUE!</v>
      </c>
      <c r="AO77" s="314" t="e">
        <f t="shared" si="37"/>
        <v>#VALUE!</v>
      </c>
      <c r="AP77" s="314" t="e">
        <f t="shared" si="38"/>
        <v>#VALUE!</v>
      </c>
      <c r="AQ77" s="314" t="e">
        <f t="shared" si="39"/>
        <v>#VALUE!</v>
      </c>
      <c r="AR77" s="314" t="e">
        <f t="shared" si="40"/>
        <v>#VALUE!</v>
      </c>
      <c r="AS77" s="314" t="e">
        <f t="shared" si="41"/>
        <v>#VALUE!</v>
      </c>
      <c r="AT77" s="319">
        <f t="shared" si="43"/>
        <v>25</v>
      </c>
      <c r="AU77" s="320">
        <f>'5烧主抽电耗'!$A$3+AT77-1</f>
        <v>43368</v>
      </c>
      <c r="AV77" s="213" t="str">
        <f t="shared" si="42"/>
        <v>乙班</v>
      </c>
    </row>
    <row r="78" spans="1:48">
      <c r="A78" s="360"/>
      <c r="B78" s="222" t="s">
        <v>39</v>
      </c>
      <c r="C78" s="276" t="str">
        <f>'6烧主抽电耗'!F76</f>
        <v>丙班</v>
      </c>
      <c r="D78" s="277">
        <v>24.3333333333333</v>
      </c>
      <c r="E78" s="229"/>
      <c r="F78" s="229"/>
      <c r="G78" s="229" t="str">
        <f>IF(_zhuchou5_month_day!E75="","",_zhuchou5_month_day!E75)</f>
        <v/>
      </c>
      <c r="H78" s="229" t="str">
        <f>IF(_zhuchou5_month_day!F75="","",_zhuchou5_month_day!F75)</f>
        <v/>
      </c>
      <c r="I78" s="251"/>
      <c r="J78" s="251"/>
      <c r="K78" s="251" t="str">
        <f>IF(_zhuchou5_month_day!G75="","",_zhuchou5_month_day!G75)</f>
        <v/>
      </c>
      <c r="L78" s="251" t="str">
        <f>IF(_zhuchou5_month_day!H75="","",_zhuchou5_month_day!H75)</f>
        <v/>
      </c>
      <c r="M78" s="229" t="str">
        <f>IF(_zhuchou5_month_day!I75="","",_zhuchou5_month_day!I75)</f>
        <v/>
      </c>
      <c r="N78" s="229" t="str">
        <f>IF(_zhuchou5_month_day!J75="","",_zhuchou5_month_day!J75)</f>
        <v/>
      </c>
      <c r="O78" s="283"/>
      <c r="P78" s="283"/>
      <c r="Q78" s="229"/>
      <c r="R78" s="333"/>
      <c r="S78" s="297"/>
      <c r="T78" s="250"/>
      <c r="U78" s="251"/>
      <c r="V78" s="229" t="str">
        <f>IF(_zhuchou6_month_day!A75="","",_zhuchou6_month_day!A75)</f>
        <v/>
      </c>
      <c r="W78" s="229" t="str">
        <f>IF(_zhuchou6_month_day!B75="","",_zhuchou6_month_day!B75)</f>
        <v/>
      </c>
      <c r="X78" s="229"/>
      <c r="Y78" s="229"/>
      <c r="Z78" s="230" t="str">
        <f>IF(_zhuchou6_month_day!C75="","",_zhuchou6_month_dayC2)</f>
        <v/>
      </c>
      <c r="AA78" s="230" t="str">
        <f>IF(_zhuchou6_month_day!D75="","",_zhuchou6_month_dayC2)</f>
        <v/>
      </c>
      <c r="AB78" s="230" t="str">
        <f>IF(_zhuchou6_month_day!E75="","",_zhuchou6_month_dayC2)</f>
        <v/>
      </c>
      <c r="AC78" s="225" t="str">
        <f>IF(_zhuchou6_month_day!F75="","",_zhuchou6_month_dayC2)</f>
        <v/>
      </c>
      <c r="AD78" s="343"/>
      <c r="AE78" s="343"/>
      <c r="AF78" s="225"/>
      <c r="AG78" s="313"/>
      <c r="AH78" s="142">
        <f t="shared" si="30"/>
        <v>0</v>
      </c>
      <c r="AI78" s="314">
        <f t="shared" si="31"/>
        <v>0</v>
      </c>
      <c r="AJ78" s="314">
        <f t="shared" si="32"/>
        <v>0</v>
      </c>
      <c r="AK78" s="314">
        <f t="shared" si="33"/>
        <v>0</v>
      </c>
      <c r="AL78" s="314">
        <f t="shared" si="34"/>
        <v>0</v>
      </c>
      <c r="AM78" s="314">
        <f t="shared" si="35"/>
        <v>0</v>
      </c>
      <c r="AN78" s="314" t="e">
        <f t="shared" si="36"/>
        <v>#VALUE!</v>
      </c>
      <c r="AO78" s="314" t="e">
        <f t="shared" si="37"/>
        <v>#VALUE!</v>
      </c>
      <c r="AP78" s="314" t="e">
        <f t="shared" si="38"/>
        <v>#VALUE!</v>
      </c>
      <c r="AQ78" s="314" t="e">
        <f t="shared" si="39"/>
        <v>#VALUE!</v>
      </c>
      <c r="AR78" s="314" t="e">
        <f t="shared" si="40"/>
        <v>#VALUE!</v>
      </c>
      <c r="AS78" s="314" t="e">
        <f t="shared" si="41"/>
        <v>#VALUE!</v>
      </c>
      <c r="AT78" s="319">
        <f t="shared" si="43"/>
        <v>25</v>
      </c>
      <c r="AU78" s="320">
        <f>'5烧主抽电耗'!$A$3+AT78-1</f>
        <v>43368</v>
      </c>
      <c r="AV78" s="213" t="str">
        <f t="shared" si="42"/>
        <v>丙班</v>
      </c>
    </row>
    <row r="79" spans="1:48">
      <c r="A79" s="360"/>
      <c r="B79" s="222" t="s">
        <v>41</v>
      </c>
      <c r="C79" s="276" t="str">
        <f>'6烧主抽电耗'!F77</f>
        <v>丁班</v>
      </c>
      <c r="D79" s="277">
        <v>24.6666666666667</v>
      </c>
      <c r="E79" s="229"/>
      <c r="F79" s="229"/>
      <c r="G79" s="229" t="str">
        <f>IF(_zhuchou5_month_day!E76="","",_zhuchou5_month_day!E76)</f>
        <v/>
      </c>
      <c r="H79" s="229" t="str">
        <f>IF(_zhuchou5_month_day!F76="","",_zhuchou5_month_day!F76)</f>
        <v/>
      </c>
      <c r="I79" s="229"/>
      <c r="J79" s="229"/>
      <c r="K79" s="229" t="str">
        <f>IF(_zhuchou5_month_day!G76="","",_zhuchou5_month_day!G76)</f>
        <v/>
      </c>
      <c r="L79" s="229" t="str">
        <f>IF(_zhuchou5_month_day!H76="","",_zhuchou5_month_day!H76)</f>
        <v/>
      </c>
      <c r="M79" s="229" t="str">
        <f>IF(_zhuchou5_month_day!I76="","",_zhuchou5_month_day!I76)</f>
        <v/>
      </c>
      <c r="N79" s="229" t="str">
        <f>IF(_zhuchou5_month_day!J76="","",_zhuchou5_month_day!J76)</f>
        <v/>
      </c>
      <c r="O79" s="283"/>
      <c r="P79" s="283"/>
      <c r="Q79" s="229"/>
      <c r="R79" s="333"/>
      <c r="S79" s="297"/>
      <c r="T79" s="240"/>
      <c r="U79" s="229"/>
      <c r="V79" s="229" t="str">
        <f>IF(_zhuchou6_month_day!A76="","",_zhuchou6_month_day!A76)</f>
        <v/>
      </c>
      <c r="W79" s="229" t="str">
        <f>IF(_zhuchou6_month_day!B76="","",_zhuchou6_month_day!B76)</f>
        <v/>
      </c>
      <c r="X79" s="229"/>
      <c r="Y79" s="229"/>
      <c r="Z79" s="229" t="str">
        <f>IF(_zhuchou6_month_day!C76="","",_zhuchou6_month_dayC2)</f>
        <v/>
      </c>
      <c r="AA79" s="229" t="str">
        <f>IF(_zhuchou6_month_day!D76="","",_zhuchou6_month_dayC2)</f>
        <v/>
      </c>
      <c r="AB79" s="229" t="str">
        <f>IF(_zhuchou6_month_day!E76="","",_zhuchou6_month_dayC2)</f>
        <v/>
      </c>
      <c r="AC79" s="230" t="str">
        <f>IF(_zhuchou6_month_day!F76="","",_zhuchou6_month_dayC2)</f>
        <v/>
      </c>
      <c r="AD79" s="284"/>
      <c r="AE79" s="284"/>
      <c r="AF79" s="225"/>
      <c r="AG79" s="225"/>
      <c r="AH79" s="142">
        <f t="shared" ref="AH79:AH97" si="44">(E80-E79)*3</f>
        <v>0</v>
      </c>
      <c r="AI79" s="314">
        <f t="shared" si="31"/>
        <v>0</v>
      </c>
      <c r="AJ79" s="314">
        <f t="shared" si="32"/>
        <v>0</v>
      </c>
      <c r="AK79" s="314">
        <f t="shared" si="33"/>
        <v>0</v>
      </c>
      <c r="AL79" s="314">
        <f t="shared" si="34"/>
        <v>0</v>
      </c>
      <c r="AM79" s="314">
        <f t="shared" si="35"/>
        <v>0</v>
      </c>
      <c r="AN79" s="314" t="e">
        <f t="shared" si="36"/>
        <v>#VALUE!</v>
      </c>
      <c r="AO79" s="314" t="e">
        <f t="shared" si="37"/>
        <v>#VALUE!</v>
      </c>
      <c r="AP79" s="314" t="e">
        <f t="shared" si="38"/>
        <v>#VALUE!</v>
      </c>
      <c r="AQ79" s="314" t="e">
        <f t="shared" si="39"/>
        <v>#VALUE!</v>
      </c>
      <c r="AR79" s="314" t="e">
        <f t="shared" si="40"/>
        <v>#VALUE!</v>
      </c>
      <c r="AS79" s="314" t="e">
        <f t="shared" si="41"/>
        <v>#VALUE!</v>
      </c>
      <c r="AT79" s="319">
        <f t="shared" si="43"/>
        <v>25</v>
      </c>
      <c r="AU79" s="320">
        <f>'5烧主抽电耗'!$A$3+AT79-1</f>
        <v>43368</v>
      </c>
      <c r="AV79" s="213" t="str">
        <f t="shared" si="42"/>
        <v>丁班</v>
      </c>
    </row>
    <row r="80" spans="1:48">
      <c r="A80" s="360">
        <v>26</v>
      </c>
      <c r="B80" s="222" t="s">
        <v>37</v>
      </c>
      <c r="C80" s="276" t="str">
        <f>'6烧主抽电耗'!F78</f>
        <v>甲班</v>
      </c>
      <c r="D80" s="277">
        <v>25</v>
      </c>
      <c r="E80" s="229"/>
      <c r="F80" s="229"/>
      <c r="G80" s="229" t="str">
        <f>IF(_zhuchou5_month_day!E77="","",_zhuchou5_month_day!E77)</f>
        <v/>
      </c>
      <c r="H80" s="229" t="str">
        <f>IF(_zhuchou5_month_day!F77="","",_zhuchou5_month_day!F77)</f>
        <v/>
      </c>
      <c r="I80" s="229"/>
      <c r="J80" s="229"/>
      <c r="K80" s="229" t="str">
        <f>IF(_zhuchou5_month_day!G77="","",_zhuchou5_month_day!G77)</f>
        <v/>
      </c>
      <c r="L80" s="229" t="str">
        <f>IF(_zhuchou5_month_day!H77="","",_zhuchou5_month_day!H77)</f>
        <v/>
      </c>
      <c r="M80" s="229" t="str">
        <f>IF(_zhuchou5_month_day!I77="","",_zhuchou5_month_day!I77)</f>
        <v/>
      </c>
      <c r="N80" s="229" t="str">
        <f>IF(_zhuchou5_month_day!J77="","",_zhuchou5_month_day!J77)</f>
        <v/>
      </c>
      <c r="O80" s="283"/>
      <c r="P80" s="283"/>
      <c r="Q80" s="225"/>
      <c r="R80" s="333"/>
      <c r="S80" s="297"/>
      <c r="T80" s="240"/>
      <c r="U80" s="229"/>
      <c r="V80" s="229" t="str">
        <f>IF(_zhuchou6_month_day!A77="","",_zhuchou6_month_day!A77)</f>
        <v/>
      </c>
      <c r="W80" s="229" t="str">
        <f>IF(_zhuchou6_month_day!B77="","",_zhuchou6_month_day!B77)</f>
        <v/>
      </c>
      <c r="X80" s="229"/>
      <c r="Y80" s="229"/>
      <c r="Z80" s="229" t="str">
        <f>IF(_zhuchou6_month_day!C77="","",_zhuchou6_month_dayC2)</f>
        <v/>
      </c>
      <c r="AA80" s="229" t="str">
        <f>IF(_zhuchou6_month_day!D77="","",_zhuchou6_month_dayC2)</f>
        <v/>
      </c>
      <c r="AB80" s="229" t="str">
        <f>IF(_zhuchou6_month_day!E77="","",_zhuchou6_month_dayC2)</f>
        <v/>
      </c>
      <c r="AC80" s="230" t="str">
        <f>IF(_zhuchou6_month_day!F77="","",_zhuchou6_month_dayC2)</f>
        <v/>
      </c>
      <c r="AD80" s="284"/>
      <c r="AE80" s="284"/>
      <c r="AF80" s="225"/>
      <c r="AG80" s="313"/>
      <c r="AH80" s="142">
        <f t="shared" si="44"/>
        <v>0</v>
      </c>
      <c r="AI80" s="314">
        <f t="shared" si="31"/>
        <v>0</v>
      </c>
      <c r="AJ80" s="314">
        <f t="shared" si="32"/>
        <v>0</v>
      </c>
      <c r="AK80" s="314">
        <f t="shared" si="33"/>
        <v>0</v>
      </c>
      <c r="AL80" s="314">
        <f t="shared" si="34"/>
        <v>0</v>
      </c>
      <c r="AM80" s="314">
        <f t="shared" si="35"/>
        <v>0</v>
      </c>
      <c r="AN80" s="314" t="e">
        <f t="shared" si="36"/>
        <v>#VALUE!</v>
      </c>
      <c r="AO80" s="314" t="e">
        <f t="shared" si="37"/>
        <v>#VALUE!</v>
      </c>
      <c r="AP80" s="314" t="e">
        <f t="shared" si="38"/>
        <v>#VALUE!</v>
      </c>
      <c r="AQ80" s="314" t="e">
        <f t="shared" si="39"/>
        <v>#VALUE!</v>
      </c>
      <c r="AR80" s="314" t="e">
        <f t="shared" si="40"/>
        <v>#VALUE!</v>
      </c>
      <c r="AS80" s="314" t="e">
        <f t="shared" si="41"/>
        <v>#VALUE!</v>
      </c>
      <c r="AT80" s="319">
        <f t="shared" si="43"/>
        <v>26</v>
      </c>
      <c r="AU80" s="320">
        <f>'5烧主抽电耗'!$A$3+AT80-1</f>
        <v>43369</v>
      </c>
      <c r="AV80" s="213" t="str">
        <f t="shared" si="42"/>
        <v>甲班</v>
      </c>
    </row>
    <row r="81" spans="1:48">
      <c r="A81" s="360"/>
      <c r="B81" s="222" t="s">
        <v>39</v>
      </c>
      <c r="C81" s="276" t="str">
        <f>'6烧主抽电耗'!F79</f>
        <v>乙班</v>
      </c>
      <c r="D81" s="277">
        <v>25.3333333333333</v>
      </c>
      <c r="E81" s="229"/>
      <c r="F81" s="229"/>
      <c r="G81" s="229" t="str">
        <f>IF(_zhuchou5_month_day!E78="","",_zhuchou5_month_day!E78)</f>
        <v/>
      </c>
      <c r="H81" s="229" t="str">
        <f>IF(_zhuchou5_month_day!F78="","",_zhuchou5_month_day!F78)</f>
        <v/>
      </c>
      <c r="I81" s="229"/>
      <c r="J81" s="229"/>
      <c r="K81" s="229" t="str">
        <f>IF(_zhuchou5_month_day!G78="","",_zhuchou5_month_day!G78)</f>
        <v/>
      </c>
      <c r="L81" s="229" t="str">
        <f>IF(_zhuchou5_month_day!H78="","",_zhuchou5_month_day!H78)</f>
        <v/>
      </c>
      <c r="M81" s="229" t="str">
        <f>IF(_zhuchou5_month_day!I78="","",_zhuchou5_month_day!I78)</f>
        <v/>
      </c>
      <c r="N81" s="229" t="str">
        <f>IF(_zhuchou5_month_day!J78="","",_zhuchou5_month_day!J78)</f>
        <v/>
      </c>
      <c r="O81" s="283"/>
      <c r="P81" s="283"/>
      <c r="Q81" s="229"/>
      <c r="R81" s="333"/>
      <c r="S81" s="297"/>
      <c r="T81" s="240"/>
      <c r="U81" s="229"/>
      <c r="V81" s="229" t="str">
        <f>IF(_zhuchou6_month_day!A78="","",_zhuchou6_month_day!A78)</f>
        <v/>
      </c>
      <c r="W81" s="229" t="str">
        <f>IF(_zhuchou6_month_day!B78="","",_zhuchou6_month_day!B78)</f>
        <v/>
      </c>
      <c r="X81" s="229"/>
      <c r="Y81" s="229"/>
      <c r="Z81" s="229" t="str">
        <f>IF(_zhuchou6_month_day!C78="","",_zhuchou6_month_dayC2)</f>
        <v/>
      </c>
      <c r="AA81" s="229" t="str">
        <f>IF(_zhuchou6_month_day!D78="","",_zhuchou6_month_dayC2)</f>
        <v/>
      </c>
      <c r="AB81" s="229" t="str">
        <f>IF(_zhuchou6_month_day!E78="","",_zhuchou6_month_dayC2)</f>
        <v/>
      </c>
      <c r="AC81" s="230" t="str">
        <f>IF(_zhuchou6_month_day!F78="","",_zhuchou6_month_dayC2)</f>
        <v/>
      </c>
      <c r="AD81" s="344"/>
      <c r="AE81" s="344"/>
      <c r="AF81" s="225"/>
      <c r="AG81" s="313"/>
      <c r="AH81" s="142">
        <f t="shared" si="44"/>
        <v>0</v>
      </c>
      <c r="AI81" s="314">
        <f t="shared" si="31"/>
        <v>0</v>
      </c>
      <c r="AJ81" s="314">
        <f t="shared" si="32"/>
        <v>0</v>
      </c>
      <c r="AK81" s="314">
        <f t="shared" si="33"/>
        <v>0</v>
      </c>
      <c r="AL81" s="314">
        <f t="shared" si="34"/>
        <v>0</v>
      </c>
      <c r="AM81" s="314">
        <f t="shared" si="35"/>
        <v>0</v>
      </c>
      <c r="AN81" s="314" t="e">
        <f t="shared" si="36"/>
        <v>#VALUE!</v>
      </c>
      <c r="AO81" s="314" t="e">
        <f t="shared" si="37"/>
        <v>#VALUE!</v>
      </c>
      <c r="AP81" s="314" t="e">
        <f t="shared" si="38"/>
        <v>#VALUE!</v>
      </c>
      <c r="AQ81" s="314" t="e">
        <f t="shared" si="39"/>
        <v>#VALUE!</v>
      </c>
      <c r="AR81" s="314" t="e">
        <f t="shared" si="40"/>
        <v>#VALUE!</v>
      </c>
      <c r="AS81" s="314" t="e">
        <f t="shared" si="41"/>
        <v>#VALUE!</v>
      </c>
      <c r="AT81" s="319">
        <f t="shared" si="43"/>
        <v>26</v>
      </c>
      <c r="AU81" s="320">
        <f>'5烧主抽电耗'!$A$3+AT81-1</f>
        <v>43369</v>
      </c>
      <c r="AV81" s="213" t="str">
        <f t="shared" si="42"/>
        <v>乙班</v>
      </c>
    </row>
    <row r="82" spans="1:48">
      <c r="A82" s="360"/>
      <c r="B82" s="222" t="s">
        <v>41</v>
      </c>
      <c r="C82" s="276" t="str">
        <f>'6烧主抽电耗'!F80</f>
        <v>丙班</v>
      </c>
      <c r="D82" s="277">
        <v>25.6666666666667</v>
      </c>
      <c r="E82" s="229"/>
      <c r="F82" s="229"/>
      <c r="G82" s="229" t="str">
        <f>IF(_zhuchou5_month_day!E79="","",_zhuchou5_month_day!E79)</f>
        <v/>
      </c>
      <c r="H82" s="229" t="str">
        <f>IF(_zhuchou5_month_day!F79="","",_zhuchou5_month_day!F79)</f>
        <v/>
      </c>
      <c r="I82" s="229"/>
      <c r="J82" s="229"/>
      <c r="K82" s="229" t="str">
        <f>IF(_zhuchou5_month_day!G79="","",_zhuchou5_month_day!G79)</f>
        <v/>
      </c>
      <c r="L82" s="229" t="str">
        <f>IF(_zhuchou5_month_day!H79="","",_zhuchou5_month_day!H79)</f>
        <v/>
      </c>
      <c r="M82" s="229" t="str">
        <f>IF(_zhuchou5_month_day!I79="","",_zhuchou5_month_day!I79)</f>
        <v/>
      </c>
      <c r="N82" s="229" t="str">
        <f>IF(_zhuchou5_month_day!J79="","",_zhuchou5_month_day!J79)</f>
        <v/>
      </c>
      <c r="O82" s="283"/>
      <c r="P82" s="283"/>
      <c r="Q82" s="230"/>
      <c r="R82" s="333"/>
      <c r="S82" s="297"/>
      <c r="T82" s="240"/>
      <c r="U82" s="229"/>
      <c r="V82" s="229" t="str">
        <f>IF(_zhuchou6_month_day!A79="","",_zhuchou6_month_day!A79)</f>
        <v/>
      </c>
      <c r="W82" s="229" t="str">
        <f>IF(_zhuchou6_month_day!B79="","",_zhuchou6_month_day!B79)</f>
        <v/>
      </c>
      <c r="X82" s="229"/>
      <c r="Y82" s="229"/>
      <c r="Z82" s="229" t="str">
        <f>IF(_zhuchou6_month_day!C79="","",_zhuchou6_month_dayC2)</f>
        <v/>
      </c>
      <c r="AA82" s="229" t="str">
        <f>IF(_zhuchou6_month_day!D79="","",_zhuchou6_month_dayC2)</f>
        <v/>
      </c>
      <c r="AB82" s="229" t="str">
        <f>IF(_zhuchou6_month_day!E79="","",_zhuchou6_month_dayC2)</f>
        <v/>
      </c>
      <c r="AC82" s="229" t="str">
        <f>IF(_zhuchou6_month_day!F79="","",_zhuchou6_month_dayC2)</f>
        <v/>
      </c>
      <c r="AD82" s="284"/>
      <c r="AE82" s="284"/>
      <c r="AF82" s="225"/>
      <c r="AG82" s="225"/>
      <c r="AH82" s="142">
        <f t="shared" si="44"/>
        <v>0</v>
      </c>
      <c r="AI82" s="314">
        <f t="shared" si="31"/>
        <v>0</v>
      </c>
      <c r="AJ82" s="314">
        <f t="shared" si="32"/>
        <v>0</v>
      </c>
      <c r="AK82" s="314">
        <f t="shared" si="33"/>
        <v>0</v>
      </c>
      <c r="AL82" s="314">
        <f t="shared" si="34"/>
        <v>0</v>
      </c>
      <c r="AM82" s="314">
        <f t="shared" si="35"/>
        <v>0</v>
      </c>
      <c r="AN82" s="314" t="e">
        <f t="shared" si="36"/>
        <v>#VALUE!</v>
      </c>
      <c r="AO82" s="314" t="e">
        <f t="shared" si="37"/>
        <v>#VALUE!</v>
      </c>
      <c r="AP82" s="314" t="e">
        <f t="shared" si="38"/>
        <v>#VALUE!</v>
      </c>
      <c r="AQ82" s="314" t="e">
        <f t="shared" si="39"/>
        <v>#VALUE!</v>
      </c>
      <c r="AR82" s="314" t="e">
        <f t="shared" si="40"/>
        <v>#VALUE!</v>
      </c>
      <c r="AS82" s="314" t="e">
        <f t="shared" si="41"/>
        <v>#VALUE!</v>
      </c>
      <c r="AT82" s="319">
        <f t="shared" si="43"/>
        <v>26</v>
      </c>
      <c r="AU82" s="320">
        <f>'5烧主抽电耗'!$A$3+AT82-1</f>
        <v>43369</v>
      </c>
      <c r="AV82" s="213" t="str">
        <f t="shared" si="42"/>
        <v>丙班</v>
      </c>
    </row>
    <row r="83" spans="1:48" ht="15.95" customHeight="1">
      <c r="A83" s="360">
        <v>27</v>
      </c>
      <c r="B83" s="222" t="s">
        <v>37</v>
      </c>
      <c r="C83" s="276" t="str">
        <f>'6烧主抽电耗'!F81</f>
        <v>甲班</v>
      </c>
      <c r="D83" s="277">
        <v>26</v>
      </c>
      <c r="E83" s="229"/>
      <c r="F83" s="229"/>
      <c r="G83" s="229" t="str">
        <f>IF(_zhuchou5_month_day!E80="","",_zhuchou5_month_day!E80)</f>
        <v/>
      </c>
      <c r="H83" s="229" t="str">
        <f>IF(_zhuchou5_month_day!F80="","",_zhuchou5_month_day!F80)</f>
        <v/>
      </c>
      <c r="I83" s="229"/>
      <c r="J83" s="229"/>
      <c r="K83" s="229" t="str">
        <f>IF(_zhuchou5_month_day!G80="","",_zhuchou5_month_day!G80)</f>
        <v/>
      </c>
      <c r="L83" s="229" t="str">
        <f>IF(_zhuchou5_month_day!H80="","",_zhuchou5_month_day!H80)</f>
        <v/>
      </c>
      <c r="M83" s="229" t="str">
        <f>IF(_zhuchou5_month_day!I80="","",_zhuchou5_month_day!I80)</f>
        <v/>
      </c>
      <c r="N83" s="229" t="str">
        <f>IF(_zhuchou5_month_day!J80="","",_zhuchou5_month_day!J80)</f>
        <v/>
      </c>
      <c r="O83" s="283"/>
      <c r="P83" s="283"/>
      <c r="Q83" s="225"/>
      <c r="R83" s="333"/>
      <c r="S83" s="297"/>
      <c r="T83" s="229"/>
      <c r="U83" s="229"/>
      <c r="V83" s="229" t="str">
        <f>IF(_zhuchou6_month_day!A80="","",_zhuchou6_month_day!A80)</f>
        <v/>
      </c>
      <c r="W83" s="229" t="str">
        <f>IF(_zhuchou6_month_day!B80="","",_zhuchou6_month_day!B80)</f>
        <v/>
      </c>
      <c r="X83" s="229"/>
      <c r="Y83" s="229"/>
      <c r="Z83" s="229" t="str">
        <f>IF(_zhuchou6_month_day!C80="","",_zhuchou6_month_dayC2)</f>
        <v/>
      </c>
      <c r="AA83" s="229" t="str">
        <f>IF(_zhuchou6_month_day!D80="","",_zhuchou6_month_dayC2)</f>
        <v/>
      </c>
      <c r="AB83" s="229" t="str">
        <f>IF(_zhuchou6_month_day!E80="","",_zhuchou6_month_dayC2)</f>
        <v/>
      </c>
      <c r="AC83" s="229" t="str">
        <f>IF(_zhuchou6_month_day!F80="","",_zhuchou6_month_dayC2)</f>
        <v/>
      </c>
      <c r="AD83" s="283"/>
      <c r="AE83" s="283"/>
      <c r="AF83" s="225"/>
      <c r="AG83" s="313"/>
      <c r="AH83" s="142">
        <f t="shared" si="44"/>
        <v>0</v>
      </c>
      <c r="AI83" s="314">
        <f t="shared" si="31"/>
        <v>0</v>
      </c>
      <c r="AJ83" s="314">
        <f t="shared" si="32"/>
        <v>0</v>
      </c>
      <c r="AK83" s="314">
        <f t="shared" si="33"/>
        <v>0</v>
      </c>
      <c r="AL83" s="314">
        <f t="shared" si="34"/>
        <v>0</v>
      </c>
      <c r="AM83" s="314">
        <f t="shared" si="35"/>
        <v>0</v>
      </c>
      <c r="AN83" s="314" t="e">
        <f t="shared" si="36"/>
        <v>#VALUE!</v>
      </c>
      <c r="AO83" s="314" t="e">
        <f t="shared" si="37"/>
        <v>#VALUE!</v>
      </c>
      <c r="AP83" s="314" t="e">
        <f t="shared" si="38"/>
        <v>#VALUE!</v>
      </c>
      <c r="AQ83" s="314" t="e">
        <f t="shared" si="39"/>
        <v>#VALUE!</v>
      </c>
      <c r="AR83" s="314" t="e">
        <f t="shared" si="40"/>
        <v>#VALUE!</v>
      </c>
      <c r="AS83" s="314" t="e">
        <f t="shared" si="41"/>
        <v>#VALUE!</v>
      </c>
      <c r="AT83" s="319">
        <f t="shared" si="43"/>
        <v>27</v>
      </c>
      <c r="AU83" s="320">
        <f>'5烧主抽电耗'!$A$3+AT83-1</f>
        <v>43370</v>
      </c>
      <c r="AV83" s="213" t="str">
        <f t="shared" si="42"/>
        <v>甲班</v>
      </c>
    </row>
    <row r="84" spans="1:48" ht="15" customHeight="1">
      <c r="A84" s="360"/>
      <c r="B84" s="222" t="s">
        <v>39</v>
      </c>
      <c r="C84" s="276" t="str">
        <f>'6烧主抽电耗'!F82</f>
        <v>乙班</v>
      </c>
      <c r="D84" s="277">
        <v>26.3333333333333</v>
      </c>
      <c r="E84" s="229"/>
      <c r="F84" s="229"/>
      <c r="G84" s="229" t="str">
        <f>IF(_zhuchou5_month_day!E81="","",_zhuchou5_month_day!E81)</f>
        <v/>
      </c>
      <c r="H84" s="229" t="str">
        <f>IF(_zhuchou5_month_day!F81="","",_zhuchou5_month_day!F81)</f>
        <v/>
      </c>
      <c r="I84" s="229"/>
      <c r="J84" s="229"/>
      <c r="K84" s="229" t="str">
        <f>IF(_zhuchou5_month_day!G81="","",_zhuchou5_month_day!G81)</f>
        <v/>
      </c>
      <c r="L84" s="229" t="str">
        <f>IF(_zhuchou5_month_day!H81="","",_zhuchou5_month_day!H81)</f>
        <v/>
      </c>
      <c r="M84" s="229" t="str">
        <f>IF(_zhuchou5_month_day!I81="","",_zhuchou5_month_day!I81)</f>
        <v/>
      </c>
      <c r="N84" s="229" t="str">
        <f>IF(_zhuchou5_month_day!J81="","",_zhuchou5_month_day!J81)</f>
        <v/>
      </c>
      <c r="O84" s="283"/>
      <c r="P84" s="283"/>
      <c r="Q84" s="225"/>
      <c r="R84" s="333"/>
      <c r="S84" s="297"/>
      <c r="T84" s="240"/>
      <c r="U84" s="229"/>
      <c r="V84" s="229" t="str">
        <f>IF(_zhuchou6_month_day!A81="","",_zhuchou6_month_day!A81)</f>
        <v/>
      </c>
      <c r="W84" s="229" t="str">
        <f>IF(_zhuchou6_month_day!B81="","",_zhuchou6_month_day!B81)</f>
        <v/>
      </c>
      <c r="X84" s="229"/>
      <c r="Y84" s="229"/>
      <c r="Z84" s="229" t="str">
        <f>IF(_zhuchou6_month_day!C81="","",_zhuchou6_month_dayC2)</f>
        <v/>
      </c>
      <c r="AA84" s="229" t="str">
        <f>IF(_zhuchou6_month_day!D81="","",_zhuchou6_month_dayC2)</f>
        <v/>
      </c>
      <c r="AB84" s="229" t="str">
        <f>IF(_zhuchou6_month_day!E81="","",_zhuchou6_month_dayC2)</f>
        <v/>
      </c>
      <c r="AC84" s="229" t="str">
        <f>IF(_zhuchou6_month_day!F81="","",_zhuchou6_month_dayC2)</f>
        <v/>
      </c>
      <c r="AD84" s="283"/>
      <c r="AE84" s="283"/>
      <c r="AF84" s="225"/>
      <c r="AG84" s="313"/>
      <c r="AH84" s="142">
        <f t="shared" si="44"/>
        <v>0</v>
      </c>
      <c r="AI84" s="314">
        <f t="shared" si="31"/>
        <v>0</v>
      </c>
      <c r="AJ84" s="314">
        <f t="shared" si="32"/>
        <v>0</v>
      </c>
      <c r="AK84" s="314">
        <f t="shared" si="33"/>
        <v>0</v>
      </c>
      <c r="AL84" s="314">
        <f t="shared" si="34"/>
        <v>0</v>
      </c>
      <c r="AM84" s="314">
        <f t="shared" si="35"/>
        <v>0</v>
      </c>
      <c r="AN84" s="314" t="e">
        <f t="shared" si="36"/>
        <v>#VALUE!</v>
      </c>
      <c r="AO84" s="314" t="e">
        <f t="shared" si="37"/>
        <v>#VALUE!</v>
      </c>
      <c r="AP84" s="314" t="e">
        <f t="shared" si="38"/>
        <v>#VALUE!</v>
      </c>
      <c r="AQ84" s="314" t="e">
        <f t="shared" si="39"/>
        <v>#VALUE!</v>
      </c>
      <c r="AR84" s="314" t="e">
        <f t="shared" si="40"/>
        <v>#VALUE!</v>
      </c>
      <c r="AS84" s="314" t="e">
        <f t="shared" si="41"/>
        <v>#VALUE!</v>
      </c>
      <c r="AT84" s="319">
        <f t="shared" si="43"/>
        <v>27</v>
      </c>
      <c r="AU84" s="320">
        <f>'5烧主抽电耗'!$A$3+AT84-1</f>
        <v>43370</v>
      </c>
      <c r="AV84" s="213" t="str">
        <f t="shared" si="42"/>
        <v>乙班</v>
      </c>
    </row>
    <row r="85" spans="1:48">
      <c r="A85" s="360"/>
      <c r="B85" s="222" t="s">
        <v>41</v>
      </c>
      <c r="C85" s="276" t="str">
        <f>'6烧主抽电耗'!F83</f>
        <v>丙班</v>
      </c>
      <c r="D85" s="277">
        <v>26.6666666666667</v>
      </c>
      <c r="E85" s="229"/>
      <c r="F85" s="229"/>
      <c r="G85" s="229" t="str">
        <f>IF(_zhuchou5_month_day!E82="","",_zhuchou5_month_day!E82)</f>
        <v/>
      </c>
      <c r="H85" s="229" t="str">
        <f>IF(_zhuchou5_month_day!F82="","",_zhuchou5_month_day!F82)</f>
        <v/>
      </c>
      <c r="I85" s="229"/>
      <c r="J85" s="229"/>
      <c r="K85" s="229" t="str">
        <f>IF(_zhuchou5_month_day!G82="","",_zhuchou5_month_day!G82)</f>
        <v/>
      </c>
      <c r="L85" s="229" t="str">
        <f>IF(_zhuchou5_month_day!H82="","",_zhuchou5_month_day!H82)</f>
        <v/>
      </c>
      <c r="M85" s="229" t="str">
        <f>IF(_zhuchou5_month_day!I82="","",_zhuchou5_month_day!I82)</f>
        <v/>
      </c>
      <c r="N85" s="229" t="str">
        <f>IF(_zhuchou5_month_day!J82="","",_zhuchou5_month_day!J82)</f>
        <v/>
      </c>
      <c r="O85" s="283"/>
      <c r="P85" s="283"/>
      <c r="Q85" s="225"/>
      <c r="R85" s="333"/>
      <c r="S85" s="297"/>
      <c r="T85" s="229"/>
      <c r="U85" s="229"/>
      <c r="V85" s="229" t="str">
        <f>IF(_zhuchou6_month_day!A82="","",_zhuchou6_month_day!A82)</f>
        <v/>
      </c>
      <c r="W85" s="229" t="str">
        <f>IF(_zhuchou6_month_day!B82="","",_zhuchou6_month_day!B82)</f>
        <v/>
      </c>
      <c r="X85" s="229"/>
      <c r="Y85" s="229"/>
      <c r="Z85" s="229" t="str">
        <f>IF(_zhuchou6_month_day!C82="","",_zhuchou6_month_dayC2)</f>
        <v/>
      </c>
      <c r="AA85" s="229" t="str">
        <f>IF(_zhuchou6_month_day!D82="","",_zhuchou6_month_dayC2)</f>
        <v/>
      </c>
      <c r="AB85" s="229" t="str">
        <f>IF(_zhuchou6_month_day!E82="","",_zhuchou6_month_dayC2)</f>
        <v/>
      </c>
      <c r="AC85" s="229" t="str">
        <f>IF(_zhuchou6_month_day!F82="","",_zhuchou6_month_dayC2)</f>
        <v/>
      </c>
      <c r="AD85" s="283"/>
      <c r="AE85" s="284"/>
      <c r="AF85" s="225"/>
      <c r="AG85" s="313"/>
      <c r="AH85" s="142">
        <f t="shared" si="44"/>
        <v>0</v>
      </c>
      <c r="AI85" s="314">
        <f t="shared" si="31"/>
        <v>0</v>
      </c>
      <c r="AJ85" s="314">
        <f t="shared" si="32"/>
        <v>0</v>
      </c>
      <c r="AK85" s="314">
        <f t="shared" si="33"/>
        <v>0</v>
      </c>
      <c r="AL85" s="314">
        <f t="shared" si="34"/>
        <v>0</v>
      </c>
      <c r="AM85" s="314">
        <f t="shared" si="35"/>
        <v>0</v>
      </c>
      <c r="AN85" s="314" t="e">
        <f t="shared" si="36"/>
        <v>#VALUE!</v>
      </c>
      <c r="AO85" s="314" t="e">
        <f t="shared" si="37"/>
        <v>#VALUE!</v>
      </c>
      <c r="AP85" s="314" t="e">
        <f t="shared" si="38"/>
        <v>#VALUE!</v>
      </c>
      <c r="AQ85" s="314" t="e">
        <f t="shared" si="39"/>
        <v>#VALUE!</v>
      </c>
      <c r="AR85" s="314" t="e">
        <f t="shared" si="40"/>
        <v>#VALUE!</v>
      </c>
      <c r="AS85" s="314" t="e">
        <f t="shared" si="41"/>
        <v>#VALUE!</v>
      </c>
      <c r="AT85" s="319">
        <f t="shared" si="43"/>
        <v>27</v>
      </c>
      <c r="AU85" s="320">
        <f>'5烧主抽电耗'!$A$3+AT85-1</f>
        <v>43370</v>
      </c>
      <c r="AV85" s="213" t="str">
        <f t="shared" si="42"/>
        <v>丙班</v>
      </c>
    </row>
    <row r="86" spans="1:48">
      <c r="A86" s="360">
        <v>28</v>
      </c>
      <c r="B86" s="222" t="s">
        <v>37</v>
      </c>
      <c r="C86" s="276" t="str">
        <f>'6烧主抽电耗'!F84</f>
        <v>丁班</v>
      </c>
      <c r="D86" s="277">
        <v>27</v>
      </c>
      <c r="E86" s="229"/>
      <c r="F86" s="229"/>
      <c r="G86" s="229" t="str">
        <f>IF(_zhuchou5_month_day!E83="","",_zhuchou5_month_day!E83)</f>
        <v/>
      </c>
      <c r="H86" s="229" t="str">
        <f>IF(_zhuchou5_month_day!F83="","",_zhuchou5_month_day!F83)</f>
        <v/>
      </c>
      <c r="I86" s="229"/>
      <c r="J86" s="229"/>
      <c r="K86" s="229" t="str">
        <f>IF(_zhuchou5_month_day!G83="","",_zhuchou5_month_day!G83)</f>
        <v/>
      </c>
      <c r="L86" s="229" t="str">
        <f>IF(_zhuchou5_month_day!H83="","",_zhuchou5_month_day!H83)</f>
        <v/>
      </c>
      <c r="M86" s="229" t="str">
        <f>IF(_zhuchou5_month_day!I83="","",_zhuchou5_month_day!I83)</f>
        <v/>
      </c>
      <c r="N86" s="229" t="str">
        <f>IF(_zhuchou5_month_day!J83="","",_zhuchou5_month_day!J83)</f>
        <v/>
      </c>
      <c r="O86" s="283"/>
      <c r="P86" s="283"/>
      <c r="Q86" s="225"/>
      <c r="R86" s="333"/>
      <c r="S86" s="297"/>
      <c r="T86" s="229"/>
      <c r="U86" s="229"/>
      <c r="V86" s="229" t="str">
        <f>IF(_zhuchou6_month_day!A83="","",_zhuchou6_month_day!A83)</f>
        <v/>
      </c>
      <c r="W86" s="229" t="str">
        <f>IF(_zhuchou6_month_day!B83="","",_zhuchou6_month_day!B83)</f>
        <v/>
      </c>
      <c r="X86" s="229"/>
      <c r="Y86" s="229"/>
      <c r="Z86" s="229" t="str">
        <f>IF(_zhuchou6_month_day!C83="","",_zhuchou6_month_dayC2)</f>
        <v/>
      </c>
      <c r="AA86" s="229" t="str">
        <f>IF(_zhuchou6_month_day!D83="","",_zhuchou6_month_dayC2)</f>
        <v/>
      </c>
      <c r="AB86" s="229" t="str">
        <f>IF(_zhuchou6_month_day!E83="","",_zhuchou6_month_dayC2)</f>
        <v/>
      </c>
      <c r="AC86" s="229" t="str">
        <f>IF(_zhuchou6_month_day!F83="","",_zhuchou6_month_dayC2)</f>
        <v/>
      </c>
      <c r="AD86" s="284"/>
      <c r="AE86" s="284"/>
      <c r="AF86" s="225"/>
      <c r="AG86" s="313"/>
      <c r="AH86" s="142">
        <f t="shared" si="44"/>
        <v>0</v>
      </c>
      <c r="AI86" s="314">
        <f t="shared" si="31"/>
        <v>0</v>
      </c>
      <c r="AJ86" s="314">
        <f t="shared" si="32"/>
        <v>0</v>
      </c>
      <c r="AK86" s="314">
        <f t="shared" si="33"/>
        <v>0</v>
      </c>
      <c r="AL86" s="314">
        <f t="shared" si="34"/>
        <v>0</v>
      </c>
      <c r="AM86" s="314">
        <f t="shared" si="35"/>
        <v>0</v>
      </c>
      <c r="AN86" s="314" t="e">
        <f t="shared" si="36"/>
        <v>#VALUE!</v>
      </c>
      <c r="AO86" s="314" t="e">
        <f t="shared" si="37"/>
        <v>#VALUE!</v>
      </c>
      <c r="AP86" s="314" t="e">
        <f t="shared" si="38"/>
        <v>#VALUE!</v>
      </c>
      <c r="AQ86" s="314" t="e">
        <f t="shared" si="39"/>
        <v>#VALUE!</v>
      </c>
      <c r="AR86" s="314" t="e">
        <f t="shared" si="40"/>
        <v>#VALUE!</v>
      </c>
      <c r="AS86" s="314" t="e">
        <f t="shared" si="41"/>
        <v>#VALUE!</v>
      </c>
      <c r="AT86" s="319">
        <f t="shared" si="43"/>
        <v>28</v>
      </c>
      <c r="AU86" s="320">
        <f>'5烧主抽电耗'!$A$3+AT86-1</f>
        <v>43371</v>
      </c>
      <c r="AV86" s="213" t="str">
        <f t="shared" si="42"/>
        <v>丁班</v>
      </c>
    </row>
    <row r="87" spans="1:48">
      <c r="A87" s="360"/>
      <c r="B87" s="222" t="s">
        <v>39</v>
      </c>
      <c r="C87" s="276" t="str">
        <f>'6烧主抽电耗'!F85</f>
        <v>甲班</v>
      </c>
      <c r="D87" s="277">
        <v>27.3333333333333</v>
      </c>
      <c r="E87" s="229"/>
      <c r="F87" s="229"/>
      <c r="G87" s="229" t="str">
        <f>IF(_zhuchou5_month_day!E84="","",_zhuchou5_month_day!E84)</f>
        <v/>
      </c>
      <c r="H87" s="229" t="str">
        <f>IF(_zhuchou5_month_day!F84="","",_zhuchou5_month_day!F84)</f>
        <v/>
      </c>
      <c r="I87" s="229"/>
      <c r="J87" s="229"/>
      <c r="K87" s="229" t="str">
        <f>IF(_zhuchou5_month_day!G84="","",_zhuchou5_month_day!G84)</f>
        <v/>
      </c>
      <c r="L87" s="229" t="str">
        <f>IF(_zhuchou5_month_day!H84="","",_zhuchou5_month_day!H84)</f>
        <v/>
      </c>
      <c r="M87" s="229" t="str">
        <f>IF(_zhuchou5_month_day!I84="","",_zhuchou5_month_day!I84)</f>
        <v/>
      </c>
      <c r="N87" s="229" t="str">
        <f>IF(_zhuchou5_month_day!J84="","",_zhuchou5_month_day!J84)</f>
        <v/>
      </c>
      <c r="O87" s="283"/>
      <c r="P87" s="283"/>
      <c r="Q87" s="225"/>
      <c r="R87" s="333"/>
      <c r="S87" s="297"/>
      <c r="T87" s="229"/>
      <c r="U87" s="229"/>
      <c r="V87" s="229" t="str">
        <f>IF(_zhuchou6_month_day!A84="","",_zhuchou6_month_day!A84)</f>
        <v/>
      </c>
      <c r="W87" s="229" t="str">
        <f>IF(_zhuchou6_month_day!B84="","",_zhuchou6_month_day!B84)</f>
        <v/>
      </c>
      <c r="X87" s="229"/>
      <c r="Y87" s="229"/>
      <c r="Z87" s="229" t="str">
        <f>IF(_zhuchou6_month_day!C84="","",_zhuchou6_month_dayC2)</f>
        <v/>
      </c>
      <c r="AA87" s="229" t="str">
        <f>IF(_zhuchou6_month_day!D84="","",_zhuchou6_month_dayC2)</f>
        <v/>
      </c>
      <c r="AB87" s="229" t="str">
        <f>IF(_zhuchou6_month_day!E84="","",_zhuchou6_month_dayC2)</f>
        <v/>
      </c>
      <c r="AC87" s="229" t="str">
        <f>IF(_zhuchou6_month_day!F84="","",_zhuchou6_month_dayC2)</f>
        <v/>
      </c>
      <c r="AD87" s="283"/>
      <c r="AE87" s="283"/>
      <c r="AF87" s="225"/>
      <c r="AG87" s="313"/>
      <c r="AH87" s="142">
        <f t="shared" si="44"/>
        <v>0</v>
      </c>
      <c r="AI87" s="314">
        <f t="shared" si="31"/>
        <v>0</v>
      </c>
      <c r="AJ87" s="314">
        <f t="shared" si="32"/>
        <v>0</v>
      </c>
      <c r="AK87" s="314">
        <f t="shared" si="33"/>
        <v>0</v>
      </c>
      <c r="AL87" s="314">
        <f t="shared" si="34"/>
        <v>0</v>
      </c>
      <c r="AM87" s="314">
        <f t="shared" si="35"/>
        <v>0</v>
      </c>
      <c r="AN87" s="314" t="e">
        <f t="shared" si="36"/>
        <v>#VALUE!</v>
      </c>
      <c r="AO87" s="314" t="e">
        <f t="shared" si="37"/>
        <v>#VALUE!</v>
      </c>
      <c r="AP87" s="314" t="e">
        <f t="shared" si="38"/>
        <v>#VALUE!</v>
      </c>
      <c r="AQ87" s="314" t="e">
        <f t="shared" si="39"/>
        <v>#VALUE!</v>
      </c>
      <c r="AR87" s="314" t="e">
        <f t="shared" si="40"/>
        <v>#VALUE!</v>
      </c>
      <c r="AS87" s="314" t="e">
        <f t="shared" si="41"/>
        <v>#VALUE!</v>
      </c>
      <c r="AT87" s="319">
        <f t="shared" si="43"/>
        <v>28</v>
      </c>
      <c r="AU87" s="320">
        <f>'5烧主抽电耗'!$A$3+AT87-1</f>
        <v>43371</v>
      </c>
      <c r="AV87" s="213" t="str">
        <f t="shared" si="42"/>
        <v>甲班</v>
      </c>
    </row>
    <row r="88" spans="1:48">
      <c r="A88" s="360"/>
      <c r="B88" s="222" t="s">
        <v>41</v>
      </c>
      <c r="C88" s="276" t="str">
        <f>'6烧主抽电耗'!F86</f>
        <v>乙班</v>
      </c>
      <c r="D88" s="277">
        <v>27.6666666666667</v>
      </c>
      <c r="E88" s="229"/>
      <c r="F88" s="229"/>
      <c r="G88" s="229" t="str">
        <f>IF(_zhuchou5_month_day!E85="","",_zhuchou5_month_day!E85)</f>
        <v/>
      </c>
      <c r="H88" s="229" t="str">
        <f>IF(_zhuchou5_month_day!F85="","",_zhuchou5_month_day!F85)</f>
        <v/>
      </c>
      <c r="I88" s="229"/>
      <c r="J88" s="229"/>
      <c r="K88" s="229" t="str">
        <f>IF(_zhuchou5_month_day!G85="","",_zhuchou5_month_day!G85)</f>
        <v/>
      </c>
      <c r="L88" s="229" t="str">
        <f>IF(_zhuchou5_month_day!H85="","",_zhuchou5_month_day!H85)</f>
        <v/>
      </c>
      <c r="M88" s="229" t="str">
        <f>IF(_zhuchou5_month_day!I85="","",_zhuchou5_month_day!I85)</f>
        <v/>
      </c>
      <c r="N88" s="229" t="str">
        <f>IF(_zhuchou5_month_day!J85="","",_zhuchou5_month_day!J85)</f>
        <v/>
      </c>
      <c r="O88" s="283"/>
      <c r="P88" s="283"/>
      <c r="Q88" s="230"/>
      <c r="R88" s="333"/>
      <c r="S88" s="297"/>
      <c r="T88" s="229"/>
      <c r="U88" s="229"/>
      <c r="V88" s="229" t="str">
        <f>IF(_zhuchou6_month_day!A85="","",_zhuchou6_month_day!A85)</f>
        <v/>
      </c>
      <c r="W88" s="229" t="str">
        <f>IF(_zhuchou6_month_day!B85="","",_zhuchou6_month_day!B85)</f>
        <v/>
      </c>
      <c r="X88" s="229"/>
      <c r="Y88" s="229"/>
      <c r="Z88" s="229" t="str">
        <f>IF(_zhuchou6_month_day!C85="","",_zhuchou6_month_dayC2)</f>
        <v/>
      </c>
      <c r="AA88" s="229" t="str">
        <f>IF(_zhuchou6_month_day!D85="","",_zhuchou6_month_dayC2)</f>
        <v/>
      </c>
      <c r="AB88" s="229" t="str">
        <f>IF(_zhuchou6_month_day!E85="","",_zhuchou6_month_dayC2)</f>
        <v/>
      </c>
      <c r="AC88" s="229" t="str">
        <f>IF(_zhuchou6_month_day!F85="","",_zhuchou6_month_dayC2)</f>
        <v/>
      </c>
      <c r="AD88" s="283"/>
      <c r="AE88" s="283"/>
      <c r="AF88" s="225"/>
      <c r="AG88" s="313"/>
      <c r="AH88" s="142">
        <f t="shared" si="44"/>
        <v>0</v>
      </c>
      <c r="AI88" s="314">
        <f t="shared" si="31"/>
        <v>0</v>
      </c>
      <c r="AJ88" s="314">
        <f t="shared" si="32"/>
        <v>0</v>
      </c>
      <c r="AK88" s="314">
        <f t="shared" si="33"/>
        <v>0</v>
      </c>
      <c r="AL88" s="314">
        <f t="shared" si="34"/>
        <v>0</v>
      </c>
      <c r="AM88" s="314">
        <f t="shared" si="35"/>
        <v>0</v>
      </c>
      <c r="AN88" s="314" t="e">
        <f t="shared" si="36"/>
        <v>#VALUE!</v>
      </c>
      <c r="AO88" s="314" t="e">
        <f t="shared" si="37"/>
        <v>#VALUE!</v>
      </c>
      <c r="AP88" s="314" t="e">
        <f t="shared" si="38"/>
        <v>#VALUE!</v>
      </c>
      <c r="AQ88" s="314" t="e">
        <f t="shared" si="39"/>
        <v>#VALUE!</v>
      </c>
      <c r="AR88" s="314" t="e">
        <f t="shared" si="40"/>
        <v>#VALUE!</v>
      </c>
      <c r="AS88" s="314" t="e">
        <f t="shared" si="41"/>
        <v>#VALUE!</v>
      </c>
      <c r="AT88" s="319">
        <f t="shared" si="43"/>
        <v>28</v>
      </c>
      <c r="AU88" s="320">
        <f>'5烧主抽电耗'!$A$3+AT88-1</f>
        <v>43371</v>
      </c>
      <c r="AV88" s="213" t="str">
        <f t="shared" si="42"/>
        <v>乙班</v>
      </c>
    </row>
    <row r="89" spans="1:48">
      <c r="A89" s="360">
        <v>29</v>
      </c>
      <c r="B89" s="222" t="s">
        <v>37</v>
      </c>
      <c r="C89" s="276" t="str">
        <f>'6烧主抽电耗'!F87</f>
        <v>丁班</v>
      </c>
      <c r="D89" s="277">
        <v>28</v>
      </c>
      <c r="E89" s="229"/>
      <c r="F89" s="229"/>
      <c r="G89" s="229" t="str">
        <f>IF(_zhuchou5_month_day!E86="","",_zhuchou5_month_day!E86)</f>
        <v/>
      </c>
      <c r="H89" s="229" t="str">
        <f>IF(_zhuchou5_month_day!F86="","",_zhuchou5_month_day!F86)</f>
        <v/>
      </c>
      <c r="I89" s="229"/>
      <c r="J89" s="229"/>
      <c r="K89" s="229" t="str">
        <f>IF(_zhuchou5_month_day!G86="","",_zhuchou5_month_day!G86)</f>
        <v/>
      </c>
      <c r="L89" s="229" t="str">
        <f>IF(_zhuchou5_month_day!H86="","",_zhuchou5_month_day!H86)</f>
        <v/>
      </c>
      <c r="M89" s="229" t="str">
        <f>IF(_zhuchou5_month_day!I86="","",_zhuchou5_month_day!I86)</f>
        <v/>
      </c>
      <c r="N89" s="229" t="str">
        <f>IF(_zhuchou5_month_day!J86="","",_zhuchou5_month_day!J86)</f>
        <v/>
      </c>
      <c r="O89" s="283"/>
      <c r="P89" s="283"/>
      <c r="Q89" s="225"/>
      <c r="R89" s="333"/>
      <c r="S89" s="297"/>
      <c r="T89" s="229"/>
      <c r="U89" s="229"/>
      <c r="V89" s="229" t="str">
        <f>IF(_zhuchou6_month_day!A86="","",_zhuchou6_month_day!A86)</f>
        <v/>
      </c>
      <c r="W89" s="229" t="str">
        <f>IF(_zhuchou6_month_day!B86="","",_zhuchou6_month_day!B86)</f>
        <v/>
      </c>
      <c r="X89" s="229"/>
      <c r="Y89" s="229"/>
      <c r="Z89" s="229" t="str">
        <f>IF(_zhuchou6_month_day!C86="","",_zhuchou6_month_dayC2)</f>
        <v/>
      </c>
      <c r="AA89" s="229" t="str">
        <f>IF(_zhuchou6_month_day!D86="","",_zhuchou6_month_dayC2)</f>
        <v/>
      </c>
      <c r="AB89" s="229" t="str">
        <f>IF(_zhuchou6_month_day!E86="","",_zhuchou6_month_dayC2)</f>
        <v/>
      </c>
      <c r="AC89" s="229" t="str">
        <f>IF(_zhuchou6_month_day!F86="","",_zhuchou6_month_dayC2)</f>
        <v/>
      </c>
      <c r="AD89" s="284"/>
      <c r="AE89" s="284"/>
      <c r="AF89" s="225"/>
      <c r="AG89" s="313"/>
      <c r="AH89" s="142">
        <f t="shared" si="44"/>
        <v>0</v>
      </c>
      <c r="AI89" s="314">
        <f t="shared" si="31"/>
        <v>0</v>
      </c>
      <c r="AJ89" s="314">
        <f t="shared" si="32"/>
        <v>0</v>
      </c>
      <c r="AK89" s="314">
        <f t="shared" si="33"/>
        <v>0</v>
      </c>
      <c r="AL89" s="314">
        <f t="shared" si="34"/>
        <v>0</v>
      </c>
      <c r="AM89" s="314">
        <f t="shared" si="35"/>
        <v>0</v>
      </c>
      <c r="AN89" s="314" t="e">
        <f t="shared" si="36"/>
        <v>#VALUE!</v>
      </c>
      <c r="AO89" s="314" t="e">
        <f t="shared" si="37"/>
        <v>#VALUE!</v>
      </c>
      <c r="AP89" s="314" t="e">
        <f t="shared" si="38"/>
        <v>#VALUE!</v>
      </c>
      <c r="AQ89" s="314" t="e">
        <f t="shared" si="39"/>
        <v>#VALUE!</v>
      </c>
      <c r="AR89" s="314" t="e">
        <f t="shared" si="40"/>
        <v>#VALUE!</v>
      </c>
      <c r="AS89" s="314" t="e">
        <f t="shared" si="41"/>
        <v>#VALUE!</v>
      </c>
      <c r="AT89" s="319">
        <f t="shared" si="43"/>
        <v>29</v>
      </c>
      <c r="AU89" s="320">
        <f>'5烧主抽电耗'!$A$3+AT89-1</f>
        <v>43372</v>
      </c>
      <c r="AV89" s="213" t="str">
        <f t="shared" si="42"/>
        <v>丁班</v>
      </c>
    </row>
    <row r="90" spans="1:48">
      <c r="A90" s="360"/>
      <c r="B90" s="222" t="s">
        <v>39</v>
      </c>
      <c r="C90" s="276" t="str">
        <f>'6烧主抽电耗'!F88</f>
        <v>甲班</v>
      </c>
      <c r="D90" s="277">
        <v>28.3333333333333</v>
      </c>
      <c r="E90" s="229"/>
      <c r="F90" s="229"/>
      <c r="G90" s="229" t="str">
        <f>IF(_zhuchou5_month_day!E87="","",_zhuchou5_month_day!E87)</f>
        <v/>
      </c>
      <c r="H90" s="229" t="str">
        <f>IF(_zhuchou5_month_day!F87="","",_zhuchou5_month_day!F87)</f>
        <v/>
      </c>
      <c r="I90" s="229"/>
      <c r="J90" s="229"/>
      <c r="K90" s="229" t="str">
        <f>IF(_zhuchou5_month_day!G87="","",_zhuchou5_month_day!G87)</f>
        <v/>
      </c>
      <c r="L90" s="229" t="str">
        <f>IF(_zhuchou5_month_day!H87="","",_zhuchou5_month_day!H87)</f>
        <v/>
      </c>
      <c r="M90" s="229" t="str">
        <f>IF(_zhuchou5_month_day!I87="","",_zhuchou5_month_day!I87)</f>
        <v/>
      </c>
      <c r="N90" s="229" t="str">
        <f>IF(_zhuchou5_month_day!J87="","",_zhuchou5_month_day!J87)</f>
        <v/>
      </c>
      <c r="O90" s="283"/>
      <c r="P90" s="283"/>
      <c r="Q90" s="229"/>
      <c r="R90" s="333"/>
      <c r="S90" s="297"/>
      <c r="T90" s="240"/>
      <c r="U90" s="229"/>
      <c r="V90" s="229" t="str">
        <f>IF(_zhuchou6_month_day!A87="","",_zhuchou6_month_day!A87)</f>
        <v/>
      </c>
      <c r="W90" s="229" t="str">
        <f>IF(_zhuchou6_month_day!B87="","",_zhuchou6_month_day!B87)</f>
        <v/>
      </c>
      <c r="X90" s="229"/>
      <c r="Y90" s="229"/>
      <c r="Z90" s="229" t="str">
        <f>IF(_zhuchou6_month_day!C87="","",_zhuchou6_month_dayC2)</f>
        <v/>
      </c>
      <c r="AA90" s="229" t="str">
        <f>IF(_zhuchou6_month_day!D87="","",_zhuchou6_month_dayC2)</f>
        <v/>
      </c>
      <c r="AB90" s="229" t="str">
        <f>IF(_zhuchou6_month_day!E87="","",_zhuchou6_month_dayC2)</f>
        <v/>
      </c>
      <c r="AC90" s="229" t="str">
        <f>IF(_zhuchou6_month_day!F87="","",_zhuchou6_month_dayC2)</f>
        <v/>
      </c>
      <c r="AD90" s="283"/>
      <c r="AE90" s="284"/>
      <c r="AF90" s="225"/>
      <c r="AG90" s="313"/>
      <c r="AH90" s="142">
        <f t="shared" si="44"/>
        <v>0</v>
      </c>
      <c r="AI90" s="314">
        <f t="shared" si="31"/>
        <v>0</v>
      </c>
      <c r="AJ90" s="314">
        <f t="shared" si="32"/>
        <v>0</v>
      </c>
      <c r="AK90" s="314">
        <f t="shared" si="33"/>
        <v>0</v>
      </c>
      <c r="AL90" s="314">
        <f t="shared" si="34"/>
        <v>0</v>
      </c>
      <c r="AM90" s="314">
        <f t="shared" si="35"/>
        <v>0</v>
      </c>
      <c r="AN90" s="314" t="e">
        <f t="shared" si="36"/>
        <v>#VALUE!</v>
      </c>
      <c r="AO90" s="314" t="e">
        <f t="shared" si="37"/>
        <v>#VALUE!</v>
      </c>
      <c r="AP90" s="314" t="e">
        <f t="shared" si="38"/>
        <v>#VALUE!</v>
      </c>
      <c r="AQ90" s="314" t="e">
        <f t="shared" si="39"/>
        <v>#VALUE!</v>
      </c>
      <c r="AR90" s="314" t="e">
        <f t="shared" si="40"/>
        <v>#VALUE!</v>
      </c>
      <c r="AS90" s="314" t="e">
        <f t="shared" si="41"/>
        <v>#VALUE!</v>
      </c>
      <c r="AT90" s="319">
        <f t="shared" si="43"/>
        <v>29</v>
      </c>
      <c r="AU90" s="320">
        <f>'5烧主抽电耗'!$A$3+AT90-1</f>
        <v>43372</v>
      </c>
      <c r="AV90" s="213" t="str">
        <f t="shared" si="42"/>
        <v>甲班</v>
      </c>
    </row>
    <row r="91" spans="1:48">
      <c r="A91" s="360"/>
      <c r="B91" s="222" t="s">
        <v>41</v>
      </c>
      <c r="C91" s="276" t="str">
        <f>'6烧主抽电耗'!F89</f>
        <v>乙班</v>
      </c>
      <c r="D91" s="277">
        <v>28.6666666666667</v>
      </c>
      <c r="E91" s="229"/>
      <c r="F91" s="229"/>
      <c r="G91" s="229" t="str">
        <f>IF(_zhuchou5_month_day!E88="","",_zhuchou5_month_day!E88)</f>
        <v/>
      </c>
      <c r="H91" s="229" t="str">
        <f>IF(_zhuchou5_month_day!F88="","",_zhuchou5_month_day!F88)</f>
        <v/>
      </c>
      <c r="I91" s="229"/>
      <c r="J91" s="229"/>
      <c r="K91" s="229" t="str">
        <f>IF(_zhuchou5_month_day!G88="","",_zhuchou5_month_day!G88)</f>
        <v/>
      </c>
      <c r="L91" s="229" t="str">
        <f>IF(_zhuchou5_month_day!H88="","",_zhuchou5_month_day!H88)</f>
        <v/>
      </c>
      <c r="M91" s="229" t="str">
        <f>IF(_zhuchou5_month_day!I88="","",_zhuchou5_month_day!I88)</f>
        <v/>
      </c>
      <c r="N91" s="229" t="str">
        <f>IF(_zhuchou5_month_day!J88="","",_zhuchou5_month_day!J88)</f>
        <v/>
      </c>
      <c r="O91" s="283"/>
      <c r="P91" s="283"/>
      <c r="Q91" s="229"/>
      <c r="R91" s="333"/>
      <c r="S91" s="297"/>
      <c r="T91" s="240"/>
      <c r="U91" s="229"/>
      <c r="V91" s="229" t="str">
        <f>IF(_zhuchou6_month_day!A88="","",_zhuchou6_month_day!A88)</f>
        <v/>
      </c>
      <c r="W91" s="229" t="str">
        <f>IF(_zhuchou6_month_day!B88="","",_zhuchou6_month_day!B88)</f>
        <v/>
      </c>
      <c r="X91" s="229"/>
      <c r="Y91" s="229"/>
      <c r="Z91" s="229" t="str">
        <f>IF(_zhuchou6_month_day!C88="","",_zhuchou6_month_dayC2)</f>
        <v/>
      </c>
      <c r="AA91" s="229" t="str">
        <f>IF(_zhuchou6_month_day!D88="","",_zhuchou6_month_dayC2)</f>
        <v/>
      </c>
      <c r="AB91" s="229" t="str">
        <f>IF(_zhuchou6_month_day!E88="","",_zhuchou6_month_dayC2)</f>
        <v/>
      </c>
      <c r="AC91" s="229" t="str">
        <f>IF(_zhuchou6_month_day!F88="","",_zhuchou6_month_dayC2)</f>
        <v/>
      </c>
      <c r="AD91" s="283"/>
      <c r="AE91" s="283"/>
      <c r="AF91" s="225"/>
      <c r="AG91" s="313"/>
      <c r="AH91" s="142">
        <f t="shared" si="44"/>
        <v>0</v>
      </c>
      <c r="AI91" s="314">
        <f t="shared" si="31"/>
        <v>0</v>
      </c>
      <c r="AJ91" s="314">
        <f t="shared" si="32"/>
        <v>0</v>
      </c>
      <c r="AK91" s="314">
        <f t="shared" si="33"/>
        <v>0</v>
      </c>
      <c r="AL91" s="314">
        <f t="shared" si="34"/>
        <v>0</v>
      </c>
      <c r="AM91" s="314">
        <f t="shared" si="35"/>
        <v>0</v>
      </c>
      <c r="AN91" s="314" t="e">
        <f t="shared" si="36"/>
        <v>#VALUE!</v>
      </c>
      <c r="AO91" s="314" t="e">
        <f t="shared" si="37"/>
        <v>#VALUE!</v>
      </c>
      <c r="AP91" s="314" t="e">
        <f t="shared" si="38"/>
        <v>#VALUE!</v>
      </c>
      <c r="AQ91" s="314" t="e">
        <f t="shared" si="39"/>
        <v>#VALUE!</v>
      </c>
      <c r="AR91" s="314" t="e">
        <f t="shared" si="40"/>
        <v>#VALUE!</v>
      </c>
      <c r="AS91" s="314" t="e">
        <f t="shared" si="41"/>
        <v>#VALUE!</v>
      </c>
      <c r="AT91" s="319">
        <f t="shared" si="43"/>
        <v>29</v>
      </c>
      <c r="AU91" s="320">
        <f>'5烧主抽电耗'!$A$3+AT91-1</f>
        <v>43372</v>
      </c>
      <c r="AV91" s="213" t="str">
        <f t="shared" si="42"/>
        <v>乙班</v>
      </c>
    </row>
    <row r="92" spans="1:48">
      <c r="A92" s="360">
        <v>30</v>
      </c>
      <c r="B92" s="222" t="s">
        <v>37</v>
      </c>
      <c r="C92" s="276" t="str">
        <f>'6烧主抽电耗'!F90</f>
        <v>丙班</v>
      </c>
      <c r="D92" s="277">
        <v>29</v>
      </c>
      <c r="E92" s="229"/>
      <c r="F92" s="229"/>
      <c r="G92" s="229" t="str">
        <f>IF(_zhuchou5_month_day!E89="","",_zhuchou5_month_day!E89)</f>
        <v/>
      </c>
      <c r="H92" s="229" t="str">
        <f>IF(_zhuchou5_month_day!F89="","",_zhuchou5_month_day!F89)</f>
        <v/>
      </c>
      <c r="I92" s="229"/>
      <c r="J92" s="229"/>
      <c r="K92" s="229" t="str">
        <f>IF(_zhuchou5_month_day!G89="","",_zhuchou5_month_day!G89)</f>
        <v/>
      </c>
      <c r="L92" s="229" t="str">
        <f>IF(_zhuchou5_month_day!H89="","",_zhuchou5_month_day!H89)</f>
        <v/>
      </c>
      <c r="M92" s="229" t="str">
        <f>IF(_zhuchou5_month_day!I89="","",_zhuchou5_month_day!I89)</f>
        <v/>
      </c>
      <c r="N92" s="229" t="str">
        <f>IF(_zhuchou5_month_day!J89="","",_zhuchou5_month_day!J89)</f>
        <v/>
      </c>
      <c r="O92" s="283"/>
      <c r="P92" s="283"/>
      <c r="Q92" s="225"/>
      <c r="R92" s="333"/>
      <c r="S92" s="297"/>
      <c r="T92" s="240"/>
      <c r="U92" s="229"/>
      <c r="V92" s="229" t="str">
        <f>IF(_zhuchou6_month_day!A89="","",_zhuchou6_month_day!A89)</f>
        <v/>
      </c>
      <c r="W92" s="229" t="str">
        <f>IF(_zhuchou6_month_day!B89="","",_zhuchou6_month_day!B89)</f>
        <v/>
      </c>
      <c r="X92" s="229"/>
      <c r="Y92" s="229"/>
      <c r="Z92" s="229" t="str">
        <f>IF(_zhuchou6_month_day!C89="","",_zhuchou6_month_dayC2)</f>
        <v/>
      </c>
      <c r="AA92" s="229" t="str">
        <f>IF(_zhuchou6_month_day!D89="","",_zhuchou6_month_dayC2)</f>
        <v/>
      </c>
      <c r="AB92" s="229" t="str">
        <f>IF(_zhuchou6_month_day!E89="","",_zhuchou6_month_dayC2)</f>
        <v/>
      </c>
      <c r="AC92" s="229" t="str">
        <f>IF(_zhuchou6_month_day!F89="","",_zhuchou6_month_dayC2)</f>
        <v/>
      </c>
      <c r="AD92" s="284"/>
      <c r="AE92" s="284"/>
      <c r="AF92" s="225"/>
      <c r="AG92" s="313"/>
      <c r="AH92" s="142">
        <f t="shared" si="44"/>
        <v>0</v>
      </c>
      <c r="AI92" s="314">
        <f t="shared" si="31"/>
        <v>0</v>
      </c>
      <c r="AJ92" s="314">
        <f t="shared" si="32"/>
        <v>0</v>
      </c>
      <c r="AK92" s="314">
        <f t="shared" si="33"/>
        <v>0</v>
      </c>
      <c r="AL92" s="314">
        <f t="shared" si="34"/>
        <v>0</v>
      </c>
      <c r="AM92" s="314">
        <f t="shared" si="35"/>
        <v>0</v>
      </c>
      <c r="AN92" s="314" t="e">
        <f t="shared" si="36"/>
        <v>#VALUE!</v>
      </c>
      <c r="AO92" s="314" t="e">
        <f t="shared" si="37"/>
        <v>#VALUE!</v>
      </c>
      <c r="AP92" s="314" t="e">
        <f t="shared" si="38"/>
        <v>#VALUE!</v>
      </c>
      <c r="AQ92" s="314" t="e">
        <f t="shared" si="39"/>
        <v>#VALUE!</v>
      </c>
      <c r="AR92" s="314" t="e">
        <f t="shared" si="40"/>
        <v>#VALUE!</v>
      </c>
      <c r="AS92" s="314" t="e">
        <f t="shared" si="41"/>
        <v>#VALUE!</v>
      </c>
      <c r="AT92" s="319">
        <f t="shared" si="43"/>
        <v>30</v>
      </c>
      <c r="AU92" s="320">
        <f>'5烧主抽电耗'!$A$3+AT92-1</f>
        <v>43373</v>
      </c>
      <c r="AV92" s="213" t="str">
        <f t="shared" si="42"/>
        <v>丙班</v>
      </c>
    </row>
    <row r="93" spans="1:48">
      <c r="A93" s="360"/>
      <c r="B93" s="222" t="s">
        <v>39</v>
      </c>
      <c r="C93" s="276" t="str">
        <f>'6烧主抽电耗'!F91</f>
        <v>丁班</v>
      </c>
      <c r="D93" s="277">
        <v>29.3333333333333</v>
      </c>
      <c r="E93" s="229"/>
      <c r="F93" s="229"/>
      <c r="G93" s="229" t="str">
        <f>IF(_zhuchou5_month_day!E90="","",_zhuchou5_month_day!E90)</f>
        <v/>
      </c>
      <c r="H93" s="229" t="str">
        <f>IF(_zhuchou5_month_day!F90="","",_zhuchou5_month_day!F90)</f>
        <v/>
      </c>
      <c r="I93" s="229"/>
      <c r="J93" s="229"/>
      <c r="K93" s="229" t="str">
        <f>IF(_zhuchou5_month_day!G90="","",_zhuchou5_month_day!G90)</f>
        <v/>
      </c>
      <c r="L93" s="229" t="str">
        <f>IF(_zhuchou5_month_day!H90="","",_zhuchou5_month_day!H90)</f>
        <v/>
      </c>
      <c r="M93" s="229" t="str">
        <f>IF(_zhuchou5_month_day!I90="","",_zhuchou5_month_day!I90)</f>
        <v/>
      </c>
      <c r="N93" s="229" t="str">
        <f>IF(_zhuchou5_month_day!J90="","",_zhuchou5_month_day!J90)</f>
        <v/>
      </c>
      <c r="O93" s="283"/>
      <c r="P93" s="283"/>
      <c r="Q93" s="229"/>
      <c r="R93" s="333"/>
      <c r="S93" s="297"/>
      <c r="T93" s="229"/>
      <c r="U93" s="229"/>
      <c r="V93" s="229" t="str">
        <f>IF(_zhuchou6_month_day!A90="","",_zhuchou6_month_day!A90)</f>
        <v/>
      </c>
      <c r="W93" s="229" t="str">
        <f>IF(_zhuchou6_month_day!B90="","",_zhuchou6_month_day!B90)</f>
        <v/>
      </c>
      <c r="X93" s="229"/>
      <c r="Y93" s="229"/>
      <c r="Z93" s="229" t="str">
        <f>IF(_zhuchou6_month_day!C90="","",_zhuchou6_month_dayC2)</f>
        <v/>
      </c>
      <c r="AA93" s="229" t="str">
        <f>IF(_zhuchou6_month_day!D90="","",_zhuchou6_month_dayC2)</f>
        <v/>
      </c>
      <c r="AB93" s="229" t="str">
        <f>IF(_zhuchou6_month_day!E90="","",_zhuchou6_month_dayC2)</f>
        <v/>
      </c>
      <c r="AC93" s="229" t="str">
        <f>IF(_zhuchou6_month_day!F90="","",_zhuchou6_month_dayC2)</f>
        <v/>
      </c>
      <c r="AD93" s="284"/>
      <c r="AE93" s="284"/>
      <c r="AF93" s="225"/>
      <c r="AG93" s="313"/>
      <c r="AH93" s="142">
        <f t="shared" si="44"/>
        <v>0</v>
      </c>
      <c r="AI93" s="314">
        <f t="shared" si="31"/>
        <v>0</v>
      </c>
      <c r="AJ93" s="314">
        <f t="shared" si="32"/>
        <v>0</v>
      </c>
      <c r="AK93" s="314">
        <f t="shared" si="33"/>
        <v>0</v>
      </c>
      <c r="AL93" s="314">
        <f t="shared" si="34"/>
        <v>0</v>
      </c>
      <c r="AM93" s="314">
        <f t="shared" si="35"/>
        <v>0</v>
      </c>
      <c r="AN93" s="314" t="e">
        <f t="shared" si="36"/>
        <v>#VALUE!</v>
      </c>
      <c r="AO93" s="314" t="e">
        <f t="shared" si="37"/>
        <v>#VALUE!</v>
      </c>
      <c r="AP93" s="314" t="e">
        <f t="shared" si="38"/>
        <v>#VALUE!</v>
      </c>
      <c r="AQ93" s="314" t="e">
        <f t="shared" si="39"/>
        <v>#VALUE!</v>
      </c>
      <c r="AR93" s="314" t="e">
        <f t="shared" si="40"/>
        <v>#VALUE!</v>
      </c>
      <c r="AS93" s="314" t="e">
        <f t="shared" si="41"/>
        <v>#VALUE!</v>
      </c>
      <c r="AT93" s="319">
        <f t="shared" si="43"/>
        <v>30</v>
      </c>
      <c r="AU93" s="320">
        <f>'5烧主抽电耗'!$A$3+AT93-1</f>
        <v>43373</v>
      </c>
      <c r="AV93" s="213" t="str">
        <f t="shared" si="42"/>
        <v>丁班</v>
      </c>
    </row>
    <row r="94" spans="1:48">
      <c r="A94" s="360"/>
      <c r="B94" s="222" t="s">
        <v>41</v>
      </c>
      <c r="C94" s="276" t="str">
        <f>'6烧主抽电耗'!F92</f>
        <v>甲班</v>
      </c>
      <c r="D94" s="277">
        <v>29.6666666666667</v>
      </c>
      <c r="E94" s="229"/>
      <c r="F94" s="229"/>
      <c r="G94" s="229" t="str">
        <f>IF(_zhuchou5_month_day!E91="","",_zhuchou5_month_day!E91)</f>
        <v/>
      </c>
      <c r="H94" s="229" t="str">
        <f>IF(_zhuchou5_month_day!F91="","",_zhuchou5_month_day!F91)</f>
        <v/>
      </c>
      <c r="I94" s="229"/>
      <c r="J94" s="229"/>
      <c r="K94" s="229" t="str">
        <f>IF(_zhuchou5_month_day!G91="","",_zhuchou5_month_day!G91)</f>
        <v/>
      </c>
      <c r="L94" s="229" t="str">
        <f>IF(_zhuchou5_month_day!H91="","",_zhuchou5_month_day!H91)</f>
        <v/>
      </c>
      <c r="M94" s="229" t="str">
        <f>IF(_zhuchou5_month_day!I91="","",_zhuchou5_month_day!I91)</f>
        <v/>
      </c>
      <c r="N94" s="229" t="str">
        <f>IF(_zhuchou5_month_day!J91="","",_zhuchou5_month_day!J91)</f>
        <v/>
      </c>
      <c r="O94" s="283"/>
      <c r="P94" s="283"/>
      <c r="Q94" s="225"/>
      <c r="R94" s="333"/>
      <c r="S94" s="297"/>
      <c r="T94" s="240"/>
      <c r="U94" s="240"/>
      <c r="V94" s="229" t="str">
        <f>IF(_zhuchou6_month_day!A91="","",_zhuchou6_month_day!A91)</f>
        <v/>
      </c>
      <c r="W94" s="229" t="str">
        <f>IF(_zhuchou6_month_day!B91="","",_zhuchou6_month_day!B91)</f>
        <v/>
      </c>
      <c r="X94" s="229"/>
      <c r="Y94" s="229"/>
      <c r="Z94" s="229" t="str">
        <f>IF(_zhuchou6_month_day!C91="","",_zhuchou6_month_dayC2)</f>
        <v/>
      </c>
      <c r="AA94" s="229" t="str">
        <f>IF(_zhuchou6_month_day!D91="","",_zhuchou6_month_dayC2)</f>
        <v/>
      </c>
      <c r="AB94" s="229" t="str">
        <f>IF(_zhuchou6_month_day!E91="","",_zhuchou6_month_dayC2)</f>
        <v/>
      </c>
      <c r="AC94" s="229" t="str">
        <f>IF(_zhuchou6_month_day!F91="","",_zhuchou6_month_dayC2)</f>
        <v/>
      </c>
      <c r="AD94" s="283"/>
      <c r="AE94" s="283"/>
      <c r="AF94" s="225"/>
      <c r="AG94" s="313"/>
      <c r="AH94" s="142">
        <f t="shared" si="44"/>
        <v>0</v>
      </c>
      <c r="AI94" s="314">
        <f t="shared" si="31"/>
        <v>0</v>
      </c>
      <c r="AJ94" s="314">
        <f t="shared" si="32"/>
        <v>0</v>
      </c>
      <c r="AK94" s="314">
        <f t="shared" si="33"/>
        <v>0</v>
      </c>
      <c r="AL94" s="314">
        <f t="shared" si="34"/>
        <v>0</v>
      </c>
      <c r="AM94" s="314">
        <f t="shared" si="35"/>
        <v>0</v>
      </c>
      <c r="AN94" s="314" t="e">
        <f t="shared" si="36"/>
        <v>#VALUE!</v>
      </c>
      <c r="AO94" s="314" t="e">
        <f t="shared" si="37"/>
        <v>#VALUE!</v>
      </c>
      <c r="AP94" s="314" t="e">
        <f t="shared" si="38"/>
        <v>#VALUE!</v>
      </c>
      <c r="AQ94" s="314" t="e">
        <f t="shared" si="39"/>
        <v>#VALUE!</v>
      </c>
      <c r="AR94" s="314" t="e">
        <f t="shared" si="40"/>
        <v>#VALUE!</v>
      </c>
      <c r="AS94" s="314" t="e">
        <f t="shared" si="41"/>
        <v>#VALUE!</v>
      </c>
      <c r="AT94" s="319">
        <f t="shared" si="43"/>
        <v>30</v>
      </c>
      <c r="AU94" s="320">
        <f>'5烧主抽电耗'!$A$3+AT94-1</f>
        <v>43373</v>
      </c>
      <c r="AV94" s="213" t="str">
        <f t="shared" si="42"/>
        <v>甲班</v>
      </c>
    </row>
    <row r="95" spans="1:48">
      <c r="A95" s="360">
        <v>31</v>
      </c>
      <c r="B95" s="222" t="s">
        <v>37</v>
      </c>
      <c r="C95" s="276" t="str">
        <f>'6烧主抽电耗'!F93</f>
        <v>丙班</v>
      </c>
      <c r="D95" s="277">
        <v>30</v>
      </c>
      <c r="E95" s="239"/>
      <c r="F95" s="249"/>
      <c r="G95" s="249" t="str">
        <f>IF(_zhuchou5_month_day!E92="","",_zhuchou5_month_day!E92)</f>
        <v/>
      </c>
      <c r="H95" s="249" t="str">
        <f>IF(_zhuchou5_month_day!F92="","",_zhuchou5_month_day!F92)</f>
        <v/>
      </c>
      <c r="I95" s="249"/>
      <c r="J95" s="249"/>
      <c r="K95" s="239" t="str">
        <f>IF(_zhuchou5_month_day!G92="","",_zhuchou5_month_day!G92)</f>
        <v/>
      </c>
      <c r="L95" s="239" t="str">
        <f>IF(_zhuchou5_month_day!H92="","",_zhuchou5_month_day!H92)</f>
        <v/>
      </c>
      <c r="M95" s="239" t="str">
        <f>IF(_zhuchou5_month_day!I92="","",_zhuchou5_month_day!I92)</f>
        <v/>
      </c>
      <c r="N95" s="239" t="str">
        <f>IF(_zhuchou5_month_day!J92="","",_zhuchou5_month_day!J92)</f>
        <v/>
      </c>
      <c r="O95" s="325"/>
      <c r="P95" s="325"/>
      <c r="Q95" s="225"/>
      <c r="R95" s="334"/>
      <c r="S95" s="335"/>
      <c r="T95" s="240"/>
      <c r="U95" s="229"/>
      <c r="V95" s="229" t="str">
        <f>IF(_zhuchou6_month_day!A92="","",_zhuchou6_month_day!A92)</f>
        <v/>
      </c>
      <c r="W95" s="229" t="str">
        <f>IF(_zhuchou6_month_day!B92="","",_zhuchou6_month_day!B92)</f>
        <v/>
      </c>
      <c r="X95" s="229"/>
      <c r="Y95" s="229"/>
      <c r="Z95" s="229" t="str">
        <f>IF(_zhuchou6_month_day!C92="","",_zhuchou6_month_dayC2)</f>
        <v/>
      </c>
      <c r="AA95" s="229" t="str">
        <f>IF(_zhuchou6_month_day!D92="","",_zhuchou6_month_dayC2)</f>
        <v/>
      </c>
      <c r="AB95" s="229" t="str">
        <f>IF(_zhuchou6_month_day!E92="","",_zhuchou6_month_dayC2)</f>
        <v/>
      </c>
      <c r="AC95" s="229" t="str">
        <f>IF(_zhuchou6_month_day!F92="","",_zhuchou6_month_dayC2)</f>
        <v/>
      </c>
      <c r="AD95" s="283"/>
      <c r="AE95" s="283"/>
      <c r="AF95" s="225"/>
      <c r="AG95" s="313"/>
      <c r="AH95" s="142">
        <f t="shared" si="44"/>
        <v>0</v>
      </c>
      <c r="AI95" s="314">
        <f t="shared" si="31"/>
        <v>0</v>
      </c>
      <c r="AJ95" s="314">
        <f t="shared" si="32"/>
        <v>0</v>
      </c>
      <c r="AK95" s="314">
        <f t="shared" si="33"/>
        <v>0</v>
      </c>
      <c r="AL95" s="314">
        <f t="shared" si="34"/>
        <v>0</v>
      </c>
      <c r="AM95" s="314">
        <f t="shared" si="35"/>
        <v>0</v>
      </c>
      <c r="AN95" s="314" t="e">
        <f t="shared" si="36"/>
        <v>#VALUE!</v>
      </c>
      <c r="AO95" s="314" t="e">
        <f t="shared" si="37"/>
        <v>#VALUE!</v>
      </c>
      <c r="AP95" s="314" t="e">
        <f t="shared" si="38"/>
        <v>#VALUE!</v>
      </c>
      <c r="AQ95" s="314" t="e">
        <f t="shared" si="39"/>
        <v>#VALUE!</v>
      </c>
      <c r="AR95" s="314" t="e">
        <f t="shared" si="40"/>
        <v>#VALUE!</v>
      </c>
      <c r="AS95" s="314" t="e">
        <f t="shared" si="41"/>
        <v>#VALUE!</v>
      </c>
      <c r="AT95" s="319">
        <f t="shared" si="43"/>
        <v>31</v>
      </c>
      <c r="AU95" s="320">
        <f>'5烧主抽电耗'!$A$3+AT95-1</f>
        <v>43374</v>
      </c>
      <c r="AV95" s="213" t="str">
        <f t="shared" si="42"/>
        <v>丙班</v>
      </c>
    </row>
    <row r="96" spans="1:48">
      <c r="A96" s="360"/>
      <c r="B96" s="222" t="s">
        <v>39</v>
      </c>
      <c r="C96" s="276" t="str">
        <f>'6烧主抽电耗'!F94</f>
        <v>丁班</v>
      </c>
      <c r="D96" s="277">
        <v>30.3333333333333</v>
      </c>
      <c r="E96" s="236"/>
      <c r="F96" s="236"/>
      <c r="G96" s="236" t="str">
        <f>IF(_zhuchou5_month_day!E93="","",_zhuchou5_month_day!E93)</f>
        <v/>
      </c>
      <c r="H96" s="236" t="str">
        <f>IF(_zhuchou5_month_day!F93="","",_zhuchou5_month_day!F93)</f>
        <v/>
      </c>
      <c r="I96" s="236"/>
      <c r="J96" s="236"/>
      <c r="K96" s="236" t="str">
        <f>IF(_zhuchou5_month_day!G93="","",_zhuchou5_month_day!G93)</f>
        <v/>
      </c>
      <c r="L96" s="236" t="str">
        <f>IF(_zhuchou5_month_day!H93="","",_zhuchou5_month_day!H93)</f>
        <v/>
      </c>
      <c r="M96" s="236" t="str">
        <f>IF(_zhuchou5_month_day!I93="","",_zhuchou5_month_day!I93)</f>
        <v/>
      </c>
      <c r="N96" s="236" t="str">
        <f>IF(_zhuchou5_month_day!J93="","",_zhuchou5_month_day!J93)</f>
        <v/>
      </c>
      <c r="O96" s="326"/>
      <c r="P96" s="326"/>
      <c r="Q96" s="236"/>
      <c r="R96" s="296"/>
      <c r="S96" s="336"/>
      <c r="T96" s="240"/>
      <c r="U96" s="229"/>
      <c r="V96" s="229" t="str">
        <f>IF(_zhuchou6_month_day!A93="","",_zhuchou6_month_day!A93)</f>
        <v/>
      </c>
      <c r="W96" s="229" t="str">
        <f>IF(_zhuchou6_month_day!B93="","",_zhuchou6_month_day!B93)</f>
        <v/>
      </c>
      <c r="X96" s="229"/>
      <c r="Y96" s="229"/>
      <c r="Z96" s="229" t="str">
        <f>IF(_zhuchou6_month_day!C93="","",_zhuchou6_month_dayC2)</f>
        <v/>
      </c>
      <c r="AA96" s="229" t="str">
        <f>IF(_zhuchou6_month_day!D93="","",_zhuchou6_month_dayC2)</f>
        <v/>
      </c>
      <c r="AB96" s="229" t="str">
        <f>IF(_zhuchou6_month_day!E93="","",_zhuchou6_month_dayC2)</f>
        <v/>
      </c>
      <c r="AC96" s="229" t="str">
        <f>IF(_zhuchou6_month_day!F93="","",_zhuchou6_month_dayC2)</f>
        <v/>
      </c>
      <c r="AD96" s="284"/>
      <c r="AE96" s="284"/>
      <c r="AF96" s="225"/>
      <c r="AG96" s="345"/>
      <c r="AH96" s="142">
        <f t="shared" si="44"/>
        <v>0</v>
      </c>
      <c r="AI96" s="314">
        <f t="shared" si="31"/>
        <v>0</v>
      </c>
      <c r="AJ96" s="314">
        <f t="shared" si="32"/>
        <v>0</v>
      </c>
      <c r="AK96" s="314" t="e">
        <f>(#REF!-T98)*3</f>
        <v>#REF!</v>
      </c>
      <c r="AL96" s="314" t="e">
        <f>(#REF!-U98)*3</f>
        <v>#REF!</v>
      </c>
      <c r="AM96" s="314" t="e">
        <f t="shared" si="35"/>
        <v>#REF!</v>
      </c>
      <c r="AN96" s="314" t="e">
        <f t="shared" si="36"/>
        <v>#VALUE!</v>
      </c>
      <c r="AO96" s="314" t="e">
        <f t="shared" si="37"/>
        <v>#VALUE!</v>
      </c>
      <c r="AP96" s="314" t="e">
        <f t="shared" si="38"/>
        <v>#VALUE!</v>
      </c>
      <c r="AQ96" s="314" t="e">
        <f t="shared" si="39"/>
        <v>#VALUE!</v>
      </c>
      <c r="AR96" s="314" t="e">
        <f t="shared" si="40"/>
        <v>#VALUE!</v>
      </c>
      <c r="AS96" s="314" t="e">
        <f t="shared" si="41"/>
        <v>#VALUE!</v>
      </c>
      <c r="AT96" s="319">
        <f t="shared" si="43"/>
        <v>31</v>
      </c>
      <c r="AU96" s="320">
        <f>'5烧主抽电耗'!$A$3+AT96-1</f>
        <v>43374</v>
      </c>
      <c r="AV96" s="213" t="str">
        <f t="shared" si="42"/>
        <v>丁班</v>
      </c>
    </row>
    <row r="97" spans="1:48">
      <c r="A97" s="360"/>
      <c r="B97" s="222" t="s">
        <v>41</v>
      </c>
      <c r="C97" s="276" t="str">
        <f>'6烧主抽电耗'!F95</f>
        <v>甲班</v>
      </c>
      <c r="D97" s="277">
        <v>30.6666666666667</v>
      </c>
      <c r="E97" s="236"/>
      <c r="F97" s="236"/>
      <c r="G97" s="236" t="str">
        <f>IF(_zhuchou5_month_day!E94="","",_zhuchou5_month_day!E94)</f>
        <v/>
      </c>
      <c r="H97" s="236" t="str">
        <f>IF(_zhuchou5_month_day!F94="","",_zhuchou5_month_day!F94)</f>
        <v/>
      </c>
      <c r="I97" s="236"/>
      <c r="J97" s="236"/>
      <c r="K97" s="236" t="str">
        <f>IF(_zhuchou5_month_day!G94="","",_zhuchou5_month_day!G94)</f>
        <v/>
      </c>
      <c r="L97" s="236" t="str">
        <f>IF(_zhuchou5_month_day!H94="","",_zhuchou5_month_day!H94)</f>
        <v/>
      </c>
      <c r="M97" s="236" t="str">
        <f>IF(_zhuchou5_month_day!I94="","",_zhuchou5_month_day!I94)</f>
        <v/>
      </c>
      <c r="N97" s="236" t="str">
        <f>IF(_zhuchou5_month_day!J94="","",_zhuchou5_month_day!J94)</f>
        <v/>
      </c>
      <c r="O97" s="326"/>
      <c r="P97" s="326"/>
      <c r="Q97" s="236"/>
      <c r="R97" s="296"/>
      <c r="S97" s="336"/>
      <c r="T97" s="240"/>
      <c r="U97" s="229"/>
      <c r="V97" s="229" t="str">
        <f>IF(_zhuchou6_month_day!A94="","",_zhuchou6_month_day!A94)</f>
        <v/>
      </c>
      <c r="W97" s="229" t="str">
        <f>IF(_zhuchou6_month_day!B94="","",_zhuchou6_month_day!B94)</f>
        <v/>
      </c>
      <c r="X97" s="229"/>
      <c r="Y97" s="229"/>
      <c r="Z97" s="229" t="str">
        <f>IF(_zhuchou6_month_day!C94="","",_zhuchou6_month_dayC2)</f>
        <v/>
      </c>
      <c r="AA97" s="229" t="str">
        <f>IF(_zhuchou6_month_day!D94="","",_zhuchou6_month_dayC2)</f>
        <v/>
      </c>
      <c r="AB97" s="229" t="str">
        <f>IF(_zhuchou6_month_day!E94="","",_zhuchou6_month_dayC2)</f>
        <v/>
      </c>
      <c r="AC97" s="229" t="str">
        <f>IF(_zhuchou6_month_day!F94="","",_zhuchou6_month_dayC2)</f>
        <v/>
      </c>
      <c r="AD97" s="283"/>
      <c r="AE97" s="283"/>
      <c r="AF97" s="225"/>
      <c r="AG97" s="345"/>
      <c r="AH97" s="142">
        <f t="shared" si="44"/>
        <v>0</v>
      </c>
      <c r="AI97" s="314">
        <f t="shared" si="31"/>
        <v>0</v>
      </c>
      <c r="AJ97" s="314">
        <f t="shared" si="32"/>
        <v>0</v>
      </c>
      <c r="AK97" s="314" t="e">
        <f>(#REF!-#REF!)*3</f>
        <v>#REF!</v>
      </c>
      <c r="AL97" s="314" t="e">
        <f>(#REF!-#REF!)*3</f>
        <v>#REF!</v>
      </c>
      <c r="AM97" s="314" t="e">
        <f t="shared" si="35"/>
        <v>#REF!</v>
      </c>
      <c r="AN97" s="314" t="e">
        <f t="shared" si="36"/>
        <v>#VALUE!</v>
      </c>
      <c r="AO97" s="314" t="e">
        <f t="shared" si="37"/>
        <v>#VALUE!</v>
      </c>
      <c r="AP97" s="314" t="e">
        <f t="shared" si="38"/>
        <v>#VALUE!</v>
      </c>
      <c r="AQ97" s="314" t="e">
        <f>#REF!*10000*(8-#REF!)*1.732*#REF!/1000</f>
        <v>#REF!</v>
      </c>
      <c r="AR97" s="314" t="e">
        <f>#REF!*10000*(8-#REF!)*1.732*#REF!/1000</f>
        <v>#REF!</v>
      </c>
      <c r="AS97" s="314" t="e">
        <f t="shared" si="41"/>
        <v>#REF!</v>
      </c>
      <c r="AT97" s="319">
        <f t="shared" si="43"/>
        <v>31</v>
      </c>
      <c r="AU97" s="320">
        <f>'5烧主抽电耗'!$A$3+AT97-1</f>
        <v>43374</v>
      </c>
      <c r="AV97" s="213" t="str">
        <f t="shared" si="42"/>
        <v>甲班</v>
      </c>
    </row>
    <row r="98" spans="1:48">
      <c r="A98" s="321">
        <v>1</v>
      </c>
      <c r="B98" s="222" t="s">
        <v>37</v>
      </c>
      <c r="C98" s="276" t="str">
        <f>'6烧主抽电耗'!F96</f>
        <v>乙班</v>
      </c>
      <c r="D98" s="277">
        <v>30</v>
      </c>
      <c r="E98" s="236"/>
      <c r="F98" s="236"/>
      <c r="G98" s="236" t="str">
        <f>IF(_zhuchou5_month_day!E95="","",_zhuchou5_month_day!E95)</f>
        <v/>
      </c>
      <c r="H98" s="236" t="str">
        <f>IF(_zhuchou5_month_day!F95="","",_zhuchou5_month_day!F95)</f>
        <v/>
      </c>
      <c r="I98" s="236"/>
      <c r="J98" s="236"/>
      <c r="K98" s="236" t="str">
        <f>IF(_zhuchou5_month_day!G95="","",_zhuchou5_month_day!G95)</f>
        <v/>
      </c>
      <c r="L98" s="236" t="str">
        <f>IF(_zhuchou5_month_day!H95="","",_zhuchou5_month_day!H95)</f>
        <v/>
      </c>
      <c r="M98" s="236" t="str">
        <f>IF(_zhuchou5_month_day!I95="","",_zhuchou5_month_day!I95)</f>
        <v/>
      </c>
      <c r="N98" s="236" t="str">
        <f>IF(_zhuchou5_month_day!J95="","",_zhuchou5_month_day!J95)</f>
        <v/>
      </c>
      <c r="O98" s="326"/>
      <c r="P98" s="326"/>
      <c r="Q98" s="236"/>
      <c r="R98" s="296"/>
      <c r="S98" s="336"/>
      <c r="T98" s="235"/>
      <c r="U98" s="236"/>
      <c r="V98" s="229" t="str">
        <f>IF(_zhuchou6_month_day!A95="","",_zhuchou6_month_day!A95)</f>
        <v/>
      </c>
      <c r="W98" s="229" t="str">
        <f>IF(_zhuchou6_month_day!B95="","",_zhuchou6_month_day!B95)</f>
        <v/>
      </c>
      <c r="X98" s="229"/>
      <c r="Y98" s="229"/>
      <c r="Z98" s="236" t="str">
        <f>IF(_zhuchou6_month_day!C95="","",_zhuchou6_month_dayC2)</f>
        <v/>
      </c>
      <c r="AA98" s="236" t="str">
        <f>IF(_zhuchou6_month_day!D95="","",_zhuchou6_month_dayC2)</f>
        <v/>
      </c>
      <c r="AB98" s="236" t="str">
        <f>IF(_zhuchou6_month_day!E95="","",_zhuchou6_month_dayC2)</f>
        <v/>
      </c>
      <c r="AC98" s="229" t="str">
        <f>IF(_zhuchou6_month_day!F95="","",_zhuchou6_month_dayC2)</f>
        <v/>
      </c>
      <c r="AD98" s="283"/>
      <c r="AE98" s="283"/>
      <c r="AF98" s="229"/>
      <c r="AG98" s="345"/>
      <c r="AH98" s="142"/>
      <c r="AI98" s="142"/>
      <c r="AJ98" s="142"/>
      <c r="AK98" s="142"/>
      <c r="AL98" s="142"/>
      <c r="AM98" s="142"/>
      <c r="AN98" s="142"/>
      <c r="AO98" s="142"/>
      <c r="AP98" s="142"/>
      <c r="AQ98" s="142"/>
      <c r="AR98" s="142"/>
      <c r="AS98" s="142"/>
      <c r="AT98" s="319"/>
      <c r="AU98" s="320"/>
    </row>
    <row r="99" spans="1:48">
      <c r="A99" s="362"/>
      <c r="B99" s="322"/>
      <c r="C99" s="276">
        <f>'6烧主抽电耗'!F99</f>
        <v>0</v>
      </c>
      <c r="D99" s="276"/>
      <c r="E99" s="323">
        <f>SUMIF($C$5:$C$97,$C99,E$5:E$97)</f>
        <v>0</v>
      </c>
      <c r="F99" s="323">
        <f>SUMIF($C$5:$C$97,$C99,F$5:F$97)</f>
        <v>0</v>
      </c>
      <c r="G99" s="323" t="e">
        <f>SUMIF($C$5:$C$97,$C99,G$5:G$97)/COUNTIF($C$5:$C$97,$C99)</f>
        <v>#DIV/0!</v>
      </c>
      <c r="H99" s="323" t="e">
        <f>SUMIF($C$5:$C$97,$C99,H$5:H$97)/COUNTIF($C$5:$C$97,$C99)</f>
        <v>#DIV/0!</v>
      </c>
      <c r="I99" s="323"/>
      <c r="J99" s="323"/>
      <c r="K99" s="323" t="e">
        <f>SUMIF($C$5:$C$97,$C99,K$5:K$97)/COUNTIF($C$5:$C$97,$C99)</f>
        <v>#DIV/0!</v>
      </c>
      <c r="L99" s="323" t="e">
        <f t="shared" ref="L99:N100" si="45">SUMIF($C$5:$C$97,$C99,L$5:L$97)/COUNTIF($C$5:$C$97,$C99)</f>
        <v>#DIV/0!</v>
      </c>
      <c r="M99" s="323" t="e">
        <f t="shared" si="45"/>
        <v>#DIV/0!</v>
      </c>
      <c r="N99" s="323" t="e">
        <f t="shared" si="45"/>
        <v>#DIV/0!</v>
      </c>
      <c r="O99" s="327"/>
      <c r="P99" s="327"/>
      <c r="Q99" s="323"/>
      <c r="R99" s="337"/>
      <c r="S99" s="338"/>
      <c r="T99" s="323">
        <f>SUMIF($C$5:$C$97,#REF!,T$5:T$98)</f>
        <v>0</v>
      </c>
      <c r="U99" s="323">
        <f>SUMIF($C$5:$C$97,#REF!,U$5:U$98)</f>
        <v>0</v>
      </c>
      <c r="V99" s="323" t="e">
        <f>SUMIF($C$5:$C$97,#REF!,V$5:V$98)/COUNTIF($C$5:$C$97,#REF!)</f>
        <v>#DIV/0!</v>
      </c>
      <c r="W99" s="323" t="e">
        <f>SUMIF($C$5:$C$97,#REF!,W$5:W$98)/COUNTIF($C$5:$C$97,#REF!)</f>
        <v>#DIV/0!</v>
      </c>
      <c r="X99" s="323"/>
      <c r="Y99" s="323"/>
      <c r="Z99" s="323" t="e">
        <f>SUMIF($C$5:$C$97,#REF!,Z$5:Z$98)/COUNTIF($C$5:$C$97,#REF!)</f>
        <v>#DIV/0!</v>
      </c>
      <c r="AA99" s="323" t="e">
        <f>SUMIF($C$5:$C$97,#REF!,AA$5:AA$98)/COUNTIF($C$5:$C$97,#REF!)</f>
        <v>#DIV/0!</v>
      </c>
      <c r="AB99" s="323" t="e">
        <f>SUMIF($C$5:$C$97,#REF!,AB$5:AB$98)/COUNTIF($C$5:$C$97,#REF!)</f>
        <v>#DIV/0!</v>
      </c>
      <c r="AC99" s="323" t="e">
        <f>SUMIF($C$5:$C$97,#REF!,AC$5:AC$98)/COUNTIF($C$5:$C$97,#REF!)</f>
        <v>#DIV/0!</v>
      </c>
      <c r="AD99" s="327"/>
      <c r="AE99" s="327"/>
      <c r="AF99" s="284"/>
      <c r="AG99" s="346"/>
      <c r="AH99" s="142"/>
      <c r="AI99" s="142"/>
      <c r="AJ99" s="142"/>
      <c r="AK99" s="142"/>
      <c r="AL99" s="142"/>
      <c r="AM99" s="142"/>
      <c r="AN99" s="142"/>
      <c r="AO99" s="142"/>
      <c r="AP99" s="142"/>
      <c r="AQ99" s="142"/>
      <c r="AR99" s="142"/>
      <c r="AS99" s="142"/>
      <c r="AT99" s="348"/>
    </row>
    <row r="100" spans="1:48">
      <c r="A100" s="362"/>
      <c r="B100" s="322"/>
      <c r="C100" s="276">
        <f>'6烧主抽电耗'!F100</f>
        <v>0</v>
      </c>
      <c r="D100" s="276"/>
      <c r="E100" s="323">
        <f>SUMIF($C$5:$C$97,$C100,E$5:E$97)</f>
        <v>0</v>
      </c>
      <c r="F100" s="323">
        <f>SUMIF($C$5:$C$97,$C100,F$5:F$97)</f>
        <v>0</v>
      </c>
      <c r="G100" s="323" t="e">
        <f>SUMIF($C$5:$C$97,$C100,G$5:G$97)/COUNTIF($C$5:$C$97,$C100)</f>
        <v>#DIV/0!</v>
      </c>
      <c r="H100" s="323" t="e">
        <f>SUMIF($C$5:$C$97,$C100,H$5:H$97)/COUNTIF($C$5:$C$97,$C100)</f>
        <v>#DIV/0!</v>
      </c>
      <c r="I100" s="323"/>
      <c r="J100" s="323"/>
      <c r="K100" s="323" t="e">
        <f>SUMIF($C$5:$C$97,$C100,K$5:K$97)/COUNTIF($C$5:$C$97,$C100)</f>
        <v>#DIV/0!</v>
      </c>
      <c r="L100" s="323" t="e">
        <f t="shared" si="45"/>
        <v>#DIV/0!</v>
      </c>
      <c r="M100" s="323" t="e">
        <f t="shared" si="45"/>
        <v>#DIV/0!</v>
      </c>
      <c r="N100" s="323" t="e">
        <f t="shared" si="45"/>
        <v>#DIV/0!</v>
      </c>
      <c r="O100" s="327"/>
      <c r="P100" s="327"/>
      <c r="Q100" s="323"/>
      <c r="R100" s="337"/>
      <c r="S100" s="338"/>
      <c r="T100" s="323">
        <f>SUMIF($C$5:$C$97,#REF!,T$5:T$98)</f>
        <v>0</v>
      </c>
      <c r="U100" s="323">
        <f>SUMIF($C$5:$C$97,#REF!,U$5:U$98)</f>
        <v>0</v>
      </c>
      <c r="V100" s="323" t="e">
        <f>SUMIF($C$5:$C$97,#REF!,V$5:V$98)/COUNTIF($C$5:$C$97,#REF!)</f>
        <v>#DIV/0!</v>
      </c>
      <c r="W100" s="323" t="e">
        <f>SUMIF($C$5:$C$97,#REF!,W$5:W$98)/COUNTIF($C$5:$C$97,#REF!)</f>
        <v>#DIV/0!</v>
      </c>
      <c r="X100" s="323"/>
      <c r="Y100" s="323"/>
      <c r="Z100" s="323" t="e">
        <f>SUMIF($C$5:$C$97,#REF!,Z$5:Z$98)/COUNTIF($C$5:$C$97,#REF!)</f>
        <v>#DIV/0!</v>
      </c>
      <c r="AA100" s="323" t="e">
        <f>SUMIF($C$5:$C$97,#REF!,AA$5:AA$98)/COUNTIF($C$5:$C$97,#REF!)</f>
        <v>#DIV/0!</v>
      </c>
      <c r="AB100" s="323" t="e">
        <f>SUMIF($C$5:$C$97,#REF!,AB$5:AB$98)/COUNTIF($C$5:$C$97,#REF!)</f>
        <v>#DIV/0!</v>
      </c>
      <c r="AC100" s="323" t="e">
        <f>SUMIF($C$5:$C$97,#REF!,AC$5:AC$98)/COUNTIF($C$5:$C$97,#REF!)</f>
        <v>#DIV/0!</v>
      </c>
      <c r="AD100" s="327"/>
      <c r="AE100" s="327"/>
      <c r="AF100" s="229"/>
      <c r="AG100" s="346"/>
      <c r="AH100" s="142"/>
      <c r="AI100" s="142"/>
      <c r="AJ100" s="142"/>
      <c r="AK100" s="142"/>
      <c r="AL100" s="142"/>
      <c r="AM100" s="142"/>
      <c r="AN100" s="142"/>
      <c r="AO100" s="142"/>
      <c r="AP100" s="142"/>
      <c r="AQ100" s="142"/>
      <c r="AR100" s="142"/>
      <c r="AS100" s="142"/>
      <c r="AT100" s="348"/>
    </row>
    <row r="101" spans="1:48">
      <c r="A101" s="276" t="s">
        <v>45</v>
      </c>
      <c r="B101" s="276"/>
      <c r="C101" s="276"/>
      <c r="D101" s="276"/>
      <c r="E101" s="324">
        <f>SUM(E99:E100)</f>
        <v>0</v>
      </c>
      <c r="F101" s="324">
        <f>SUM(F99:F100)</f>
        <v>0</v>
      </c>
      <c r="G101" s="324"/>
      <c r="H101" s="324"/>
      <c r="I101" s="324"/>
      <c r="J101" s="324"/>
      <c r="K101" s="324"/>
      <c r="L101" s="324"/>
      <c r="M101" s="324"/>
      <c r="N101" s="324"/>
      <c r="O101" s="328"/>
      <c r="P101" s="328"/>
      <c r="Q101" s="324"/>
      <c r="R101" s="339"/>
      <c r="S101" s="340"/>
      <c r="T101" s="323">
        <f>SUMIF($C$5:$C$97,$C99,T$5:T$98)</f>
        <v>0</v>
      </c>
      <c r="U101" s="323">
        <f>SUMIF($C$5:$C$97,$C99,U$5:U$98)</f>
        <v>0</v>
      </c>
      <c r="V101" s="323" t="e">
        <f>SUMIF($C$5:$C$97,$C99,V$5:V$98)/COUNTIF($C$5:$C$97,$C99)</f>
        <v>#DIV/0!</v>
      </c>
      <c r="W101" s="323" t="e">
        <f>SUMIF($C$5:$C$97,$C99,W$5:W$98)/COUNTIF($C$5:$C$97,$C99)</f>
        <v>#DIV/0!</v>
      </c>
      <c r="X101" s="323"/>
      <c r="Y101" s="323"/>
      <c r="Z101" s="323" t="e">
        <f t="shared" ref="Z101:AC102" si="46">SUMIF($C$5:$C$97,$C99,Z$5:Z$98)/COUNTIF($C$5:$C$97,$C99)</f>
        <v>#DIV/0!</v>
      </c>
      <c r="AA101" s="323" t="e">
        <f t="shared" si="46"/>
        <v>#DIV/0!</v>
      </c>
      <c r="AB101" s="323" t="e">
        <f t="shared" si="46"/>
        <v>#DIV/0!</v>
      </c>
      <c r="AC101" s="323" t="e">
        <f t="shared" si="46"/>
        <v>#DIV/0!</v>
      </c>
      <c r="AD101" s="327"/>
      <c r="AE101" s="327"/>
      <c r="AF101" s="323"/>
      <c r="AG101" s="347"/>
      <c r="AH101" s="324">
        <f>SUM(AH5:AH97)</f>
        <v>-130633080</v>
      </c>
      <c r="AI101" s="324">
        <f t="shared" ref="AI101:AS101" si="47">SUM(AI5:AI97)</f>
        <v>-105060087</v>
      </c>
      <c r="AJ101" s="324">
        <f t="shared" si="47"/>
        <v>-235693167</v>
      </c>
      <c r="AK101" s="324" t="e">
        <f t="shared" si="47"/>
        <v>#REF!</v>
      </c>
      <c r="AL101" s="324" t="e">
        <f t="shared" si="47"/>
        <v>#REF!</v>
      </c>
      <c r="AM101" s="324" t="e">
        <f t="shared" si="47"/>
        <v>#REF!</v>
      </c>
      <c r="AN101" s="324" t="e">
        <f t="shared" si="47"/>
        <v>#VALUE!</v>
      </c>
      <c r="AO101" s="324" t="e">
        <f t="shared" si="47"/>
        <v>#VALUE!</v>
      </c>
      <c r="AP101" s="324" t="e">
        <f t="shared" si="47"/>
        <v>#VALUE!</v>
      </c>
      <c r="AQ101" s="324" t="e">
        <f t="shared" si="47"/>
        <v>#VALUE!</v>
      </c>
      <c r="AR101" s="324" t="e">
        <f t="shared" si="47"/>
        <v>#VALUE!</v>
      </c>
      <c r="AS101" s="324" t="e">
        <f t="shared" si="47"/>
        <v>#VALUE!</v>
      </c>
      <c r="AT101" s="349"/>
    </row>
    <row r="102" spans="1:48">
      <c r="T102" s="323">
        <f>SUMIF($C$5:$C$97,$C100,T$5:T$98)</f>
        <v>0</v>
      </c>
      <c r="U102" s="323">
        <f>SUMIF($C$5:$C$97,$C100,U$5:U$98)</f>
        <v>0</v>
      </c>
      <c r="V102" s="323" t="e">
        <f>SUMIF($C$5:$C$97,$C100,V$5:V$98)/COUNTIF($C$5:$C$97,$C100)</f>
        <v>#DIV/0!</v>
      </c>
      <c r="W102" s="323" t="e">
        <f>SUMIF($C$5:$C$97,$C100,W$5:W$98)/COUNTIF($C$5:$C$97,$C100)</f>
        <v>#DIV/0!</v>
      </c>
      <c r="X102" s="323"/>
      <c r="Y102" s="323"/>
      <c r="Z102" s="323" t="e">
        <f t="shared" si="46"/>
        <v>#DIV/0!</v>
      </c>
      <c r="AA102" s="323" t="e">
        <f t="shared" si="46"/>
        <v>#DIV/0!</v>
      </c>
      <c r="AB102" s="323" t="e">
        <f t="shared" si="46"/>
        <v>#DIV/0!</v>
      </c>
      <c r="AC102" s="323" t="e">
        <f t="shared" si="46"/>
        <v>#DIV/0!</v>
      </c>
      <c r="AD102" s="327"/>
      <c r="AE102" s="327"/>
      <c r="AF102" s="323"/>
    </row>
    <row r="103" spans="1:48">
      <c r="T103" s="324">
        <f>SUM(T99:T102)</f>
        <v>0</v>
      </c>
      <c r="U103" s="324">
        <f>SUM(U99:U102)</f>
        <v>0</v>
      </c>
      <c r="V103" s="341"/>
      <c r="W103" s="341"/>
      <c r="X103" s="341"/>
      <c r="Y103" s="341"/>
      <c r="Z103" s="324"/>
      <c r="AA103" s="324"/>
      <c r="AB103" s="324"/>
      <c r="AC103" s="324"/>
      <c r="AD103" s="328"/>
      <c r="AE103" s="328"/>
      <c r="AF103" s="323"/>
    </row>
    <row r="104" spans="1:48">
      <c r="V104" s="213"/>
      <c r="W104" s="213"/>
      <c r="X104" s="213"/>
      <c r="Y104" s="213"/>
      <c r="AF104" s="323"/>
    </row>
    <row r="105" spans="1:48">
      <c r="AF105" s="324"/>
    </row>
  </sheetData>
  <mergeCells count="45">
    <mergeCell ref="A89:A91"/>
    <mergeCell ref="A92:A94"/>
    <mergeCell ref="A95:A97"/>
    <mergeCell ref="A99:A100"/>
    <mergeCell ref="A74:A76"/>
    <mergeCell ref="A77:A79"/>
    <mergeCell ref="A80:A82"/>
    <mergeCell ref="A83:A85"/>
    <mergeCell ref="A86:A88"/>
    <mergeCell ref="A59:A61"/>
    <mergeCell ref="A62:A64"/>
    <mergeCell ref="A65:A67"/>
    <mergeCell ref="A68:A70"/>
    <mergeCell ref="A71:A73"/>
    <mergeCell ref="A44:A46"/>
    <mergeCell ref="A47:A49"/>
    <mergeCell ref="A50:A52"/>
    <mergeCell ref="A53:A55"/>
    <mergeCell ref="A56:A58"/>
    <mergeCell ref="A29:A31"/>
    <mergeCell ref="A32:A34"/>
    <mergeCell ref="A35:A37"/>
    <mergeCell ref="A38:A40"/>
    <mergeCell ref="A41:A43"/>
    <mergeCell ref="A14:A16"/>
    <mergeCell ref="A17:A19"/>
    <mergeCell ref="A20:A22"/>
    <mergeCell ref="A23:A25"/>
    <mergeCell ref="A26:A28"/>
    <mergeCell ref="AH3:AM3"/>
    <mergeCell ref="AN3:AS3"/>
    <mergeCell ref="A5:A7"/>
    <mergeCell ref="A8:A10"/>
    <mergeCell ref="A11:A13"/>
    <mergeCell ref="E1:R1"/>
    <mergeCell ref="T1:AG1"/>
    <mergeCell ref="E3:F3"/>
    <mergeCell ref="G3:H3"/>
    <mergeCell ref="I3:J3"/>
    <mergeCell ref="K3:L3"/>
    <mergeCell ref="M3:N3"/>
    <mergeCell ref="O3:P3"/>
    <mergeCell ref="V3:W3"/>
    <mergeCell ref="X3:Y3"/>
    <mergeCell ref="AD3:AE3"/>
  </mergeCells>
  <phoneticPr fontId="53" type="noConversion"/>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pans="1:45" s="105" customFormat="1" ht="126.75" customHeight="1">
      <c r="A1" s="106"/>
      <c r="B1" s="106"/>
      <c r="C1" s="106" t="s">
        <v>179</v>
      </c>
      <c r="D1" s="106"/>
      <c r="E1" s="106"/>
      <c r="F1" s="106"/>
      <c r="G1" s="106"/>
      <c r="H1" s="106" t="s">
        <v>180</v>
      </c>
      <c r="I1" s="106" t="s">
        <v>181</v>
      </c>
      <c r="J1" s="106" t="s">
        <v>182</v>
      </c>
      <c r="K1" s="106"/>
      <c r="L1" s="106" t="s">
        <v>183</v>
      </c>
      <c r="M1" s="106" t="s">
        <v>184</v>
      </c>
      <c r="N1" s="106" t="s">
        <v>185</v>
      </c>
      <c r="O1" s="106" t="s">
        <v>186</v>
      </c>
      <c r="P1" s="106" t="s">
        <v>187</v>
      </c>
      <c r="Q1" s="106" t="s">
        <v>188</v>
      </c>
      <c r="R1" s="106" t="s">
        <v>189</v>
      </c>
      <c r="S1" s="106" t="s">
        <v>190</v>
      </c>
      <c r="T1" s="106" t="s">
        <v>191</v>
      </c>
      <c r="U1" s="106" t="s">
        <v>192</v>
      </c>
      <c r="V1" s="106" t="s">
        <v>193</v>
      </c>
      <c r="W1" s="106" t="s">
        <v>194</v>
      </c>
      <c r="X1" s="106" t="s">
        <v>179</v>
      </c>
      <c r="Y1" s="106" t="s">
        <v>195</v>
      </c>
      <c r="Z1" s="106" t="s">
        <v>179</v>
      </c>
      <c r="AA1" s="106" t="s">
        <v>196</v>
      </c>
      <c r="AB1" s="106" t="s">
        <v>197</v>
      </c>
      <c r="AC1" s="105" t="s">
        <v>198</v>
      </c>
      <c r="AD1" s="106" t="s">
        <v>199</v>
      </c>
      <c r="AE1" s="106" t="s">
        <v>200</v>
      </c>
      <c r="AF1" s="106" t="s">
        <v>201</v>
      </c>
      <c r="AG1" s="106" t="s">
        <v>202</v>
      </c>
      <c r="AH1" s="106" t="s">
        <v>203</v>
      </c>
      <c r="AI1" s="106" t="s">
        <v>204</v>
      </c>
      <c r="AJ1" s="106" t="s">
        <v>205</v>
      </c>
      <c r="AK1" s="106" t="s">
        <v>206</v>
      </c>
      <c r="AL1" s="106" t="s">
        <v>179</v>
      </c>
      <c r="AM1" s="106" t="s">
        <v>179</v>
      </c>
      <c r="AN1" s="106" t="s">
        <v>179</v>
      </c>
      <c r="AO1" s="106" t="s">
        <v>179</v>
      </c>
      <c r="AP1" s="106" t="s">
        <v>179</v>
      </c>
      <c r="AQ1" s="106" t="s">
        <v>179</v>
      </c>
      <c r="AR1" s="106" t="s">
        <v>24</v>
      </c>
      <c r="AS1" s="106"/>
    </row>
    <row r="2" spans="1:45">
      <c r="A2" s="107"/>
    </row>
    <row r="3" spans="1:45">
      <c r="A3" s="107"/>
    </row>
    <row r="4" spans="1:45">
      <c r="A4" s="107"/>
    </row>
    <row r="5" spans="1:45">
      <c r="A5" s="107"/>
    </row>
    <row r="6" spans="1:45">
      <c r="A6" s="107"/>
    </row>
    <row r="7" spans="1:45">
      <c r="A7" s="107"/>
    </row>
    <row r="8" spans="1:45">
      <c r="A8" s="107"/>
    </row>
    <row r="9" spans="1:45">
      <c r="A9" s="107"/>
    </row>
    <row r="10" spans="1:45">
      <c r="A10" s="107"/>
    </row>
    <row r="11" spans="1:45">
      <c r="A11" s="107"/>
    </row>
    <row r="12" spans="1:45">
      <c r="A12" s="107"/>
    </row>
    <row r="13" spans="1:45">
      <c r="A13" s="107"/>
    </row>
    <row r="14" spans="1:45">
      <c r="A14" s="107"/>
    </row>
    <row r="15" spans="1:45">
      <c r="A15" s="107"/>
    </row>
    <row r="16" spans="1:45">
      <c r="A16" s="107"/>
    </row>
    <row r="17" spans="1:1">
      <c r="A17" s="107"/>
    </row>
    <row r="18" spans="1:1">
      <c r="A18" s="107"/>
    </row>
    <row r="19" spans="1:1">
      <c r="A19" s="107"/>
    </row>
    <row r="20" spans="1:1">
      <c r="A20" s="107"/>
    </row>
    <row r="21" spans="1:1">
      <c r="A21" s="107"/>
    </row>
    <row r="22" spans="1:1">
      <c r="A22" s="107"/>
    </row>
    <row r="23" spans="1:1">
      <c r="A23" s="107"/>
    </row>
    <row r="24" spans="1:1">
      <c r="A24" s="107"/>
    </row>
    <row r="25" spans="1:1">
      <c r="A25" s="107"/>
    </row>
    <row r="26" spans="1:1">
      <c r="A26" s="107"/>
    </row>
    <row r="27" spans="1:1">
      <c r="A27" s="107"/>
    </row>
    <row r="28" spans="1:1">
      <c r="A28" s="107"/>
    </row>
    <row r="29" spans="1:1">
      <c r="A29" s="107"/>
    </row>
    <row r="30" spans="1:1">
      <c r="A30" s="107"/>
    </row>
    <row r="31" spans="1:1">
      <c r="A31" s="107"/>
    </row>
    <row r="32" spans="1:1">
      <c r="A32" s="107"/>
    </row>
    <row r="33" spans="1:1">
      <c r="A33" s="107"/>
    </row>
    <row r="34" spans="1:1">
      <c r="A34" s="107"/>
    </row>
    <row r="35" spans="1:1">
      <c r="A35" s="107"/>
    </row>
    <row r="36" spans="1:1">
      <c r="A36" s="107"/>
    </row>
    <row r="37" spans="1:1">
      <c r="A37" s="107"/>
    </row>
    <row r="38" spans="1:1">
      <c r="A38" s="107"/>
    </row>
    <row r="39" spans="1:1">
      <c r="A39" s="107"/>
    </row>
    <row r="40" spans="1:1">
      <c r="A40" s="107"/>
    </row>
    <row r="41" spans="1:1">
      <c r="A41" s="107"/>
    </row>
    <row r="42" spans="1:1">
      <c r="A42" s="107"/>
    </row>
    <row r="43" spans="1:1">
      <c r="A43" s="107"/>
    </row>
    <row r="44" spans="1:1">
      <c r="A44" s="107"/>
    </row>
    <row r="45" spans="1:1">
      <c r="A45" s="107"/>
    </row>
    <row r="46" spans="1:1">
      <c r="A46" s="107"/>
    </row>
    <row r="47" spans="1:1">
      <c r="A47" s="107"/>
    </row>
    <row r="48" spans="1:1">
      <c r="A48" s="107"/>
    </row>
    <row r="49" spans="1:1">
      <c r="A49" s="107"/>
    </row>
    <row r="50" spans="1:1">
      <c r="A50" s="107"/>
    </row>
    <row r="51" spans="1:1">
      <c r="A51" s="107"/>
    </row>
    <row r="52" spans="1:1">
      <c r="A52" s="107"/>
    </row>
    <row r="53" spans="1:1">
      <c r="A53" s="107"/>
    </row>
    <row r="54" spans="1:1">
      <c r="A54" s="107"/>
    </row>
    <row r="55" spans="1:1">
      <c r="A55" s="107"/>
    </row>
    <row r="56" spans="1:1">
      <c r="A56" s="107"/>
    </row>
    <row r="57" spans="1:1">
      <c r="A57" s="107"/>
    </row>
    <row r="58" spans="1:1">
      <c r="A58" s="107"/>
    </row>
    <row r="59" spans="1:1">
      <c r="A59" s="107"/>
    </row>
    <row r="60" spans="1:1">
      <c r="A60" s="107"/>
    </row>
    <row r="61" spans="1:1">
      <c r="A61" s="107"/>
    </row>
    <row r="62" spans="1:1">
      <c r="A62" s="107"/>
    </row>
    <row r="63" spans="1:1">
      <c r="A63" s="107"/>
    </row>
    <row r="64" spans="1:1">
      <c r="A64" s="107"/>
    </row>
    <row r="65" spans="1:1">
      <c r="A65" s="107"/>
    </row>
    <row r="66" spans="1:1">
      <c r="A66" s="107"/>
    </row>
    <row r="67" spans="1:1">
      <c r="A67" s="107"/>
    </row>
    <row r="68" spans="1:1">
      <c r="A68" s="107"/>
    </row>
    <row r="69" spans="1:1">
      <c r="A69" s="107"/>
    </row>
    <row r="70" spans="1:1">
      <c r="A70" s="107"/>
    </row>
    <row r="71" spans="1:1">
      <c r="A71" s="107"/>
    </row>
    <row r="72" spans="1:1">
      <c r="A72" s="107"/>
    </row>
    <row r="73" spans="1:1">
      <c r="A73" s="107"/>
    </row>
    <row r="74" spans="1:1">
      <c r="A74" s="107"/>
    </row>
    <row r="75" spans="1:1">
      <c r="A75" s="107"/>
    </row>
    <row r="76" spans="1:1">
      <c r="A76" s="107"/>
    </row>
    <row r="77" spans="1:1">
      <c r="A77" s="107"/>
    </row>
    <row r="78" spans="1:1">
      <c r="A78" s="107"/>
    </row>
    <row r="79" spans="1:1">
      <c r="A79" s="107"/>
    </row>
    <row r="80" spans="1:1">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row r="327" spans="1:1">
      <c r="A327" s="107"/>
    </row>
    <row r="328" spans="1:1">
      <c r="A328" s="107"/>
    </row>
    <row r="329" spans="1:1">
      <c r="A329" s="107"/>
    </row>
    <row r="330" spans="1:1">
      <c r="A330" s="107"/>
    </row>
    <row r="331" spans="1:1">
      <c r="A331" s="107"/>
    </row>
    <row r="332" spans="1:1">
      <c r="A332" s="107"/>
    </row>
    <row r="333" spans="1:1">
      <c r="A333" s="107"/>
    </row>
    <row r="334" spans="1:1">
      <c r="A334" s="107"/>
    </row>
    <row r="335" spans="1:1">
      <c r="A335" s="107"/>
    </row>
    <row r="336" spans="1:1">
      <c r="A336" s="107"/>
    </row>
    <row r="337" spans="1:1">
      <c r="A337" s="107"/>
    </row>
    <row r="338" spans="1:1">
      <c r="A338" s="107"/>
    </row>
    <row r="339" spans="1:1">
      <c r="A339" s="107"/>
    </row>
    <row r="340" spans="1:1">
      <c r="A340" s="107"/>
    </row>
    <row r="341" spans="1:1">
      <c r="A341" s="107"/>
    </row>
    <row r="342" spans="1:1">
      <c r="A342" s="107"/>
    </row>
    <row r="343" spans="1:1">
      <c r="A343" s="107"/>
    </row>
    <row r="344" spans="1:1">
      <c r="A344" s="107"/>
    </row>
    <row r="345" spans="1:1">
      <c r="A345" s="107"/>
    </row>
    <row r="346" spans="1:1">
      <c r="A346" s="107"/>
    </row>
    <row r="347" spans="1:1">
      <c r="A347" s="107"/>
    </row>
    <row r="348" spans="1:1">
      <c r="A348" s="107"/>
    </row>
    <row r="349" spans="1:1">
      <c r="A349" s="107"/>
    </row>
    <row r="350" spans="1:1">
      <c r="A350" s="107"/>
    </row>
    <row r="351" spans="1:1">
      <c r="A351" s="107"/>
    </row>
    <row r="352" spans="1:1">
      <c r="A352" s="107"/>
    </row>
    <row r="353" spans="1:1">
      <c r="A353" s="107"/>
    </row>
    <row r="354" spans="1:1">
      <c r="A354" s="107"/>
    </row>
    <row r="355" spans="1:1">
      <c r="A355" s="107"/>
    </row>
    <row r="356" spans="1:1">
      <c r="A356" s="107"/>
    </row>
    <row r="357" spans="1:1">
      <c r="A357" s="107"/>
    </row>
    <row r="358" spans="1:1">
      <c r="A358" s="107"/>
    </row>
    <row r="359" spans="1:1">
      <c r="A359" s="107"/>
    </row>
    <row r="360" spans="1:1">
      <c r="A360" s="107"/>
    </row>
    <row r="361" spans="1:1">
      <c r="A361" s="107"/>
    </row>
    <row r="362" spans="1:1">
      <c r="A362" s="107"/>
    </row>
    <row r="363" spans="1:1">
      <c r="A363" s="107"/>
    </row>
    <row r="364" spans="1:1">
      <c r="A364" s="107"/>
    </row>
    <row r="365" spans="1:1">
      <c r="A365" s="107"/>
    </row>
    <row r="366" spans="1:1">
      <c r="A366" s="107"/>
    </row>
    <row r="367" spans="1:1">
      <c r="A367" s="107"/>
    </row>
    <row r="368" spans="1:1">
      <c r="A368" s="107"/>
    </row>
    <row r="369" spans="1:1">
      <c r="A369" s="107"/>
    </row>
    <row r="370" spans="1:1">
      <c r="A370" s="107"/>
    </row>
    <row r="371" spans="1:1">
      <c r="A371" s="107"/>
    </row>
    <row r="372" spans="1:1">
      <c r="A372" s="107"/>
    </row>
    <row r="373" spans="1:1">
      <c r="A373" s="107"/>
    </row>
    <row r="374" spans="1:1">
      <c r="A374" s="107"/>
    </row>
    <row r="375" spans="1:1">
      <c r="A375" s="107"/>
    </row>
    <row r="376" spans="1:1">
      <c r="A376" s="107"/>
    </row>
    <row r="377" spans="1:1">
      <c r="A377" s="107"/>
    </row>
    <row r="378" spans="1:1">
      <c r="A378" s="107"/>
    </row>
    <row r="379" spans="1:1">
      <c r="A379" s="107"/>
    </row>
    <row r="380" spans="1:1">
      <c r="A380" s="107"/>
    </row>
    <row r="381" spans="1:1">
      <c r="A381" s="107"/>
    </row>
    <row r="382" spans="1:1">
      <c r="A382" s="107"/>
    </row>
    <row r="383" spans="1:1">
      <c r="A383" s="107"/>
    </row>
    <row r="384" spans="1:1">
      <c r="A384" s="107"/>
    </row>
    <row r="385" spans="1:1">
      <c r="A385" s="107"/>
    </row>
    <row r="386" spans="1:1">
      <c r="A386" s="107"/>
    </row>
    <row r="387" spans="1:1">
      <c r="A387" s="107"/>
    </row>
    <row r="388" spans="1:1">
      <c r="A388" s="107"/>
    </row>
    <row r="389" spans="1:1">
      <c r="A389" s="107"/>
    </row>
    <row r="390" spans="1:1">
      <c r="A390" s="107"/>
    </row>
    <row r="391" spans="1:1">
      <c r="A391" s="107"/>
    </row>
    <row r="392" spans="1:1">
      <c r="A392" s="107"/>
    </row>
    <row r="393" spans="1:1">
      <c r="A393" s="107"/>
    </row>
    <row r="394" spans="1:1">
      <c r="A394" s="107"/>
    </row>
    <row r="395" spans="1:1">
      <c r="A395" s="107"/>
    </row>
    <row r="396" spans="1:1">
      <c r="A396" s="107"/>
    </row>
    <row r="397" spans="1:1">
      <c r="A397" s="107"/>
    </row>
    <row r="398" spans="1:1">
      <c r="A398" s="107"/>
    </row>
    <row r="399" spans="1:1">
      <c r="A399" s="107"/>
    </row>
    <row r="400" spans="1:1">
      <c r="A400" s="107"/>
    </row>
    <row r="401" spans="1:1">
      <c r="A401" s="107"/>
    </row>
    <row r="402" spans="1:1">
      <c r="A402" s="107"/>
    </row>
    <row r="403" spans="1:1">
      <c r="A403" s="107"/>
    </row>
    <row r="404" spans="1:1">
      <c r="A404" s="107"/>
    </row>
    <row r="405" spans="1:1">
      <c r="A405" s="107"/>
    </row>
    <row r="406" spans="1:1">
      <c r="A406" s="107"/>
    </row>
    <row r="407" spans="1:1">
      <c r="A407" s="107"/>
    </row>
    <row r="408" spans="1:1">
      <c r="A408" s="107"/>
    </row>
    <row r="409" spans="1:1">
      <c r="A409" s="107"/>
    </row>
    <row r="410" spans="1:1">
      <c r="A410" s="107"/>
    </row>
    <row r="411" spans="1:1">
      <c r="A411" s="107"/>
    </row>
    <row r="412" spans="1:1">
      <c r="A412" s="107"/>
    </row>
    <row r="413" spans="1:1">
      <c r="A413" s="107"/>
    </row>
    <row r="414" spans="1:1">
      <c r="A414" s="107"/>
    </row>
    <row r="415" spans="1:1">
      <c r="A415" s="107"/>
    </row>
    <row r="416" spans="1:1">
      <c r="A416" s="107"/>
    </row>
    <row r="417" spans="1:1">
      <c r="A417" s="107"/>
    </row>
    <row r="418" spans="1:1">
      <c r="A418" s="107"/>
    </row>
    <row r="419" spans="1:1">
      <c r="A419" s="107"/>
    </row>
    <row r="420" spans="1:1">
      <c r="A420" s="107"/>
    </row>
    <row r="421" spans="1:1">
      <c r="A421" s="107"/>
    </row>
    <row r="422" spans="1:1">
      <c r="A422" s="107"/>
    </row>
    <row r="423" spans="1:1">
      <c r="A423" s="107"/>
    </row>
    <row r="424" spans="1:1">
      <c r="A424" s="107"/>
    </row>
    <row r="425" spans="1:1">
      <c r="A425" s="107"/>
    </row>
    <row r="426" spans="1:1">
      <c r="A426" s="107"/>
    </row>
    <row r="427" spans="1:1">
      <c r="A427" s="107"/>
    </row>
    <row r="428" spans="1:1">
      <c r="A428" s="107"/>
    </row>
    <row r="429" spans="1:1">
      <c r="A429" s="107"/>
    </row>
    <row r="430" spans="1:1">
      <c r="A430" s="107"/>
    </row>
    <row r="431" spans="1:1">
      <c r="A431" s="107"/>
    </row>
    <row r="432" spans="1:1">
      <c r="A432" s="107"/>
    </row>
    <row r="433" spans="1:1">
      <c r="A433" s="107"/>
    </row>
    <row r="434" spans="1:1">
      <c r="A434" s="107"/>
    </row>
    <row r="435" spans="1:1">
      <c r="A435" s="107"/>
    </row>
    <row r="436" spans="1:1">
      <c r="A436" s="107"/>
    </row>
    <row r="437" spans="1:1">
      <c r="A437" s="107"/>
    </row>
    <row r="438" spans="1:1">
      <c r="A438" s="107"/>
    </row>
    <row r="439" spans="1:1">
      <c r="A439" s="107"/>
    </row>
    <row r="440" spans="1:1">
      <c r="A440" s="107"/>
    </row>
    <row r="441" spans="1:1">
      <c r="A441" s="107"/>
    </row>
    <row r="442" spans="1:1">
      <c r="A442" s="107"/>
    </row>
    <row r="443" spans="1:1">
      <c r="A443" s="107"/>
    </row>
    <row r="444" spans="1:1">
      <c r="A444" s="107"/>
    </row>
    <row r="445" spans="1:1">
      <c r="A445" s="107"/>
    </row>
    <row r="446" spans="1:1">
      <c r="A446" s="107"/>
    </row>
    <row r="447" spans="1:1">
      <c r="A447" s="107"/>
    </row>
    <row r="448" spans="1:1">
      <c r="A448" s="107"/>
    </row>
    <row r="449" spans="1:1">
      <c r="A449" s="107"/>
    </row>
    <row r="450" spans="1:1">
      <c r="A450" s="107"/>
    </row>
    <row r="451" spans="1:1">
      <c r="A451" s="107"/>
    </row>
    <row r="452" spans="1:1">
      <c r="A452" s="107"/>
    </row>
    <row r="453" spans="1:1">
      <c r="A453" s="107"/>
    </row>
    <row r="454" spans="1:1">
      <c r="A454" s="107"/>
    </row>
    <row r="455" spans="1:1">
      <c r="A455" s="107"/>
    </row>
    <row r="456" spans="1:1">
      <c r="A456" s="107"/>
    </row>
    <row r="457" spans="1:1">
      <c r="A457" s="107"/>
    </row>
    <row r="458" spans="1:1">
      <c r="A458" s="107"/>
    </row>
    <row r="459" spans="1:1">
      <c r="A459" s="107"/>
    </row>
    <row r="460" spans="1:1">
      <c r="A460" s="107"/>
    </row>
    <row r="461" spans="1:1">
      <c r="A461" s="107"/>
    </row>
    <row r="462" spans="1:1">
      <c r="A462" s="107"/>
    </row>
    <row r="463" spans="1:1">
      <c r="A463" s="107"/>
    </row>
    <row r="464" spans="1:1">
      <c r="A464" s="107"/>
    </row>
    <row r="465" spans="1:1">
      <c r="A465" s="107"/>
    </row>
    <row r="466" spans="1:1">
      <c r="A466" s="107"/>
    </row>
    <row r="467" spans="1:1">
      <c r="A467" s="107"/>
    </row>
    <row r="468" spans="1:1">
      <c r="A468" s="107"/>
    </row>
    <row r="469" spans="1:1">
      <c r="A469" s="107"/>
    </row>
    <row r="470" spans="1:1">
      <c r="A470" s="107"/>
    </row>
    <row r="471" spans="1:1">
      <c r="A471" s="107"/>
    </row>
    <row r="472" spans="1:1">
      <c r="A472" s="107"/>
    </row>
    <row r="473" spans="1:1">
      <c r="A473" s="107"/>
    </row>
    <row r="474" spans="1:1">
      <c r="A474" s="107"/>
    </row>
    <row r="475" spans="1:1">
      <c r="A475" s="107"/>
    </row>
    <row r="476" spans="1:1">
      <c r="A476" s="107"/>
    </row>
    <row r="477" spans="1:1">
      <c r="A477" s="107"/>
    </row>
    <row r="478" spans="1:1">
      <c r="A478" s="107"/>
    </row>
    <row r="479" spans="1:1">
      <c r="A479" s="107"/>
    </row>
    <row r="480" spans="1:1">
      <c r="A480" s="107"/>
    </row>
    <row r="481" spans="1:1">
      <c r="A481" s="107"/>
    </row>
    <row r="482" spans="1:1">
      <c r="A482" s="107"/>
    </row>
    <row r="483" spans="1:1">
      <c r="A483" s="107"/>
    </row>
    <row r="484" spans="1:1">
      <c r="A484" s="107"/>
    </row>
    <row r="485" spans="1:1">
      <c r="A485" s="107"/>
    </row>
    <row r="486" spans="1:1">
      <c r="A486" s="107"/>
    </row>
    <row r="487" spans="1:1">
      <c r="A487" s="107"/>
    </row>
    <row r="488" spans="1:1">
      <c r="A488" s="107"/>
    </row>
    <row r="489" spans="1:1">
      <c r="A489" s="107"/>
    </row>
    <row r="490" spans="1:1">
      <c r="A490" s="107"/>
    </row>
    <row r="491" spans="1:1">
      <c r="A491" s="107"/>
    </row>
    <row r="492" spans="1:1">
      <c r="A492" s="107"/>
    </row>
    <row r="493" spans="1:1">
      <c r="A493" s="107"/>
    </row>
    <row r="494" spans="1:1">
      <c r="A494" s="107"/>
    </row>
    <row r="495" spans="1:1">
      <c r="A495" s="107"/>
    </row>
    <row r="496" spans="1:1">
      <c r="A496" s="107"/>
    </row>
    <row r="497" spans="1:1">
      <c r="A497" s="107"/>
    </row>
    <row r="498" spans="1:1">
      <c r="A498" s="107"/>
    </row>
    <row r="499" spans="1:1">
      <c r="A499" s="107"/>
    </row>
    <row r="500" spans="1:1">
      <c r="A500" s="107"/>
    </row>
    <row r="501" spans="1:1">
      <c r="A501" s="107"/>
    </row>
    <row r="502" spans="1:1">
      <c r="A502" s="107"/>
    </row>
    <row r="503" spans="1:1">
      <c r="A503" s="107"/>
    </row>
    <row r="504" spans="1:1">
      <c r="A504" s="107"/>
    </row>
    <row r="505" spans="1:1">
      <c r="A505" s="107"/>
    </row>
    <row r="506" spans="1:1" ht="15" customHeight="1">
      <c r="A506" s="107"/>
    </row>
    <row r="507" spans="1:1">
      <c r="A507" s="107"/>
    </row>
    <row r="508" spans="1:1">
      <c r="A508" s="107"/>
    </row>
    <row r="509" spans="1:1">
      <c r="A509" s="107"/>
    </row>
    <row r="510" spans="1:1">
      <c r="A510" s="107"/>
    </row>
    <row r="511" spans="1:1">
      <c r="A511" s="107"/>
    </row>
    <row r="512" spans="1:1">
      <c r="A512" s="107"/>
    </row>
    <row r="513" spans="1:1">
      <c r="A513" s="107"/>
    </row>
    <row r="514" spans="1:1">
      <c r="A514" s="107"/>
    </row>
    <row r="515" spans="1:1">
      <c r="A515" s="107"/>
    </row>
    <row r="516" spans="1:1">
      <c r="A516" s="107"/>
    </row>
    <row r="517" spans="1:1">
      <c r="A517" s="107"/>
    </row>
    <row r="518" spans="1:1">
      <c r="A518" s="107"/>
    </row>
    <row r="519" spans="1:1">
      <c r="A519" s="107"/>
    </row>
    <row r="520" spans="1:1">
      <c r="A520" s="107"/>
    </row>
    <row r="521" spans="1:1">
      <c r="A521" s="107"/>
    </row>
    <row r="522" spans="1:1">
      <c r="A522" s="107"/>
    </row>
    <row r="523" spans="1:1">
      <c r="A523" s="107"/>
    </row>
    <row r="524" spans="1:1">
      <c r="A524" s="107"/>
    </row>
    <row r="525" spans="1:1">
      <c r="A525" s="107"/>
    </row>
    <row r="526" spans="1:1">
      <c r="A526" s="107"/>
    </row>
    <row r="527" spans="1:1">
      <c r="A527" s="107"/>
    </row>
    <row r="528" spans="1:1">
      <c r="A528" s="107"/>
    </row>
    <row r="529" spans="1:1">
      <c r="A529" s="107"/>
    </row>
    <row r="530" spans="1:1">
      <c r="A530" s="107"/>
    </row>
    <row r="531" spans="1:1">
      <c r="A531" s="107"/>
    </row>
    <row r="532" spans="1:1">
      <c r="A532" s="107"/>
    </row>
    <row r="533" spans="1:1">
      <c r="A533" s="107"/>
    </row>
    <row r="534" spans="1:1">
      <c r="A534" s="107"/>
    </row>
    <row r="535" spans="1:1">
      <c r="A535" s="107"/>
    </row>
    <row r="536" spans="1:1">
      <c r="A536" s="107"/>
    </row>
    <row r="537" spans="1:1">
      <c r="A537" s="107"/>
    </row>
    <row r="538" spans="1:1">
      <c r="A538" s="107"/>
    </row>
    <row r="539" spans="1:1">
      <c r="A539" s="107"/>
    </row>
    <row r="540" spans="1:1">
      <c r="A540" s="107"/>
    </row>
    <row r="541" spans="1:1">
      <c r="A541" s="107"/>
    </row>
    <row r="542" spans="1:1">
      <c r="A542" s="107"/>
    </row>
    <row r="543" spans="1:1">
      <c r="A543" s="107"/>
    </row>
    <row r="544" spans="1:1">
      <c r="A544" s="107"/>
    </row>
    <row r="545" spans="1:1">
      <c r="A545" s="107"/>
    </row>
    <row r="546" spans="1:1">
      <c r="A546" s="107"/>
    </row>
    <row r="547" spans="1:1">
      <c r="A547" s="107"/>
    </row>
    <row r="548" spans="1:1">
      <c r="A548" s="107"/>
    </row>
    <row r="549" spans="1:1">
      <c r="A549" s="107"/>
    </row>
    <row r="550" spans="1:1">
      <c r="A550" s="107"/>
    </row>
    <row r="551" spans="1:1">
      <c r="A551" s="107"/>
    </row>
    <row r="552" spans="1:1">
      <c r="A552" s="107"/>
    </row>
    <row r="553" spans="1:1">
      <c r="A553" s="107"/>
    </row>
    <row r="554" spans="1:1">
      <c r="A554" s="107"/>
    </row>
    <row r="555" spans="1:1">
      <c r="A555" s="107"/>
    </row>
    <row r="556" spans="1:1">
      <c r="A556" s="107"/>
    </row>
    <row r="557" spans="1:1">
      <c r="A557" s="107"/>
    </row>
    <row r="558" spans="1:1">
      <c r="A558" s="107"/>
    </row>
    <row r="559" spans="1:1">
      <c r="A559" s="107"/>
    </row>
    <row r="560" spans="1:1">
      <c r="A560" s="107"/>
    </row>
    <row r="561" spans="1:1">
      <c r="A561" s="107"/>
    </row>
    <row r="562" spans="1:1">
      <c r="A562" s="107"/>
    </row>
    <row r="563" spans="1:1">
      <c r="A563" s="107"/>
    </row>
    <row r="564" spans="1:1">
      <c r="A564" s="107"/>
    </row>
    <row r="565" spans="1:1">
      <c r="A565" s="107"/>
    </row>
    <row r="566" spans="1:1">
      <c r="A566" s="107"/>
    </row>
    <row r="567" spans="1:1">
      <c r="A567" s="107"/>
    </row>
    <row r="568" spans="1:1">
      <c r="A568" s="107"/>
    </row>
    <row r="569" spans="1:1">
      <c r="A569" s="107"/>
    </row>
    <row r="570" spans="1:1">
      <c r="A570" s="107"/>
    </row>
    <row r="571" spans="1:1">
      <c r="A571" s="107"/>
    </row>
    <row r="572" spans="1:1">
      <c r="A572" s="107"/>
    </row>
    <row r="573" spans="1:1">
      <c r="A573" s="107"/>
    </row>
    <row r="574" spans="1:1">
      <c r="A574" s="107"/>
    </row>
    <row r="575" spans="1:1">
      <c r="A575" s="107"/>
    </row>
    <row r="576" spans="1:1">
      <c r="A576" s="107"/>
    </row>
    <row r="577" spans="1:1">
      <c r="A577" s="107"/>
    </row>
    <row r="578" spans="1:1">
      <c r="A578" s="107"/>
    </row>
    <row r="579" spans="1:1">
      <c r="A579" s="107"/>
    </row>
    <row r="580" spans="1:1">
      <c r="A580" s="107"/>
    </row>
    <row r="581" spans="1:1">
      <c r="A581" s="107"/>
    </row>
    <row r="582" spans="1:1">
      <c r="A582" s="107"/>
    </row>
    <row r="583" spans="1:1">
      <c r="A583" s="107"/>
    </row>
    <row r="584" spans="1:1">
      <c r="A584" s="107"/>
    </row>
    <row r="585" spans="1:1">
      <c r="A585" s="107"/>
    </row>
    <row r="586" spans="1:1">
      <c r="A586" s="107"/>
    </row>
    <row r="587" spans="1:1">
      <c r="A587" s="107"/>
    </row>
    <row r="588" spans="1:1">
      <c r="A588" s="107"/>
    </row>
    <row r="589" spans="1:1">
      <c r="A589" s="107"/>
    </row>
    <row r="590" spans="1:1">
      <c r="A590" s="107"/>
    </row>
    <row r="591" spans="1:1">
      <c r="A591" s="107"/>
    </row>
    <row r="592" spans="1:1">
      <c r="A592" s="107"/>
    </row>
    <row r="593" spans="1:1">
      <c r="A593" s="107"/>
    </row>
    <row r="594" spans="1:1">
      <c r="A594" s="107"/>
    </row>
    <row r="595" spans="1:1">
      <c r="A595" s="107"/>
    </row>
    <row r="596" spans="1:1">
      <c r="A596" s="107"/>
    </row>
    <row r="597" spans="1:1">
      <c r="A597" s="107"/>
    </row>
    <row r="598" spans="1:1">
      <c r="A598" s="107"/>
    </row>
    <row r="599" spans="1:1">
      <c r="A599" s="107"/>
    </row>
    <row r="600" spans="1:1">
      <c r="A600" s="107"/>
    </row>
    <row r="601" spans="1:1">
      <c r="A601" s="107"/>
    </row>
    <row r="602" spans="1:1">
      <c r="A602" s="107"/>
    </row>
    <row r="603" spans="1:1">
      <c r="A603" s="107"/>
    </row>
    <row r="604" spans="1:1">
      <c r="A604" s="107"/>
    </row>
    <row r="605" spans="1:1">
      <c r="A605" s="107"/>
    </row>
    <row r="606" spans="1:1">
      <c r="A606" s="107"/>
    </row>
    <row r="607" spans="1:1">
      <c r="A607" s="107"/>
    </row>
    <row r="608" spans="1:1">
      <c r="A608" s="107"/>
    </row>
    <row r="609" spans="1:1">
      <c r="A609" s="107"/>
    </row>
    <row r="610" spans="1:1">
      <c r="A610" s="107"/>
    </row>
    <row r="611" spans="1:1">
      <c r="A611" s="107"/>
    </row>
    <row r="612" spans="1:1">
      <c r="A612" s="107"/>
    </row>
    <row r="613" spans="1:1">
      <c r="A613" s="107"/>
    </row>
    <row r="614" spans="1:1">
      <c r="A614" s="107"/>
    </row>
    <row r="615" spans="1:1">
      <c r="A615" s="107"/>
    </row>
    <row r="616" spans="1:1">
      <c r="A616" s="107"/>
    </row>
    <row r="617" spans="1:1">
      <c r="A617" s="107"/>
    </row>
    <row r="618" spans="1:1">
      <c r="A618" s="107"/>
    </row>
    <row r="619" spans="1:1">
      <c r="A619" s="107"/>
    </row>
    <row r="620" spans="1:1">
      <c r="A620" s="107"/>
    </row>
    <row r="621" spans="1:1">
      <c r="A621" s="107"/>
    </row>
    <row r="622" spans="1:1">
      <c r="A622" s="107"/>
    </row>
    <row r="623" spans="1:1">
      <c r="A623" s="107"/>
    </row>
    <row r="624" spans="1:1">
      <c r="A624" s="107"/>
    </row>
    <row r="625" spans="1:1">
      <c r="A625" s="107"/>
    </row>
    <row r="626" spans="1:1">
      <c r="A626" s="107"/>
    </row>
    <row r="627" spans="1:1">
      <c r="A627" s="107"/>
    </row>
    <row r="628" spans="1:1">
      <c r="A628" s="107"/>
    </row>
    <row r="629" spans="1:1">
      <c r="A629" s="107"/>
    </row>
    <row r="630" spans="1:1">
      <c r="A630" s="107"/>
    </row>
    <row r="631" spans="1:1">
      <c r="A631" s="107"/>
    </row>
    <row r="632" spans="1:1">
      <c r="A632" s="107"/>
    </row>
    <row r="633" spans="1:1">
      <c r="A633" s="107"/>
    </row>
    <row r="634" spans="1:1">
      <c r="A634" s="107"/>
    </row>
    <row r="635" spans="1:1">
      <c r="A635" s="107"/>
    </row>
    <row r="636" spans="1:1">
      <c r="A636" s="107"/>
    </row>
    <row r="637" spans="1:1">
      <c r="A637" s="107"/>
    </row>
    <row r="638" spans="1:1">
      <c r="A638" s="107"/>
    </row>
    <row r="639" spans="1:1">
      <c r="A639" s="107"/>
    </row>
    <row r="640" spans="1:1">
      <c r="A640" s="107"/>
    </row>
    <row r="641" spans="1:1">
      <c r="A641" s="107"/>
    </row>
    <row r="642" spans="1:1">
      <c r="A642" s="107"/>
    </row>
    <row r="643" spans="1:1">
      <c r="A643" s="107"/>
    </row>
    <row r="644" spans="1:1">
      <c r="A644" s="107"/>
    </row>
    <row r="645" spans="1:1">
      <c r="A645" s="107"/>
    </row>
    <row r="646" spans="1:1">
      <c r="A646" s="107"/>
    </row>
    <row r="647" spans="1:1">
      <c r="A647" s="107"/>
    </row>
    <row r="648" spans="1:1">
      <c r="A648" s="107"/>
    </row>
    <row r="649" spans="1:1">
      <c r="A649" s="107"/>
    </row>
    <row r="650" spans="1:1">
      <c r="A650" s="107"/>
    </row>
    <row r="651" spans="1:1">
      <c r="A651" s="107"/>
    </row>
    <row r="652" spans="1:1">
      <c r="A652" s="107"/>
    </row>
    <row r="653" spans="1:1">
      <c r="A653" s="107"/>
    </row>
    <row r="654" spans="1:1">
      <c r="A654" s="107"/>
    </row>
    <row r="655" spans="1:1">
      <c r="A655" s="107"/>
    </row>
    <row r="656" spans="1:1">
      <c r="A656" s="107"/>
    </row>
    <row r="657" spans="1:1">
      <c r="A657" s="107"/>
    </row>
    <row r="658" spans="1:1">
      <c r="A658" s="107"/>
    </row>
    <row r="659" spans="1:1">
      <c r="A659" s="107"/>
    </row>
    <row r="660" spans="1:1">
      <c r="A660" s="107"/>
    </row>
    <row r="661" spans="1:1">
      <c r="A661" s="107"/>
    </row>
    <row r="662" spans="1:1">
      <c r="A662" s="107"/>
    </row>
    <row r="663" spans="1:1">
      <c r="A663" s="107"/>
    </row>
    <row r="664" spans="1:1">
      <c r="A664" s="107"/>
    </row>
    <row r="665" spans="1:1">
      <c r="A665" s="107"/>
    </row>
    <row r="666" spans="1:1">
      <c r="A666" s="107"/>
    </row>
    <row r="667" spans="1:1">
      <c r="A667" s="107"/>
    </row>
    <row r="668" spans="1:1">
      <c r="A668" s="107"/>
    </row>
    <row r="669" spans="1:1">
      <c r="A669" s="107"/>
    </row>
    <row r="670" spans="1:1">
      <c r="A670" s="107"/>
    </row>
    <row r="671" spans="1:1">
      <c r="A671" s="107"/>
    </row>
    <row r="672" spans="1:1">
      <c r="A672" s="107"/>
    </row>
    <row r="673" spans="1:1">
      <c r="A673" s="107"/>
    </row>
    <row r="674" spans="1:1">
      <c r="A674" s="107"/>
    </row>
    <row r="675" spans="1:1">
      <c r="A675" s="107"/>
    </row>
    <row r="676" spans="1:1">
      <c r="A676" s="107"/>
    </row>
    <row r="677" spans="1:1">
      <c r="A677" s="107"/>
    </row>
    <row r="678" spans="1:1">
      <c r="A678" s="107"/>
    </row>
    <row r="679" spans="1:1">
      <c r="A679" s="107"/>
    </row>
    <row r="680" spans="1:1">
      <c r="A680" s="107"/>
    </row>
    <row r="681" spans="1:1">
      <c r="A681" s="107"/>
    </row>
    <row r="682" spans="1:1">
      <c r="A682" s="107"/>
    </row>
    <row r="683" spans="1:1">
      <c r="A683" s="107"/>
    </row>
    <row r="684" spans="1:1">
      <c r="A684" s="107"/>
    </row>
    <row r="685" spans="1:1">
      <c r="A685" s="107"/>
    </row>
    <row r="686" spans="1:1">
      <c r="A686" s="107"/>
    </row>
    <row r="687" spans="1:1">
      <c r="A687" s="107"/>
    </row>
    <row r="688" spans="1:1">
      <c r="A688" s="107"/>
    </row>
    <row r="689" spans="1:1">
      <c r="A689" s="107"/>
    </row>
    <row r="690" spans="1:1">
      <c r="A690" s="107"/>
    </row>
    <row r="691" spans="1:1">
      <c r="A691" s="107"/>
    </row>
    <row r="692" spans="1:1">
      <c r="A692" s="107"/>
    </row>
    <row r="693" spans="1:1">
      <c r="A693" s="107"/>
    </row>
    <row r="694" spans="1:1">
      <c r="A694" s="107"/>
    </row>
    <row r="695" spans="1:1">
      <c r="A695" s="107"/>
    </row>
    <row r="696" spans="1:1">
      <c r="A696" s="107"/>
    </row>
    <row r="697" spans="1:1">
      <c r="A697" s="107"/>
    </row>
    <row r="698" spans="1:1">
      <c r="A698" s="107"/>
    </row>
    <row r="699" spans="1:1">
      <c r="A699" s="107"/>
    </row>
    <row r="700" spans="1:1">
      <c r="A700" s="107"/>
    </row>
    <row r="701" spans="1:1">
      <c r="A701" s="107"/>
    </row>
    <row r="702" spans="1:1">
      <c r="A702" s="107"/>
    </row>
    <row r="703" spans="1:1">
      <c r="A703" s="107"/>
    </row>
    <row r="704" spans="1:1">
      <c r="A704" s="107"/>
    </row>
    <row r="705" spans="1:1">
      <c r="A705" s="107"/>
    </row>
    <row r="706" spans="1:1">
      <c r="A706" s="107"/>
    </row>
    <row r="707" spans="1:1">
      <c r="A707" s="107"/>
    </row>
    <row r="708" spans="1:1">
      <c r="A708" s="107"/>
    </row>
    <row r="709" spans="1:1">
      <c r="A709" s="107"/>
    </row>
    <row r="710" spans="1:1">
      <c r="A710" s="107"/>
    </row>
    <row r="711" spans="1:1">
      <c r="A711" s="107"/>
    </row>
    <row r="712" spans="1:1">
      <c r="A712" s="107"/>
    </row>
    <row r="713" spans="1:1">
      <c r="A713" s="107"/>
    </row>
    <row r="714" spans="1:1">
      <c r="A714" s="107"/>
    </row>
    <row r="715" spans="1:1">
      <c r="A715" s="107"/>
    </row>
    <row r="716" spans="1:1">
      <c r="A716" s="107"/>
    </row>
    <row r="717" spans="1:1">
      <c r="A717" s="107"/>
    </row>
    <row r="718" spans="1:1">
      <c r="A718" s="107"/>
    </row>
    <row r="719" spans="1:1">
      <c r="A719" s="107"/>
    </row>
    <row r="720" spans="1:1">
      <c r="A720" s="107"/>
    </row>
    <row r="721" spans="1:1">
      <c r="A721" s="107"/>
    </row>
    <row r="722" spans="1:1">
      <c r="A722" s="107"/>
    </row>
    <row r="723" spans="1:1">
      <c r="A723" s="107"/>
    </row>
    <row r="724" spans="1:1">
      <c r="A724" s="107"/>
    </row>
    <row r="725" spans="1:1">
      <c r="A725" s="107"/>
    </row>
    <row r="726" spans="1:1">
      <c r="A726" s="107"/>
    </row>
    <row r="727" spans="1:1">
      <c r="A727" s="107"/>
    </row>
    <row r="728" spans="1:1">
      <c r="A728" s="107"/>
    </row>
    <row r="729" spans="1:1">
      <c r="A729" s="107"/>
    </row>
    <row r="730" spans="1:1">
      <c r="A730" s="107"/>
    </row>
    <row r="731" spans="1:1">
      <c r="A731" s="107"/>
    </row>
    <row r="732" spans="1:1">
      <c r="A732" s="107"/>
    </row>
    <row r="733" spans="1:1">
      <c r="A733" s="107"/>
    </row>
    <row r="734" spans="1:1">
      <c r="A734" s="107"/>
    </row>
    <row r="735" spans="1:1">
      <c r="A735" s="107"/>
    </row>
    <row r="736" spans="1:1">
      <c r="A736" s="107"/>
    </row>
    <row r="737" spans="1:45">
      <c r="A737" s="107"/>
    </row>
    <row r="738" spans="1:45">
      <c r="A738" s="107"/>
    </row>
    <row r="739" spans="1:45">
      <c r="A739" s="107"/>
    </row>
    <row r="740" spans="1:45">
      <c r="A740" s="107"/>
    </row>
    <row r="741" spans="1:45">
      <c r="A741" s="107"/>
    </row>
    <row r="742" spans="1:45">
      <c r="A742" s="107"/>
    </row>
    <row r="743" spans="1:45">
      <c r="A743" s="107"/>
    </row>
    <row r="744" spans="1:45">
      <c r="A744" s="107"/>
    </row>
    <row r="745" spans="1:45">
      <c r="A745" s="107"/>
    </row>
    <row r="746" spans="1:45">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c r="AA746" s="108"/>
      <c r="AB746" s="108"/>
      <c r="AC746" s="108"/>
      <c r="AD746" s="108"/>
      <c r="AE746" s="108"/>
      <c r="AF746" s="108"/>
      <c r="AG746" s="108"/>
      <c r="AH746" s="108"/>
      <c r="AI746" s="108"/>
      <c r="AJ746" s="108"/>
      <c r="AK746" s="108"/>
      <c r="AL746" s="108"/>
      <c r="AM746" s="108"/>
      <c r="AN746" s="108"/>
      <c r="AO746" s="108"/>
      <c r="AP746" s="108"/>
      <c r="AQ746" s="108"/>
      <c r="AR746" s="108"/>
      <c r="AS746" s="108"/>
    </row>
    <row r="747" spans="1:45">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c r="AA747" s="108"/>
      <c r="AB747" s="108"/>
      <c r="AC747" s="108"/>
      <c r="AD747" s="108"/>
      <c r="AE747" s="108"/>
      <c r="AF747" s="108"/>
      <c r="AG747" s="108"/>
      <c r="AH747" s="108"/>
      <c r="AI747" s="108"/>
      <c r="AJ747" s="108"/>
      <c r="AK747" s="108"/>
      <c r="AL747" s="108"/>
      <c r="AM747" s="108"/>
      <c r="AN747" s="108"/>
      <c r="AO747" s="108"/>
      <c r="AP747" s="108"/>
      <c r="AQ747" s="108"/>
      <c r="AR747" s="108"/>
      <c r="AS747" s="108"/>
    </row>
    <row r="748" spans="1:45">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c r="AA748" s="108"/>
      <c r="AB748" s="108"/>
      <c r="AC748" s="108"/>
      <c r="AD748" s="108"/>
      <c r="AE748" s="108"/>
      <c r="AF748" s="108"/>
      <c r="AG748" s="108"/>
      <c r="AH748" s="108"/>
      <c r="AI748" s="108"/>
      <c r="AJ748" s="108"/>
      <c r="AK748" s="108"/>
      <c r="AL748" s="108"/>
      <c r="AM748" s="108"/>
      <c r="AN748" s="108"/>
      <c r="AO748" s="108"/>
      <c r="AP748" s="108"/>
      <c r="AQ748" s="108"/>
      <c r="AR748" s="108"/>
      <c r="AS748" s="108"/>
    </row>
    <row r="749" spans="1:45">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c r="AA749" s="108"/>
      <c r="AB749" s="108"/>
      <c r="AC749" s="108"/>
      <c r="AD749" s="108"/>
      <c r="AE749" s="108"/>
      <c r="AF749" s="108"/>
      <c r="AG749" s="108"/>
      <c r="AH749" s="108"/>
      <c r="AI749" s="108"/>
      <c r="AJ749" s="108"/>
      <c r="AK749" s="108"/>
      <c r="AL749" s="108"/>
      <c r="AM749" s="108"/>
      <c r="AN749" s="108"/>
      <c r="AO749" s="108"/>
      <c r="AP749" s="108"/>
      <c r="AQ749" s="108"/>
      <c r="AR749" s="108"/>
      <c r="AS749" s="108"/>
    </row>
    <row r="750" spans="1:45">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c r="AA750" s="108"/>
      <c r="AB750" s="108"/>
      <c r="AC750" s="108"/>
      <c r="AD750" s="108"/>
      <c r="AE750" s="108"/>
      <c r="AF750" s="108"/>
      <c r="AG750" s="108"/>
      <c r="AH750" s="108"/>
      <c r="AI750" s="108"/>
      <c r="AJ750" s="108"/>
      <c r="AK750" s="108"/>
      <c r="AL750" s="108"/>
      <c r="AM750" s="108"/>
      <c r="AN750" s="108"/>
      <c r="AO750" s="108"/>
      <c r="AP750" s="108"/>
      <c r="AQ750" s="108"/>
      <c r="AR750" s="108"/>
      <c r="AS750" s="108"/>
    </row>
    <row r="751" spans="1:45">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c r="AA751" s="108"/>
      <c r="AB751" s="108"/>
      <c r="AC751" s="108"/>
      <c r="AD751" s="108"/>
      <c r="AE751" s="108"/>
      <c r="AF751" s="108"/>
      <c r="AG751" s="108"/>
      <c r="AH751" s="108"/>
      <c r="AI751" s="108"/>
      <c r="AJ751" s="108"/>
      <c r="AK751" s="108"/>
      <c r="AL751" s="108"/>
      <c r="AM751" s="108"/>
      <c r="AN751" s="108"/>
      <c r="AO751" s="108"/>
      <c r="AP751" s="108"/>
      <c r="AQ751" s="108"/>
      <c r="AR751" s="108"/>
      <c r="AS751" s="108"/>
    </row>
    <row r="752" spans="1:45">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c r="AA752" s="108"/>
      <c r="AB752" s="108"/>
      <c r="AC752" s="108"/>
      <c r="AD752" s="108"/>
      <c r="AE752" s="108"/>
      <c r="AF752" s="108"/>
      <c r="AG752" s="108"/>
      <c r="AH752" s="108"/>
      <c r="AI752" s="108"/>
      <c r="AJ752" s="108"/>
      <c r="AK752" s="108"/>
      <c r="AL752" s="108"/>
      <c r="AM752" s="108"/>
      <c r="AN752" s="108"/>
      <c r="AO752" s="108"/>
      <c r="AP752" s="108"/>
      <c r="AQ752" s="108"/>
      <c r="AR752" s="108"/>
      <c r="AS752" s="108"/>
    </row>
    <row r="753" spans="1:45">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c r="AA753" s="108"/>
      <c r="AB753" s="108"/>
      <c r="AC753" s="108"/>
      <c r="AD753" s="108"/>
      <c r="AE753" s="108"/>
      <c r="AF753" s="108"/>
      <c r="AG753" s="108"/>
      <c r="AH753" s="108"/>
      <c r="AI753" s="108"/>
      <c r="AJ753" s="108"/>
      <c r="AK753" s="108"/>
      <c r="AL753" s="108"/>
      <c r="AM753" s="108"/>
      <c r="AN753" s="108"/>
      <c r="AO753" s="108"/>
      <c r="AP753" s="108"/>
      <c r="AQ753" s="108"/>
      <c r="AR753" s="108"/>
      <c r="AS753" s="108"/>
    </row>
    <row r="754" spans="1:45">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c r="AA754" s="108"/>
      <c r="AB754" s="108"/>
      <c r="AC754" s="108"/>
      <c r="AD754" s="108"/>
      <c r="AE754" s="108"/>
      <c r="AF754" s="108"/>
      <c r="AG754" s="108"/>
      <c r="AH754" s="108"/>
      <c r="AI754" s="108"/>
      <c r="AJ754" s="108"/>
      <c r="AK754" s="108"/>
      <c r="AL754" s="108"/>
      <c r="AM754" s="108"/>
      <c r="AN754" s="108"/>
      <c r="AO754" s="108"/>
      <c r="AP754" s="108"/>
      <c r="AQ754" s="108"/>
      <c r="AR754" s="108"/>
      <c r="AS754" s="108"/>
    </row>
    <row r="755" spans="1:4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c r="AA755" s="108"/>
      <c r="AB755" s="108"/>
      <c r="AC755" s="108"/>
      <c r="AD755" s="108"/>
      <c r="AE755" s="108"/>
      <c r="AF755" s="108"/>
      <c r="AG755" s="108"/>
      <c r="AH755" s="108"/>
      <c r="AI755" s="108"/>
      <c r="AJ755" s="108"/>
      <c r="AK755" s="108"/>
      <c r="AL755" s="108"/>
      <c r="AM755" s="108"/>
      <c r="AN755" s="108"/>
      <c r="AO755" s="108"/>
      <c r="AP755" s="108"/>
      <c r="AQ755" s="108"/>
      <c r="AR755" s="108"/>
      <c r="AS755" s="108"/>
    </row>
    <row r="756" spans="1:45">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c r="AA756" s="108"/>
      <c r="AB756" s="108"/>
      <c r="AC756" s="108"/>
      <c r="AD756" s="108"/>
      <c r="AE756" s="108"/>
      <c r="AF756" s="108"/>
      <c r="AG756" s="108"/>
      <c r="AH756" s="108"/>
      <c r="AI756" s="108"/>
      <c r="AJ756" s="108"/>
      <c r="AK756" s="108"/>
      <c r="AL756" s="108"/>
      <c r="AM756" s="108"/>
      <c r="AN756" s="108"/>
      <c r="AO756" s="108"/>
      <c r="AP756" s="108"/>
      <c r="AQ756" s="108"/>
      <c r="AR756" s="108"/>
      <c r="AS756" s="108"/>
    </row>
    <row r="757" spans="1:45">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c r="AA757" s="108"/>
      <c r="AB757" s="108"/>
      <c r="AC757" s="108"/>
      <c r="AD757" s="108"/>
      <c r="AE757" s="108"/>
      <c r="AF757" s="108"/>
      <c r="AG757" s="108"/>
      <c r="AH757" s="108"/>
      <c r="AI757" s="108"/>
      <c r="AJ757" s="108"/>
      <c r="AK757" s="108"/>
      <c r="AL757" s="108"/>
      <c r="AM757" s="108"/>
      <c r="AN757" s="108"/>
      <c r="AO757" s="108"/>
      <c r="AP757" s="108"/>
      <c r="AQ757" s="108"/>
      <c r="AR757" s="108"/>
      <c r="AS757" s="108"/>
    </row>
    <row r="758" spans="1:45">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c r="AA758" s="108"/>
      <c r="AB758" s="108"/>
      <c r="AC758" s="108"/>
      <c r="AD758" s="108"/>
      <c r="AE758" s="108"/>
      <c r="AF758" s="108"/>
      <c r="AG758" s="108"/>
      <c r="AH758" s="108"/>
      <c r="AI758" s="108"/>
      <c r="AJ758" s="108"/>
      <c r="AK758" s="108"/>
      <c r="AL758" s="108"/>
      <c r="AM758" s="108"/>
      <c r="AN758" s="108"/>
      <c r="AO758" s="108"/>
      <c r="AP758" s="108"/>
      <c r="AQ758" s="108"/>
      <c r="AR758" s="108"/>
      <c r="AS758" s="108"/>
    </row>
    <row r="759" spans="1:45">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c r="AA759" s="108"/>
      <c r="AB759" s="108"/>
      <c r="AC759" s="108"/>
      <c r="AD759" s="108"/>
      <c r="AE759" s="108"/>
      <c r="AF759" s="108"/>
      <c r="AG759" s="108"/>
      <c r="AH759" s="108"/>
      <c r="AI759" s="108"/>
      <c r="AJ759" s="108"/>
      <c r="AK759" s="108"/>
      <c r="AL759" s="108"/>
      <c r="AM759" s="108"/>
      <c r="AN759" s="108"/>
      <c r="AO759" s="108"/>
      <c r="AP759" s="108"/>
      <c r="AQ759" s="108"/>
      <c r="AR759" s="108"/>
      <c r="AS759" s="108"/>
    </row>
    <row r="760" spans="1:45">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c r="AA760" s="108"/>
      <c r="AB760" s="108"/>
      <c r="AC760" s="108"/>
      <c r="AD760" s="108"/>
      <c r="AE760" s="108"/>
      <c r="AF760" s="108"/>
      <c r="AG760" s="108"/>
      <c r="AH760" s="108"/>
      <c r="AI760" s="108"/>
      <c r="AJ760" s="108"/>
      <c r="AK760" s="108"/>
      <c r="AL760" s="108"/>
      <c r="AM760" s="108"/>
      <c r="AN760" s="108"/>
      <c r="AO760" s="108"/>
      <c r="AP760" s="108"/>
      <c r="AQ760" s="108"/>
      <c r="AR760" s="108"/>
      <c r="AS760" s="108"/>
    </row>
    <row r="761" spans="1:45">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c r="AA761" s="108"/>
      <c r="AB761" s="108"/>
      <c r="AC761" s="108"/>
      <c r="AD761" s="108"/>
      <c r="AE761" s="108"/>
      <c r="AF761" s="108"/>
      <c r="AG761" s="108"/>
      <c r="AH761" s="108"/>
      <c r="AI761" s="108"/>
      <c r="AJ761" s="108"/>
      <c r="AK761" s="108"/>
      <c r="AL761" s="108"/>
      <c r="AM761" s="108"/>
      <c r="AN761" s="108"/>
      <c r="AO761" s="108"/>
      <c r="AP761" s="108"/>
      <c r="AQ761" s="108"/>
      <c r="AR761" s="108"/>
      <c r="AS761" s="108"/>
    </row>
    <row r="762" spans="1:45">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c r="AA762" s="108"/>
      <c r="AB762" s="108"/>
      <c r="AC762" s="108"/>
      <c r="AD762" s="108"/>
      <c r="AE762" s="108"/>
      <c r="AF762" s="108"/>
      <c r="AG762" s="108"/>
      <c r="AH762" s="108"/>
      <c r="AI762" s="108"/>
      <c r="AJ762" s="108"/>
      <c r="AK762" s="108"/>
      <c r="AL762" s="108"/>
      <c r="AM762" s="108"/>
      <c r="AN762" s="108"/>
      <c r="AO762" s="108"/>
      <c r="AP762" s="108"/>
      <c r="AQ762" s="108"/>
      <c r="AR762" s="108"/>
      <c r="AS762" s="108"/>
    </row>
    <row r="763" spans="1:45">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c r="AA763" s="108"/>
      <c r="AB763" s="108"/>
      <c r="AC763" s="108"/>
      <c r="AD763" s="108"/>
      <c r="AE763" s="108"/>
      <c r="AF763" s="108"/>
      <c r="AG763" s="108"/>
      <c r="AH763" s="108"/>
      <c r="AI763" s="108"/>
      <c r="AJ763" s="108"/>
      <c r="AK763" s="108"/>
      <c r="AL763" s="108"/>
      <c r="AM763" s="108"/>
      <c r="AN763" s="108"/>
      <c r="AO763" s="108"/>
      <c r="AP763" s="108"/>
      <c r="AQ763" s="108"/>
      <c r="AR763" s="108"/>
      <c r="AS763" s="108"/>
    </row>
    <row r="764" spans="1:45">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c r="AA764" s="108"/>
      <c r="AB764" s="108"/>
      <c r="AC764" s="108"/>
      <c r="AD764" s="108"/>
      <c r="AE764" s="108"/>
      <c r="AF764" s="108"/>
      <c r="AG764" s="108"/>
      <c r="AH764" s="108"/>
      <c r="AI764" s="108"/>
      <c r="AJ764" s="108"/>
      <c r="AK764" s="108"/>
      <c r="AL764" s="108"/>
      <c r="AM764" s="108"/>
      <c r="AN764" s="108"/>
      <c r="AO764" s="108"/>
      <c r="AP764" s="108"/>
      <c r="AQ764" s="108"/>
      <c r="AR764" s="108"/>
      <c r="AS764" s="108"/>
    </row>
    <row r="765" spans="1:4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c r="AA765" s="108"/>
      <c r="AB765" s="108"/>
      <c r="AC765" s="108"/>
      <c r="AD765" s="108"/>
      <c r="AE765" s="108"/>
      <c r="AF765" s="108"/>
      <c r="AG765" s="108"/>
      <c r="AH765" s="108"/>
      <c r="AI765" s="108"/>
      <c r="AJ765" s="108"/>
      <c r="AK765" s="108"/>
      <c r="AL765" s="108"/>
      <c r="AM765" s="108"/>
      <c r="AN765" s="108"/>
      <c r="AO765" s="108"/>
      <c r="AP765" s="108"/>
      <c r="AQ765" s="108"/>
      <c r="AR765" s="108"/>
      <c r="AS765" s="108"/>
    </row>
    <row r="766" spans="1:45">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c r="AA766" s="108"/>
      <c r="AB766" s="108"/>
      <c r="AC766" s="108"/>
      <c r="AD766" s="108"/>
      <c r="AE766" s="108"/>
      <c r="AF766" s="108"/>
      <c r="AG766" s="108"/>
      <c r="AH766" s="108"/>
      <c r="AI766" s="108"/>
      <c r="AJ766" s="108"/>
      <c r="AK766" s="108"/>
      <c r="AL766" s="108"/>
      <c r="AM766" s="108"/>
      <c r="AN766" s="108"/>
      <c r="AO766" s="108"/>
      <c r="AP766" s="108"/>
      <c r="AQ766" s="108"/>
      <c r="AR766" s="108"/>
      <c r="AS766" s="108"/>
    </row>
    <row r="767" spans="1:45">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c r="AA767" s="108"/>
      <c r="AB767" s="108"/>
      <c r="AC767" s="108"/>
      <c r="AD767" s="108"/>
      <c r="AE767" s="108"/>
      <c r="AF767" s="108"/>
      <c r="AG767" s="108"/>
      <c r="AH767" s="108"/>
      <c r="AI767" s="108"/>
      <c r="AJ767" s="108"/>
      <c r="AK767" s="108"/>
      <c r="AL767" s="108"/>
      <c r="AM767" s="108"/>
      <c r="AN767" s="108"/>
      <c r="AO767" s="108"/>
      <c r="AP767" s="108"/>
      <c r="AQ767" s="108"/>
      <c r="AR767" s="108"/>
      <c r="AS767" s="108"/>
    </row>
  </sheetData>
  <phoneticPr fontId="53" type="noConversion"/>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ySplit="2" topLeftCell="B3" activePane="bottomRight" state="froze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73" customWidth="1"/>
    <col min="6" max="6" width="11.125" style="73" customWidth="1"/>
    <col min="7" max="7" width="14.625" style="73" customWidth="1"/>
    <col min="8" max="8" width="11.25" style="73" customWidth="1"/>
    <col min="9" max="9" width="7.125" style="73" customWidth="1"/>
    <col min="10" max="10" width="5.5" style="73" customWidth="1"/>
    <col min="11" max="11" width="5.125" style="73" customWidth="1"/>
    <col min="12" max="12" width="11.625" style="73"/>
    <col min="13" max="13" width="10.25" style="74"/>
    <col min="14" max="14" width="11" style="74"/>
    <col min="17" max="17" width="10.375"/>
    <col min="18" max="18" width="11.5" style="73"/>
    <col min="19" max="19" width="11" style="73" customWidth="1"/>
    <col min="20" max="20" width="9.375" style="73" customWidth="1"/>
    <col min="21" max="21" width="10.25" style="73" customWidth="1"/>
    <col min="22" max="24" width="7.5" style="73" customWidth="1"/>
    <col min="25" max="25" width="11" style="73"/>
    <col min="26" max="27" width="12.625" style="74" customWidth="1"/>
    <col min="30" max="31" width="11.5" style="73"/>
    <col min="32" max="32" width="12.25" style="73" customWidth="1"/>
    <col min="33" max="34" width="12.625" style="74"/>
  </cols>
  <sheetData>
    <row r="1" spans="1:34" ht="18.75">
      <c r="A1" s="75"/>
      <c r="B1" s="372" t="s">
        <v>207</v>
      </c>
      <c r="C1" s="372"/>
      <c r="D1" s="372"/>
      <c r="E1" s="372"/>
      <c r="F1" s="372"/>
      <c r="G1" s="372"/>
      <c r="H1" s="372"/>
      <c r="I1" s="372"/>
      <c r="J1" s="372"/>
      <c r="K1" s="372"/>
      <c r="L1" s="372"/>
      <c r="M1" s="372"/>
      <c r="N1" s="372"/>
      <c r="O1" s="373" t="s">
        <v>208</v>
      </c>
      <c r="P1" s="373"/>
      <c r="Q1" s="373"/>
      <c r="R1" s="373"/>
      <c r="S1" s="373"/>
      <c r="T1" s="373"/>
      <c r="U1" s="373"/>
      <c r="V1" s="373"/>
      <c r="W1" s="373"/>
      <c r="X1" s="373"/>
      <c r="Y1" s="373"/>
      <c r="Z1" s="373"/>
      <c r="AA1" s="373"/>
      <c r="AB1" s="374" t="s">
        <v>209</v>
      </c>
      <c r="AC1" s="374"/>
      <c r="AD1" s="374"/>
      <c r="AE1" s="374"/>
      <c r="AF1" s="374"/>
      <c r="AG1" s="374"/>
      <c r="AH1" s="374"/>
    </row>
    <row r="2" spans="1:34" ht="18" customHeight="1">
      <c r="A2" s="76"/>
      <c r="B2" s="77" t="s">
        <v>53</v>
      </c>
      <c r="C2" s="77" t="s">
        <v>210</v>
      </c>
      <c r="D2" s="77" t="s">
        <v>211</v>
      </c>
      <c r="E2" s="78" t="s">
        <v>212</v>
      </c>
      <c r="F2" s="24" t="s">
        <v>54</v>
      </c>
      <c r="G2" s="24" t="s">
        <v>55</v>
      </c>
      <c r="H2" s="24" t="s">
        <v>56</v>
      </c>
      <c r="I2" s="24" t="s">
        <v>54</v>
      </c>
      <c r="J2" s="24" t="s">
        <v>55</v>
      </c>
      <c r="K2" s="24" t="s">
        <v>56</v>
      </c>
      <c r="L2" s="86" t="s">
        <v>74</v>
      </c>
      <c r="M2" s="87" t="s">
        <v>213</v>
      </c>
      <c r="N2" s="87" t="s">
        <v>214</v>
      </c>
      <c r="O2" s="88" t="s">
        <v>53</v>
      </c>
      <c r="P2" s="88" t="s">
        <v>210</v>
      </c>
      <c r="Q2" s="88" t="s">
        <v>211</v>
      </c>
      <c r="R2" s="91" t="s">
        <v>212</v>
      </c>
      <c r="S2" s="24" t="s">
        <v>54</v>
      </c>
      <c r="T2" s="24" t="s">
        <v>55</v>
      </c>
      <c r="U2" s="24" t="s">
        <v>56</v>
      </c>
      <c r="V2" s="24" t="s">
        <v>215</v>
      </c>
      <c r="W2" s="24" t="s">
        <v>216</v>
      </c>
      <c r="X2" s="24" t="s">
        <v>217</v>
      </c>
      <c r="Y2" s="93" t="s">
        <v>74</v>
      </c>
      <c r="Z2" s="94" t="s">
        <v>213</v>
      </c>
      <c r="AA2" s="95" t="s">
        <v>214</v>
      </c>
      <c r="AB2" s="96" t="s">
        <v>53</v>
      </c>
      <c r="AC2" s="96" t="s">
        <v>210</v>
      </c>
      <c r="AD2" s="97" t="s">
        <v>211</v>
      </c>
      <c r="AE2" s="97" t="s">
        <v>212</v>
      </c>
      <c r="AF2" s="98" t="s">
        <v>74</v>
      </c>
      <c r="AG2" s="103" t="s">
        <v>213</v>
      </c>
      <c r="AH2" s="87" t="s">
        <v>214</v>
      </c>
    </row>
    <row r="3" spans="1:34">
      <c r="A3" s="79">
        <f>主抽数据!B3</f>
        <v>43344</v>
      </c>
      <c r="B3" s="80">
        <f>SUMIF('5烧主抽电耗'!$A$3:$A$95,A3,'5烧主抽电耗'!$M$3:$M$95)</f>
        <v>0</v>
      </c>
      <c r="C3" s="80">
        <f>SUMIF('5烧主抽电耗'!$A$3:$A$95,A3,'5烧主抽电耗'!$N$3:$N$95)</f>
        <v>0</v>
      </c>
      <c r="D3" s="81">
        <f>SUMIF('5烧主抽电耗'!$A$3:$A$95,A3,'5烧主抽电耗'!$L$3:$L$95)</f>
        <v>226884</v>
      </c>
      <c r="E3" s="82">
        <f>SUMIF('5烧主抽电耗'!$A$3:$A$95,A3,'5烧主抽电耗'!$V$3:$V$95)</f>
        <v>0</v>
      </c>
      <c r="F3" s="82">
        <f>SUMIF(错峰用电!$A$4:$A$189,$A3,错峰用电!N$4:N$189)</f>
        <v>54513</v>
      </c>
      <c r="G3" s="82">
        <f>SUMIF(错峰用电!$A$4:$A$189,$A3,错峰用电!O$4:O$189)</f>
        <v>92880</v>
      </c>
      <c r="H3" s="82">
        <f>SUMIF(错峰用电!$A$4:$A$189,$A3,错峰用电!P$4:P$189)</f>
        <v>79491</v>
      </c>
      <c r="I3" s="89">
        <f>IFERROR(F3/SUM($F3:$H3),0)</f>
        <v>0.2402681546517163</v>
      </c>
      <c r="J3" s="89">
        <f>IFERROR(G3/SUM($F3:$H3),0)</f>
        <v>0.40937219019410798</v>
      </c>
      <c r="K3" s="89">
        <f>IFERROR(H3/SUM($F3:$H3),0)</f>
        <v>0.35035965515417572</v>
      </c>
      <c r="L3" s="82">
        <f>IF(D3=0,0,D3-E3)</f>
        <v>226884</v>
      </c>
      <c r="M3" s="90">
        <f>IF(C3=0,0,D3/C3)</f>
        <v>0</v>
      </c>
      <c r="N3" s="90">
        <f>SUMIF('5烧主抽电耗'!$A$3:$A$96,A3,'5烧主抽电耗'!$AC$3:$AC$96)</f>
        <v>13.613039999999998</v>
      </c>
      <c r="O3" s="80">
        <f>SUMIF('6烧主抽电耗'!$A$3:$A$95,A3,'6烧主抽电耗'!$M$3:$M$95)</f>
        <v>0</v>
      </c>
      <c r="P3" s="80">
        <f>SUMIF('6烧主抽电耗'!$A$3:$A$95,A3,'6烧主抽电耗'!$N$3:$N$95)</f>
        <v>0</v>
      </c>
      <c r="Q3" s="81" t="e">
        <f>SUMIF('6烧主抽电耗'!$A$3:$A$95,A3,'6烧主抽电耗'!$L$3:$L$95)</f>
        <v>#REF!</v>
      </c>
      <c r="R3" s="82">
        <f>SUMIF('6烧主抽电耗'!$A$3:$A$95,A3,'6烧主抽电耗'!$V$3:$V$95)</f>
        <v>0</v>
      </c>
      <c r="S3" s="82">
        <f>SUMIF(错峰用电!$A$4:$A$189,$A3,错峰用电!AC$4:AC$189)</f>
        <v>0</v>
      </c>
      <c r="T3" s="82">
        <f>SUMIF(错峰用电!$A$4:$A$189,$A3,错峰用电!AD$4:AD$189)</f>
        <v>0</v>
      </c>
      <c r="U3" s="82">
        <f>SUMIF(错峰用电!$A$4:$A$189,$A3,错峰用电!AE$4:AE$189)</f>
        <v>0</v>
      </c>
      <c r="V3" s="89">
        <f>IFERROR(S3/SUM($S3:$U3),0)</f>
        <v>0</v>
      </c>
      <c r="W3" s="89">
        <f>IFERROR(T3/SUM($S3:$U3),0)</f>
        <v>0</v>
      </c>
      <c r="X3" s="89">
        <f>IFERROR(U3/SUM($S3:$U3),0)</f>
        <v>0</v>
      </c>
      <c r="Y3" s="82" t="e">
        <f>IF(Q3=0,0,Q3-R3)</f>
        <v>#REF!</v>
      </c>
      <c r="Z3" s="90">
        <f>IF(P3=0,0,Q3/P3)</f>
        <v>0</v>
      </c>
      <c r="AA3" s="90" t="e">
        <f>SUMIF('6烧主抽电耗'!$A$3:$A$96,A3,'6烧主抽电耗'!$AC$3:$AC$96)</f>
        <v>#REF!</v>
      </c>
      <c r="AB3" s="99">
        <f>SUM(B3,O3)</f>
        <v>0</v>
      </c>
      <c r="AC3" s="99">
        <f>SUM(C3,P3)</f>
        <v>0</v>
      </c>
      <c r="AD3" s="100" t="e">
        <f>D3+Q3</f>
        <v>#REF!</v>
      </c>
      <c r="AE3" s="101">
        <f>E3+R3</f>
        <v>0</v>
      </c>
      <c r="AF3" s="101" t="e">
        <f>IF(AD3=0,0,AD3-AE3)</f>
        <v>#REF!</v>
      </c>
      <c r="AG3" s="104">
        <f>IF(AC3=0,0,AD3/AC3)</f>
        <v>0</v>
      </c>
      <c r="AH3" s="90" t="e">
        <f>N3+AA3</f>
        <v>#REF!</v>
      </c>
    </row>
    <row r="4" spans="1:34">
      <c r="A4" s="79">
        <f>A3+1</f>
        <v>43345</v>
      </c>
      <c r="B4" s="80">
        <f>SUMIF('5烧主抽电耗'!$A$3:$A$95,A4,'5烧主抽电耗'!$M$3:$M$95)</f>
        <v>0</v>
      </c>
      <c r="C4" s="80">
        <f>SUMIF('5烧主抽电耗'!$A$3:$A$95,A4,'5烧主抽电耗'!$N$3:$N$95)</f>
        <v>0</v>
      </c>
      <c r="D4" s="81">
        <f>SUMIF('5烧主抽电耗'!$A$3:$A$95,A4,'5烧主抽电耗'!$L$3:$L$95)</f>
        <v>230463</v>
      </c>
      <c r="E4" s="82">
        <f>SUMIF('5烧主抽电耗'!$A$3:$A$95,A4,'5烧主抽电耗'!$V$3:$V$95)</f>
        <v>0</v>
      </c>
      <c r="F4" s="82">
        <f>SUMIF(错峰用电!$A$4:$A$189,$A4,错峰用电!N$4:N$189)</f>
        <v>52065</v>
      </c>
      <c r="G4" s="82">
        <f>SUMIF(错峰用电!$A$4:$A$189,$A4,错峰用电!O$4:O$189)</f>
        <v>101922</v>
      </c>
      <c r="H4" s="82">
        <f>SUMIF(错峰用电!$A$4:$A$189,$A4,错峰用电!P$4:P$189)</f>
        <v>76476</v>
      </c>
      <c r="I4" s="89">
        <f t="shared" ref="I4:I33" si="0">IFERROR(F4/SUM($F4:$H4),0)</f>
        <v>0.22591478892490335</v>
      </c>
      <c r="J4" s="89">
        <f t="shared" ref="J4:J33" si="1">IFERROR(G4/SUM($F4:$H4),0)</f>
        <v>0.44224886424285026</v>
      </c>
      <c r="K4" s="89">
        <f t="shared" ref="K4:K33" si="2">IFERROR(H4/SUM($F4:$H4),0)</f>
        <v>0.33183634683224639</v>
      </c>
      <c r="L4" s="82">
        <f t="shared" ref="L4:L33" si="3">IF(D4=0,0,D4-E4)</f>
        <v>230463</v>
      </c>
      <c r="M4" s="90">
        <f t="shared" ref="M4:M35" si="4">IF(C4=0,0,D4/C4)</f>
        <v>0</v>
      </c>
      <c r="N4" s="90">
        <f>SUMIF('5烧主抽电耗'!$A$3:$A$96,A4,'5烧主抽电耗'!$AC$3:$AC$96)</f>
        <v>13.827780000000001</v>
      </c>
      <c r="O4" s="80">
        <f>SUMIF('6烧主抽电耗'!$A$3:$A$95,A4,'6烧主抽电耗'!$M$3:$M$95)</f>
        <v>0</v>
      </c>
      <c r="P4" s="80">
        <f>SUMIF('6烧主抽电耗'!$A$3:$A$95,A4,'6烧主抽电耗'!$N$3:$N$95)</f>
        <v>0</v>
      </c>
      <c r="Q4" s="81" t="e">
        <f>SUMIF('6烧主抽电耗'!$A$3:$A$95,A4,'6烧主抽电耗'!$L$3:$L$95)</f>
        <v>#REF!</v>
      </c>
      <c r="R4" s="82">
        <f>SUMIF('6烧主抽电耗'!$A$3:$A$95,A4,'6烧主抽电耗'!$V$3:$V$95)</f>
        <v>0</v>
      </c>
      <c r="S4" s="82">
        <f>SUMIF(错峰用电!$A$4:$A$189,$A4,错峰用电!AC$4:AC$189)</f>
        <v>0</v>
      </c>
      <c r="T4" s="82">
        <f>SUMIF(错峰用电!$A$4:$A$189,$A4,错峰用电!AD$4:AD$189)</f>
        <v>0</v>
      </c>
      <c r="U4" s="82">
        <f>SUMIF(错峰用电!$A$4:$A$189,$A4,错峰用电!AE$4:AE$189)</f>
        <v>0</v>
      </c>
      <c r="V4" s="89">
        <f t="shared" ref="V4:V26" si="5">IFERROR(S4/SUM($S4:$U4),0)</f>
        <v>0</v>
      </c>
      <c r="W4" s="89">
        <f t="shared" ref="W4:W33" si="6">IFERROR(T4/SUM($S4:$U4),0)</f>
        <v>0</v>
      </c>
      <c r="X4" s="89">
        <f t="shared" ref="X4:X33" si="7">IFERROR(U4/SUM($S4:$U4),0)</f>
        <v>0</v>
      </c>
      <c r="Y4" s="82" t="e">
        <f t="shared" ref="Y4:Y33" si="8">IF(Q4=0,0,Q4-R4)</f>
        <v>#REF!</v>
      </c>
      <c r="Z4" s="90">
        <f t="shared" ref="Z4:Z35" si="9">IF(P4=0,0,Q4/P4)</f>
        <v>0</v>
      </c>
      <c r="AA4" s="90" t="e">
        <f>SUMIF('6烧主抽电耗'!$A$3:$A$96,A4,'6烧主抽电耗'!$AC$3:$AC$96)</f>
        <v>#REF!</v>
      </c>
      <c r="AB4" s="80">
        <f t="shared" ref="AB4:AB33" si="10">SUM(B4,O4)</f>
        <v>0</v>
      </c>
      <c r="AC4" s="80">
        <f t="shared" ref="AC4:AC33" si="11">SUM(C4,P4)</f>
        <v>0</v>
      </c>
      <c r="AD4" s="92" t="e">
        <f t="shared" ref="AD4:AD33" si="12">D4+Q4</f>
        <v>#REF!</v>
      </c>
      <c r="AE4" s="82">
        <f>AE3</f>
        <v>0</v>
      </c>
      <c r="AF4" s="101" t="e">
        <f t="shared" ref="AF4:AF33" si="13">IF(AD4=0,0,AD4-AE4)</f>
        <v>#REF!</v>
      </c>
      <c r="AG4" s="104">
        <f t="shared" ref="AG4:AG35" si="14">IF(AC4=0,0,AD4/AC4)</f>
        <v>0</v>
      </c>
      <c r="AH4" s="90" t="e">
        <f t="shared" ref="AH4:AH35" si="15">N4+AA4</f>
        <v>#REF!</v>
      </c>
    </row>
    <row r="5" spans="1:34">
      <c r="A5" s="79">
        <f t="shared" ref="A5:A34" si="16">A4+1</f>
        <v>43346</v>
      </c>
      <c r="B5" s="80">
        <f>SUMIF('5烧主抽电耗'!$A$3:$A$95,A5,'5烧主抽电耗'!$M$3:$M$95)</f>
        <v>0</v>
      </c>
      <c r="C5" s="80">
        <f>SUMIF('5烧主抽电耗'!$A$3:$A$95,A5,'5烧主抽电耗'!$N$3:$N$95)</f>
        <v>0</v>
      </c>
      <c r="D5" s="81">
        <f>SUMIF('5烧主抽电耗'!$A$3:$A$95,A5,'5烧主抽电耗'!$L$3:$L$95)</f>
        <v>236598</v>
      </c>
      <c r="E5" s="82">
        <f>SUMIF('5烧主抽电耗'!$A$3:$A$95,A5,'5烧主抽电耗'!$V$3:$V$95)</f>
        <v>0</v>
      </c>
      <c r="F5" s="82">
        <f>SUMIF(错峰用电!$A$4:$A$189,$A5,错峰用电!N$4:N$189)</f>
        <v>58743</v>
      </c>
      <c r="G5" s="82">
        <f>SUMIF(错峰用电!$A$4:$A$189,$A5,错峰用电!O$4:O$189)</f>
        <v>100512</v>
      </c>
      <c r="H5" s="82">
        <f>SUMIF(错峰用电!$A$4:$A$189,$A5,错峰用电!P$4:P$189)</f>
        <v>77343</v>
      </c>
      <c r="I5" s="89">
        <f t="shared" si="0"/>
        <v>0.24828189587401414</v>
      </c>
      <c r="J5" s="89">
        <f t="shared" si="1"/>
        <v>0.42482184971977788</v>
      </c>
      <c r="K5" s="89">
        <f t="shared" si="2"/>
        <v>0.32689625440620801</v>
      </c>
      <c r="L5" s="82">
        <f t="shared" si="3"/>
        <v>236598</v>
      </c>
      <c r="M5" s="90">
        <f t="shared" si="4"/>
        <v>0</v>
      </c>
      <c r="N5" s="90">
        <f>SUMIF('5烧主抽电耗'!$A$3:$A$96,A5,'5烧主抽电耗'!$AC$3:$AC$96)</f>
        <v>14.195879999999999</v>
      </c>
      <c r="O5" s="80">
        <f>SUMIF('6烧主抽电耗'!$A$3:$A$95,A5,'6烧主抽电耗'!$M$3:$M$95)</f>
        <v>0</v>
      </c>
      <c r="P5" s="80">
        <f>SUMIF('6烧主抽电耗'!$A$3:$A$95,A5,'6烧主抽电耗'!$N$3:$N$95)</f>
        <v>0</v>
      </c>
      <c r="Q5" s="81" t="e">
        <f>SUMIF('6烧主抽电耗'!$A$3:$A$95,A5,'6烧主抽电耗'!$L$3:$L$95)</f>
        <v>#REF!</v>
      </c>
      <c r="R5" s="82">
        <f>SUMIF('6烧主抽电耗'!$A$3:$A$95,A5,'6烧主抽电耗'!$V$3:$V$95)</f>
        <v>0</v>
      </c>
      <c r="S5" s="82">
        <f>SUMIF(错峰用电!$A$4:$A$189,$A5,错峰用电!AC$4:AC$189)</f>
        <v>0</v>
      </c>
      <c r="T5" s="82">
        <f>SUMIF(错峰用电!$A$4:$A$189,$A5,错峰用电!AD$4:AD$189)</f>
        <v>0</v>
      </c>
      <c r="U5" s="82">
        <f>SUMIF(错峰用电!$A$4:$A$189,$A5,错峰用电!AE$4:AE$189)</f>
        <v>0</v>
      </c>
      <c r="V5" s="89">
        <f t="shared" si="5"/>
        <v>0</v>
      </c>
      <c r="W5" s="89">
        <f t="shared" si="6"/>
        <v>0</v>
      </c>
      <c r="X5" s="89">
        <f t="shared" si="7"/>
        <v>0</v>
      </c>
      <c r="Y5" s="82" t="e">
        <f t="shared" si="8"/>
        <v>#REF!</v>
      </c>
      <c r="Z5" s="90">
        <f t="shared" si="9"/>
        <v>0</v>
      </c>
      <c r="AA5" s="90" t="e">
        <f>SUMIF('6烧主抽电耗'!$A$3:$A$96,A5,'6烧主抽电耗'!$AC$3:$AC$96)</f>
        <v>#REF!</v>
      </c>
      <c r="AB5" s="80">
        <f t="shared" si="10"/>
        <v>0</v>
      </c>
      <c r="AC5" s="80">
        <f t="shared" si="11"/>
        <v>0</v>
      </c>
      <c r="AD5" s="92" t="e">
        <f t="shared" si="12"/>
        <v>#REF!</v>
      </c>
      <c r="AE5" s="82">
        <f t="shared" ref="AE5:AE33" si="17">AE4</f>
        <v>0</v>
      </c>
      <c r="AF5" s="101" t="e">
        <f t="shared" si="13"/>
        <v>#REF!</v>
      </c>
      <c r="AG5" s="104">
        <f t="shared" si="14"/>
        <v>0</v>
      </c>
      <c r="AH5" s="90" t="e">
        <f t="shared" si="15"/>
        <v>#REF!</v>
      </c>
    </row>
    <row r="6" spans="1:34">
      <c r="A6" s="79">
        <f t="shared" si="16"/>
        <v>43347</v>
      </c>
      <c r="B6" s="80">
        <f>SUMIF('5烧主抽电耗'!$A$3:$A$95,A6,'5烧主抽电耗'!$M$3:$M$95)</f>
        <v>0</v>
      </c>
      <c r="C6" s="80">
        <f>SUMIF('5烧主抽电耗'!$A$3:$A$95,A6,'5烧主抽电耗'!$N$3:$N$95)</f>
        <v>0</v>
      </c>
      <c r="D6" s="81">
        <f>SUMIF('5烧主抽电耗'!$A$3:$A$95,A6,'5烧主抽电耗'!$L$3:$L$95)</f>
        <v>227934</v>
      </c>
      <c r="E6" s="82">
        <f>SUMIF('5烧主抽电耗'!$A$3:$A$95,A6,'5烧主抽电耗'!$V$3:$V$95)</f>
        <v>0</v>
      </c>
      <c r="F6" s="82">
        <f>SUMIF(错峰用电!$A$4:$A$189,$A6,错峰用电!N$4:N$189)</f>
        <v>54837</v>
      </c>
      <c r="G6" s="82">
        <f>SUMIF(错峰用电!$A$4:$A$189,$A6,错峰用电!O$4:O$189)</f>
        <v>96657</v>
      </c>
      <c r="H6" s="82">
        <f>SUMIF(错峰用电!$A$4:$A$189,$A6,错峰用电!P$4:P$189)</f>
        <v>76440</v>
      </c>
      <c r="I6" s="89">
        <f t="shared" si="0"/>
        <v>0.24058280028429282</v>
      </c>
      <c r="J6" s="89">
        <f t="shared" si="1"/>
        <v>0.42405696385795888</v>
      </c>
      <c r="K6" s="89">
        <f t="shared" si="2"/>
        <v>0.33536023585774827</v>
      </c>
      <c r="L6" s="82">
        <f t="shared" si="3"/>
        <v>227934</v>
      </c>
      <c r="M6" s="90">
        <f t="shared" si="4"/>
        <v>0</v>
      </c>
      <c r="N6" s="90">
        <f>SUMIF('5烧主抽电耗'!$A$3:$A$96,A6,'5烧主抽电耗'!$AC$3:$AC$96)</f>
        <v>13.676039999999999</v>
      </c>
      <c r="O6" s="80">
        <f>SUMIF('6烧主抽电耗'!$A$3:$A$95,A6,'6烧主抽电耗'!$M$3:$M$95)</f>
        <v>0</v>
      </c>
      <c r="P6" s="80">
        <f>SUMIF('6烧主抽电耗'!$A$3:$A$95,A6,'6烧主抽电耗'!$N$3:$N$95)</f>
        <v>0</v>
      </c>
      <c r="Q6" s="81" t="e">
        <f>SUMIF('6烧主抽电耗'!$A$3:$A$95,A6,'6烧主抽电耗'!$L$3:$L$95)</f>
        <v>#REF!</v>
      </c>
      <c r="R6" s="82">
        <f>SUMIF('6烧主抽电耗'!$A$3:$A$95,A6,'6烧主抽电耗'!$V$3:$V$95)</f>
        <v>0</v>
      </c>
      <c r="S6" s="82">
        <f>SUMIF(错峰用电!$A$4:$A$189,$A6,错峰用电!AC$4:AC$189)</f>
        <v>0</v>
      </c>
      <c r="T6" s="82">
        <f>SUMIF(错峰用电!$A$4:$A$189,$A6,错峰用电!AD$4:AD$189)</f>
        <v>0</v>
      </c>
      <c r="U6" s="82">
        <f>SUMIF(错峰用电!$A$4:$A$189,$A6,错峰用电!AE$4:AE$189)</f>
        <v>0</v>
      </c>
      <c r="V6" s="89">
        <f t="shared" si="5"/>
        <v>0</v>
      </c>
      <c r="W6" s="89">
        <f t="shared" si="6"/>
        <v>0</v>
      </c>
      <c r="X6" s="89">
        <f t="shared" si="7"/>
        <v>0</v>
      </c>
      <c r="Y6" s="82" t="e">
        <f t="shared" si="8"/>
        <v>#REF!</v>
      </c>
      <c r="Z6" s="90">
        <f t="shared" si="9"/>
        <v>0</v>
      </c>
      <c r="AA6" s="90" t="e">
        <f>SUMIF('6烧主抽电耗'!$A$3:$A$96,A6,'6烧主抽电耗'!$AC$3:$AC$96)</f>
        <v>#REF!</v>
      </c>
      <c r="AB6" s="80">
        <f t="shared" si="10"/>
        <v>0</v>
      </c>
      <c r="AC6" s="80">
        <f t="shared" si="11"/>
        <v>0</v>
      </c>
      <c r="AD6" s="92" t="e">
        <f t="shared" si="12"/>
        <v>#REF!</v>
      </c>
      <c r="AE6" s="82">
        <f t="shared" si="17"/>
        <v>0</v>
      </c>
      <c r="AF6" s="101" t="e">
        <f t="shared" si="13"/>
        <v>#REF!</v>
      </c>
      <c r="AG6" s="104">
        <f t="shared" si="14"/>
        <v>0</v>
      </c>
      <c r="AH6" s="90" t="e">
        <f t="shared" si="15"/>
        <v>#REF!</v>
      </c>
    </row>
    <row r="7" spans="1:34">
      <c r="A7" s="79">
        <f t="shared" si="16"/>
        <v>43348</v>
      </c>
      <c r="B7" s="80">
        <f>SUMIF('5烧主抽电耗'!$A$3:$A$95,A7,'5烧主抽电耗'!$M$3:$M$95)</f>
        <v>0</v>
      </c>
      <c r="C7" s="80">
        <f>SUMIF('5烧主抽电耗'!$A$3:$A$95,A7,'5烧主抽电耗'!$N$3:$N$95)</f>
        <v>0</v>
      </c>
      <c r="D7" s="81">
        <f>SUMIF('5烧主抽电耗'!$A$3:$A$95,A7,'5烧主抽电耗'!$L$3:$L$95)</f>
        <v>225879</v>
      </c>
      <c r="E7" s="82">
        <f>SUMIF('5烧主抽电耗'!$A$3:$A$95,A7,'5烧主抽电耗'!$V$3:$V$95)</f>
        <v>0</v>
      </c>
      <c r="F7" s="82">
        <f>SUMIF(错峰用电!$A$4:$A$189,$A7,错峰用电!N$4:N$189)</f>
        <v>50658</v>
      </c>
      <c r="G7" s="82">
        <f>SUMIF(错峰用电!$A$4:$A$189,$A7,错峰用电!O$4:O$189)</f>
        <v>99342</v>
      </c>
      <c r="H7" s="82">
        <f>SUMIF(错峰用电!$A$4:$A$189,$A7,错峰用电!P$4:P$189)</f>
        <v>75879</v>
      </c>
      <c r="I7" s="89">
        <f t="shared" si="0"/>
        <v>0.22427051651547952</v>
      </c>
      <c r="J7" s="89">
        <f t="shared" si="1"/>
        <v>0.43980184080857448</v>
      </c>
      <c r="K7" s="89">
        <f t="shared" si="2"/>
        <v>0.33592764267594599</v>
      </c>
      <c r="L7" s="82">
        <f t="shared" si="3"/>
        <v>225879</v>
      </c>
      <c r="M7" s="90">
        <f t="shared" si="4"/>
        <v>0</v>
      </c>
      <c r="N7" s="90">
        <f>SUMIF('5烧主抽电耗'!$A$3:$A$96,A7,'5烧主抽电耗'!$AC$3:$AC$96)</f>
        <v>13.55274</v>
      </c>
      <c r="O7" s="80">
        <f>SUMIF('6烧主抽电耗'!$A$3:$A$95,A7,'6烧主抽电耗'!$M$3:$M$95)</f>
        <v>0</v>
      </c>
      <c r="P7" s="80">
        <f>SUMIF('6烧主抽电耗'!$A$3:$A$95,A7,'6烧主抽电耗'!$N$3:$N$95)</f>
        <v>0</v>
      </c>
      <c r="Q7" s="81" t="e">
        <f>SUMIF('6烧主抽电耗'!$A$3:$A$95,A7,'6烧主抽电耗'!$L$3:$L$95)</f>
        <v>#REF!</v>
      </c>
      <c r="R7" s="82">
        <f>SUMIF('6烧主抽电耗'!$A$3:$A$95,A7,'6烧主抽电耗'!$V$3:$V$95)</f>
        <v>0</v>
      </c>
      <c r="S7" s="82">
        <f>SUMIF(错峰用电!$A$4:$A$189,$A7,错峰用电!AC$4:AC$189)</f>
        <v>0</v>
      </c>
      <c r="T7" s="82">
        <f>SUMIF(错峰用电!$A$4:$A$189,$A7,错峰用电!AD$4:AD$189)</f>
        <v>0</v>
      </c>
      <c r="U7" s="82">
        <f>SUMIF(错峰用电!$A$4:$A$189,$A7,错峰用电!AE$4:AE$189)</f>
        <v>0</v>
      </c>
      <c r="V7" s="89">
        <f t="shared" si="5"/>
        <v>0</v>
      </c>
      <c r="W7" s="89">
        <f t="shared" si="6"/>
        <v>0</v>
      </c>
      <c r="X7" s="89">
        <f t="shared" si="7"/>
        <v>0</v>
      </c>
      <c r="Y7" s="82" t="e">
        <f t="shared" si="8"/>
        <v>#REF!</v>
      </c>
      <c r="Z7" s="90">
        <f t="shared" si="9"/>
        <v>0</v>
      </c>
      <c r="AA7" s="90" t="e">
        <f>SUMIF('6烧主抽电耗'!$A$3:$A$96,A7,'6烧主抽电耗'!$AC$3:$AC$96)</f>
        <v>#REF!</v>
      </c>
      <c r="AB7" s="80">
        <f t="shared" si="10"/>
        <v>0</v>
      </c>
      <c r="AC7" s="80">
        <f t="shared" si="11"/>
        <v>0</v>
      </c>
      <c r="AD7" s="92" t="e">
        <f t="shared" si="12"/>
        <v>#REF!</v>
      </c>
      <c r="AE7" s="82">
        <f t="shared" si="17"/>
        <v>0</v>
      </c>
      <c r="AF7" s="101" t="e">
        <f t="shared" si="13"/>
        <v>#REF!</v>
      </c>
      <c r="AG7" s="104">
        <f t="shared" si="14"/>
        <v>0</v>
      </c>
      <c r="AH7" s="90" t="e">
        <f t="shared" si="15"/>
        <v>#REF!</v>
      </c>
    </row>
    <row r="8" spans="1:34">
      <c r="A8" s="79">
        <f t="shared" si="16"/>
        <v>43349</v>
      </c>
      <c r="B8" s="80">
        <f>SUMIF('5烧主抽电耗'!$A$3:$A$95,A8,'5烧主抽电耗'!$M$3:$M$95)</f>
        <v>0</v>
      </c>
      <c r="C8" s="80">
        <f>SUMIF('5烧主抽电耗'!$A$3:$A$95,A8,'5烧主抽电耗'!$N$3:$N$95)</f>
        <v>0</v>
      </c>
      <c r="D8" s="81">
        <f>SUMIF('5烧主抽电耗'!$A$3:$A$95,A8,'5烧主抽电耗'!$L$3:$L$95)</f>
        <v>229467</v>
      </c>
      <c r="E8" s="82">
        <f>SUMIF('5烧主抽电耗'!$A$3:$A$95,A8,'5烧主抽电耗'!$V$3:$V$95)</f>
        <v>0</v>
      </c>
      <c r="F8" s="82">
        <f>SUMIF(错峰用电!$A$4:$A$189,$A8,错峰用电!N$4:N$189)</f>
        <v>54378</v>
      </c>
      <c r="G8" s="82">
        <f>SUMIF(错峰用电!$A$4:$A$189,$A8,错峰用电!O$4:O$189)</f>
        <v>101535</v>
      </c>
      <c r="H8" s="82">
        <f>SUMIF(错峰用电!$A$4:$A$189,$A8,错峰用电!P$4:P$189)</f>
        <v>73554</v>
      </c>
      <c r="I8" s="89">
        <f t="shared" si="0"/>
        <v>0.23697525134333042</v>
      </c>
      <c r="J8" s="89">
        <f t="shared" si="1"/>
        <v>0.44248192550562826</v>
      </c>
      <c r="K8" s="89">
        <f t="shared" si="2"/>
        <v>0.32054282315104132</v>
      </c>
      <c r="L8" s="82">
        <f t="shared" si="3"/>
        <v>229467</v>
      </c>
      <c r="M8" s="90">
        <f t="shared" si="4"/>
        <v>0</v>
      </c>
      <c r="N8" s="90">
        <f>SUMIF('5烧主抽电耗'!$A$3:$A$96,A8,'5烧主抽电耗'!$AC$3:$AC$96)</f>
        <v>13.76802</v>
      </c>
      <c r="O8" s="80">
        <f>SUMIF('6烧主抽电耗'!$A$3:$A$95,A8,'6烧主抽电耗'!$M$3:$M$95)</f>
        <v>0</v>
      </c>
      <c r="P8" s="80">
        <f>SUMIF('6烧主抽电耗'!$A$3:$A$95,A8,'6烧主抽电耗'!$N$3:$N$95)</f>
        <v>0</v>
      </c>
      <c r="Q8" s="81" t="e">
        <f>SUMIF('6烧主抽电耗'!$A$3:$A$95,A8,'6烧主抽电耗'!$L$3:$L$95)</f>
        <v>#REF!</v>
      </c>
      <c r="R8" s="82">
        <f>SUMIF('6烧主抽电耗'!$A$3:$A$95,A8,'6烧主抽电耗'!$V$3:$V$95)</f>
        <v>0</v>
      </c>
      <c r="S8" s="82">
        <f>SUMIF(错峰用电!$A$4:$A$189,$A8,错峰用电!AC$4:AC$189)</f>
        <v>0</v>
      </c>
      <c r="T8" s="82">
        <f>SUMIF(错峰用电!$A$4:$A$189,$A8,错峰用电!AD$4:AD$189)</f>
        <v>0</v>
      </c>
      <c r="U8" s="82">
        <f>SUMIF(错峰用电!$A$4:$A$189,$A8,错峰用电!AE$4:AE$189)</f>
        <v>0</v>
      </c>
      <c r="V8" s="89">
        <f t="shared" si="5"/>
        <v>0</v>
      </c>
      <c r="W8" s="89">
        <f t="shared" si="6"/>
        <v>0</v>
      </c>
      <c r="X8" s="89">
        <f t="shared" si="7"/>
        <v>0</v>
      </c>
      <c r="Y8" s="82" t="e">
        <f t="shared" si="8"/>
        <v>#REF!</v>
      </c>
      <c r="Z8" s="90">
        <f t="shared" si="9"/>
        <v>0</v>
      </c>
      <c r="AA8" s="90" t="e">
        <f>SUMIF('6烧主抽电耗'!$A$3:$A$96,A8,'6烧主抽电耗'!$AC$3:$AC$96)</f>
        <v>#REF!</v>
      </c>
      <c r="AB8" s="80">
        <f t="shared" si="10"/>
        <v>0</v>
      </c>
      <c r="AC8" s="80">
        <f t="shared" si="11"/>
        <v>0</v>
      </c>
      <c r="AD8" s="92" t="e">
        <f t="shared" si="12"/>
        <v>#REF!</v>
      </c>
      <c r="AE8" s="82">
        <f t="shared" si="17"/>
        <v>0</v>
      </c>
      <c r="AF8" s="101" t="e">
        <f t="shared" si="13"/>
        <v>#REF!</v>
      </c>
      <c r="AG8" s="104">
        <f t="shared" si="14"/>
        <v>0</v>
      </c>
      <c r="AH8" s="90" t="e">
        <f t="shared" si="15"/>
        <v>#REF!</v>
      </c>
    </row>
    <row r="9" spans="1:34">
      <c r="A9" s="79">
        <f t="shared" si="16"/>
        <v>43350</v>
      </c>
      <c r="B9" s="80">
        <f>SUMIF('5烧主抽电耗'!$A$3:$A$95,A9,'5烧主抽电耗'!$M$3:$M$95)</f>
        <v>0</v>
      </c>
      <c r="C9" s="80">
        <f>SUMIF('5烧主抽电耗'!$A$3:$A$95,A9,'5烧主抽电耗'!$N$3:$N$95)</f>
        <v>0</v>
      </c>
      <c r="D9" s="81">
        <f>SUMIF('5烧主抽电耗'!$A$3:$A$95,A9,'5烧主抽电耗'!$L$3:$L$95)</f>
        <v>229968</v>
      </c>
      <c r="E9" s="82">
        <f>SUMIF('5烧主抽电耗'!$A$3:$A$95,A9,'5烧主抽电耗'!$V$3:$V$95)</f>
        <v>0</v>
      </c>
      <c r="F9" s="82">
        <f>SUMIF(错峰用电!$A$4:$A$189,$A9,错峰用电!N$4:N$189)</f>
        <v>55314</v>
      </c>
      <c r="G9" s="82">
        <f>SUMIF(错峰用电!$A$4:$A$189,$A9,错峰用电!O$4:O$189)</f>
        <v>100875</v>
      </c>
      <c r="H9" s="82">
        <f>SUMIF(错峰用电!$A$4:$A$189,$A9,错峰用电!P$4:P$189)</f>
        <v>73779</v>
      </c>
      <c r="I9" s="89">
        <f t="shared" si="0"/>
        <v>0.2405291170945523</v>
      </c>
      <c r="J9" s="89">
        <f t="shared" si="1"/>
        <v>0.43864798580672093</v>
      </c>
      <c r="K9" s="89">
        <f t="shared" si="2"/>
        <v>0.3208228970987268</v>
      </c>
      <c r="L9" s="82">
        <f t="shared" si="3"/>
        <v>229968</v>
      </c>
      <c r="M9" s="90">
        <f t="shared" si="4"/>
        <v>0</v>
      </c>
      <c r="N9" s="90">
        <f>SUMIF('5烧主抽电耗'!$A$3:$A$96,A9,'5烧主抽电耗'!$AC$3:$AC$96)</f>
        <v>13.798080000000001</v>
      </c>
      <c r="O9" s="80">
        <f>SUMIF('6烧主抽电耗'!$A$3:$A$95,A9,'6烧主抽电耗'!$M$3:$M$95)</f>
        <v>0</v>
      </c>
      <c r="P9" s="80">
        <f>SUMIF('6烧主抽电耗'!$A$3:$A$95,A9,'6烧主抽电耗'!$N$3:$N$95)</f>
        <v>0</v>
      </c>
      <c r="Q9" s="81" t="e">
        <f>SUMIF('6烧主抽电耗'!$A$3:$A$95,A9,'6烧主抽电耗'!$L$3:$L$95)</f>
        <v>#REF!</v>
      </c>
      <c r="R9" s="82">
        <f>SUMIF('6烧主抽电耗'!$A$3:$A$95,A9,'6烧主抽电耗'!$V$3:$V$95)</f>
        <v>0</v>
      </c>
      <c r="S9" s="82">
        <f>SUMIF(错峰用电!$A$4:$A$189,$A9,错峰用电!AC$4:AC$189)</f>
        <v>0</v>
      </c>
      <c r="T9" s="82">
        <f>SUMIF(错峰用电!$A$4:$A$189,$A9,错峰用电!AD$4:AD$189)</f>
        <v>0</v>
      </c>
      <c r="U9" s="82">
        <f>SUMIF(错峰用电!$A$4:$A$189,$A9,错峰用电!AE$4:AE$189)</f>
        <v>0</v>
      </c>
      <c r="V9" s="89">
        <f t="shared" si="5"/>
        <v>0</v>
      </c>
      <c r="W9" s="89">
        <f t="shared" si="6"/>
        <v>0</v>
      </c>
      <c r="X9" s="89">
        <f t="shared" si="7"/>
        <v>0</v>
      </c>
      <c r="Y9" s="82" t="e">
        <f t="shared" si="8"/>
        <v>#REF!</v>
      </c>
      <c r="Z9" s="90">
        <f t="shared" si="9"/>
        <v>0</v>
      </c>
      <c r="AA9" s="90" t="e">
        <f>SUMIF('6烧主抽电耗'!$A$3:$A$96,A9,'6烧主抽电耗'!$AC$3:$AC$96)</f>
        <v>#REF!</v>
      </c>
      <c r="AB9" s="80">
        <f t="shared" si="10"/>
        <v>0</v>
      </c>
      <c r="AC9" s="80">
        <f t="shared" si="11"/>
        <v>0</v>
      </c>
      <c r="AD9" s="92" t="e">
        <f t="shared" si="12"/>
        <v>#REF!</v>
      </c>
      <c r="AE9" s="82">
        <f t="shared" si="17"/>
        <v>0</v>
      </c>
      <c r="AF9" s="101" t="e">
        <f t="shared" si="13"/>
        <v>#REF!</v>
      </c>
      <c r="AG9" s="104">
        <f t="shared" si="14"/>
        <v>0</v>
      </c>
      <c r="AH9" s="90" t="e">
        <f t="shared" si="15"/>
        <v>#REF!</v>
      </c>
    </row>
    <row r="10" spans="1:34">
      <c r="A10" s="79">
        <f t="shared" si="16"/>
        <v>43351</v>
      </c>
      <c r="B10" s="80">
        <f>SUMIF('5烧主抽电耗'!$A$3:$A$95,A10,'5烧主抽电耗'!$M$3:$M$95)</f>
        <v>0</v>
      </c>
      <c r="C10" s="80">
        <f>SUMIF('5烧主抽电耗'!$A$3:$A$95,A10,'5烧主抽电耗'!$N$3:$N$95)</f>
        <v>0</v>
      </c>
      <c r="D10" s="81">
        <f>SUMIF('5烧主抽电耗'!$A$3:$A$95,A10,'5烧主抽电耗'!$L$3:$L$95)</f>
        <v>231951</v>
      </c>
      <c r="E10" s="82">
        <f>SUMIF('5烧主抽电耗'!$A$3:$A$95,A10,'5烧主抽电耗'!$V$3:$V$95)</f>
        <v>0</v>
      </c>
      <c r="F10" s="82">
        <f>SUMIF(错峰用电!$A$4:$A$189,$A10,错峰用电!N$4:N$189)</f>
        <v>52695</v>
      </c>
      <c r="G10" s="82">
        <f>SUMIF(错峰用电!$A$4:$A$189,$A10,错峰用电!O$4:O$189)</f>
        <v>101973</v>
      </c>
      <c r="H10" s="82">
        <f>SUMIF(错峰用电!$A$4:$A$189,$A10,错峰用电!P$4:P$189)</f>
        <v>77274</v>
      </c>
      <c r="I10" s="89">
        <f t="shared" si="0"/>
        <v>0.22719041829422873</v>
      </c>
      <c r="J10" s="89">
        <f t="shared" si="1"/>
        <v>0.43964870527976824</v>
      </c>
      <c r="K10" s="89">
        <f t="shared" si="2"/>
        <v>0.33316087642600306</v>
      </c>
      <c r="L10" s="82">
        <f t="shared" si="3"/>
        <v>231951</v>
      </c>
      <c r="M10" s="90">
        <f t="shared" si="4"/>
        <v>0</v>
      </c>
      <c r="N10" s="90">
        <f>SUMIF('5烧主抽电耗'!$A$3:$A$96,A10,'5烧主抽电耗'!$AC$3:$AC$96)</f>
        <v>13.917059999999999</v>
      </c>
      <c r="O10" s="80">
        <f>SUMIF('6烧主抽电耗'!$A$3:$A$95,A10,'6烧主抽电耗'!$M$3:$M$95)</f>
        <v>0</v>
      </c>
      <c r="P10" s="80">
        <f>SUMIF('6烧主抽电耗'!$A$3:$A$95,A10,'6烧主抽电耗'!$N$3:$N$95)</f>
        <v>0</v>
      </c>
      <c r="Q10" s="81" t="e">
        <f>SUMIF('6烧主抽电耗'!$A$3:$A$95,A10,'6烧主抽电耗'!$L$3:$L$95)</f>
        <v>#REF!</v>
      </c>
      <c r="R10" s="82">
        <f>SUMIF('6烧主抽电耗'!$A$3:$A$95,A10,'6烧主抽电耗'!$V$3:$V$95)</f>
        <v>0</v>
      </c>
      <c r="S10" s="82">
        <f>SUMIF(错峰用电!$A$4:$A$189,$A10,错峰用电!AC$4:AC$189)</f>
        <v>0</v>
      </c>
      <c r="T10" s="82">
        <f>SUMIF(错峰用电!$A$4:$A$189,$A10,错峰用电!AD$4:AD$189)</f>
        <v>0</v>
      </c>
      <c r="U10" s="82">
        <f>SUMIF(错峰用电!$A$4:$A$189,$A10,错峰用电!AE$4:AE$189)</f>
        <v>0</v>
      </c>
      <c r="V10" s="89">
        <f t="shared" si="5"/>
        <v>0</v>
      </c>
      <c r="W10" s="89">
        <f t="shared" si="6"/>
        <v>0</v>
      </c>
      <c r="X10" s="89">
        <f t="shared" si="7"/>
        <v>0</v>
      </c>
      <c r="Y10" s="82" t="e">
        <f t="shared" si="8"/>
        <v>#REF!</v>
      </c>
      <c r="Z10" s="90">
        <f t="shared" si="9"/>
        <v>0</v>
      </c>
      <c r="AA10" s="90" t="e">
        <f>SUMIF('6烧主抽电耗'!$A$3:$A$96,A10,'6烧主抽电耗'!$AC$3:$AC$96)</f>
        <v>#REF!</v>
      </c>
      <c r="AB10" s="80">
        <f t="shared" si="10"/>
        <v>0</v>
      </c>
      <c r="AC10" s="80">
        <f t="shared" si="11"/>
        <v>0</v>
      </c>
      <c r="AD10" s="92" t="e">
        <f t="shared" si="12"/>
        <v>#REF!</v>
      </c>
      <c r="AE10" s="82">
        <f t="shared" si="17"/>
        <v>0</v>
      </c>
      <c r="AF10" s="101" t="e">
        <f t="shared" si="13"/>
        <v>#REF!</v>
      </c>
      <c r="AG10" s="104">
        <f t="shared" si="14"/>
        <v>0</v>
      </c>
      <c r="AH10" s="90" t="e">
        <f t="shared" si="15"/>
        <v>#REF!</v>
      </c>
    </row>
    <row r="11" spans="1:34">
      <c r="A11" s="79">
        <f t="shared" si="16"/>
        <v>43352</v>
      </c>
      <c r="B11" s="80">
        <f>SUMIF('5烧主抽电耗'!$A$3:$A$95,A11,'5烧主抽电耗'!$M$3:$M$95)</f>
        <v>0</v>
      </c>
      <c r="C11" s="80">
        <f>SUMIF('5烧主抽电耗'!$A$3:$A$95,A11,'5烧主抽电耗'!$N$3:$N$95)</f>
        <v>0</v>
      </c>
      <c r="D11" s="81">
        <f>SUMIF('5烧主抽电耗'!$A$3:$A$95,A11,'5烧主抽电耗'!$L$3:$L$95)</f>
        <v>229677</v>
      </c>
      <c r="E11" s="82">
        <f>SUMIF('5烧主抽电耗'!$A$3:$A$95,A11,'5烧主抽电耗'!$V$3:$V$95)</f>
        <v>0</v>
      </c>
      <c r="F11" s="82">
        <f>SUMIF(错峰用电!$A$4:$A$189,$A11,错峰用电!N$4:N$189)</f>
        <v>57489</v>
      </c>
      <c r="G11" s="82">
        <f>SUMIF(错峰用电!$A$4:$A$189,$A11,错峰用电!O$4:O$189)</f>
        <v>97971</v>
      </c>
      <c r="H11" s="82">
        <f>SUMIF(错峰用电!$A$4:$A$189,$A11,错峰用电!P$4:P$189)</f>
        <v>74226</v>
      </c>
      <c r="I11" s="89">
        <f t="shared" si="0"/>
        <v>0.25029387947023329</v>
      </c>
      <c r="J11" s="89">
        <f t="shared" si="1"/>
        <v>0.42654319375146937</v>
      </c>
      <c r="K11" s="89">
        <f t="shared" si="2"/>
        <v>0.32316292677829733</v>
      </c>
      <c r="L11" s="82">
        <f t="shared" si="3"/>
        <v>229677</v>
      </c>
      <c r="M11" s="90">
        <f t="shared" si="4"/>
        <v>0</v>
      </c>
      <c r="N11" s="90">
        <f>SUMIF('5烧主抽电耗'!$A$3:$A$96,A11,'5烧主抽电耗'!$AC$3:$AC$96)</f>
        <v>13.780619999999999</v>
      </c>
      <c r="O11" s="80">
        <f>SUMIF('6烧主抽电耗'!$A$3:$A$95,A11,'6烧主抽电耗'!$M$3:$M$95)</f>
        <v>0</v>
      </c>
      <c r="P11" s="80">
        <f>SUMIF('6烧主抽电耗'!$A$3:$A$95,A11,'6烧主抽电耗'!$N$3:$N$95)</f>
        <v>0</v>
      </c>
      <c r="Q11" s="81" t="e">
        <f>SUMIF('6烧主抽电耗'!$A$3:$A$95,A11,'6烧主抽电耗'!$L$3:$L$95)</f>
        <v>#REF!</v>
      </c>
      <c r="R11" s="82">
        <f>SUMIF('6烧主抽电耗'!$A$3:$A$95,A11,'6烧主抽电耗'!$V$3:$V$95)</f>
        <v>0</v>
      </c>
      <c r="S11" s="82">
        <f>SUMIF(错峰用电!$A$4:$A$189,$A11,错峰用电!AC$4:AC$189)</f>
        <v>0</v>
      </c>
      <c r="T11" s="82">
        <f>SUMIF(错峰用电!$A$4:$A$189,$A11,错峰用电!AD$4:AD$189)</f>
        <v>0</v>
      </c>
      <c r="U11" s="82">
        <f>SUMIF(错峰用电!$A$4:$A$189,$A11,错峰用电!AE$4:AE$189)</f>
        <v>0</v>
      </c>
      <c r="V11" s="89">
        <f t="shared" si="5"/>
        <v>0</v>
      </c>
      <c r="W11" s="89">
        <f t="shared" si="6"/>
        <v>0</v>
      </c>
      <c r="X11" s="89">
        <f t="shared" si="7"/>
        <v>0</v>
      </c>
      <c r="Y11" s="82" t="e">
        <f t="shared" si="8"/>
        <v>#REF!</v>
      </c>
      <c r="Z11" s="90">
        <f t="shared" si="9"/>
        <v>0</v>
      </c>
      <c r="AA11" s="90" t="e">
        <f>SUMIF('6烧主抽电耗'!$A$3:$A$96,A11,'6烧主抽电耗'!$AC$3:$AC$96)</f>
        <v>#REF!</v>
      </c>
      <c r="AB11" s="80">
        <f t="shared" si="10"/>
        <v>0</v>
      </c>
      <c r="AC11" s="80">
        <f t="shared" si="11"/>
        <v>0</v>
      </c>
      <c r="AD11" s="92" t="e">
        <f t="shared" si="12"/>
        <v>#REF!</v>
      </c>
      <c r="AE11" s="82">
        <f t="shared" si="17"/>
        <v>0</v>
      </c>
      <c r="AF11" s="101" t="e">
        <f t="shared" si="13"/>
        <v>#REF!</v>
      </c>
      <c r="AG11" s="104">
        <f t="shared" si="14"/>
        <v>0</v>
      </c>
      <c r="AH11" s="90" t="e">
        <f t="shared" si="15"/>
        <v>#REF!</v>
      </c>
    </row>
    <row r="12" spans="1:34">
      <c r="A12" s="79">
        <f t="shared" si="16"/>
        <v>43353</v>
      </c>
      <c r="B12" s="80">
        <f>SUMIF('5烧主抽电耗'!$A$3:$A$95,A12,'5烧主抽电耗'!$M$3:$M$95)</f>
        <v>0</v>
      </c>
      <c r="C12" s="80">
        <f>SUMIF('5烧主抽电耗'!$A$3:$A$95,A12,'5烧主抽电耗'!$N$3:$N$95)</f>
        <v>0</v>
      </c>
      <c r="D12" s="81">
        <f>SUMIF('5烧主抽电耗'!$A$3:$A$95,A12,'5烧主抽电耗'!$L$3:$L$95)</f>
        <v>236457</v>
      </c>
      <c r="E12" s="82">
        <f>SUMIF('5烧主抽电耗'!$A$3:$A$95,A12,'5烧主抽电耗'!$V$3:$V$95)</f>
        <v>0</v>
      </c>
      <c r="F12" s="82">
        <f>SUMIF(错峰用电!$A$4:$A$189,$A12,错峰用电!N$4:N$189)</f>
        <v>63453</v>
      </c>
      <c r="G12" s="82">
        <f>SUMIF(错峰用电!$A$4:$A$189,$A12,错峰用电!O$4:O$189)</f>
        <v>96651</v>
      </c>
      <c r="H12" s="82">
        <f>SUMIF(错峰用电!$A$4:$A$189,$A12,错峰用电!P$4:P$189)</f>
        <v>76353</v>
      </c>
      <c r="I12" s="89">
        <f t="shared" si="0"/>
        <v>0.26834900214415308</v>
      </c>
      <c r="J12" s="89">
        <f t="shared" si="1"/>
        <v>0.40874662200738399</v>
      </c>
      <c r="K12" s="89">
        <f t="shared" si="2"/>
        <v>0.32290437584846293</v>
      </c>
      <c r="L12" s="82">
        <f t="shared" si="3"/>
        <v>236457</v>
      </c>
      <c r="M12" s="90">
        <f t="shared" si="4"/>
        <v>0</v>
      </c>
      <c r="N12" s="90">
        <f>SUMIF('5烧主抽电耗'!$A$3:$A$96,A12,'5烧主抽电耗'!$AC$3:$AC$96)</f>
        <v>14.187419999999999</v>
      </c>
      <c r="O12" s="80">
        <f>SUMIF('6烧主抽电耗'!$A$3:$A$95,A12,'6烧主抽电耗'!$M$3:$M$95)</f>
        <v>0</v>
      </c>
      <c r="P12" s="80">
        <f>SUMIF('6烧主抽电耗'!$A$3:$A$95,A12,'6烧主抽电耗'!$N$3:$N$95)</f>
        <v>0</v>
      </c>
      <c r="Q12" s="81" t="e">
        <f>SUMIF('6烧主抽电耗'!$A$3:$A$95,A12,'6烧主抽电耗'!$L$3:$L$95)</f>
        <v>#REF!</v>
      </c>
      <c r="R12" s="82">
        <f>SUMIF('6烧主抽电耗'!$A$3:$A$95,A12,'6烧主抽电耗'!$V$3:$V$95)</f>
        <v>0</v>
      </c>
      <c r="S12" s="82">
        <f>SUMIF(错峰用电!$A$4:$A$189,$A12,错峰用电!AC$4:AC$189)</f>
        <v>0</v>
      </c>
      <c r="T12" s="82">
        <f>SUMIF(错峰用电!$A$4:$A$189,$A12,错峰用电!AD$4:AD$189)</f>
        <v>0</v>
      </c>
      <c r="U12" s="82">
        <f>SUMIF(错峰用电!$A$4:$A$189,$A12,错峰用电!AE$4:AE$189)</f>
        <v>0</v>
      </c>
      <c r="V12" s="89">
        <f t="shared" si="5"/>
        <v>0</v>
      </c>
      <c r="W12" s="89">
        <f t="shared" si="6"/>
        <v>0</v>
      </c>
      <c r="X12" s="89">
        <f t="shared" si="7"/>
        <v>0</v>
      </c>
      <c r="Y12" s="82" t="e">
        <f t="shared" si="8"/>
        <v>#REF!</v>
      </c>
      <c r="Z12" s="90">
        <f t="shared" si="9"/>
        <v>0</v>
      </c>
      <c r="AA12" s="90" t="e">
        <f>SUMIF('6烧主抽电耗'!$A$3:$A$96,A12,'6烧主抽电耗'!$AC$3:$AC$96)</f>
        <v>#REF!</v>
      </c>
      <c r="AB12" s="80">
        <f t="shared" si="10"/>
        <v>0</v>
      </c>
      <c r="AC12" s="80">
        <f t="shared" si="11"/>
        <v>0</v>
      </c>
      <c r="AD12" s="92" t="e">
        <f t="shared" si="12"/>
        <v>#REF!</v>
      </c>
      <c r="AE12" s="82">
        <f t="shared" si="17"/>
        <v>0</v>
      </c>
      <c r="AF12" s="101" t="e">
        <f t="shared" si="13"/>
        <v>#REF!</v>
      </c>
      <c r="AG12" s="104">
        <f t="shared" si="14"/>
        <v>0</v>
      </c>
      <c r="AH12" s="90" t="e">
        <f t="shared" si="15"/>
        <v>#REF!</v>
      </c>
    </row>
    <row r="13" spans="1:34">
      <c r="A13" s="79">
        <f t="shared" si="16"/>
        <v>43354</v>
      </c>
      <c r="B13" s="80">
        <f>SUMIF('5烧主抽电耗'!$A$3:$A$95,A13,'5烧主抽电耗'!$M$3:$M$95)</f>
        <v>0</v>
      </c>
      <c r="C13" s="80">
        <f>SUMIF('5烧主抽电耗'!$A$3:$A$95,A13,'5烧主抽电耗'!$N$3:$N$95)</f>
        <v>0</v>
      </c>
      <c r="D13" s="81">
        <f>SUMIF('5烧主抽电耗'!$A$3:$A$95,A13,'5烧主抽电耗'!$L$3:$L$95)</f>
        <v>234837</v>
      </c>
      <c r="E13" s="82">
        <f>SUMIF('5烧主抽电耗'!$A$3:$A$95,A13,'5烧主抽电耗'!$V$3:$V$95)</f>
        <v>0</v>
      </c>
      <c r="F13" s="82">
        <f>SUMIF(错峰用电!$A$4:$A$189,$A13,错峰用电!N$4:N$189)</f>
        <v>65889</v>
      </c>
      <c r="G13" s="82">
        <f>SUMIF(错峰用电!$A$4:$A$189,$A13,错峰用电!O$4:O$189)</f>
        <v>91329</v>
      </c>
      <c r="H13" s="82">
        <f>SUMIF(错峰用电!$A$4:$A$189,$A13,错峰用电!P$4:P$189)</f>
        <v>77619</v>
      </c>
      <c r="I13" s="89">
        <f t="shared" si="0"/>
        <v>0.28057333384432609</v>
      </c>
      <c r="J13" s="89">
        <f t="shared" si="1"/>
        <v>0.38890379284354681</v>
      </c>
      <c r="K13" s="89">
        <f t="shared" si="2"/>
        <v>0.33052287331212715</v>
      </c>
      <c r="L13" s="82">
        <f t="shared" si="3"/>
        <v>234837</v>
      </c>
      <c r="M13" s="90">
        <f t="shared" si="4"/>
        <v>0</v>
      </c>
      <c r="N13" s="90">
        <f>SUMIF('5烧主抽电耗'!$A$3:$A$96,A13,'5烧主抽电耗'!$AC$3:$AC$96)</f>
        <v>14.09022</v>
      </c>
      <c r="O13" s="80">
        <f>SUMIF('6烧主抽电耗'!$A$3:$A$95,A13,'6烧主抽电耗'!$M$3:$M$95)</f>
        <v>0</v>
      </c>
      <c r="P13" s="80">
        <f>SUMIF('6烧主抽电耗'!$A$3:$A$95,A13,'6烧主抽电耗'!$N$3:$N$95)</f>
        <v>0</v>
      </c>
      <c r="Q13" s="81" t="e">
        <f>SUMIF('6烧主抽电耗'!$A$3:$A$95,A13,'6烧主抽电耗'!$L$3:$L$95)</f>
        <v>#REF!</v>
      </c>
      <c r="R13" s="82">
        <f>SUMIF('6烧主抽电耗'!$A$3:$A$95,A13,'6烧主抽电耗'!$V$3:$V$95)</f>
        <v>0</v>
      </c>
      <c r="S13" s="82">
        <f>SUMIF(错峰用电!$A$4:$A$189,$A13,错峰用电!AC$4:AC$189)</f>
        <v>0</v>
      </c>
      <c r="T13" s="82">
        <f>SUMIF(错峰用电!$A$4:$A$189,$A13,错峰用电!AD$4:AD$189)</f>
        <v>0</v>
      </c>
      <c r="U13" s="82">
        <f>SUMIF(错峰用电!$A$4:$A$189,$A13,错峰用电!AE$4:AE$189)</f>
        <v>0</v>
      </c>
      <c r="V13" s="89">
        <f t="shared" si="5"/>
        <v>0</v>
      </c>
      <c r="W13" s="89">
        <f t="shared" si="6"/>
        <v>0</v>
      </c>
      <c r="X13" s="89">
        <f t="shared" si="7"/>
        <v>0</v>
      </c>
      <c r="Y13" s="82" t="e">
        <f t="shared" si="8"/>
        <v>#REF!</v>
      </c>
      <c r="Z13" s="90">
        <f t="shared" si="9"/>
        <v>0</v>
      </c>
      <c r="AA13" s="90" t="e">
        <f>SUMIF('6烧主抽电耗'!$A$3:$A$96,A13,'6烧主抽电耗'!$AC$3:$AC$96)</f>
        <v>#REF!</v>
      </c>
      <c r="AB13" s="80">
        <f t="shared" si="10"/>
        <v>0</v>
      </c>
      <c r="AC13" s="80">
        <f t="shared" si="11"/>
        <v>0</v>
      </c>
      <c r="AD13" s="92" t="e">
        <f t="shared" si="12"/>
        <v>#REF!</v>
      </c>
      <c r="AE13" s="82">
        <f t="shared" si="17"/>
        <v>0</v>
      </c>
      <c r="AF13" s="101" t="e">
        <f t="shared" si="13"/>
        <v>#REF!</v>
      </c>
      <c r="AG13" s="104">
        <f t="shared" si="14"/>
        <v>0</v>
      </c>
      <c r="AH13" s="90" t="e">
        <f t="shared" si="15"/>
        <v>#REF!</v>
      </c>
    </row>
    <row r="14" spans="1:34">
      <c r="A14" s="79">
        <f t="shared" si="16"/>
        <v>43355</v>
      </c>
      <c r="B14" s="80">
        <f>SUMIF('5烧主抽电耗'!$A$3:$A$95,A14,'5烧主抽电耗'!$M$3:$M$95)</f>
        <v>0</v>
      </c>
      <c r="C14" s="80">
        <f>SUMIF('5烧主抽电耗'!$A$3:$A$95,A14,'5烧主抽电耗'!$N$3:$N$95)</f>
        <v>0</v>
      </c>
      <c r="D14" s="81">
        <f>SUMIF('5烧主抽电耗'!$A$3:$A$95,A14,'5烧主抽电耗'!$L$3:$L$95)</f>
        <v>232584</v>
      </c>
      <c r="E14" s="82">
        <f>SUMIF('5烧主抽电耗'!$A$3:$A$95,A14,'5烧主抽电耗'!$V$3:$V$95)</f>
        <v>0</v>
      </c>
      <c r="F14" s="82">
        <f>SUMIF(错峰用电!$A$4:$A$189,$A14,错峰用电!N$4:N$189)</f>
        <v>50409</v>
      </c>
      <c r="G14" s="82">
        <f>SUMIF(错峰用电!$A$4:$A$189,$A14,错峰用电!O$4:O$189)</f>
        <v>101685</v>
      </c>
      <c r="H14" s="82">
        <f>SUMIF(错峰用电!$A$4:$A$189,$A14,错峰用电!P$4:P$189)</f>
        <v>80490</v>
      </c>
      <c r="I14" s="89">
        <f t="shared" si="0"/>
        <v>0.21673459911257867</v>
      </c>
      <c r="J14" s="89">
        <f t="shared" si="1"/>
        <v>0.43719688370653181</v>
      </c>
      <c r="K14" s="89">
        <f t="shared" si="2"/>
        <v>0.34606851718088949</v>
      </c>
      <c r="L14" s="82">
        <f t="shared" si="3"/>
        <v>232584</v>
      </c>
      <c r="M14" s="90">
        <f t="shared" si="4"/>
        <v>0</v>
      </c>
      <c r="N14" s="90">
        <f>SUMIF('5烧主抽电耗'!$A$3:$A$96,A14,'5烧主抽电耗'!$AC$3:$AC$96)</f>
        <v>15.11796</v>
      </c>
      <c r="O14" s="80">
        <f>SUMIF('6烧主抽电耗'!$A$3:$A$95,A14,'6烧主抽电耗'!$M$3:$M$95)</f>
        <v>0</v>
      </c>
      <c r="P14" s="80">
        <f>SUMIF('6烧主抽电耗'!$A$3:$A$95,A14,'6烧主抽电耗'!$N$3:$N$95)</f>
        <v>0</v>
      </c>
      <c r="Q14" s="81" t="e">
        <f>SUMIF('6烧主抽电耗'!$A$3:$A$95,A14,'6烧主抽电耗'!$L$3:$L$95)</f>
        <v>#REF!</v>
      </c>
      <c r="R14" s="82">
        <f>SUMIF('6烧主抽电耗'!$A$3:$A$95,A14,'6烧主抽电耗'!$V$3:$V$95)</f>
        <v>0</v>
      </c>
      <c r="S14" s="82">
        <f>SUMIF(错峰用电!$A$4:$A$189,$A14,错峰用电!AC$4:AC$189)</f>
        <v>0</v>
      </c>
      <c r="T14" s="82">
        <f>SUMIF(错峰用电!$A$4:$A$189,$A14,错峰用电!AD$4:AD$189)</f>
        <v>0</v>
      </c>
      <c r="U14" s="82">
        <f>SUMIF(错峰用电!$A$4:$A$189,$A14,错峰用电!AE$4:AE$189)</f>
        <v>0</v>
      </c>
      <c r="V14" s="89">
        <f t="shared" si="5"/>
        <v>0</v>
      </c>
      <c r="W14" s="89">
        <f t="shared" si="6"/>
        <v>0</v>
      </c>
      <c r="X14" s="89">
        <f t="shared" si="7"/>
        <v>0</v>
      </c>
      <c r="Y14" s="82" t="e">
        <f t="shared" si="8"/>
        <v>#REF!</v>
      </c>
      <c r="Z14" s="90">
        <f t="shared" si="9"/>
        <v>0</v>
      </c>
      <c r="AA14" s="90" t="e">
        <f>SUMIF('6烧主抽电耗'!$A$3:$A$96,A14,'6烧主抽电耗'!$AC$3:$AC$96)</f>
        <v>#REF!</v>
      </c>
      <c r="AB14" s="80">
        <f t="shared" si="10"/>
        <v>0</v>
      </c>
      <c r="AC14" s="80">
        <f t="shared" si="11"/>
        <v>0</v>
      </c>
      <c r="AD14" s="92" t="e">
        <f t="shared" si="12"/>
        <v>#REF!</v>
      </c>
      <c r="AE14" s="82">
        <f t="shared" si="17"/>
        <v>0</v>
      </c>
      <c r="AF14" s="101" t="e">
        <f t="shared" si="13"/>
        <v>#REF!</v>
      </c>
      <c r="AG14" s="104">
        <f t="shared" si="14"/>
        <v>0</v>
      </c>
      <c r="AH14" s="90" t="e">
        <f t="shared" si="15"/>
        <v>#REF!</v>
      </c>
    </row>
    <row r="15" spans="1:34">
      <c r="A15" s="79">
        <f t="shared" si="16"/>
        <v>43356</v>
      </c>
      <c r="B15" s="80">
        <f>SUMIF('5烧主抽电耗'!$A$3:$A$95,A15,'5烧主抽电耗'!$M$3:$M$95)</f>
        <v>0</v>
      </c>
      <c r="C15" s="80">
        <f>SUMIF('5烧主抽电耗'!$A$3:$A$95,A15,'5烧主抽电耗'!$N$3:$N$95)</f>
        <v>0</v>
      </c>
      <c r="D15" s="81">
        <f>SUMIF('5烧主抽电耗'!$A$3:$A$95,A15,'5烧主抽电耗'!$L$3:$L$95)</f>
        <v>237159</v>
      </c>
      <c r="E15" s="82">
        <f>SUMIF('5烧主抽电耗'!$A$3:$A$95,A15,'5烧主抽电耗'!$V$3:$V$95)</f>
        <v>0</v>
      </c>
      <c r="F15" s="82">
        <f>SUMIF(错峰用电!$A$4:$A$189,$A15,错峰用电!N$4:N$189)</f>
        <v>56112</v>
      </c>
      <c r="G15" s="82">
        <f>SUMIF(错峰用电!$A$4:$A$189,$A15,错峰用电!O$4:O$189)</f>
        <v>104601</v>
      </c>
      <c r="H15" s="82">
        <f>SUMIF(错峰用电!$A$4:$A$189,$A15,错峰用电!P$4:P$189)</f>
        <v>76446</v>
      </c>
      <c r="I15" s="89">
        <f t="shared" si="0"/>
        <v>0.23660076151442702</v>
      </c>
      <c r="J15" s="89">
        <f t="shared" si="1"/>
        <v>0.44105853035305426</v>
      </c>
      <c r="K15" s="89">
        <f t="shared" si="2"/>
        <v>0.32234070813251869</v>
      </c>
      <c r="L15" s="82">
        <f t="shared" si="3"/>
        <v>237159</v>
      </c>
      <c r="M15" s="90">
        <f t="shared" si="4"/>
        <v>0</v>
      </c>
      <c r="N15" s="90">
        <f>SUMIF('5烧主抽电耗'!$A$3:$A$96,A15,'5烧主抽电耗'!$AC$3:$AC$96)</f>
        <v>15.415335000000001</v>
      </c>
      <c r="O15" s="80">
        <f>SUMIF('6烧主抽电耗'!$A$3:$A$95,A15,'6烧主抽电耗'!$M$3:$M$95)</f>
        <v>0</v>
      </c>
      <c r="P15" s="80">
        <f>SUMIF('6烧主抽电耗'!$A$3:$A$95,A15,'6烧主抽电耗'!$N$3:$N$95)</f>
        <v>0</v>
      </c>
      <c r="Q15" s="81" t="e">
        <f>SUMIF('6烧主抽电耗'!$A$3:$A$95,A15,'6烧主抽电耗'!$L$3:$L$95)</f>
        <v>#REF!</v>
      </c>
      <c r="R15" s="82">
        <f>SUMIF('6烧主抽电耗'!$A$3:$A$95,A15,'6烧主抽电耗'!$V$3:$V$95)</f>
        <v>0</v>
      </c>
      <c r="S15" s="82">
        <f>SUMIF(错峰用电!$A$4:$A$189,$A15,错峰用电!AC$4:AC$189)</f>
        <v>0</v>
      </c>
      <c r="T15" s="82">
        <f>SUMIF(错峰用电!$A$4:$A$189,$A15,错峰用电!AD$4:AD$189)</f>
        <v>0</v>
      </c>
      <c r="U15" s="82">
        <f>SUMIF(错峰用电!$A$4:$A$189,$A15,错峰用电!AE$4:AE$189)</f>
        <v>0</v>
      </c>
      <c r="V15" s="89">
        <f t="shared" si="5"/>
        <v>0</v>
      </c>
      <c r="W15" s="89">
        <f t="shared" si="6"/>
        <v>0</v>
      </c>
      <c r="X15" s="89">
        <f t="shared" si="7"/>
        <v>0</v>
      </c>
      <c r="Y15" s="82" t="e">
        <f t="shared" si="8"/>
        <v>#REF!</v>
      </c>
      <c r="Z15" s="90">
        <f t="shared" si="9"/>
        <v>0</v>
      </c>
      <c r="AA15" s="90" t="e">
        <f>SUMIF('6烧主抽电耗'!$A$3:$A$96,A15,'6烧主抽电耗'!$AC$3:$AC$96)</f>
        <v>#REF!</v>
      </c>
      <c r="AB15" s="80">
        <f t="shared" si="10"/>
        <v>0</v>
      </c>
      <c r="AC15" s="80">
        <f t="shared" si="11"/>
        <v>0</v>
      </c>
      <c r="AD15" s="92" t="e">
        <f t="shared" si="12"/>
        <v>#REF!</v>
      </c>
      <c r="AE15" s="82">
        <f t="shared" si="17"/>
        <v>0</v>
      </c>
      <c r="AF15" s="101" t="e">
        <f t="shared" si="13"/>
        <v>#REF!</v>
      </c>
      <c r="AG15" s="104">
        <f t="shared" si="14"/>
        <v>0</v>
      </c>
      <c r="AH15" s="90" t="e">
        <f t="shared" si="15"/>
        <v>#REF!</v>
      </c>
    </row>
    <row r="16" spans="1:34">
      <c r="A16" s="79">
        <f t="shared" si="16"/>
        <v>43357</v>
      </c>
      <c r="B16" s="80">
        <f>SUMIF('5烧主抽电耗'!$A$3:$A$95,A16,'5烧主抽电耗'!$M$3:$M$95)</f>
        <v>0</v>
      </c>
      <c r="C16" s="80">
        <f>SUMIF('5烧主抽电耗'!$A$3:$A$95,A16,'5烧主抽电耗'!$N$3:$N$95)</f>
        <v>0</v>
      </c>
      <c r="D16" s="81">
        <f>SUMIF('5烧主抽电耗'!$A$3:$A$95,A16,'5烧主抽电耗'!$L$3:$L$95)</f>
        <v>-238703025</v>
      </c>
      <c r="E16" s="82">
        <f>SUMIF('5烧主抽电耗'!$A$3:$A$95,A16,'5烧主抽电耗'!$V$3:$V$95)</f>
        <v>0</v>
      </c>
      <c r="F16" s="82">
        <f>SUMIF(错峰用电!$A$4:$A$189,$A16,错峰用电!N$4:N$189)</f>
        <v>0</v>
      </c>
      <c r="G16" s="82">
        <f>SUMIF(错峰用电!$A$4:$A$189,$A16,错峰用电!O$4:O$189)</f>
        <v>-238777515</v>
      </c>
      <c r="H16" s="82">
        <f>SUMIF(错峰用电!$A$4:$A$189,$A16,错峰用电!P$4:P$189)</f>
        <v>74490</v>
      </c>
      <c r="I16" s="89">
        <f t="shared" si="0"/>
        <v>0</v>
      </c>
      <c r="J16" s="89">
        <f t="shared" si="1"/>
        <v>1.0003120613993057</v>
      </c>
      <c r="K16" s="89">
        <f t="shared" si="2"/>
        <v>-3.1206139930568539E-4</v>
      </c>
      <c r="L16" s="82">
        <f t="shared" si="3"/>
        <v>-238703025</v>
      </c>
      <c r="M16" s="90">
        <f t="shared" si="4"/>
        <v>0</v>
      </c>
      <c r="N16" s="90">
        <f>SUMIF('5烧主抽电耗'!$A$3:$A$96,A16,'5烧主抽电耗'!$AC$3:$AC$96)</f>
        <v>-15515.696624999999</v>
      </c>
      <c r="O16" s="80">
        <f>SUMIF('6烧主抽电耗'!$A$3:$A$95,A16,'6烧主抽电耗'!$M$3:$M$95)</f>
        <v>0</v>
      </c>
      <c r="P16" s="80">
        <f>SUMIF('6烧主抽电耗'!$A$3:$A$95,A16,'6烧主抽电耗'!$N$3:$N$95)</f>
        <v>0</v>
      </c>
      <c r="Q16" s="81" t="e">
        <f>SUMIF('6烧主抽电耗'!$A$3:$A$95,A16,'6烧主抽电耗'!$L$3:$L$95)</f>
        <v>#REF!</v>
      </c>
      <c r="R16" s="82">
        <f>SUMIF('6烧主抽电耗'!$A$3:$A$95,A16,'6烧主抽电耗'!$V$3:$V$95)</f>
        <v>0</v>
      </c>
      <c r="S16" s="82">
        <f>SUMIF(错峰用电!$A$4:$A$189,$A16,错峰用电!AC$4:AC$189)</f>
        <v>0</v>
      </c>
      <c r="T16" s="82">
        <f>SUMIF(错峰用电!$A$4:$A$189,$A16,错峰用电!AD$4:AD$189)</f>
        <v>0</v>
      </c>
      <c r="U16" s="82">
        <f>SUMIF(错峰用电!$A$4:$A$189,$A16,错峰用电!AE$4:AE$189)</f>
        <v>0</v>
      </c>
      <c r="V16" s="89">
        <f t="shared" si="5"/>
        <v>0</v>
      </c>
      <c r="W16" s="89">
        <f t="shared" si="6"/>
        <v>0</v>
      </c>
      <c r="X16" s="89">
        <f t="shared" si="7"/>
        <v>0</v>
      </c>
      <c r="Y16" s="82" t="e">
        <f t="shared" si="8"/>
        <v>#REF!</v>
      </c>
      <c r="Z16" s="90">
        <f t="shared" si="9"/>
        <v>0</v>
      </c>
      <c r="AA16" s="90" t="e">
        <f>SUMIF('6烧主抽电耗'!$A$3:$A$96,A16,'6烧主抽电耗'!$AC$3:$AC$96)</f>
        <v>#REF!</v>
      </c>
      <c r="AB16" s="80">
        <f t="shared" si="10"/>
        <v>0</v>
      </c>
      <c r="AC16" s="80">
        <f t="shared" si="11"/>
        <v>0</v>
      </c>
      <c r="AD16" s="92" t="e">
        <f t="shared" si="12"/>
        <v>#REF!</v>
      </c>
      <c r="AE16" s="82">
        <f t="shared" si="17"/>
        <v>0</v>
      </c>
      <c r="AF16" s="101" t="e">
        <f t="shared" si="13"/>
        <v>#REF!</v>
      </c>
      <c r="AG16" s="104">
        <f t="shared" si="14"/>
        <v>0</v>
      </c>
      <c r="AH16" s="90" t="e">
        <f t="shared" si="15"/>
        <v>#REF!</v>
      </c>
    </row>
    <row r="17" spans="1:34">
      <c r="A17" s="79">
        <f t="shared" si="16"/>
        <v>43358</v>
      </c>
      <c r="B17" s="80">
        <f>SUMIF('5烧主抽电耗'!$A$3:$A$95,A17,'5烧主抽电耗'!$M$3:$M$95)</f>
        <v>0</v>
      </c>
      <c r="C17" s="80">
        <f>SUMIF('5烧主抽电耗'!$A$3:$A$95,A17,'5烧主抽电耗'!$N$3:$N$95)</f>
        <v>0</v>
      </c>
      <c r="D17" s="81">
        <f>SUMIF('5烧主抽电耗'!$A$3:$A$95,A17,'5烧主抽电耗'!$L$3:$L$95)</f>
        <v>0</v>
      </c>
      <c r="E17" s="82">
        <f>SUMIF('5烧主抽电耗'!$A$3:$A$95,A17,'5烧主抽电耗'!$V$3:$V$95)</f>
        <v>0</v>
      </c>
      <c r="F17" s="82">
        <f>SUMIF(错峰用电!$A$4:$A$189,$A17,错峰用电!N$4:N$189)</f>
        <v>0</v>
      </c>
      <c r="G17" s="82">
        <f>SUMIF(错峰用电!$A$4:$A$189,$A17,错峰用电!O$4:O$189)</f>
        <v>0</v>
      </c>
      <c r="H17" s="82">
        <f>SUMIF(错峰用电!$A$4:$A$189,$A17,错峰用电!P$4:P$189)</f>
        <v>0</v>
      </c>
      <c r="I17" s="89">
        <f t="shared" si="0"/>
        <v>0</v>
      </c>
      <c r="J17" s="89">
        <f t="shared" si="1"/>
        <v>0</v>
      </c>
      <c r="K17" s="89">
        <f t="shared" si="2"/>
        <v>0</v>
      </c>
      <c r="L17" s="82">
        <f t="shared" si="3"/>
        <v>0</v>
      </c>
      <c r="M17" s="90">
        <f t="shared" si="4"/>
        <v>0</v>
      </c>
      <c r="N17" s="90">
        <f>SUMIF('5烧主抽电耗'!$A$3:$A$96,A17,'5烧主抽电耗'!$AC$3:$AC$96)</f>
        <v>0</v>
      </c>
      <c r="O17" s="80">
        <f>SUMIF('6烧主抽电耗'!$A$3:$A$95,A17,'6烧主抽电耗'!$M$3:$M$95)</f>
        <v>0</v>
      </c>
      <c r="P17" s="80">
        <f>SUMIF('6烧主抽电耗'!$A$3:$A$95,A17,'6烧主抽电耗'!$N$3:$N$95)</f>
        <v>0</v>
      </c>
      <c r="Q17" s="81" t="e">
        <f>SUMIF('6烧主抽电耗'!$A$3:$A$95,A17,'6烧主抽电耗'!$L$3:$L$95)</f>
        <v>#REF!</v>
      </c>
      <c r="R17" s="82">
        <f>SUMIF('6烧主抽电耗'!$A$3:$A$95,A17,'6烧主抽电耗'!$V$3:$V$95)</f>
        <v>0</v>
      </c>
      <c r="S17" s="82">
        <f>SUMIF(错峰用电!$A$4:$A$189,$A17,错峰用电!AC$4:AC$189)</f>
        <v>0</v>
      </c>
      <c r="T17" s="82">
        <f>SUMIF(错峰用电!$A$4:$A$189,$A17,错峰用电!AD$4:AD$189)</f>
        <v>0</v>
      </c>
      <c r="U17" s="82">
        <f>SUMIF(错峰用电!$A$4:$A$189,$A17,错峰用电!AE$4:AE$189)</f>
        <v>0</v>
      </c>
      <c r="V17" s="89">
        <f t="shared" si="5"/>
        <v>0</v>
      </c>
      <c r="W17" s="89">
        <f t="shared" si="6"/>
        <v>0</v>
      </c>
      <c r="X17" s="89">
        <f t="shared" si="7"/>
        <v>0</v>
      </c>
      <c r="Y17" s="82" t="e">
        <f t="shared" si="8"/>
        <v>#REF!</v>
      </c>
      <c r="Z17" s="90">
        <f t="shared" si="9"/>
        <v>0</v>
      </c>
      <c r="AA17" s="90" t="e">
        <f>SUMIF('6烧主抽电耗'!$A$3:$A$96,A17,'6烧主抽电耗'!$AC$3:$AC$96)</f>
        <v>#REF!</v>
      </c>
      <c r="AB17" s="80">
        <f t="shared" si="10"/>
        <v>0</v>
      </c>
      <c r="AC17" s="80">
        <f t="shared" si="11"/>
        <v>0</v>
      </c>
      <c r="AD17" s="92" t="e">
        <f t="shared" si="12"/>
        <v>#REF!</v>
      </c>
      <c r="AE17" s="82">
        <f t="shared" si="17"/>
        <v>0</v>
      </c>
      <c r="AF17" s="101" t="e">
        <f t="shared" si="13"/>
        <v>#REF!</v>
      </c>
      <c r="AG17" s="104">
        <f t="shared" si="14"/>
        <v>0</v>
      </c>
      <c r="AH17" s="90" t="e">
        <f t="shared" si="15"/>
        <v>#REF!</v>
      </c>
    </row>
    <row r="18" spans="1:34">
      <c r="A18" s="79">
        <f t="shared" si="16"/>
        <v>43359</v>
      </c>
      <c r="B18" s="80">
        <f>SUMIF('5烧主抽电耗'!$A$3:$A$95,A18,'5烧主抽电耗'!$M$3:$M$95)</f>
        <v>0</v>
      </c>
      <c r="C18" s="80">
        <f>SUMIF('5烧主抽电耗'!$A$3:$A$95,A18,'5烧主抽电耗'!$N$3:$N$95)</f>
        <v>0</v>
      </c>
      <c r="D18" s="81">
        <f>SUMIF('5烧主抽电耗'!$A$3:$A$95,A18,'5烧主抽电耗'!$L$3:$L$95)</f>
        <v>0</v>
      </c>
      <c r="E18" s="82">
        <f>SUMIF('5烧主抽电耗'!$A$3:$A$95,A18,'5烧主抽电耗'!$V$3:$V$95)</f>
        <v>0</v>
      </c>
      <c r="F18" s="82">
        <f>SUMIF(错峰用电!$A$4:$A$189,$A18,错峰用电!N$4:N$189)</f>
        <v>0</v>
      </c>
      <c r="G18" s="82">
        <f>SUMIF(错峰用电!$A$4:$A$189,$A18,错峰用电!O$4:O$189)</f>
        <v>0</v>
      </c>
      <c r="H18" s="82">
        <f>SUMIF(错峰用电!$A$4:$A$189,$A18,错峰用电!P$4:P$189)</f>
        <v>0</v>
      </c>
      <c r="I18" s="89">
        <f t="shared" si="0"/>
        <v>0</v>
      </c>
      <c r="J18" s="89">
        <f t="shared" si="1"/>
        <v>0</v>
      </c>
      <c r="K18" s="89">
        <f t="shared" si="2"/>
        <v>0</v>
      </c>
      <c r="L18" s="82">
        <f t="shared" si="3"/>
        <v>0</v>
      </c>
      <c r="M18" s="90">
        <f t="shared" si="4"/>
        <v>0</v>
      </c>
      <c r="N18" s="90">
        <f>SUMIF('5烧主抽电耗'!$A$3:$A$96,A18,'5烧主抽电耗'!$AC$3:$AC$96)</f>
        <v>0</v>
      </c>
      <c r="O18" s="80">
        <f>SUMIF('6烧主抽电耗'!$A$3:$A$95,A18,'6烧主抽电耗'!$M$3:$M$95)</f>
        <v>0</v>
      </c>
      <c r="P18" s="80">
        <f>SUMIF('6烧主抽电耗'!$A$3:$A$95,A18,'6烧主抽电耗'!$N$3:$N$95)</f>
        <v>0</v>
      </c>
      <c r="Q18" s="81" t="e">
        <f>SUMIF('6烧主抽电耗'!$A$3:$A$95,A18,'6烧主抽电耗'!$L$3:$L$95)</f>
        <v>#REF!</v>
      </c>
      <c r="R18" s="82">
        <f>SUMIF('6烧主抽电耗'!$A$3:$A$95,A18,'6烧主抽电耗'!$V$3:$V$95)</f>
        <v>0</v>
      </c>
      <c r="S18" s="82">
        <f>SUMIF(错峰用电!$A$4:$A$189,$A18,错峰用电!AC$4:AC$189)</f>
        <v>0</v>
      </c>
      <c r="T18" s="82">
        <f>SUMIF(错峰用电!$A$4:$A$189,$A18,错峰用电!AD$4:AD$189)</f>
        <v>0</v>
      </c>
      <c r="U18" s="82">
        <f>SUMIF(错峰用电!$A$4:$A$189,$A18,错峰用电!AE$4:AE$189)</f>
        <v>0</v>
      </c>
      <c r="V18" s="89">
        <f t="shared" si="5"/>
        <v>0</v>
      </c>
      <c r="W18" s="89">
        <f t="shared" si="6"/>
        <v>0</v>
      </c>
      <c r="X18" s="89">
        <f t="shared" si="7"/>
        <v>0</v>
      </c>
      <c r="Y18" s="82" t="e">
        <f t="shared" si="8"/>
        <v>#REF!</v>
      </c>
      <c r="Z18" s="90">
        <f t="shared" si="9"/>
        <v>0</v>
      </c>
      <c r="AA18" s="90" t="e">
        <f>SUMIF('6烧主抽电耗'!$A$3:$A$96,A18,'6烧主抽电耗'!$AC$3:$AC$96)</f>
        <v>#REF!</v>
      </c>
      <c r="AB18" s="80">
        <f t="shared" si="10"/>
        <v>0</v>
      </c>
      <c r="AC18" s="80">
        <f t="shared" si="11"/>
        <v>0</v>
      </c>
      <c r="AD18" s="92" t="e">
        <f t="shared" si="12"/>
        <v>#REF!</v>
      </c>
      <c r="AE18" s="82">
        <f t="shared" si="17"/>
        <v>0</v>
      </c>
      <c r="AF18" s="101" t="e">
        <f t="shared" si="13"/>
        <v>#REF!</v>
      </c>
      <c r="AG18" s="104">
        <f t="shared" si="14"/>
        <v>0</v>
      </c>
      <c r="AH18" s="90" t="e">
        <f t="shared" si="15"/>
        <v>#REF!</v>
      </c>
    </row>
    <row r="19" spans="1:34">
      <c r="A19" s="79">
        <f t="shared" si="16"/>
        <v>43360</v>
      </c>
      <c r="B19" s="80">
        <f>SUMIF('5烧主抽电耗'!$A$3:$A$95,A19,'5烧主抽电耗'!$M$3:$M$95)</f>
        <v>0</v>
      </c>
      <c r="C19" s="80">
        <f>SUMIF('5烧主抽电耗'!$A$3:$A$95,A19,'5烧主抽电耗'!$N$3:$N$95)</f>
        <v>0</v>
      </c>
      <c r="D19" s="81">
        <f>SUMIF('5烧主抽电耗'!$A$3:$A$95,A19,'5烧主抽电耗'!$L$3:$L$95)</f>
        <v>0</v>
      </c>
      <c r="E19" s="82">
        <f>SUMIF('5烧主抽电耗'!$A$3:$A$95,A19,'5烧主抽电耗'!$V$3:$V$95)</f>
        <v>0</v>
      </c>
      <c r="F19" s="82">
        <f>SUMIF(错峰用电!$A$4:$A$189,$A19,错峰用电!N$4:N$189)</f>
        <v>0</v>
      </c>
      <c r="G19" s="82">
        <f>SUMIF(错峰用电!$A$4:$A$189,$A19,错峰用电!O$4:O$189)</f>
        <v>0</v>
      </c>
      <c r="H19" s="82">
        <f>SUMIF(错峰用电!$A$4:$A$189,$A19,错峰用电!P$4:P$189)</f>
        <v>0</v>
      </c>
      <c r="I19" s="89">
        <f t="shared" si="0"/>
        <v>0</v>
      </c>
      <c r="J19" s="89">
        <f t="shared" si="1"/>
        <v>0</v>
      </c>
      <c r="K19" s="89">
        <f t="shared" si="2"/>
        <v>0</v>
      </c>
      <c r="L19" s="82">
        <f t="shared" si="3"/>
        <v>0</v>
      </c>
      <c r="M19" s="90">
        <f t="shared" si="4"/>
        <v>0</v>
      </c>
      <c r="N19" s="90">
        <f>SUMIF('5烧主抽电耗'!$A$3:$A$96,A19,'5烧主抽电耗'!$AC$3:$AC$96)</f>
        <v>0</v>
      </c>
      <c r="O19" s="80">
        <f>SUMIF('6烧主抽电耗'!$A$3:$A$95,A19,'6烧主抽电耗'!$M$3:$M$95)</f>
        <v>0</v>
      </c>
      <c r="P19" s="80">
        <f>SUMIF('6烧主抽电耗'!$A$3:$A$95,A19,'6烧主抽电耗'!$N$3:$N$95)</f>
        <v>0</v>
      </c>
      <c r="Q19" s="81" t="e">
        <f>SUMIF('6烧主抽电耗'!$A$3:$A$95,A19,'6烧主抽电耗'!$L$3:$L$95)</f>
        <v>#REF!</v>
      </c>
      <c r="R19" s="82">
        <f>SUMIF('6烧主抽电耗'!$A$3:$A$95,A19,'6烧主抽电耗'!$V$3:$V$95)</f>
        <v>0</v>
      </c>
      <c r="S19" s="82">
        <f>SUMIF(错峰用电!$A$4:$A$189,$A19,错峰用电!AC$4:AC$189)</f>
        <v>0</v>
      </c>
      <c r="T19" s="82">
        <f>SUMIF(错峰用电!$A$4:$A$189,$A19,错峰用电!AD$4:AD$189)</f>
        <v>0</v>
      </c>
      <c r="U19" s="82">
        <f>SUMIF(错峰用电!$A$4:$A$189,$A19,错峰用电!AE$4:AE$189)</f>
        <v>0</v>
      </c>
      <c r="V19" s="89">
        <f t="shared" si="5"/>
        <v>0</v>
      </c>
      <c r="W19" s="89">
        <f t="shared" si="6"/>
        <v>0</v>
      </c>
      <c r="X19" s="89">
        <f t="shared" si="7"/>
        <v>0</v>
      </c>
      <c r="Y19" s="82" t="e">
        <f t="shared" si="8"/>
        <v>#REF!</v>
      </c>
      <c r="Z19" s="90">
        <f t="shared" si="9"/>
        <v>0</v>
      </c>
      <c r="AA19" s="90" t="e">
        <f>SUMIF('6烧主抽电耗'!$A$3:$A$96,A19,'6烧主抽电耗'!$AC$3:$AC$96)</f>
        <v>#REF!</v>
      </c>
      <c r="AB19" s="80">
        <f t="shared" si="10"/>
        <v>0</v>
      </c>
      <c r="AC19" s="80">
        <f t="shared" si="11"/>
        <v>0</v>
      </c>
      <c r="AD19" s="92" t="e">
        <f t="shared" si="12"/>
        <v>#REF!</v>
      </c>
      <c r="AE19" s="82">
        <f t="shared" si="17"/>
        <v>0</v>
      </c>
      <c r="AF19" s="101" t="e">
        <f t="shared" si="13"/>
        <v>#REF!</v>
      </c>
      <c r="AG19" s="104">
        <f t="shared" si="14"/>
        <v>0</v>
      </c>
      <c r="AH19" s="90" t="e">
        <f t="shared" si="15"/>
        <v>#REF!</v>
      </c>
    </row>
    <row r="20" spans="1:34">
      <c r="A20" s="79">
        <f t="shared" si="16"/>
        <v>43361</v>
      </c>
      <c r="B20" s="80">
        <f>SUMIF('5烧主抽电耗'!$A$3:$A$95,A20,'5烧主抽电耗'!$M$3:$M$95)</f>
        <v>0</v>
      </c>
      <c r="C20" s="80">
        <f>SUMIF('5烧主抽电耗'!$A$3:$A$95,A20,'5烧主抽电耗'!$N$3:$N$95)</f>
        <v>0</v>
      </c>
      <c r="D20" s="81">
        <f>SUMIF('5烧主抽电耗'!$A$3:$A$95,A20,'5烧主抽电耗'!$L$3:$L$95)</f>
        <v>0</v>
      </c>
      <c r="E20" s="82">
        <f>SUMIF('5烧主抽电耗'!$A$3:$A$95,A20,'5烧主抽电耗'!$V$3:$V$95)</f>
        <v>0</v>
      </c>
      <c r="F20" s="82">
        <f>SUMIF(错峰用电!$A$4:$A$189,$A20,错峰用电!N$4:N$189)</f>
        <v>0</v>
      </c>
      <c r="G20" s="82">
        <f>SUMIF(错峰用电!$A$4:$A$189,$A20,错峰用电!O$4:O$189)</f>
        <v>0</v>
      </c>
      <c r="H20" s="82">
        <f>SUMIF(错峰用电!$A$4:$A$189,$A20,错峰用电!P$4:P$189)</f>
        <v>0</v>
      </c>
      <c r="I20" s="89">
        <f t="shared" si="0"/>
        <v>0</v>
      </c>
      <c r="J20" s="89">
        <f t="shared" si="1"/>
        <v>0</v>
      </c>
      <c r="K20" s="89">
        <f t="shared" si="2"/>
        <v>0</v>
      </c>
      <c r="L20" s="82">
        <f t="shared" si="3"/>
        <v>0</v>
      </c>
      <c r="M20" s="90">
        <f t="shared" si="4"/>
        <v>0</v>
      </c>
      <c r="N20" s="90">
        <f>SUMIF('5烧主抽电耗'!$A$3:$A$96,A20,'5烧主抽电耗'!$AC$3:$AC$96)</f>
        <v>0</v>
      </c>
      <c r="O20" s="80">
        <f>SUMIF('6烧主抽电耗'!$A$3:$A$95,A20,'6烧主抽电耗'!$M$3:$M$95)</f>
        <v>0</v>
      </c>
      <c r="P20" s="80">
        <f>SUMIF('6烧主抽电耗'!$A$3:$A$95,A20,'6烧主抽电耗'!$N$3:$N$95)</f>
        <v>0</v>
      </c>
      <c r="Q20" s="81" t="e">
        <f>SUMIF('6烧主抽电耗'!$A$3:$A$95,A20,'6烧主抽电耗'!$L$3:$L$95)</f>
        <v>#REF!</v>
      </c>
      <c r="R20" s="82">
        <f>SUMIF('6烧主抽电耗'!$A$3:$A$95,A20,'6烧主抽电耗'!$V$3:$V$95)</f>
        <v>0</v>
      </c>
      <c r="S20" s="82">
        <f>SUMIF(错峰用电!$A$4:$A$189,$A20,错峰用电!AC$4:AC$189)</f>
        <v>0</v>
      </c>
      <c r="T20" s="82">
        <f>SUMIF(错峰用电!$A$4:$A$189,$A20,错峰用电!AD$4:AD$189)</f>
        <v>0</v>
      </c>
      <c r="U20" s="82">
        <f>SUMIF(错峰用电!$A$4:$A$189,$A20,错峰用电!AE$4:AE$189)</f>
        <v>0</v>
      </c>
      <c r="V20" s="89">
        <f t="shared" si="5"/>
        <v>0</v>
      </c>
      <c r="W20" s="89">
        <f t="shared" si="6"/>
        <v>0</v>
      </c>
      <c r="X20" s="89">
        <f t="shared" si="7"/>
        <v>0</v>
      </c>
      <c r="Y20" s="82" t="e">
        <f t="shared" si="8"/>
        <v>#REF!</v>
      </c>
      <c r="Z20" s="90">
        <f t="shared" si="9"/>
        <v>0</v>
      </c>
      <c r="AA20" s="90" t="e">
        <f>SUMIF('6烧主抽电耗'!$A$3:$A$96,A20,'6烧主抽电耗'!$AC$3:$AC$96)</f>
        <v>#REF!</v>
      </c>
      <c r="AB20" s="80">
        <f t="shared" si="10"/>
        <v>0</v>
      </c>
      <c r="AC20" s="80">
        <f t="shared" si="11"/>
        <v>0</v>
      </c>
      <c r="AD20" s="92" t="e">
        <f t="shared" si="12"/>
        <v>#REF!</v>
      </c>
      <c r="AE20" s="82">
        <f t="shared" si="17"/>
        <v>0</v>
      </c>
      <c r="AF20" s="101" t="e">
        <f t="shared" si="13"/>
        <v>#REF!</v>
      </c>
      <c r="AG20" s="104">
        <f t="shared" si="14"/>
        <v>0</v>
      </c>
      <c r="AH20" s="90" t="e">
        <f t="shared" si="15"/>
        <v>#REF!</v>
      </c>
    </row>
    <row r="21" spans="1:34">
      <c r="A21" s="79">
        <f t="shared" si="16"/>
        <v>43362</v>
      </c>
      <c r="B21" s="80">
        <f>SUMIF('5烧主抽电耗'!$A$3:$A$95,A21,'5烧主抽电耗'!$M$3:$M$95)</f>
        <v>0</v>
      </c>
      <c r="C21" s="80">
        <f>SUMIF('5烧主抽电耗'!$A$3:$A$95,A21,'5烧主抽电耗'!$N$3:$N$95)</f>
        <v>0</v>
      </c>
      <c r="D21" s="81">
        <f>SUMIF('5烧主抽电耗'!$A$3:$A$95,A21,'5烧主抽电耗'!$L$3:$L$95)</f>
        <v>0</v>
      </c>
      <c r="E21" s="82">
        <f>SUMIF('5烧主抽电耗'!$A$3:$A$95,A21,'5烧主抽电耗'!$V$3:$V$95)</f>
        <v>0</v>
      </c>
      <c r="F21" s="82">
        <f>SUMIF(错峰用电!$A$4:$A$189,$A21,错峰用电!N$4:N$189)</f>
        <v>0</v>
      </c>
      <c r="G21" s="82">
        <f>SUMIF(错峰用电!$A$4:$A$189,$A21,错峰用电!O$4:O$189)</f>
        <v>0</v>
      </c>
      <c r="H21" s="82">
        <f>SUMIF(错峰用电!$A$4:$A$189,$A21,错峰用电!P$4:P$189)</f>
        <v>0</v>
      </c>
      <c r="I21" s="89">
        <f t="shared" si="0"/>
        <v>0</v>
      </c>
      <c r="J21" s="89">
        <f t="shared" si="1"/>
        <v>0</v>
      </c>
      <c r="K21" s="89">
        <f t="shared" si="2"/>
        <v>0</v>
      </c>
      <c r="L21" s="82">
        <f t="shared" si="3"/>
        <v>0</v>
      </c>
      <c r="M21" s="90">
        <f t="shared" si="4"/>
        <v>0</v>
      </c>
      <c r="N21" s="90">
        <f>SUMIF('5烧主抽电耗'!$A$3:$A$96,A21,'5烧主抽电耗'!$AC$3:$AC$96)</f>
        <v>0</v>
      </c>
      <c r="O21" s="80">
        <f>SUMIF('6烧主抽电耗'!$A$3:$A$95,A21,'6烧主抽电耗'!$M$3:$M$95)</f>
        <v>0</v>
      </c>
      <c r="P21" s="80">
        <f>SUMIF('6烧主抽电耗'!$A$3:$A$95,A21,'6烧主抽电耗'!$N$3:$N$95)</f>
        <v>0</v>
      </c>
      <c r="Q21" s="81" t="e">
        <f>SUMIF('6烧主抽电耗'!$A$3:$A$95,A21,'6烧主抽电耗'!$L$3:$L$95)</f>
        <v>#REF!</v>
      </c>
      <c r="R21" s="82">
        <f>SUMIF('6烧主抽电耗'!$A$3:$A$95,A21,'6烧主抽电耗'!$V$3:$V$95)</f>
        <v>0</v>
      </c>
      <c r="S21" s="82">
        <f>SUMIF(错峰用电!$A$4:$A$189,$A21,错峰用电!AC$4:AC$189)</f>
        <v>0</v>
      </c>
      <c r="T21" s="82">
        <f>SUMIF(错峰用电!$A$4:$A$189,$A21,错峰用电!AD$4:AD$189)</f>
        <v>0</v>
      </c>
      <c r="U21" s="82">
        <f>SUMIF(错峰用电!$A$4:$A$189,$A21,错峰用电!AE$4:AE$189)</f>
        <v>0</v>
      </c>
      <c r="V21" s="89">
        <f t="shared" si="5"/>
        <v>0</v>
      </c>
      <c r="W21" s="89">
        <f t="shared" si="6"/>
        <v>0</v>
      </c>
      <c r="X21" s="89">
        <f t="shared" si="7"/>
        <v>0</v>
      </c>
      <c r="Y21" s="82" t="e">
        <f t="shared" si="8"/>
        <v>#REF!</v>
      </c>
      <c r="Z21" s="90">
        <f t="shared" si="9"/>
        <v>0</v>
      </c>
      <c r="AA21" s="90" t="e">
        <f>SUMIF('6烧主抽电耗'!$A$3:$A$96,A21,'6烧主抽电耗'!$AC$3:$AC$96)</f>
        <v>#REF!</v>
      </c>
      <c r="AB21" s="80">
        <f t="shared" si="10"/>
        <v>0</v>
      </c>
      <c r="AC21" s="80">
        <f t="shared" si="11"/>
        <v>0</v>
      </c>
      <c r="AD21" s="92" t="e">
        <f t="shared" si="12"/>
        <v>#REF!</v>
      </c>
      <c r="AE21" s="82">
        <f t="shared" si="17"/>
        <v>0</v>
      </c>
      <c r="AF21" s="101" t="e">
        <f t="shared" si="13"/>
        <v>#REF!</v>
      </c>
      <c r="AG21" s="104">
        <f t="shared" si="14"/>
        <v>0</v>
      </c>
      <c r="AH21" s="90" t="e">
        <f t="shared" si="15"/>
        <v>#REF!</v>
      </c>
    </row>
    <row r="22" spans="1:34">
      <c r="A22" s="79">
        <f t="shared" si="16"/>
        <v>43363</v>
      </c>
      <c r="B22" s="80">
        <f>SUMIF('5烧主抽电耗'!$A$3:$A$95,A22,'5烧主抽电耗'!$M$3:$M$95)</f>
        <v>0</v>
      </c>
      <c r="C22" s="80">
        <f>SUMIF('5烧主抽电耗'!$A$3:$A$95,A22,'5烧主抽电耗'!$N$3:$N$95)</f>
        <v>0</v>
      </c>
      <c r="D22" s="81">
        <f>SUMIF('5烧主抽电耗'!$A$3:$A$95,A22,'5烧主抽电耗'!$L$3:$L$95)</f>
        <v>0</v>
      </c>
      <c r="E22" s="82">
        <f>SUMIF('5烧主抽电耗'!$A$3:$A$95,A22,'5烧主抽电耗'!$V$3:$V$95)</f>
        <v>0</v>
      </c>
      <c r="F22" s="82">
        <f>SUMIF(错峰用电!$A$4:$A$189,$A22,错峰用电!N$4:N$189)</f>
        <v>0</v>
      </c>
      <c r="G22" s="82">
        <f>SUMIF(错峰用电!$A$4:$A$189,$A22,错峰用电!O$4:O$189)</f>
        <v>0</v>
      </c>
      <c r="H22" s="82">
        <f>SUMIF(错峰用电!$A$4:$A$189,$A22,错峰用电!P$4:P$189)</f>
        <v>0</v>
      </c>
      <c r="I22" s="89">
        <f t="shared" si="0"/>
        <v>0</v>
      </c>
      <c r="J22" s="89">
        <f t="shared" si="1"/>
        <v>0</v>
      </c>
      <c r="K22" s="89">
        <f t="shared" si="2"/>
        <v>0</v>
      </c>
      <c r="L22" s="82">
        <f t="shared" si="3"/>
        <v>0</v>
      </c>
      <c r="M22" s="90">
        <f t="shared" si="4"/>
        <v>0</v>
      </c>
      <c r="N22" s="90">
        <f>SUMIF('5烧主抽电耗'!$A$3:$A$96,A22,'5烧主抽电耗'!$AC$3:$AC$96)</f>
        <v>0</v>
      </c>
      <c r="O22" s="80">
        <f>SUMIF('6烧主抽电耗'!$A$3:$A$95,A22,'6烧主抽电耗'!$M$3:$M$95)</f>
        <v>0</v>
      </c>
      <c r="P22" s="80">
        <f>SUMIF('6烧主抽电耗'!$A$3:$A$95,A22,'6烧主抽电耗'!$N$3:$N$95)</f>
        <v>0</v>
      </c>
      <c r="Q22" s="81" t="e">
        <f>SUMIF('6烧主抽电耗'!$A$3:$A$95,A22,'6烧主抽电耗'!$L$3:$L$95)</f>
        <v>#REF!</v>
      </c>
      <c r="R22" s="82">
        <f>SUMIF('6烧主抽电耗'!$A$3:$A$95,A22,'6烧主抽电耗'!$V$3:$V$95)</f>
        <v>0</v>
      </c>
      <c r="S22" s="82">
        <f>SUMIF(错峰用电!$A$4:$A$189,$A22,错峰用电!AC$4:AC$189)</f>
        <v>0</v>
      </c>
      <c r="T22" s="82">
        <f>SUMIF(错峰用电!$A$4:$A$189,$A22,错峰用电!AD$4:AD$189)</f>
        <v>0</v>
      </c>
      <c r="U22" s="82">
        <f>SUMIF(错峰用电!$A$4:$A$189,$A22,错峰用电!AE$4:AE$189)</f>
        <v>0</v>
      </c>
      <c r="V22" s="89">
        <f t="shared" si="5"/>
        <v>0</v>
      </c>
      <c r="W22" s="89">
        <f t="shared" si="6"/>
        <v>0</v>
      </c>
      <c r="X22" s="89">
        <f t="shared" si="7"/>
        <v>0</v>
      </c>
      <c r="Y22" s="82" t="e">
        <f t="shared" si="8"/>
        <v>#REF!</v>
      </c>
      <c r="Z22" s="90">
        <f t="shared" si="9"/>
        <v>0</v>
      </c>
      <c r="AA22" s="90" t="e">
        <f>SUMIF('6烧主抽电耗'!$A$3:$A$96,A22,'6烧主抽电耗'!$AC$3:$AC$96)</f>
        <v>#REF!</v>
      </c>
      <c r="AB22" s="80">
        <f t="shared" si="10"/>
        <v>0</v>
      </c>
      <c r="AC22" s="80">
        <f t="shared" si="11"/>
        <v>0</v>
      </c>
      <c r="AD22" s="92" t="e">
        <f t="shared" si="12"/>
        <v>#REF!</v>
      </c>
      <c r="AE22" s="82">
        <f t="shared" si="17"/>
        <v>0</v>
      </c>
      <c r="AF22" s="101" t="e">
        <f t="shared" si="13"/>
        <v>#REF!</v>
      </c>
      <c r="AG22" s="104">
        <f t="shared" si="14"/>
        <v>0</v>
      </c>
      <c r="AH22" s="90" t="e">
        <f t="shared" si="15"/>
        <v>#REF!</v>
      </c>
    </row>
    <row r="23" spans="1:34">
      <c r="A23" s="79">
        <f t="shared" si="16"/>
        <v>43364</v>
      </c>
      <c r="B23" s="80">
        <f>SUMIF('5烧主抽电耗'!$A$3:$A$95,A23,'5烧主抽电耗'!$M$3:$M$95)</f>
        <v>0</v>
      </c>
      <c r="C23" s="80">
        <f>SUMIF('5烧主抽电耗'!$A$3:$A$95,A23,'5烧主抽电耗'!$N$3:$N$95)</f>
        <v>0</v>
      </c>
      <c r="D23" s="81">
        <f>SUMIF('5烧主抽电耗'!$A$3:$A$95,A23,'5烧主抽电耗'!$L$3:$L$95)</f>
        <v>0</v>
      </c>
      <c r="E23" s="82">
        <f>SUMIF('5烧主抽电耗'!$A$3:$A$95,A23,'5烧主抽电耗'!$V$3:$V$95)</f>
        <v>0</v>
      </c>
      <c r="F23" s="82">
        <f>SUMIF(错峰用电!$A$4:$A$189,$A23,错峰用电!N$4:N$189)</f>
        <v>0</v>
      </c>
      <c r="G23" s="82">
        <f>SUMIF(错峰用电!$A$4:$A$189,$A23,错峰用电!O$4:O$189)</f>
        <v>0</v>
      </c>
      <c r="H23" s="82">
        <f>SUMIF(错峰用电!$A$4:$A$189,$A23,错峰用电!P$4:P$189)</f>
        <v>0</v>
      </c>
      <c r="I23" s="89">
        <f t="shared" si="0"/>
        <v>0</v>
      </c>
      <c r="J23" s="89">
        <f t="shared" si="1"/>
        <v>0</v>
      </c>
      <c r="K23" s="89">
        <f t="shared" si="2"/>
        <v>0</v>
      </c>
      <c r="L23" s="82">
        <f t="shared" si="3"/>
        <v>0</v>
      </c>
      <c r="M23" s="90">
        <f t="shared" si="4"/>
        <v>0</v>
      </c>
      <c r="N23" s="90">
        <f>SUMIF('5烧主抽电耗'!$A$3:$A$96,A23,'5烧主抽电耗'!$AC$3:$AC$96)</f>
        <v>0</v>
      </c>
      <c r="O23" s="80">
        <f>SUMIF('6烧主抽电耗'!$A$3:$A$95,A23,'6烧主抽电耗'!$M$3:$M$95)</f>
        <v>0</v>
      </c>
      <c r="P23" s="80">
        <f>SUMIF('6烧主抽电耗'!$A$3:$A$95,A23,'6烧主抽电耗'!$N$3:$N$95)</f>
        <v>0</v>
      </c>
      <c r="Q23" s="81" t="e">
        <f>SUMIF('6烧主抽电耗'!$A$3:$A$95,A23,'6烧主抽电耗'!$L$3:$L$95)</f>
        <v>#REF!</v>
      </c>
      <c r="R23" s="82">
        <f>SUMIF('6烧主抽电耗'!$A$3:$A$95,A23,'6烧主抽电耗'!$V$3:$V$95)</f>
        <v>0</v>
      </c>
      <c r="S23" s="82">
        <f>SUMIF(错峰用电!$A$4:$A$189,$A23,错峰用电!AC$4:AC$189)</f>
        <v>0</v>
      </c>
      <c r="T23" s="82">
        <f>SUMIF(错峰用电!$A$4:$A$189,$A23,错峰用电!AD$4:AD$189)</f>
        <v>0</v>
      </c>
      <c r="U23" s="82">
        <f>SUMIF(错峰用电!$A$4:$A$189,$A23,错峰用电!AE$4:AE$189)</f>
        <v>0</v>
      </c>
      <c r="V23" s="89">
        <f t="shared" si="5"/>
        <v>0</v>
      </c>
      <c r="W23" s="89">
        <f t="shared" si="6"/>
        <v>0</v>
      </c>
      <c r="X23" s="89">
        <f t="shared" si="7"/>
        <v>0</v>
      </c>
      <c r="Y23" s="82" t="e">
        <f t="shared" si="8"/>
        <v>#REF!</v>
      </c>
      <c r="Z23" s="90">
        <f t="shared" si="9"/>
        <v>0</v>
      </c>
      <c r="AA23" s="90" t="e">
        <f>SUMIF('6烧主抽电耗'!$A$3:$A$96,A23,'6烧主抽电耗'!$AC$3:$AC$96)</f>
        <v>#REF!</v>
      </c>
      <c r="AB23" s="80">
        <f t="shared" si="10"/>
        <v>0</v>
      </c>
      <c r="AC23" s="80">
        <f t="shared" si="11"/>
        <v>0</v>
      </c>
      <c r="AD23" s="92" t="e">
        <f t="shared" si="12"/>
        <v>#REF!</v>
      </c>
      <c r="AE23" s="82">
        <f t="shared" si="17"/>
        <v>0</v>
      </c>
      <c r="AF23" s="101" t="e">
        <f t="shared" si="13"/>
        <v>#REF!</v>
      </c>
      <c r="AG23" s="104">
        <f t="shared" si="14"/>
        <v>0</v>
      </c>
      <c r="AH23" s="90" t="e">
        <f t="shared" si="15"/>
        <v>#REF!</v>
      </c>
    </row>
    <row r="24" spans="1:34">
      <c r="A24" s="79">
        <f t="shared" si="16"/>
        <v>43365</v>
      </c>
      <c r="B24" s="80">
        <f>SUMIF('5烧主抽电耗'!$A$3:$A$95,A24,'5烧主抽电耗'!$M$3:$M$95)</f>
        <v>0</v>
      </c>
      <c r="C24" s="80">
        <f>SUMIF('5烧主抽电耗'!$A$3:$A$95,A24,'5烧主抽电耗'!$N$3:$N$95)</f>
        <v>0</v>
      </c>
      <c r="D24" s="81">
        <f>SUMIF('5烧主抽电耗'!$A$3:$A$95,A24,'5烧主抽电耗'!$L$3:$L$95)</f>
        <v>0</v>
      </c>
      <c r="E24" s="82">
        <f>SUMIF('5烧主抽电耗'!$A$3:$A$95,A24,'5烧主抽电耗'!$V$3:$V$95)</f>
        <v>0</v>
      </c>
      <c r="F24" s="82">
        <f>SUMIF(错峰用电!$A$4:$A$189,$A24,错峰用电!N$4:N$189)</f>
        <v>0</v>
      </c>
      <c r="G24" s="82">
        <f>SUMIF(错峰用电!$A$4:$A$189,$A24,错峰用电!O$4:O$189)</f>
        <v>0</v>
      </c>
      <c r="H24" s="82">
        <f>SUMIF(错峰用电!$A$4:$A$189,$A24,错峰用电!P$4:P$189)</f>
        <v>0</v>
      </c>
      <c r="I24" s="89">
        <f t="shared" si="0"/>
        <v>0</v>
      </c>
      <c r="J24" s="89">
        <f t="shared" si="1"/>
        <v>0</v>
      </c>
      <c r="K24" s="89">
        <f t="shared" si="2"/>
        <v>0</v>
      </c>
      <c r="L24" s="82">
        <f t="shared" si="3"/>
        <v>0</v>
      </c>
      <c r="M24" s="90">
        <f t="shared" si="4"/>
        <v>0</v>
      </c>
      <c r="N24" s="90">
        <f>SUMIF('5烧主抽电耗'!$A$3:$A$96,A24,'5烧主抽电耗'!$AC$3:$AC$96)</f>
        <v>0</v>
      </c>
      <c r="O24" s="80">
        <f>SUMIF('6烧主抽电耗'!$A$3:$A$95,A24,'6烧主抽电耗'!$M$3:$M$95)</f>
        <v>0</v>
      </c>
      <c r="P24" s="80">
        <f>SUMIF('6烧主抽电耗'!$A$3:$A$95,A24,'6烧主抽电耗'!$N$3:$N$95)</f>
        <v>0</v>
      </c>
      <c r="Q24" s="81" t="e">
        <f>SUMIF('6烧主抽电耗'!$A$3:$A$95,A24,'6烧主抽电耗'!$L$3:$L$95)</f>
        <v>#REF!</v>
      </c>
      <c r="R24" s="82">
        <f>SUMIF('6烧主抽电耗'!$A$3:$A$95,A24,'6烧主抽电耗'!$V$3:$V$95)</f>
        <v>0</v>
      </c>
      <c r="S24" s="82">
        <f>SUMIF(错峰用电!$A$4:$A$189,$A24,错峰用电!AC$4:AC$189)</f>
        <v>0</v>
      </c>
      <c r="T24" s="82">
        <f>SUMIF(错峰用电!$A$4:$A$189,$A24,错峰用电!AD$4:AD$189)</f>
        <v>0</v>
      </c>
      <c r="U24" s="82">
        <f>SUMIF(错峰用电!$A$4:$A$189,$A24,错峰用电!AE$4:AE$189)</f>
        <v>0</v>
      </c>
      <c r="V24" s="89">
        <f t="shared" si="5"/>
        <v>0</v>
      </c>
      <c r="W24" s="89">
        <f t="shared" si="6"/>
        <v>0</v>
      </c>
      <c r="X24" s="89">
        <f t="shared" si="7"/>
        <v>0</v>
      </c>
      <c r="Y24" s="82" t="e">
        <f t="shared" si="8"/>
        <v>#REF!</v>
      </c>
      <c r="Z24" s="90">
        <f t="shared" si="9"/>
        <v>0</v>
      </c>
      <c r="AA24" s="90" t="e">
        <f>SUMIF('6烧主抽电耗'!$A$3:$A$96,A24,'6烧主抽电耗'!$AC$3:$AC$96)</f>
        <v>#REF!</v>
      </c>
      <c r="AB24" s="80">
        <f t="shared" si="10"/>
        <v>0</v>
      </c>
      <c r="AC24" s="80">
        <f t="shared" si="11"/>
        <v>0</v>
      </c>
      <c r="AD24" s="92" t="e">
        <f t="shared" si="12"/>
        <v>#REF!</v>
      </c>
      <c r="AE24" s="82">
        <f t="shared" si="17"/>
        <v>0</v>
      </c>
      <c r="AF24" s="101" t="e">
        <f t="shared" si="13"/>
        <v>#REF!</v>
      </c>
      <c r="AG24" s="104">
        <f t="shared" si="14"/>
        <v>0</v>
      </c>
      <c r="AH24" s="90" t="e">
        <f t="shared" si="15"/>
        <v>#REF!</v>
      </c>
    </row>
    <row r="25" spans="1:34">
      <c r="A25" s="79">
        <f t="shared" si="16"/>
        <v>43366</v>
      </c>
      <c r="B25" s="80">
        <f>SUMIF('5烧主抽电耗'!$A$3:$A$95,A25,'5烧主抽电耗'!$M$3:$M$95)</f>
        <v>0</v>
      </c>
      <c r="C25" s="80">
        <f>SUMIF('5烧主抽电耗'!$A$3:$A$95,A25,'5烧主抽电耗'!$N$3:$N$95)</f>
        <v>0</v>
      </c>
      <c r="D25" s="81">
        <f>SUMIF('5烧主抽电耗'!$A$3:$A$95,A25,'5烧主抽电耗'!$L$3:$L$95)</f>
        <v>0</v>
      </c>
      <c r="E25" s="82">
        <f>SUMIF('5烧主抽电耗'!$A$3:$A$95,A25,'5烧主抽电耗'!$V$3:$V$95)</f>
        <v>0</v>
      </c>
      <c r="F25" s="82">
        <f>SUMIF(错峰用电!$A$4:$A$189,$A25,错峰用电!N$4:N$189)</f>
        <v>0</v>
      </c>
      <c r="G25" s="82">
        <f>SUMIF(错峰用电!$A$4:$A$189,$A25,错峰用电!O$4:O$189)</f>
        <v>0</v>
      </c>
      <c r="H25" s="82">
        <f>SUMIF(错峰用电!$A$4:$A$189,$A25,错峰用电!P$4:P$189)</f>
        <v>0</v>
      </c>
      <c r="I25" s="89">
        <f t="shared" si="0"/>
        <v>0</v>
      </c>
      <c r="J25" s="89">
        <f t="shared" si="1"/>
        <v>0</v>
      </c>
      <c r="K25" s="89">
        <f t="shared" si="2"/>
        <v>0</v>
      </c>
      <c r="L25" s="82">
        <f t="shared" si="3"/>
        <v>0</v>
      </c>
      <c r="M25" s="90">
        <f t="shared" si="4"/>
        <v>0</v>
      </c>
      <c r="N25" s="90">
        <f>SUMIF('5烧主抽电耗'!$A$3:$A$96,A25,'5烧主抽电耗'!$AC$3:$AC$96)</f>
        <v>0</v>
      </c>
      <c r="O25" s="80">
        <f>SUMIF('6烧主抽电耗'!$A$3:$A$95,A25,'6烧主抽电耗'!$M$3:$M$95)</f>
        <v>0</v>
      </c>
      <c r="P25" s="80">
        <f>SUMIF('6烧主抽电耗'!$A$3:$A$95,A25,'6烧主抽电耗'!$N$3:$N$95)</f>
        <v>0</v>
      </c>
      <c r="Q25" s="81" t="e">
        <f>SUMIF('6烧主抽电耗'!$A$3:$A$95,A25,'6烧主抽电耗'!$L$3:$L$95)</f>
        <v>#REF!</v>
      </c>
      <c r="R25" s="82">
        <f>SUMIF('6烧主抽电耗'!$A$3:$A$95,A25,'6烧主抽电耗'!$V$3:$V$95)</f>
        <v>0</v>
      </c>
      <c r="S25" s="82">
        <f>SUMIF(错峰用电!$A$4:$A$189,$A25,错峰用电!AC$4:AC$189)</f>
        <v>0</v>
      </c>
      <c r="T25" s="82">
        <f>SUMIF(错峰用电!$A$4:$A$189,$A25,错峰用电!AD$4:AD$189)</f>
        <v>0</v>
      </c>
      <c r="U25" s="82">
        <f>SUMIF(错峰用电!$A$4:$A$189,$A25,错峰用电!AE$4:AE$189)</f>
        <v>0</v>
      </c>
      <c r="V25" s="89">
        <f t="shared" si="5"/>
        <v>0</v>
      </c>
      <c r="W25" s="89">
        <f t="shared" si="6"/>
        <v>0</v>
      </c>
      <c r="X25" s="89">
        <f t="shared" si="7"/>
        <v>0</v>
      </c>
      <c r="Y25" s="82" t="e">
        <f t="shared" si="8"/>
        <v>#REF!</v>
      </c>
      <c r="Z25" s="90">
        <f t="shared" si="9"/>
        <v>0</v>
      </c>
      <c r="AA25" s="90" t="e">
        <f>SUMIF('6烧主抽电耗'!$A$3:$A$96,A25,'6烧主抽电耗'!$AC$3:$AC$96)</f>
        <v>#REF!</v>
      </c>
      <c r="AB25" s="80">
        <f t="shared" si="10"/>
        <v>0</v>
      </c>
      <c r="AC25" s="80">
        <f t="shared" si="11"/>
        <v>0</v>
      </c>
      <c r="AD25" s="92" t="e">
        <f t="shared" si="12"/>
        <v>#REF!</v>
      </c>
      <c r="AE25" s="82">
        <f t="shared" si="17"/>
        <v>0</v>
      </c>
      <c r="AF25" s="101" t="e">
        <f t="shared" si="13"/>
        <v>#REF!</v>
      </c>
      <c r="AG25" s="104">
        <f t="shared" si="14"/>
        <v>0</v>
      </c>
      <c r="AH25" s="90" t="e">
        <f t="shared" si="15"/>
        <v>#REF!</v>
      </c>
    </row>
    <row r="26" spans="1:34">
      <c r="A26" s="79">
        <f t="shared" si="16"/>
        <v>43367</v>
      </c>
      <c r="B26" s="80">
        <f>SUMIF('5烧主抽电耗'!$A$3:$A$95,A26,'5烧主抽电耗'!$M$3:$M$95)</f>
        <v>0</v>
      </c>
      <c r="C26" s="80">
        <f>SUMIF('5烧主抽电耗'!$A$3:$A$95,A26,'5烧主抽电耗'!$N$3:$N$95)</f>
        <v>0</v>
      </c>
      <c r="D26" s="81">
        <f>SUMIF('5烧主抽电耗'!$A$3:$A$95,A26,'5烧主抽电耗'!$L$3:$L$95)</f>
        <v>0</v>
      </c>
      <c r="E26" s="82">
        <f>SUMIF('5烧主抽电耗'!$A$3:$A$95,A26,'5烧主抽电耗'!$V$3:$V$95)</f>
        <v>0</v>
      </c>
      <c r="F26" s="82">
        <f>SUMIF(错峰用电!$A$4:$A$189,$A26,错峰用电!N$4:N$189)</f>
        <v>0</v>
      </c>
      <c r="G26" s="82">
        <f>SUMIF(错峰用电!$A$4:$A$189,$A26,错峰用电!O$4:O$189)</f>
        <v>0</v>
      </c>
      <c r="H26" s="82">
        <f>SUMIF(错峰用电!$A$4:$A$189,$A26,错峰用电!P$4:P$189)</f>
        <v>0</v>
      </c>
      <c r="I26" s="89">
        <f t="shared" si="0"/>
        <v>0</v>
      </c>
      <c r="J26" s="89">
        <f t="shared" si="1"/>
        <v>0</v>
      </c>
      <c r="K26" s="89">
        <f t="shared" si="2"/>
        <v>0</v>
      </c>
      <c r="L26" s="82">
        <f t="shared" si="3"/>
        <v>0</v>
      </c>
      <c r="M26" s="90">
        <f t="shared" si="4"/>
        <v>0</v>
      </c>
      <c r="N26" s="90">
        <f>SUMIF('5烧主抽电耗'!$A$3:$A$96,A26,'5烧主抽电耗'!$AC$3:$AC$96)</f>
        <v>0</v>
      </c>
      <c r="O26" s="80">
        <f>SUMIF('6烧主抽电耗'!$A$3:$A$95,A26,'6烧主抽电耗'!$M$3:$M$95)</f>
        <v>0</v>
      </c>
      <c r="P26" s="80">
        <f>SUMIF('6烧主抽电耗'!$A$3:$A$95,A26,'6烧主抽电耗'!$N$3:$N$95)</f>
        <v>0</v>
      </c>
      <c r="Q26" s="81" t="e">
        <f>SUMIF('6烧主抽电耗'!$A$3:$A$95,A26,'6烧主抽电耗'!$L$3:$L$95)</f>
        <v>#REF!</v>
      </c>
      <c r="R26" s="82">
        <f>SUMIF('6烧主抽电耗'!$A$3:$A$95,A26,'6烧主抽电耗'!$V$3:$V$95)</f>
        <v>0</v>
      </c>
      <c r="S26" s="82">
        <f>SUMIF(错峰用电!$A$4:$A$189,$A26,错峰用电!AC$4:AC$189)</f>
        <v>0</v>
      </c>
      <c r="T26" s="82">
        <f>SUMIF(错峰用电!$A$4:$A$189,$A26,错峰用电!AD$4:AD$189)</f>
        <v>0</v>
      </c>
      <c r="U26" s="82">
        <f>SUMIF(错峰用电!$A$4:$A$189,$A26,错峰用电!AE$4:AE$189)</f>
        <v>0</v>
      </c>
      <c r="V26" s="89">
        <f t="shared" si="5"/>
        <v>0</v>
      </c>
      <c r="W26" s="89">
        <f t="shared" si="6"/>
        <v>0</v>
      </c>
      <c r="X26" s="89">
        <f t="shared" si="7"/>
        <v>0</v>
      </c>
      <c r="Y26" s="82" t="e">
        <f t="shared" si="8"/>
        <v>#REF!</v>
      </c>
      <c r="Z26" s="90">
        <f t="shared" si="9"/>
        <v>0</v>
      </c>
      <c r="AA26" s="90" t="e">
        <f>SUMIF('6烧主抽电耗'!$A$3:$A$96,A26,'6烧主抽电耗'!$AC$3:$AC$96)</f>
        <v>#REF!</v>
      </c>
      <c r="AB26" s="80">
        <f t="shared" si="10"/>
        <v>0</v>
      </c>
      <c r="AC26" s="80">
        <f t="shared" si="11"/>
        <v>0</v>
      </c>
      <c r="AD26" s="92" t="e">
        <f t="shared" si="12"/>
        <v>#REF!</v>
      </c>
      <c r="AE26" s="82">
        <f t="shared" si="17"/>
        <v>0</v>
      </c>
      <c r="AF26" s="101" t="e">
        <f t="shared" si="13"/>
        <v>#REF!</v>
      </c>
      <c r="AG26" s="104">
        <f t="shared" si="14"/>
        <v>0</v>
      </c>
      <c r="AH26" s="90" t="e">
        <f t="shared" si="15"/>
        <v>#REF!</v>
      </c>
    </row>
    <row r="27" spans="1:34">
      <c r="A27" s="79">
        <f t="shared" si="16"/>
        <v>43368</v>
      </c>
      <c r="B27" s="80">
        <f>SUMIF('5烧主抽电耗'!$A$3:$A$95,A27,'5烧主抽电耗'!$M$3:$M$95)</f>
        <v>0</v>
      </c>
      <c r="C27" s="80">
        <f>SUMIF('5烧主抽电耗'!$A$3:$A$95,A27,'5烧主抽电耗'!$N$3:$N$95)</f>
        <v>0</v>
      </c>
      <c r="D27" s="81">
        <f>SUMIF('5烧主抽电耗'!$A$3:$A$95,A27,'5烧主抽电耗'!$L$3:$L$95)</f>
        <v>0</v>
      </c>
      <c r="E27" s="82">
        <f>SUMIF('5烧主抽电耗'!$A$3:$A$95,A27,'5烧主抽电耗'!$V$3:$V$95)</f>
        <v>0</v>
      </c>
      <c r="F27" s="82">
        <f>SUMIF(错峰用电!$A$4:$A$189,$A27,错峰用电!N$4:N$189)</f>
        <v>0</v>
      </c>
      <c r="G27" s="82">
        <f>SUMIF(错峰用电!$A$4:$A$189,$A27,错峰用电!O$4:O$189)</f>
        <v>0</v>
      </c>
      <c r="H27" s="82">
        <f>SUMIF(错峰用电!$A$4:$A$189,$A27,错峰用电!P$4:P$189)</f>
        <v>0</v>
      </c>
      <c r="I27" s="89">
        <f t="shared" si="0"/>
        <v>0</v>
      </c>
      <c r="J27" s="89">
        <f t="shared" si="1"/>
        <v>0</v>
      </c>
      <c r="K27" s="89">
        <f t="shared" si="2"/>
        <v>0</v>
      </c>
      <c r="L27" s="82">
        <f t="shared" si="3"/>
        <v>0</v>
      </c>
      <c r="M27" s="90">
        <f t="shared" si="4"/>
        <v>0</v>
      </c>
      <c r="N27" s="90">
        <f>SUMIF('5烧主抽电耗'!$A$3:$A$96,A27,'5烧主抽电耗'!$AC$3:$AC$96)</f>
        <v>0</v>
      </c>
      <c r="O27" s="80">
        <f>SUMIF('6烧主抽电耗'!$A$3:$A$95,A27,'6烧主抽电耗'!$M$3:$M$95)</f>
        <v>0</v>
      </c>
      <c r="P27" s="80">
        <f>SUMIF('6烧主抽电耗'!$A$3:$A$95,A27,'6烧主抽电耗'!$N$3:$N$95)</f>
        <v>0</v>
      </c>
      <c r="Q27" s="81" t="e">
        <f>SUMIF('6烧主抽电耗'!$A$3:$A$95,A27,'6烧主抽电耗'!$L$3:$L$95)</f>
        <v>#REF!</v>
      </c>
      <c r="R27" s="82">
        <f>SUMIF('6烧主抽电耗'!$A$3:$A$95,A27,'6烧主抽电耗'!$V$3:$V$95)</f>
        <v>0</v>
      </c>
      <c r="S27" s="82">
        <f>SUMIF(错峰用电!$A$4:$A$189,$A27,错峰用电!AC$4:AC$189)</f>
        <v>0</v>
      </c>
      <c r="T27" s="82">
        <f>SUMIF(错峰用电!$A$4:$A$189,$A27,错峰用电!AD$4:AD$189)</f>
        <v>0</v>
      </c>
      <c r="U27" s="82">
        <f>SUMIF(错峰用电!$A$4:$A$189,$A27,错峰用电!AE$4:AE$189)</f>
        <v>0</v>
      </c>
      <c r="V27" s="89">
        <f t="shared" ref="V27:V33" si="18">IFERROR(S27/SUM($S27:$U27),0)</f>
        <v>0</v>
      </c>
      <c r="W27" s="89">
        <f t="shared" si="6"/>
        <v>0</v>
      </c>
      <c r="X27" s="89">
        <f t="shared" si="7"/>
        <v>0</v>
      </c>
      <c r="Y27" s="82" t="e">
        <f t="shared" si="8"/>
        <v>#REF!</v>
      </c>
      <c r="Z27" s="90">
        <f t="shared" si="9"/>
        <v>0</v>
      </c>
      <c r="AA27" s="90" t="e">
        <f>SUMIF('6烧主抽电耗'!$A$3:$A$96,A27,'6烧主抽电耗'!$AC$3:$AC$96)</f>
        <v>#REF!</v>
      </c>
      <c r="AB27" s="80">
        <f t="shared" si="10"/>
        <v>0</v>
      </c>
      <c r="AC27" s="80">
        <f t="shared" si="11"/>
        <v>0</v>
      </c>
      <c r="AD27" s="92" t="e">
        <f t="shared" si="12"/>
        <v>#REF!</v>
      </c>
      <c r="AE27" s="82">
        <f t="shared" si="17"/>
        <v>0</v>
      </c>
      <c r="AF27" s="101" t="e">
        <f t="shared" si="13"/>
        <v>#REF!</v>
      </c>
      <c r="AG27" s="104">
        <f t="shared" si="14"/>
        <v>0</v>
      </c>
      <c r="AH27" s="90" t="e">
        <f t="shared" si="15"/>
        <v>#REF!</v>
      </c>
    </row>
    <row r="28" spans="1:34">
      <c r="A28" s="79">
        <f t="shared" si="16"/>
        <v>43369</v>
      </c>
      <c r="B28" s="80">
        <f>SUMIF('5烧主抽电耗'!$A$3:$A$95,A28,'5烧主抽电耗'!$M$3:$M$95)</f>
        <v>0</v>
      </c>
      <c r="C28" s="80">
        <f>SUMIF('5烧主抽电耗'!$A$3:$A$95,A28,'5烧主抽电耗'!$N$3:$N$95)</f>
        <v>0</v>
      </c>
      <c r="D28" s="81">
        <f>SUMIF('5烧主抽电耗'!$A$3:$A$95,A28,'5烧主抽电耗'!$L$3:$L$95)</f>
        <v>0</v>
      </c>
      <c r="E28" s="82">
        <f>SUMIF('5烧主抽电耗'!$A$3:$A$95,A28,'5烧主抽电耗'!$V$3:$V$95)</f>
        <v>0</v>
      </c>
      <c r="F28" s="82">
        <f>SUMIF(错峰用电!$A$4:$A$189,$A28,错峰用电!N$4:N$189)</f>
        <v>0</v>
      </c>
      <c r="G28" s="82">
        <f>SUMIF(错峰用电!$A$4:$A$189,$A28,错峰用电!O$4:O$189)</f>
        <v>0</v>
      </c>
      <c r="H28" s="82">
        <f>SUMIF(错峰用电!$A$4:$A$189,$A28,错峰用电!P$4:P$189)</f>
        <v>0</v>
      </c>
      <c r="I28" s="89">
        <f t="shared" si="0"/>
        <v>0</v>
      </c>
      <c r="J28" s="89">
        <f t="shared" si="1"/>
        <v>0</v>
      </c>
      <c r="K28" s="89">
        <f t="shared" si="2"/>
        <v>0</v>
      </c>
      <c r="L28" s="82">
        <f t="shared" si="3"/>
        <v>0</v>
      </c>
      <c r="M28" s="90">
        <f t="shared" si="4"/>
        <v>0</v>
      </c>
      <c r="N28" s="90">
        <f>SUMIF('5烧主抽电耗'!$A$3:$A$96,A28,'5烧主抽电耗'!$AC$3:$AC$96)</f>
        <v>0</v>
      </c>
      <c r="O28" s="80">
        <f>SUMIF('6烧主抽电耗'!$A$3:$A$95,A28,'6烧主抽电耗'!$M$3:$M$95)</f>
        <v>0</v>
      </c>
      <c r="P28" s="80">
        <f>SUMIF('6烧主抽电耗'!$A$3:$A$95,A28,'6烧主抽电耗'!$N$3:$N$95)</f>
        <v>0</v>
      </c>
      <c r="Q28" s="81" t="e">
        <f>SUMIF('6烧主抽电耗'!$A$3:$A$95,A28,'6烧主抽电耗'!$L$3:$L$95)</f>
        <v>#REF!</v>
      </c>
      <c r="R28" s="82">
        <f>SUMIF('6烧主抽电耗'!$A$3:$A$95,A28,'6烧主抽电耗'!$V$3:$V$95)</f>
        <v>0</v>
      </c>
      <c r="S28" s="82">
        <f>SUMIF(错峰用电!$A$4:$A$189,$A28,错峰用电!AC$4:AC$189)</f>
        <v>0</v>
      </c>
      <c r="T28" s="82">
        <f>SUMIF(错峰用电!$A$4:$A$189,$A28,错峰用电!AD$4:AD$189)</f>
        <v>0</v>
      </c>
      <c r="U28" s="82">
        <f>SUMIF(错峰用电!$A$4:$A$189,$A28,错峰用电!AE$4:AE$189)</f>
        <v>0</v>
      </c>
      <c r="V28" s="89">
        <f t="shared" si="18"/>
        <v>0</v>
      </c>
      <c r="W28" s="89">
        <f t="shared" si="6"/>
        <v>0</v>
      </c>
      <c r="X28" s="89">
        <f t="shared" si="7"/>
        <v>0</v>
      </c>
      <c r="Y28" s="82" t="e">
        <f t="shared" si="8"/>
        <v>#REF!</v>
      </c>
      <c r="Z28" s="90">
        <f t="shared" si="9"/>
        <v>0</v>
      </c>
      <c r="AA28" s="90" t="e">
        <f>SUMIF('6烧主抽电耗'!$A$3:$A$96,A28,'6烧主抽电耗'!$AC$3:$AC$96)</f>
        <v>#REF!</v>
      </c>
      <c r="AB28" s="80">
        <f t="shared" si="10"/>
        <v>0</v>
      </c>
      <c r="AC28" s="80">
        <f t="shared" si="11"/>
        <v>0</v>
      </c>
      <c r="AD28" s="92" t="e">
        <f t="shared" si="12"/>
        <v>#REF!</v>
      </c>
      <c r="AE28" s="82">
        <f t="shared" si="17"/>
        <v>0</v>
      </c>
      <c r="AF28" s="101" t="e">
        <f t="shared" si="13"/>
        <v>#REF!</v>
      </c>
      <c r="AG28" s="104">
        <f t="shared" si="14"/>
        <v>0</v>
      </c>
      <c r="AH28" s="90" t="e">
        <f t="shared" si="15"/>
        <v>#REF!</v>
      </c>
    </row>
    <row r="29" spans="1:34">
      <c r="A29" s="79">
        <f t="shared" si="16"/>
        <v>43370</v>
      </c>
      <c r="B29" s="80">
        <f>SUMIF('5烧主抽电耗'!$A$3:$A$95,A29,'5烧主抽电耗'!$M$3:$M$95)</f>
        <v>0</v>
      </c>
      <c r="C29" s="80">
        <f>SUMIF('5烧主抽电耗'!$A$3:$A$95,A29,'5烧主抽电耗'!$N$3:$N$95)</f>
        <v>0</v>
      </c>
      <c r="D29" s="81">
        <f>SUMIF('5烧主抽电耗'!$A$3:$A$95,A29,'5烧主抽电耗'!$L$3:$L$95)</f>
        <v>0</v>
      </c>
      <c r="E29" s="82">
        <f>SUMIF('5烧主抽电耗'!$A$3:$A$95,A29,'5烧主抽电耗'!$V$3:$V$95)</f>
        <v>0</v>
      </c>
      <c r="F29" s="82">
        <f>SUMIF(错峰用电!$A$4:$A$189,$A29,错峰用电!N$4:N$189)</f>
        <v>0</v>
      </c>
      <c r="G29" s="82">
        <f>SUMIF(错峰用电!$A$4:$A$189,$A29,错峰用电!O$4:O$189)</f>
        <v>0</v>
      </c>
      <c r="H29" s="82">
        <f>SUMIF(错峰用电!$A$4:$A$189,$A29,错峰用电!P$4:P$189)</f>
        <v>0</v>
      </c>
      <c r="I29" s="89">
        <f t="shared" si="0"/>
        <v>0</v>
      </c>
      <c r="J29" s="89">
        <f t="shared" si="1"/>
        <v>0</v>
      </c>
      <c r="K29" s="89">
        <f t="shared" si="2"/>
        <v>0</v>
      </c>
      <c r="L29" s="82">
        <f t="shared" si="3"/>
        <v>0</v>
      </c>
      <c r="M29" s="90">
        <f t="shared" si="4"/>
        <v>0</v>
      </c>
      <c r="N29" s="90">
        <f>SUMIF('5烧主抽电耗'!$A$3:$A$96,A29,'5烧主抽电耗'!$AC$3:$AC$96)</f>
        <v>0</v>
      </c>
      <c r="O29" s="80">
        <f>SUMIF('6烧主抽电耗'!$A$3:$A$95,A29,'6烧主抽电耗'!$M$3:$M$95)</f>
        <v>0</v>
      </c>
      <c r="P29" s="80">
        <f>SUMIF('6烧主抽电耗'!$A$3:$A$95,A29,'6烧主抽电耗'!$N$3:$N$95)</f>
        <v>0</v>
      </c>
      <c r="Q29" s="81" t="e">
        <f>SUMIF('6烧主抽电耗'!$A$3:$A$95,A29,'6烧主抽电耗'!$L$3:$L$95)</f>
        <v>#REF!</v>
      </c>
      <c r="R29" s="82">
        <f>SUMIF('6烧主抽电耗'!$A$3:$A$95,A29,'6烧主抽电耗'!$V$3:$V$95)</f>
        <v>0</v>
      </c>
      <c r="S29" s="82">
        <f>SUMIF(错峰用电!$A$4:$A$189,$A29,错峰用电!AC$4:AC$189)</f>
        <v>0</v>
      </c>
      <c r="T29" s="82">
        <f>SUMIF(错峰用电!$A$4:$A$189,$A29,错峰用电!AD$4:AD$189)</f>
        <v>0</v>
      </c>
      <c r="U29" s="82">
        <f>SUMIF(错峰用电!$A$4:$A$189,$A29,错峰用电!AE$4:AE$189)</f>
        <v>0</v>
      </c>
      <c r="V29" s="89">
        <f t="shared" si="18"/>
        <v>0</v>
      </c>
      <c r="W29" s="89">
        <f t="shared" si="6"/>
        <v>0</v>
      </c>
      <c r="X29" s="89">
        <f t="shared" si="7"/>
        <v>0</v>
      </c>
      <c r="Y29" s="82" t="e">
        <f t="shared" si="8"/>
        <v>#REF!</v>
      </c>
      <c r="Z29" s="90">
        <f t="shared" si="9"/>
        <v>0</v>
      </c>
      <c r="AA29" s="90" t="e">
        <f>SUMIF('6烧主抽电耗'!$A$3:$A$96,A29,'6烧主抽电耗'!$AC$3:$AC$96)</f>
        <v>#REF!</v>
      </c>
      <c r="AB29" s="80">
        <f t="shared" si="10"/>
        <v>0</v>
      </c>
      <c r="AC29" s="80">
        <f t="shared" si="11"/>
        <v>0</v>
      </c>
      <c r="AD29" s="92" t="e">
        <f t="shared" si="12"/>
        <v>#REF!</v>
      </c>
      <c r="AE29" s="82">
        <f t="shared" si="17"/>
        <v>0</v>
      </c>
      <c r="AF29" s="101" t="e">
        <f t="shared" si="13"/>
        <v>#REF!</v>
      </c>
      <c r="AG29" s="104">
        <f t="shared" si="14"/>
        <v>0</v>
      </c>
      <c r="AH29" s="90" t="e">
        <f t="shared" si="15"/>
        <v>#REF!</v>
      </c>
    </row>
    <row r="30" spans="1:34">
      <c r="A30" s="79">
        <f t="shared" si="16"/>
        <v>43371</v>
      </c>
      <c r="B30" s="80">
        <f>SUMIF('5烧主抽电耗'!$A$3:$A$95,A30,'5烧主抽电耗'!$M$3:$M$95)</f>
        <v>0</v>
      </c>
      <c r="C30" s="80">
        <f>SUMIF('5烧主抽电耗'!$A$3:$A$95,A30,'5烧主抽电耗'!$N$3:$N$95)</f>
        <v>0</v>
      </c>
      <c r="D30" s="81">
        <f>SUMIF('5烧主抽电耗'!$A$3:$A$95,A30,'5烧主抽电耗'!$L$3:$L$95)</f>
        <v>0</v>
      </c>
      <c r="E30" s="82">
        <f>SUMIF('5烧主抽电耗'!$A$3:$A$95,A30,'5烧主抽电耗'!$V$3:$V$95)</f>
        <v>0</v>
      </c>
      <c r="F30" s="82">
        <f>SUMIF(错峰用电!$A$4:$A$189,$A30,错峰用电!N$4:N$189)</f>
        <v>0</v>
      </c>
      <c r="G30" s="82">
        <f>SUMIF(错峰用电!$A$4:$A$189,$A30,错峰用电!O$4:O$189)</f>
        <v>0</v>
      </c>
      <c r="H30" s="82">
        <f>SUMIF(错峰用电!$A$4:$A$189,$A30,错峰用电!P$4:P$189)</f>
        <v>0</v>
      </c>
      <c r="I30" s="89">
        <f t="shared" si="0"/>
        <v>0</v>
      </c>
      <c r="J30" s="89">
        <f t="shared" si="1"/>
        <v>0</v>
      </c>
      <c r="K30" s="89">
        <f t="shared" si="2"/>
        <v>0</v>
      </c>
      <c r="L30" s="82">
        <f t="shared" si="3"/>
        <v>0</v>
      </c>
      <c r="M30" s="90">
        <f t="shared" si="4"/>
        <v>0</v>
      </c>
      <c r="N30" s="90">
        <f>SUMIF('5烧主抽电耗'!$A$3:$A$96,A30,'5烧主抽电耗'!$AC$3:$AC$96)</f>
        <v>0</v>
      </c>
      <c r="O30" s="80">
        <f>SUMIF('6烧主抽电耗'!$A$3:$A$95,A30,'6烧主抽电耗'!$M$3:$M$95)</f>
        <v>0</v>
      </c>
      <c r="P30" s="80">
        <f>SUMIF('6烧主抽电耗'!$A$3:$A$95,A30,'6烧主抽电耗'!$N$3:$N$95)</f>
        <v>0</v>
      </c>
      <c r="Q30" s="81" t="e">
        <f>SUMIF('6烧主抽电耗'!$A$3:$A$95,A30,'6烧主抽电耗'!$L$3:$L$95)</f>
        <v>#REF!</v>
      </c>
      <c r="R30" s="82">
        <f>SUMIF('6烧主抽电耗'!$A$3:$A$95,A30,'6烧主抽电耗'!$V$3:$V$95)</f>
        <v>0</v>
      </c>
      <c r="S30" s="82">
        <f>SUMIF(错峰用电!$A$4:$A$189,$A30,错峰用电!AC$4:AC$189)</f>
        <v>0</v>
      </c>
      <c r="T30" s="82">
        <f>SUMIF(错峰用电!$A$4:$A$189,$A30,错峰用电!AD$4:AD$189)</f>
        <v>0</v>
      </c>
      <c r="U30" s="82">
        <f>SUMIF(错峰用电!$A$4:$A$189,$A30,错峰用电!AE$4:AE$189)</f>
        <v>0</v>
      </c>
      <c r="V30" s="89">
        <f t="shared" si="18"/>
        <v>0</v>
      </c>
      <c r="W30" s="89">
        <f t="shared" si="6"/>
        <v>0</v>
      </c>
      <c r="X30" s="89">
        <f t="shared" si="7"/>
        <v>0</v>
      </c>
      <c r="Y30" s="82" t="e">
        <f t="shared" si="8"/>
        <v>#REF!</v>
      </c>
      <c r="Z30" s="90">
        <f t="shared" si="9"/>
        <v>0</v>
      </c>
      <c r="AA30" s="90" t="e">
        <f>SUMIF('6烧主抽电耗'!$A$3:$A$96,A30,'6烧主抽电耗'!$AC$3:$AC$96)</f>
        <v>#REF!</v>
      </c>
      <c r="AB30" s="80">
        <f t="shared" si="10"/>
        <v>0</v>
      </c>
      <c r="AC30" s="80">
        <f t="shared" si="11"/>
        <v>0</v>
      </c>
      <c r="AD30" s="92" t="e">
        <f t="shared" si="12"/>
        <v>#REF!</v>
      </c>
      <c r="AE30" s="82">
        <f t="shared" si="17"/>
        <v>0</v>
      </c>
      <c r="AF30" s="101" t="e">
        <f t="shared" si="13"/>
        <v>#REF!</v>
      </c>
      <c r="AG30" s="104">
        <f t="shared" si="14"/>
        <v>0</v>
      </c>
      <c r="AH30" s="90" t="e">
        <f t="shared" si="15"/>
        <v>#REF!</v>
      </c>
    </row>
    <row r="31" spans="1:34">
      <c r="A31" s="79">
        <f t="shared" si="16"/>
        <v>43372</v>
      </c>
      <c r="B31" s="80">
        <f>SUMIF('5烧主抽电耗'!$A$3:$A$95,A31,'5烧主抽电耗'!$M$3:$M$95)</f>
        <v>0</v>
      </c>
      <c r="C31" s="80">
        <f>SUMIF('5烧主抽电耗'!$A$3:$A$95,A31,'5烧主抽电耗'!$N$3:$N$95)</f>
        <v>0</v>
      </c>
      <c r="D31" s="81">
        <f>SUMIF('5烧主抽电耗'!$A$3:$A$95,A31,'5烧主抽电耗'!$L$3:$L$95)</f>
        <v>0</v>
      </c>
      <c r="E31" s="82">
        <f>SUMIF('5烧主抽电耗'!$A$3:$A$95,A31,'5烧主抽电耗'!$V$3:$V$95)</f>
        <v>0</v>
      </c>
      <c r="F31" s="82">
        <f>SUMIF(错峰用电!$A$4:$A$189,$A31,错峰用电!N$4:N$189)</f>
        <v>0</v>
      </c>
      <c r="G31" s="82">
        <f>SUMIF(错峰用电!$A$4:$A$189,$A31,错峰用电!O$4:O$189)</f>
        <v>0</v>
      </c>
      <c r="H31" s="82">
        <f>SUMIF(错峰用电!$A$4:$A$189,$A31,错峰用电!P$4:P$189)</f>
        <v>0</v>
      </c>
      <c r="I31" s="89">
        <f t="shared" si="0"/>
        <v>0</v>
      </c>
      <c r="J31" s="89">
        <f t="shared" si="1"/>
        <v>0</v>
      </c>
      <c r="K31" s="89">
        <f t="shared" si="2"/>
        <v>0</v>
      </c>
      <c r="L31" s="82">
        <f t="shared" si="3"/>
        <v>0</v>
      </c>
      <c r="M31" s="90">
        <f t="shared" si="4"/>
        <v>0</v>
      </c>
      <c r="N31" s="90">
        <f>SUMIF('5烧主抽电耗'!$A$3:$A$96,A31,'5烧主抽电耗'!$AC$3:$AC$96)</f>
        <v>0</v>
      </c>
      <c r="O31" s="80">
        <f>SUMIF('6烧主抽电耗'!$A$3:$A$95,A31,'6烧主抽电耗'!$M$3:$M$95)</f>
        <v>0</v>
      </c>
      <c r="P31" s="80">
        <f>SUMIF('6烧主抽电耗'!$A$3:$A$95,A31,'6烧主抽电耗'!$N$3:$N$95)</f>
        <v>0</v>
      </c>
      <c r="Q31" s="81" t="e">
        <f>SUMIF('6烧主抽电耗'!$A$3:$A$95,A31,'6烧主抽电耗'!$L$3:$L$95)</f>
        <v>#REF!</v>
      </c>
      <c r="R31" s="82">
        <f>SUMIF('6烧主抽电耗'!$A$3:$A$95,A31,'6烧主抽电耗'!$V$3:$V$95)</f>
        <v>0</v>
      </c>
      <c r="S31" s="82">
        <f>SUMIF(错峰用电!$A$4:$A$189,$A31,错峰用电!AC$4:AC$189)</f>
        <v>0</v>
      </c>
      <c r="T31" s="82">
        <f>SUMIF(错峰用电!$A$4:$A$189,$A31,错峰用电!AD$4:AD$189)</f>
        <v>0</v>
      </c>
      <c r="U31" s="82">
        <f>SUMIF(错峰用电!$A$4:$A$189,$A31,错峰用电!AE$4:AE$189)</f>
        <v>0</v>
      </c>
      <c r="V31" s="89">
        <f t="shared" si="18"/>
        <v>0</v>
      </c>
      <c r="W31" s="89">
        <f t="shared" si="6"/>
        <v>0</v>
      </c>
      <c r="X31" s="89">
        <f t="shared" si="7"/>
        <v>0</v>
      </c>
      <c r="Y31" s="82" t="e">
        <f t="shared" si="8"/>
        <v>#REF!</v>
      </c>
      <c r="Z31" s="90">
        <f t="shared" si="9"/>
        <v>0</v>
      </c>
      <c r="AA31" s="90" t="e">
        <f>SUMIF('6烧主抽电耗'!$A$3:$A$96,A31,'6烧主抽电耗'!$AC$3:$AC$96)</f>
        <v>#REF!</v>
      </c>
      <c r="AB31" s="80">
        <f t="shared" si="10"/>
        <v>0</v>
      </c>
      <c r="AC31" s="80">
        <f t="shared" si="11"/>
        <v>0</v>
      </c>
      <c r="AD31" s="92" t="e">
        <f t="shared" si="12"/>
        <v>#REF!</v>
      </c>
      <c r="AE31" s="82">
        <f t="shared" si="17"/>
        <v>0</v>
      </c>
      <c r="AF31" s="101" t="e">
        <f t="shared" si="13"/>
        <v>#REF!</v>
      </c>
      <c r="AG31" s="104">
        <f t="shared" si="14"/>
        <v>0</v>
      </c>
      <c r="AH31" s="90" t="e">
        <f t="shared" si="15"/>
        <v>#REF!</v>
      </c>
    </row>
    <row r="32" spans="1:34">
      <c r="A32" s="79">
        <f t="shared" si="16"/>
        <v>43373</v>
      </c>
      <c r="B32" s="80">
        <f>SUMIF('5烧主抽电耗'!$A$3:$A$95,A32,'5烧主抽电耗'!$M$3:$M$95)</f>
        <v>0</v>
      </c>
      <c r="C32" s="80">
        <f>SUMIF('5烧主抽电耗'!$A$3:$A$95,A32,'5烧主抽电耗'!$N$3:$N$95)</f>
        <v>0</v>
      </c>
      <c r="D32" s="81">
        <f>SUMIF('5烧主抽电耗'!$A$3:$A$95,A32,'5烧主抽电耗'!$L$3:$L$95)</f>
        <v>0</v>
      </c>
      <c r="E32" s="82">
        <f>SUMIF('5烧主抽电耗'!$A$3:$A$95,A32,'5烧主抽电耗'!$V$3:$V$95)</f>
        <v>0</v>
      </c>
      <c r="F32" s="82">
        <f>SUMIF(错峰用电!$A$4:$A$189,$A32,错峰用电!N$4:N$189)</f>
        <v>0</v>
      </c>
      <c r="G32" s="82">
        <f>SUMIF(错峰用电!$A$4:$A$189,$A32,错峰用电!O$4:O$189)</f>
        <v>0</v>
      </c>
      <c r="H32" s="82">
        <f>SUMIF(错峰用电!$A$4:$A$189,$A32,错峰用电!P$4:P$189)</f>
        <v>0</v>
      </c>
      <c r="I32" s="89">
        <f t="shared" si="0"/>
        <v>0</v>
      </c>
      <c r="J32" s="89">
        <f t="shared" si="1"/>
        <v>0</v>
      </c>
      <c r="K32" s="89">
        <f t="shared" si="2"/>
        <v>0</v>
      </c>
      <c r="L32" s="82">
        <f t="shared" si="3"/>
        <v>0</v>
      </c>
      <c r="M32" s="90">
        <f t="shared" si="4"/>
        <v>0</v>
      </c>
      <c r="N32" s="90">
        <f>SUMIF('5烧主抽电耗'!$A$3:$A$96,A32,'5烧主抽电耗'!$AC$3:$AC$96)</f>
        <v>0</v>
      </c>
      <c r="O32" s="80">
        <f>SUMIF('6烧主抽电耗'!$A$3:$A$95,A32,'6烧主抽电耗'!$M$3:$M$95)</f>
        <v>0</v>
      </c>
      <c r="P32" s="80">
        <f>SUMIF('6烧主抽电耗'!$A$3:$A$95,A32,'6烧主抽电耗'!$N$3:$N$95)</f>
        <v>0</v>
      </c>
      <c r="Q32" s="81" t="e">
        <f>SUMIF('6烧主抽电耗'!$A$3:$A$95,A32,'6烧主抽电耗'!$L$3:$L$95)</f>
        <v>#REF!</v>
      </c>
      <c r="R32" s="82">
        <f>SUMIF('6烧主抽电耗'!$A$3:$A$95,A32,'6烧主抽电耗'!$V$3:$V$95)</f>
        <v>0</v>
      </c>
      <c r="S32" s="82">
        <f>SUMIF(错峰用电!$A$4:$A$189,$A32,错峰用电!AC$4:AC$189)</f>
        <v>0</v>
      </c>
      <c r="T32" s="82">
        <f>SUMIF(错峰用电!$A$4:$A$189,$A32,错峰用电!AD$4:AD$189)</f>
        <v>0</v>
      </c>
      <c r="U32" s="82">
        <f>SUMIF(错峰用电!$A$4:$A$189,$A32,错峰用电!AE$4:AE$189)</f>
        <v>0</v>
      </c>
      <c r="V32" s="89">
        <f t="shared" si="18"/>
        <v>0</v>
      </c>
      <c r="W32" s="89">
        <f t="shared" si="6"/>
        <v>0</v>
      </c>
      <c r="X32" s="89">
        <f t="shared" si="7"/>
        <v>0</v>
      </c>
      <c r="Y32" s="82" t="e">
        <f t="shared" si="8"/>
        <v>#REF!</v>
      </c>
      <c r="Z32" s="90">
        <f t="shared" si="9"/>
        <v>0</v>
      </c>
      <c r="AA32" s="90" t="e">
        <f>SUMIF('6烧主抽电耗'!$A$3:$A$96,A32,'6烧主抽电耗'!$AC$3:$AC$96)</f>
        <v>#REF!</v>
      </c>
      <c r="AB32" s="80">
        <f t="shared" si="10"/>
        <v>0</v>
      </c>
      <c r="AC32" s="80">
        <f t="shared" si="11"/>
        <v>0</v>
      </c>
      <c r="AD32" s="92" t="e">
        <f t="shared" si="12"/>
        <v>#REF!</v>
      </c>
      <c r="AE32" s="82">
        <f t="shared" si="17"/>
        <v>0</v>
      </c>
      <c r="AF32" s="101" t="e">
        <f t="shared" si="13"/>
        <v>#REF!</v>
      </c>
      <c r="AG32" s="104">
        <f t="shared" si="14"/>
        <v>0</v>
      </c>
      <c r="AH32" s="90" t="e">
        <f t="shared" si="15"/>
        <v>#REF!</v>
      </c>
    </row>
    <row r="33" spans="1:34">
      <c r="A33" s="79">
        <f t="shared" si="16"/>
        <v>43374</v>
      </c>
      <c r="B33" s="80">
        <f>SUMIF('5烧主抽电耗'!$A$3:$A$95,A33,'5烧主抽电耗'!$M$3:$M$95)</f>
        <v>0</v>
      </c>
      <c r="C33" s="80">
        <f>SUMIF('5烧主抽电耗'!$A$3:$A$95,A33,'5烧主抽电耗'!$N$3:$N$95)</f>
        <v>0</v>
      </c>
      <c r="D33" s="81">
        <f>SUMIF('5烧主抽电耗'!$A$3:$A$95,A33,'5烧主抽电耗'!$L$3:$L$95)</f>
        <v>0</v>
      </c>
      <c r="E33" s="82">
        <f>SUMIF('5烧主抽电耗'!$A$3:$A$95,A33,'5烧主抽电耗'!$V$3:$V$95)</f>
        <v>0</v>
      </c>
      <c r="F33" s="82">
        <f>SUMIF(错峰用电!$A$4:$A$189,$A33,错峰用电!N$4:N$189)</f>
        <v>0</v>
      </c>
      <c r="G33" s="82">
        <f>SUMIF(错峰用电!$A$4:$A$189,$A33,错峰用电!O$4:O$189)</f>
        <v>0</v>
      </c>
      <c r="H33" s="82">
        <f>SUMIF(错峰用电!$A$4:$A$189,$A33,错峰用电!P$4:P$189)</f>
        <v>0</v>
      </c>
      <c r="I33" s="89">
        <f t="shared" si="0"/>
        <v>0</v>
      </c>
      <c r="J33" s="89">
        <f t="shared" si="1"/>
        <v>0</v>
      </c>
      <c r="K33" s="89">
        <f t="shared" si="2"/>
        <v>0</v>
      </c>
      <c r="L33" s="82">
        <f t="shared" si="3"/>
        <v>0</v>
      </c>
      <c r="M33" s="90">
        <f t="shared" si="4"/>
        <v>0</v>
      </c>
      <c r="N33" s="90">
        <f>SUMIF('5烧主抽电耗'!$A$3:$A$96,A33,'5烧主抽电耗'!$AC$3:$AC$96)</f>
        <v>0</v>
      </c>
      <c r="O33" s="80">
        <f>SUMIF('6烧主抽电耗'!$A$3:$A$95,A33,'6烧主抽电耗'!$M$3:$M$95)</f>
        <v>0</v>
      </c>
      <c r="P33" s="80">
        <f>SUMIF('6烧主抽电耗'!$A$3:$A$95,A33,'6烧主抽电耗'!$N$3:$N$95)</f>
        <v>0</v>
      </c>
      <c r="Q33" s="81" t="e">
        <f>SUMIF('6烧主抽电耗'!$A$3:$A$95,A33,'6烧主抽电耗'!$L$3:$L$95)</f>
        <v>#REF!</v>
      </c>
      <c r="R33" s="82">
        <f>SUMIF('6烧主抽电耗'!$A$3:$A$95,A33,'6烧主抽电耗'!$V$3:$V$95)</f>
        <v>0</v>
      </c>
      <c r="S33" s="82">
        <f>SUMIF(错峰用电!$A$4:$A$189,$A33,错峰用电!AC$4:AC$189)</f>
        <v>0</v>
      </c>
      <c r="T33" s="82">
        <f>SUMIF(错峰用电!$A$4:$A$189,$A33,错峰用电!AD$4:AD$189)</f>
        <v>0</v>
      </c>
      <c r="U33" s="82">
        <f>SUMIF(错峰用电!$A$4:$A$189,$A33,错峰用电!AE$4:AE$189)</f>
        <v>0</v>
      </c>
      <c r="V33" s="89">
        <f t="shared" si="18"/>
        <v>0</v>
      </c>
      <c r="W33" s="89">
        <f t="shared" si="6"/>
        <v>0</v>
      </c>
      <c r="X33" s="89">
        <f t="shared" si="7"/>
        <v>0</v>
      </c>
      <c r="Y33" s="82" t="e">
        <f t="shared" si="8"/>
        <v>#REF!</v>
      </c>
      <c r="Z33" s="90">
        <f t="shared" si="9"/>
        <v>0</v>
      </c>
      <c r="AA33" s="90" t="e">
        <f>SUMIF('6烧主抽电耗'!$A$3:$A$96,A33,'6烧主抽电耗'!$AC$3:$AC$96)</f>
        <v>#REF!</v>
      </c>
      <c r="AB33" s="80">
        <f t="shared" si="10"/>
        <v>0</v>
      </c>
      <c r="AC33" s="80">
        <f t="shared" si="11"/>
        <v>0</v>
      </c>
      <c r="AD33" s="92" t="e">
        <f t="shared" si="12"/>
        <v>#REF!</v>
      </c>
      <c r="AE33" s="82">
        <f t="shared" si="17"/>
        <v>0</v>
      </c>
      <c r="AF33" s="101" t="e">
        <f t="shared" si="13"/>
        <v>#REF!</v>
      </c>
      <c r="AG33" s="104">
        <f t="shared" si="14"/>
        <v>0</v>
      </c>
      <c r="AH33" s="90" t="e">
        <f t="shared" si="15"/>
        <v>#REF!</v>
      </c>
    </row>
    <row r="34" spans="1:34">
      <c r="A34" s="79">
        <f t="shared" si="16"/>
        <v>43375</v>
      </c>
      <c r="B34" s="80"/>
      <c r="C34" s="80"/>
      <c r="D34" s="81"/>
      <c r="E34" s="82"/>
      <c r="F34" s="82"/>
      <c r="G34" s="82"/>
      <c r="H34" s="82"/>
      <c r="I34" s="82"/>
      <c r="J34" s="82"/>
      <c r="K34" s="82"/>
      <c r="L34" s="82"/>
      <c r="M34" s="90">
        <f t="shared" si="4"/>
        <v>0</v>
      </c>
      <c r="N34" s="90"/>
      <c r="O34" s="80"/>
      <c r="P34" s="80"/>
      <c r="Q34" s="81"/>
      <c r="R34" s="82"/>
      <c r="S34" s="82"/>
      <c r="T34" s="82"/>
      <c r="U34" s="82"/>
      <c r="V34" s="82"/>
      <c r="W34" s="82"/>
      <c r="X34" s="82"/>
      <c r="Y34" s="82"/>
      <c r="Z34" s="90">
        <f t="shared" si="9"/>
        <v>0</v>
      </c>
      <c r="AA34" s="90">
        <f>SUMIF('6烧主抽电耗'!$A$3:$A$96,A34,'6烧主抽电耗'!$AC$3:$AC$96)</f>
        <v>0</v>
      </c>
      <c r="AB34" s="80"/>
      <c r="AC34" s="80"/>
      <c r="AD34" s="92"/>
      <c r="AE34" s="82"/>
      <c r="AF34" s="82"/>
      <c r="AG34" s="104">
        <f t="shared" si="14"/>
        <v>0</v>
      </c>
      <c r="AH34" s="90">
        <f t="shared" si="15"/>
        <v>0</v>
      </c>
    </row>
    <row r="35" spans="1:34">
      <c r="A35" s="83" t="s">
        <v>75</v>
      </c>
      <c r="B35" s="84">
        <f t="shared" ref="B35:L35" si="19">SUM(B3:B33)</f>
        <v>0</v>
      </c>
      <c r="C35" s="84">
        <f t="shared" si="19"/>
        <v>0</v>
      </c>
      <c r="D35" s="84">
        <f t="shared" si="19"/>
        <v>-235693167</v>
      </c>
      <c r="E35" s="84">
        <f t="shared" si="19"/>
        <v>0</v>
      </c>
      <c r="F35" s="84"/>
      <c r="G35" s="84"/>
      <c r="H35" s="84"/>
      <c r="I35" s="84"/>
      <c r="J35" s="84"/>
      <c r="K35" s="84"/>
      <c r="L35" s="84">
        <f t="shared" si="19"/>
        <v>-235693167</v>
      </c>
      <c r="M35" s="90">
        <f t="shared" si="4"/>
        <v>0</v>
      </c>
      <c r="N35" s="90"/>
      <c r="O35" s="84">
        <f t="shared" ref="O35:Y35" si="20">SUM(O3:O33)</f>
        <v>0</v>
      </c>
      <c r="P35" s="84">
        <f t="shared" si="20"/>
        <v>0</v>
      </c>
      <c r="Q35" s="92" t="e">
        <f t="shared" si="20"/>
        <v>#REF!</v>
      </c>
      <c r="R35" s="84">
        <f t="shared" si="20"/>
        <v>0</v>
      </c>
      <c r="S35" s="84"/>
      <c r="T35" s="84"/>
      <c r="U35" s="84"/>
      <c r="V35" s="84"/>
      <c r="W35" s="84"/>
      <c r="X35" s="84"/>
      <c r="Y35" s="84" t="e">
        <f t="shared" si="20"/>
        <v>#REF!</v>
      </c>
      <c r="Z35" s="90">
        <f t="shared" si="9"/>
        <v>0</v>
      </c>
      <c r="AA35" s="90">
        <f>SUMIF('6烧主抽电耗'!$A$3:$A$96,A35,'6烧主抽电耗'!$AC$3:$AC$96)</f>
        <v>0</v>
      </c>
      <c r="AB35" s="80">
        <f>SUM(B35,O35)</f>
        <v>0</v>
      </c>
      <c r="AC35" s="80">
        <f>SUM(C35,P35)</f>
        <v>0</v>
      </c>
      <c r="AD35" s="82" t="e">
        <f>SUM(D35,Q35)</f>
        <v>#REF!</v>
      </c>
      <c r="AE35" s="80">
        <f>SUM(E35,R35)</f>
        <v>0</v>
      </c>
      <c r="AF35" s="102" t="e">
        <f>SUM(L35,Y35)</f>
        <v>#REF!</v>
      </c>
      <c r="AG35" s="104">
        <f t="shared" si="14"/>
        <v>0</v>
      </c>
      <c r="AH35" s="90">
        <f t="shared" si="15"/>
        <v>0</v>
      </c>
    </row>
    <row r="38" spans="1:34">
      <c r="E38" s="85">
        <f>E33/12000</f>
        <v>0</v>
      </c>
      <c r="F38" s="85"/>
      <c r="G38" s="85"/>
      <c r="H38" s="85"/>
      <c r="I38" s="85"/>
      <c r="J38" s="85"/>
      <c r="K38" s="85"/>
    </row>
  </sheetData>
  <mergeCells count="3">
    <mergeCell ref="B1:N1"/>
    <mergeCell ref="O1:AA1"/>
    <mergeCell ref="AB1:AH1"/>
  </mergeCells>
  <phoneticPr fontId="53" type="noConversion"/>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spans="1:23" ht="28.5" customHeight="1">
      <c r="A1" s="12" t="s">
        <v>218</v>
      </c>
      <c r="B1" s="13">
        <v>43344</v>
      </c>
      <c r="C1" s="14" t="s">
        <v>219</v>
      </c>
      <c r="D1" s="15">
        <v>43353</v>
      </c>
      <c r="E1" s="16" t="s">
        <v>220</v>
      </c>
      <c r="F1" s="17">
        <v>1</v>
      </c>
      <c r="G1" s="18" t="s">
        <v>221</v>
      </c>
      <c r="H1" s="19">
        <v>0.95</v>
      </c>
      <c r="I1" s="49" t="s">
        <v>222</v>
      </c>
      <c r="J1" s="50">
        <v>24.41</v>
      </c>
      <c r="N1" s="51" t="s">
        <v>223</v>
      </c>
      <c r="O1" s="17">
        <v>1</v>
      </c>
      <c r="P1" s="18" t="s">
        <v>221</v>
      </c>
      <c r="Q1" s="17">
        <v>0.95</v>
      </c>
      <c r="R1" s="49" t="s">
        <v>222</v>
      </c>
      <c r="S1" s="68">
        <v>24.41</v>
      </c>
      <c r="T1" s="45"/>
    </row>
    <row r="2" spans="1:23" ht="24.75" customHeight="1">
      <c r="A2" s="20" t="s">
        <v>224</v>
      </c>
      <c r="B2" s="375" t="s">
        <v>225</v>
      </c>
      <c r="C2" s="376"/>
      <c r="D2" s="377"/>
      <c r="E2" s="21" t="s">
        <v>226</v>
      </c>
      <c r="F2" s="22" t="s">
        <v>227</v>
      </c>
      <c r="G2" s="23" t="s">
        <v>228</v>
      </c>
      <c r="H2" s="24" t="s">
        <v>54</v>
      </c>
      <c r="I2" s="24" t="s">
        <v>55</v>
      </c>
      <c r="J2" s="24" t="s">
        <v>56</v>
      </c>
      <c r="N2" s="52" t="s">
        <v>229</v>
      </c>
      <c r="O2" s="375" t="s">
        <v>225</v>
      </c>
      <c r="P2" s="376"/>
      <c r="Q2" s="377"/>
      <c r="R2" s="21" t="s">
        <v>226</v>
      </c>
      <c r="S2" s="22" t="s">
        <v>227</v>
      </c>
      <c r="T2" s="23" t="s">
        <v>228</v>
      </c>
      <c r="U2" s="24" t="s">
        <v>54</v>
      </c>
      <c r="V2" s="24" t="s">
        <v>55</v>
      </c>
      <c r="W2" s="24" t="s">
        <v>56</v>
      </c>
    </row>
    <row r="3" spans="1:23" ht="18.75" customHeight="1">
      <c r="A3" s="25" t="s">
        <v>14</v>
      </c>
      <c r="B3" s="21" t="s">
        <v>230</v>
      </c>
      <c r="C3" s="21" t="s">
        <v>231</v>
      </c>
      <c r="D3" s="21" t="s">
        <v>232</v>
      </c>
      <c r="E3" s="26"/>
      <c r="F3" s="27" t="s">
        <v>233</v>
      </c>
      <c r="G3" s="23" t="s">
        <v>234</v>
      </c>
      <c r="H3" s="28">
        <f>SUMPRODUCT((日报!$A$3:$A$33&gt;=$B$1)*(日报!$A$3:$A$33&lt;=$D$1),日报!$F$3:$F$33)</f>
        <v>554145</v>
      </c>
      <c r="I3" s="28">
        <f>SUMPRODUCT((日报!$A$3:$A$33&gt;=$B$1)*(日报!$A$3:$A$33&lt;=$D$1),日报!$G$3:$G$33)</f>
        <v>990318</v>
      </c>
      <c r="J3" s="28">
        <f>SUMPRODUCT((日报!$A$3:$A$33&gt;=$B$1)*(日报!$A$3:$A$33&lt;=$D$1),日报!$H$3:$H$33)</f>
        <v>760815</v>
      </c>
      <c r="K3" s="53"/>
      <c r="L3" s="54"/>
      <c r="N3" s="55" t="s">
        <v>14</v>
      </c>
      <c r="O3" s="21" t="s">
        <v>230</v>
      </c>
      <c r="P3" s="21" t="s">
        <v>231</v>
      </c>
      <c r="Q3" s="21" t="s">
        <v>232</v>
      </c>
      <c r="R3" s="26"/>
      <c r="S3" s="27" t="s">
        <v>233</v>
      </c>
      <c r="T3" s="23" t="s">
        <v>234</v>
      </c>
      <c r="U3" s="28">
        <f>SUMPRODUCT((日报!$A$3:$A$33&gt;=$B$1)*(日报!$A$3:$A$33&lt;=$D$1),日报!$S$3:$S$33)</f>
        <v>0</v>
      </c>
      <c r="V3" s="28">
        <f>SUMPRODUCT((日报!$A$3:$A$33&gt;=$B$1)*(日报!$A$3:$A$33&lt;=$D$1),日报!$T$3:$T$33)</f>
        <v>0</v>
      </c>
      <c r="W3" s="28">
        <f>SUMPRODUCT((日报!$A$3:$A$33&gt;=$B$1)*(日报!$A$3:$A$33&lt;=$D$1),日报!$U$3:$U$33)</f>
        <v>0</v>
      </c>
    </row>
    <row r="4" spans="1:23" ht="18.75" customHeight="1">
      <c r="A4" s="29" t="s">
        <v>235</v>
      </c>
      <c r="B4" s="28">
        <f>SUMPRODUCT(('5烧主抽电耗'!$A$3:$A$95&gt;=$B$1)*('5烧主抽电耗'!$A$3:$A$95&lt;=$D$1)*('5烧主抽电耗'!$F$3:$F$95=$A4),'5烧主抽电耗'!J$3:J$95)</f>
        <v>294105</v>
      </c>
      <c r="C4" s="28">
        <f>SUMPRODUCT(('5烧主抽电耗'!$A$3:$A$95&gt;=$B$1)*('5烧主抽电耗'!$A$3:$A$95&lt;=$D$1)*('5烧主抽电耗'!$F$3:$F$95=$A4),'5烧主抽电耗'!K$3:K$95)</f>
        <v>253455</v>
      </c>
      <c r="D4" s="28">
        <f>SUM(B4:C4)</f>
        <v>547560</v>
      </c>
      <c r="E4" s="28">
        <f>SUMPRODUCT(('5烧主抽电耗'!$A$3:$A$95&gt;=$B$1)*('5烧主抽电耗'!$A$3:$A$95&lt;=$D$1)*('5烧主抽电耗'!$F$3:$F$95=$A4),'5烧主抽电耗'!N$3:N$95)</f>
        <v>0</v>
      </c>
      <c r="F4" s="30" t="e">
        <f>D4/E4</f>
        <v>#DIV/0!</v>
      </c>
      <c r="G4" s="31">
        <f>SUMPRODUCT(('5烧主抽电耗'!$A$3:$A$95&gt;=$B$1)*('5烧主抽电耗'!$A$3:$A$95&lt;=$D$1)*('5烧主抽电耗'!$F$3:$F$95=$A4),'5烧主抽电耗'!$AC$3:$AC$95)</f>
        <v>32.8536</v>
      </c>
      <c r="H4" s="32">
        <f>H3/SUM($H$3:$J$3)</f>
        <v>0.24038098658816853</v>
      </c>
      <c r="I4" s="32" t="e">
        <f>#N/A</f>
        <v>#N/A</v>
      </c>
      <c r="J4" s="32" t="e">
        <f>#N/A</f>
        <v>#N/A</v>
      </c>
      <c r="K4" s="56"/>
      <c r="L4" s="57"/>
      <c r="N4" s="58" t="s">
        <v>235</v>
      </c>
      <c r="O4" s="28" t="e">
        <f>SUMPRODUCT(('6烧主抽电耗'!$A$3:$A$95&gt;=$B$1)*('6烧主抽电耗'!$A$3:$A$95&lt;=$D$1)*('6烧主抽电耗'!$F$3:$F$95=$A4),'6烧主抽电耗'!J$3:J$95)</f>
        <v>#REF!</v>
      </c>
      <c r="P4" s="28" t="e">
        <f>SUMPRODUCT(('6烧主抽电耗'!$A$3:$A$95&gt;=$B$1)*('6烧主抽电耗'!$A$3:$A$95&lt;=$D$1)*('6烧主抽电耗'!$F$3:$F$95=$A4),'6烧主抽电耗'!K$3:K$95)</f>
        <v>#REF!</v>
      </c>
      <c r="Q4" s="28" t="e">
        <f>SUM(O4:P4)</f>
        <v>#REF!</v>
      </c>
      <c r="R4" s="28">
        <f>SUMPRODUCT(('6烧主抽电耗'!$A$3:$A$95&gt;=$B$1)*('6烧主抽电耗'!$A$3:$A$95&lt;=$D$1)*('6烧主抽电耗'!$F$3:$F$95=$A4),'6烧主抽电耗'!N$3:N$95)</f>
        <v>0</v>
      </c>
      <c r="S4" s="30" t="e">
        <f>Q4/R4</f>
        <v>#REF!</v>
      </c>
      <c r="T4" s="31" t="e">
        <f>SUMPRODUCT(('6烧主抽电耗'!$A$3:$A$95&gt;=$B$1)*('6烧主抽电耗'!$A$3:$A$95&lt;=$D$1)*('6烧主抽电耗'!$F$3:$F$95=$N4),'6烧主抽电耗'!$AC$3:$AC$95)</f>
        <v>#REF!</v>
      </c>
      <c r="U4" s="32" t="e">
        <f>#N/A</f>
        <v>#N/A</v>
      </c>
      <c r="V4" s="32" t="e">
        <f>#N/A</f>
        <v>#N/A</v>
      </c>
      <c r="W4" s="32" t="e">
        <f>#N/A</f>
        <v>#N/A</v>
      </c>
    </row>
    <row r="5" spans="1:23" ht="18.75" customHeight="1">
      <c r="A5" s="29" t="s">
        <v>236</v>
      </c>
      <c r="B5" s="28">
        <f>SUMPRODUCT(('5烧主抽电耗'!$A$3:$A$95&gt;=$B$1)*('5烧主抽电耗'!$A$3:$A$95&lt;=$D$1)*('5烧主抽电耗'!$F$3:$F$95=$A5),'5烧主抽电耗'!J$3:J$95)</f>
        <v>332802</v>
      </c>
      <c r="C5" s="28">
        <f>SUMPRODUCT(('5烧主抽电耗'!$A$3:$A$95&gt;=$B$1)*('5烧主抽电耗'!$A$3:$A$95&lt;=$D$1)*('5烧主抽电耗'!$F$3:$F$95=$A5),'5烧主抽电耗'!K$3:K$95)</f>
        <v>289044</v>
      </c>
      <c r="D5" s="28">
        <f>SUM(B5:C5)</f>
        <v>621846</v>
      </c>
      <c r="E5" s="28">
        <f>SUMPRODUCT(('5烧主抽电耗'!$A$3:$A$95&gt;=$B$1)*('5烧主抽电耗'!$A$3:$A$95&lt;=$D$1)*('5烧主抽电耗'!$F$3:$F$95=$A5),'5烧主抽电耗'!N$3:N$95)</f>
        <v>0</v>
      </c>
      <c r="F5" s="30" t="e">
        <f>D5/E5</f>
        <v>#DIV/0!</v>
      </c>
      <c r="G5" s="31">
        <f>SUMPRODUCT(('5烧主抽电耗'!$A$3:$A$95&gt;=$B$1)*('5烧主抽电耗'!$A$3:$A$95&lt;=$D$1)*('5烧主抽电耗'!$F$3:$F$95=$A5),'5烧主抽电耗'!$AC$3:$AC$95)</f>
        <v>37.310760000000002</v>
      </c>
      <c r="H5" s="28" t="s">
        <v>57</v>
      </c>
      <c r="I5" s="42" t="e">
        <f>SUMPRODUCT((错峰用电!$A$4:$A$190&gt;=$B$1)*(错峰用电!$A$4:$A$190&lt;=$D$1)*(错峰用电!$Q$4:$Q$190&gt;0),错峰用电!$Q$4:$Q$190)</f>
        <v>#REF!</v>
      </c>
      <c r="J5" s="28" t="s">
        <v>237</v>
      </c>
      <c r="K5" s="56"/>
      <c r="L5" s="57"/>
      <c r="N5" s="58" t="s">
        <v>236</v>
      </c>
      <c r="O5" s="28" t="e">
        <f>SUMPRODUCT(('6烧主抽电耗'!$A$3:$A$95&gt;=$B$1)*('6烧主抽电耗'!$A$3:$A$95&lt;=$D$1)*('6烧主抽电耗'!$F$3:$F$95=$A5),'6烧主抽电耗'!J$3:J$95)</f>
        <v>#REF!</v>
      </c>
      <c r="P5" s="28" t="e">
        <f>SUMPRODUCT(('6烧主抽电耗'!$A$3:$A$95&gt;=$B$1)*('6烧主抽电耗'!$A$3:$A$95&lt;=$D$1)*('6烧主抽电耗'!$F$3:$F$95=$A5),'6烧主抽电耗'!K$3:K$95)</f>
        <v>#REF!</v>
      </c>
      <c r="Q5" s="28" t="e">
        <f>SUM(O5:P5)</f>
        <v>#REF!</v>
      </c>
      <c r="R5" s="28">
        <f>SUMPRODUCT(('6烧主抽电耗'!$A$3:$A$95&gt;=$B$1)*('6烧主抽电耗'!$A$3:$A$95&lt;=$D$1)*('6烧主抽电耗'!$F$3:$F$95=$A5),'6烧主抽电耗'!N$3:N$95)</f>
        <v>0</v>
      </c>
      <c r="S5" s="30" t="e">
        <f>Q5/R5</f>
        <v>#REF!</v>
      </c>
      <c r="T5" s="31" t="e">
        <f>SUMPRODUCT(('6烧主抽电耗'!$A$3:$A$95&gt;=$B$1)*('6烧主抽电耗'!$A$3:$A$95&lt;=$D$1)*('6烧主抽电耗'!$F$3:$F$95=$N5),'6烧主抽电耗'!$AC$3:$AC$95)</f>
        <v>#REF!</v>
      </c>
      <c r="U5" s="28" t="s">
        <v>57</v>
      </c>
      <c r="V5" s="42" t="e">
        <f>SUMPRODUCT((错峰用电!$A$4:$A$190&gt;=$B$1)*(错峰用电!$A$4:$A$190&lt;=$D$1)*(错峰用电!$AF$4:$AF$190&gt;0),错峰用电!$AF$4:$AF$190)</f>
        <v>#REF!</v>
      </c>
      <c r="W5" s="28" t="s">
        <v>237</v>
      </c>
    </row>
    <row r="6" spans="1:23" ht="18.75" customHeight="1">
      <c r="A6" s="29" t="s">
        <v>64</v>
      </c>
      <c r="B6" s="28">
        <f>SUMPRODUCT(('5烧主抽电耗'!$A$3:$A$95&gt;=$B$1)*('5烧主抽电耗'!$A$3:$A$95&lt;=$D$1)*('5烧主抽电耗'!$F$3:$F$95=$A6),'5烧主抽电耗'!J$3:J$95)</f>
        <v>323949</v>
      </c>
      <c r="C6" s="28">
        <f>SUMPRODUCT(('5烧主抽电耗'!$A$3:$A$95&gt;=$B$1)*('5烧主抽电耗'!$A$3:$A$95&lt;=$D$1)*('5烧主抽电耗'!$F$3:$F$95=$A6),'5烧主抽电耗'!K$3:K$95)</f>
        <v>282177</v>
      </c>
      <c r="D6" s="28">
        <f>SUM(B6:C6)</f>
        <v>606126</v>
      </c>
      <c r="E6" s="28">
        <f>SUMPRODUCT(('5烧主抽电耗'!$A$3:$A$95&gt;=$B$1)*('5烧主抽电耗'!$A$3:$A$95&lt;=$D$1)*('5烧主抽电耗'!$F$3:$F$95=$A6),'5烧主抽电耗'!N$3:N$95)</f>
        <v>0</v>
      </c>
      <c r="F6" s="30" t="e">
        <f>D6/E6</f>
        <v>#DIV/0!</v>
      </c>
      <c r="G6" s="31">
        <f>SUMPRODUCT(('5烧主抽电耗'!$A$3:$A$95&gt;=$B$1)*('5烧主抽电耗'!$A$3:$A$95&lt;=$D$1)*('5烧主抽电耗'!$F$3:$F$95=$A6),'5烧主抽电耗'!$AC$3:$AC$95)</f>
        <v>36.367560000000005</v>
      </c>
      <c r="H6" s="33"/>
      <c r="I6" s="59"/>
      <c r="J6" s="57"/>
      <c r="K6" s="60"/>
      <c r="L6" s="57"/>
      <c r="N6" s="58" t="s">
        <v>64</v>
      </c>
      <c r="O6" s="28" t="e">
        <f>SUMPRODUCT(('6烧主抽电耗'!$A$3:$A$95&gt;=$B$1)*('6烧主抽电耗'!$A$3:$A$95&lt;=$D$1)*('6烧主抽电耗'!$F$3:$F$95=$A6),'6烧主抽电耗'!J$3:J$95)</f>
        <v>#REF!</v>
      </c>
      <c r="P6" s="28" t="e">
        <f>SUMPRODUCT(('6烧主抽电耗'!$A$3:$A$95&gt;=$B$1)*('6烧主抽电耗'!$A$3:$A$95&lt;=$D$1)*('6烧主抽电耗'!$F$3:$F$95=$A6),'6烧主抽电耗'!K$3:K$95)</f>
        <v>#REF!</v>
      </c>
      <c r="Q6" s="28" t="e">
        <f>SUM(O6:P6)</f>
        <v>#REF!</v>
      </c>
      <c r="R6" s="28">
        <f>SUMPRODUCT(('6烧主抽电耗'!$A$3:$A$95&gt;=$B$1)*('6烧主抽电耗'!$A$3:$A$95&lt;=$D$1)*('6烧主抽电耗'!$F$3:$F$95=$A6),'6烧主抽电耗'!N$3:N$95)</f>
        <v>0</v>
      </c>
      <c r="S6" s="30" t="e">
        <f>Q6/R6</f>
        <v>#REF!</v>
      </c>
      <c r="T6" s="31" t="e">
        <f>SUMPRODUCT(('6烧主抽电耗'!$A$3:$A$95&gt;=$B$1)*('6烧主抽电耗'!$A$3:$A$95&lt;=$D$1)*('6烧主抽电耗'!$F$3:$F$95=$N6),'6烧主抽电耗'!$AC$3:$AC$95)</f>
        <v>#REF!</v>
      </c>
      <c r="U6" s="33"/>
      <c r="V6" s="59"/>
    </row>
    <row r="7" spans="1:23" ht="19.5" customHeight="1">
      <c r="A7" s="29" t="s">
        <v>63</v>
      </c>
      <c r="B7" s="28">
        <f>SUMPRODUCT(('5烧主抽电耗'!$A$3:$A$95&gt;=$B$1)*('5烧主抽电耗'!$A$3:$A$95&lt;=$D$1)*('5烧主抽电耗'!$F$3:$F$95=$A7),'5烧主抽电耗'!J$3:J$95)</f>
        <v>283662</v>
      </c>
      <c r="C7" s="28">
        <f>SUMPRODUCT(('5烧主抽电耗'!$A$3:$A$95&gt;=$B$1)*('5烧主抽电耗'!$A$3:$A$95&lt;=$D$1)*('5烧主抽电耗'!$F$3:$F$95=$A7),'5烧主抽电耗'!K$3:K$95)</f>
        <v>246084</v>
      </c>
      <c r="D7" s="28">
        <f>SUM(B7:C7)</f>
        <v>529746</v>
      </c>
      <c r="E7" s="28">
        <f>SUMPRODUCT(('5烧主抽电耗'!$A$3:$A$95&gt;=$B$1)*('5烧主抽电耗'!$A$3:$A$95&lt;=$D$1)*('5烧主抽电耗'!$F$3:$F$95=$A7),'5烧主抽电耗'!N$3:N$95)</f>
        <v>0</v>
      </c>
      <c r="F7" s="30" t="e">
        <f>D7/E7</f>
        <v>#DIV/0!</v>
      </c>
      <c r="G7" s="31">
        <f>SUMPRODUCT(('5烧主抽电耗'!$A$3:$A$95&gt;=$B$1)*('5烧主抽电耗'!$A$3:$A$95&lt;=$D$1)*('5烧主抽电耗'!$F$3:$F$95=$A7),'5烧主抽电耗'!$AC$3:$AC$95)</f>
        <v>31.784759999999999</v>
      </c>
      <c r="H7" s="33"/>
      <c r="I7" s="59"/>
      <c r="J7" s="57"/>
      <c r="K7" s="56"/>
      <c r="L7" s="57"/>
      <c r="N7" s="58" t="s">
        <v>63</v>
      </c>
      <c r="O7" s="28" t="e">
        <f>SUMPRODUCT(('6烧主抽电耗'!$A$3:$A$95&gt;=$B$1)*('6烧主抽电耗'!$A$3:$A$95&lt;=$D$1)*('6烧主抽电耗'!$F$3:$F$95=$A7),'6烧主抽电耗'!J$3:J$95)</f>
        <v>#REF!</v>
      </c>
      <c r="P7" s="28" t="e">
        <f>SUMPRODUCT(('6烧主抽电耗'!$A$3:$A$95&gt;=$B$1)*('6烧主抽电耗'!$A$3:$A$95&lt;=$D$1)*('6烧主抽电耗'!$F$3:$F$95=$A7),'6烧主抽电耗'!K$3:K$95)</f>
        <v>#REF!</v>
      </c>
      <c r="Q7" s="28" t="e">
        <f>SUM(O7:P7)</f>
        <v>#REF!</v>
      </c>
      <c r="R7" s="28">
        <f>SUMPRODUCT(('6烧主抽电耗'!$A$3:$A$95&gt;=$B$1)*('6烧主抽电耗'!$A$3:$A$95&lt;=$D$1)*('6烧主抽电耗'!$F$3:$F$95=$A7),'6烧主抽电耗'!N$3:N$95)</f>
        <v>0</v>
      </c>
      <c r="S7" s="30" t="e">
        <f>Q7/R7</f>
        <v>#REF!</v>
      </c>
      <c r="T7" s="31" t="e">
        <f>SUMPRODUCT(('6烧主抽电耗'!$A$3:$A$95&gt;=$B$1)*('6烧主抽电耗'!$A$3:$A$95&lt;=$D$1)*('6烧主抽电耗'!$F$3:$F$95=$N7),'6烧主抽电耗'!$AC$3:$AC$95)</f>
        <v>#REF!</v>
      </c>
      <c r="U7" s="33"/>
      <c r="V7" s="59"/>
      <c r="W7" s="69" t="s">
        <v>238</v>
      </c>
    </row>
    <row r="8" spans="1:23" ht="18.75">
      <c r="A8" s="34" t="s">
        <v>232</v>
      </c>
      <c r="B8" s="28">
        <f>SUM(B4:B7)</f>
        <v>1234518</v>
      </c>
      <c r="C8" s="28">
        <f>SUM(C4:C7)</f>
        <v>1070760</v>
      </c>
      <c r="D8" s="35">
        <f>SUM(D4:D7)</f>
        <v>2305278</v>
      </c>
      <c r="E8" s="28">
        <f>SUM(E4:E7)</f>
        <v>0</v>
      </c>
      <c r="F8" s="30" t="e">
        <f>D8/E8</f>
        <v>#DIV/0!</v>
      </c>
      <c r="G8" s="36">
        <f>SUMPRODUCT(('5烧主抽电耗'!$A$3:$A$95&gt;=$B$1)*('5烧主抽电耗'!$A$3:$A$95&lt;=$D$1),'5烧主抽电耗'!$AC$3:$AC$95)</f>
        <v>138.31667999999999</v>
      </c>
      <c r="H8" s="33"/>
      <c r="I8" s="59"/>
      <c r="J8" s="57"/>
      <c r="K8" s="56"/>
      <c r="L8" s="57"/>
      <c r="N8" s="61" t="s">
        <v>232</v>
      </c>
      <c r="O8" s="28" t="e">
        <f>SUM(O4:O7)</f>
        <v>#REF!</v>
      </c>
      <c r="P8" s="28" t="e">
        <f>SUM(P4:P7)</f>
        <v>#REF!</v>
      </c>
      <c r="Q8" s="35" t="e">
        <f>SUM(Q4:Q7)</f>
        <v>#REF!</v>
      </c>
      <c r="R8" s="28">
        <f>SUM(R4:R7)</f>
        <v>0</v>
      </c>
      <c r="S8" s="30" t="e">
        <f>Q8/R8</f>
        <v>#REF!</v>
      </c>
      <c r="T8" s="70" t="e">
        <f>SUMPRODUCT(('6烧主抽电耗'!$A$3:$A$95&gt;=$B$1)*('6烧主抽电耗'!$A$3:$A$95&lt;=$D$1),'6烧主抽电耗'!$AC$3:$AC$95)</f>
        <v>#REF!</v>
      </c>
      <c r="U8" s="33" t="e">
        <f>Q8+D8</f>
        <v>#REF!</v>
      </c>
      <c r="V8" s="33">
        <f>R8+E8</f>
        <v>0</v>
      </c>
      <c r="W8" s="71" t="e">
        <f>U8/V8</f>
        <v>#REF!</v>
      </c>
    </row>
    <row r="9" spans="1:23" ht="24.75" customHeight="1">
      <c r="A9" s="37" t="s">
        <v>239</v>
      </c>
      <c r="B9" s="21"/>
      <c r="C9" s="378" t="s">
        <v>240</v>
      </c>
      <c r="D9" s="379"/>
      <c r="E9" s="379"/>
      <c r="F9" s="379"/>
      <c r="G9" s="380" t="s">
        <v>241</v>
      </c>
      <c r="H9" s="381"/>
      <c r="I9" s="381"/>
      <c r="J9" s="381"/>
      <c r="N9" s="62" t="s">
        <v>239</v>
      </c>
      <c r="O9" s="21"/>
      <c r="P9" s="378" t="s">
        <v>240</v>
      </c>
      <c r="Q9" s="379"/>
      <c r="R9" s="379"/>
      <c r="S9" s="379"/>
      <c r="T9" s="381" t="s">
        <v>241</v>
      </c>
      <c r="U9" s="381"/>
      <c r="V9" s="381"/>
      <c r="W9" s="381"/>
    </row>
    <row r="10" spans="1:23" ht="18.75" customHeight="1">
      <c r="A10" s="25" t="s">
        <v>242</v>
      </c>
      <c r="B10" s="26" t="s">
        <v>243</v>
      </c>
      <c r="C10" s="28" t="s">
        <v>244</v>
      </c>
      <c r="D10" s="38">
        <v>80</v>
      </c>
      <c r="E10" s="38">
        <v>150</v>
      </c>
      <c r="F10" s="21" t="s">
        <v>245</v>
      </c>
      <c r="G10" s="39" t="s">
        <v>244</v>
      </c>
      <c r="H10" s="40">
        <v>100</v>
      </c>
      <c r="I10" s="40">
        <v>150</v>
      </c>
      <c r="J10" s="63" t="s">
        <v>245</v>
      </c>
      <c r="N10" s="55" t="s">
        <v>242</v>
      </c>
      <c r="O10" s="26" t="s">
        <v>243</v>
      </c>
      <c r="P10" s="28" t="s">
        <v>244</v>
      </c>
      <c r="Q10" s="38">
        <v>90</v>
      </c>
      <c r="R10" s="38">
        <v>150</v>
      </c>
      <c r="S10" s="21" t="s">
        <v>245</v>
      </c>
      <c r="T10" s="39" t="s">
        <v>244</v>
      </c>
      <c r="U10" s="40">
        <v>100</v>
      </c>
      <c r="V10" s="40">
        <v>150</v>
      </c>
      <c r="W10" s="72" t="s">
        <v>245</v>
      </c>
    </row>
    <row r="11" spans="1:23" ht="18.75" customHeight="1">
      <c r="A11" s="29" t="s">
        <v>235</v>
      </c>
      <c r="B11" s="28">
        <f>SUMPRODUCT(('5烧主抽电耗'!$A$3:$A$95&gt;=$B$1)*('5烧主抽电耗'!$A$3:$A$95&lt;=$D$1)*('5烧主抽电耗'!$F$3:$F$95=$A11)*('5烧主抽电耗'!$P$3:$P$95&gt;0))</f>
        <v>0</v>
      </c>
      <c r="C11" s="41" t="e">
        <f>SUMPRODUCT(('5烧主抽电耗'!$A$3:$A$95&gt;=$B$1)*('5烧主抽电耗'!$A$3:$A$95&lt;=$D$1)*('5烧主抽电耗'!$F$3:$F$95=$A11),'5烧主抽电耗'!$P$3:$P$95)/SUMPRODUCT(('5烧主抽电耗'!$A$3:$A$95&gt;=$B$1)*('5烧主抽电耗'!$A$3:$A$95&lt;=$D$1)*('5烧主抽电耗'!$F$3:$F$95=$A11)*('5烧主抽电耗'!$P$3:$P$95&gt;0))</f>
        <v>#DIV/0!</v>
      </c>
      <c r="D11" s="42">
        <f>SUMPRODUCT(('5烧主抽电耗'!$A$3:$A$95&gt;=$B$1)*('5烧主抽电耗'!$A$3:$A$95&lt;=$D$1)*('5烧主抽电耗'!$F$3:$F$95=$A11)*('5烧主抽电耗'!$P$3:$P$95&lt;$D$10)*('5烧主抽电耗'!$P$3:$P$95&gt;0))</f>
        <v>0</v>
      </c>
      <c r="E11" s="28">
        <f>SUMPRODUCT(('5烧主抽电耗'!$A$3:$A$95&gt;=$B$1)*('5烧主抽电耗'!$A$3:$A$95&lt;=$D$1)*('5烧主抽电耗'!$F$3:$F$95=$A11)*('5烧主抽电耗'!$P$3:$P$95&gt;$E$10))</f>
        <v>0</v>
      </c>
      <c r="F11" s="43" t="e">
        <f>(B11-D11-E11)/B11</f>
        <v>#DIV/0!</v>
      </c>
      <c r="G11" s="41" t="e">
        <f>SUMPRODUCT(('5烧主抽电耗'!$A$3:$A$95&gt;=$B$1)*('5烧主抽电耗'!$A$3:$A$95&lt;=$D$1)*('5烧主抽电耗'!$F$3:$F$95=$A11),'5烧主抽电耗'!$R$3:$R$95)/SUMPRODUCT(('5烧主抽电耗'!$A$3:$A$95&gt;=$B$1)*('5烧主抽电耗'!$A$3:$A$95&lt;=$D$1)*('5烧主抽电耗'!$F$3:$F$95=$A11)*('5烧主抽电耗'!$R$3:$R$95&gt;0))</f>
        <v>#DIV/0!</v>
      </c>
      <c r="H11" s="28">
        <f>SUMPRODUCT(('5烧主抽电耗'!$A$3:$A$95&gt;=$B$1)*('5烧主抽电耗'!$A$3:$A$95&lt;=$D$1)*('5烧主抽电耗'!$F$3:$F$95=$A11)*('5烧主抽电耗'!$R$3:$R$95&lt;$H$10))</f>
        <v>7</v>
      </c>
      <c r="I11" s="28">
        <f>SUMPRODUCT(('5烧主抽电耗'!$A$3:$A$95&gt;=$B$1)*('5烧主抽电耗'!$A$3:$A$95&lt;=$D$1)*('5烧主抽电耗'!$F$3:$F$95=$A11)*('5烧主抽电耗'!$R$3:$R$95&gt;$I$10))</f>
        <v>0</v>
      </c>
      <c r="J11" s="64" t="e">
        <f>(B11-H11-I11)/B11</f>
        <v>#DIV/0!</v>
      </c>
      <c r="K11" s="65"/>
      <c r="L11" s="66"/>
      <c r="N11" s="58" t="s">
        <v>235</v>
      </c>
      <c r="O11" s="28">
        <f>SUMPRODUCT(('6烧主抽电耗'!$A$3:$A$95&gt;=$B$1)*('6烧主抽电耗'!$A$3:$A$95&lt;=$D$1)*('6烧主抽电耗'!$F$3:$F$95=$N11)*('6烧主抽电耗'!$P$3:$P$95&gt;0))</f>
        <v>0</v>
      </c>
      <c r="P11" s="41" t="e">
        <f>SUMPRODUCT(('6烧主抽电耗'!$A$3:$A$95&gt;=$B$1)*('6烧主抽电耗'!$A$3:$A$95&lt;=$D$1)*('6烧主抽电耗'!$F$3:$F$95=$A11),'6烧主抽电耗'!$P$3:$P$95)/SUMPRODUCT(('6烧主抽电耗'!$A$3:$A$95&gt;=$B$1)*('6烧主抽电耗'!$A$3:$A$95&lt;=$D$1)*('6烧主抽电耗'!$F$3:$F$95=$A11)*('6烧主抽电耗'!$P$3:$P$95&gt;0))</f>
        <v>#DIV/0!</v>
      </c>
      <c r="Q11" s="42">
        <f>SUMPRODUCT(('6烧主抽电耗'!$A$3:$A$95&gt;=$B$1)*('6烧主抽电耗'!$A$3:$A$95&lt;=$D$1)*('6烧主抽电耗'!$F$3:$F$95=$N11)*('6烧主抽电耗'!$P$3:$P$95&lt;$Q$10)*('6烧主抽电耗'!$P$3:$P$95&gt;0))</f>
        <v>0</v>
      </c>
      <c r="R11" s="28">
        <f>SUMPRODUCT(('6烧主抽电耗'!$A$3:$A$95&gt;=$B$1)*('6烧主抽电耗'!$A$3:$A$95&lt;=$D$1)*('6烧主抽电耗'!$F$3:$F$95=$N11)*('6烧主抽电耗'!$P$3:$P$95&gt;$R$10))</f>
        <v>0</v>
      </c>
      <c r="S11" s="43" t="e">
        <f>(O11-Q11-R11)/O11</f>
        <v>#DIV/0!</v>
      </c>
      <c r="T11" s="41" t="e">
        <f>SUMPRODUCT(('6烧主抽电耗'!$A$3:$A$95&gt;=$B$1)*('6烧主抽电耗'!$A$3:$A$95&lt;=$D$1)*('6烧主抽电耗'!$F$3:$F$95=$A11),'6烧主抽电耗'!$R$3:$R$95)/SUMPRODUCT(('6烧主抽电耗'!$A$3:$A$95&gt;=$B$1)*('6烧主抽电耗'!$A$3:$A$95&lt;=$D$1)*('6烧主抽电耗'!$F$3:$F$95=$A11)*('6烧主抽电耗'!$R$3:$R$95&gt;0))</f>
        <v>#DIV/0!</v>
      </c>
      <c r="U11" s="28">
        <f>SUMPRODUCT(('6烧主抽电耗'!$A$3:$A$95&gt;=$B$1)*('6烧主抽电耗'!$A$3:$A$95&lt;=$D$1)*('6烧主抽电耗'!$F$3:$F$95=$N11)*('6烧主抽电耗'!$R$3:$R$95&lt;$U$10))</f>
        <v>7</v>
      </c>
      <c r="V11" s="28">
        <f>SUMPRODUCT(('6烧主抽电耗'!$A$3:$A$95&gt;=$B$1)*('6烧主抽电耗'!$A$3:$A$95&lt;=$D$1)*('6烧主抽电耗'!$F$3:$F$95=$N11)*('6烧主抽电耗'!$R$3:$R$95&gt;$V$10))</f>
        <v>0</v>
      </c>
      <c r="W11" s="43" t="e">
        <f>(O11-U11-V11)/O11</f>
        <v>#DIV/0!</v>
      </c>
    </row>
    <row r="12" spans="1:23" ht="18.75" customHeight="1">
      <c r="A12" s="29" t="s">
        <v>236</v>
      </c>
      <c r="B12" s="28">
        <f>SUMPRODUCT(('5烧主抽电耗'!$A$3:$A$95&gt;=$B$1)*('5烧主抽电耗'!$A$3:$A$95&lt;=$D$1)*('5烧主抽电耗'!$F$3:$F$95=$A12)*('5烧主抽电耗'!$P$3:$P$95&gt;0))</f>
        <v>0</v>
      </c>
      <c r="C12" s="41" t="e">
        <f>SUMPRODUCT(('5烧主抽电耗'!$A$3:$A$95&gt;=$B$1)*('5烧主抽电耗'!$A$3:$A$95&lt;=$D$1)*('5烧主抽电耗'!$F$3:$F$95=$A12),'5烧主抽电耗'!$P$3:$P$95)/SUMPRODUCT(('5烧主抽电耗'!$A$3:$A$95&gt;=$B$1)*('5烧主抽电耗'!$A$3:$A$95&lt;=$D$1)*('5烧主抽电耗'!$F$3:$F$95=$A12)*('5烧主抽电耗'!$P$3:$P$95&gt;0))</f>
        <v>#DIV/0!</v>
      </c>
      <c r="D12" s="42">
        <f>SUMPRODUCT(('5烧主抽电耗'!$A$3:$A$95&gt;=$B$1)*('5烧主抽电耗'!$A$3:$A$95&lt;=$D$1)*('5烧主抽电耗'!$F$3:$F$95=$A12)*('5烧主抽电耗'!$P$3:$P$95&lt;$D$10)*('5烧主抽电耗'!$P$3:$P$95&gt;0))</f>
        <v>0</v>
      </c>
      <c r="E12" s="28">
        <f>SUMPRODUCT(('5烧主抽电耗'!$A$3:$A$95&gt;=$B$1)*('5烧主抽电耗'!$A$3:$A$95&lt;=$D$1)*('5烧主抽电耗'!$F$3:$F$95=$A12)*('5烧主抽电耗'!$P$3:$P$95&gt;$E$10))</f>
        <v>0</v>
      </c>
      <c r="F12" s="43" t="e">
        <f>(B12-D12-E12)/B12</f>
        <v>#DIV/0!</v>
      </c>
      <c r="G12" s="41" t="e">
        <f>SUMPRODUCT(('5烧主抽电耗'!$A$3:$A$95&gt;=$B$1)*('5烧主抽电耗'!$A$3:$A$95&lt;=$D$1)*('5烧主抽电耗'!$F$3:$F$95=$A12),'5烧主抽电耗'!$R$3:$R$95)/SUMPRODUCT(('5烧主抽电耗'!$A$3:$A$95&gt;=$B$1)*('5烧主抽电耗'!$A$3:$A$95&lt;=$D$1)*('5烧主抽电耗'!$F$3:$F$95=$A12)*('5烧主抽电耗'!$R$3:$R$95&gt;0))</f>
        <v>#DIV/0!</v>
      </c>
      <c r="H12" s="28">
        <f>SUMPRODUCT(('5烧主抽电耗'!$A$3:$A$95&gt;=$B$1)*('5烧主抽电耗'!$A$3:$A$95&lt;=$D$1)*('5烧主抽电耗'!$F$3:$F$95=$A12)*('5烧主抽电耗'!$R$3:$R$95&lt;$H$10))</f>
        <v>8</v>
      </c>
      <c r="I12" s="28">
        <f>SUMPRODUCT(('5烧主抽电耗'!$A$3:$A$95&gt;=$B$1)*('5烧主抽电耗'!$A$3:$A$95&lt;=$D$1)*('5烧主抽电耗'!$F$3:$F$95=$A12)*('5烧主抽电耗'!$R$3:$R$95&gt;$I$10))</f>
        <v>0</v>
      </c>
      <c r="J12" s="64" t="e">
        <f>(B12-H12-I12)/B12</f>
        <v>#DIV/0!</v>
      </c>
      <c r="K12" s="65"/>
      <c r="L12" s="66"/>
      <c r="N12" s="58" t="s">
        <v>236</v>
      </c>
      <c r="O12" s="28">
        <f>SUMPRODUCT(('6烧主抽电耗'!$A$3:$A$95&gt;=$B$1)*('6烧主抽电耗'!$A$3:$A$95&lt;=$D$1)*('6烧主抽电耗'!$F$3:$F$95=$N12)*('6烧主抽电耗'!$P$3:$P$95&gt;0))</f>
        <v>0</v>
      </c>
      <c r="P12" s="41" t="e">
        <f>SUMPRODUCT(('6烧主抽电耗'!$A$3:$A$95&gt;=$B$1)*('6烧主抽电耗'!$A$3:$A$95&lt;=$D$1)*('6烧主抽电耗'!$F$3:$F$95=$A12),'6烧主抽电耗'!$P$3:$P$95)/SUMPRODUCT(('6烧主抽电耗'!$A$3:$A$95&gt;=$B$1)*('6烧主抽电耗'!$A$3:$A$95&lt;=$D$1)*('6烧主抽电耗'!$F$3:$F$95=$A12)*('6烧主抽电耗'!$P$3:$P$95&gt;0))</f>
        <v>#DIV/0!</v>
      </c>
      <c r="Q12" s="42">
        <f>SUMPRODUCT(('6烧主抽电耗'!$A$3:$A$95&gt;=$B$1)*('6烧主抽电耗'!$A$3:$A$95&lt;=$D$1)*('6烧主抽电耗'!$F$3:$F$95=$N12)*('6烧主抽电耗'!$P$3:$P$95&lt;$Q$10)*('6烧主抽电耗'!$P$3:$P$95&gt;0))</f>
        <v>0</v>
      </c>
      <c r="R12" s="28">
        <f>SUMPRODUCT(('6烧主抽电耗'!$A$3:$A$95&gt;=$B$1)*('6烧主抽电耗'!$A$3:$A$95&lt;=$D$1)*('6烧主抽电耗'!$F$3:$F$95=$N12)*('6烧主抽电耗'!$P$3:$P$95&gt;$R$10))</f>
        <v>0</v>
      </c>
      <c r="S12" s="43" t="e">
        <f>(O12-Q12-R12)/O12</f>
        <v>#DIV/0!</v>
      </c>
      <c r="T12" s="41" t="e">
        <f>SUMPRODUCT(('6烧主抽电耗'!$A$3:$A$95&gt;=$B$1)*('6烧主抽电耗'!$A$3:$A$95&lt;=$D$1)*('6烧主抽电耗'!$F$3:$F$95=$A12),'6烧主抽电耗'!$R$3:$R$95)/SUMPRODUCT(('6烧主抽电耗'!$A$3:$A$95&gt;=$B$1)*('6烧主抽电耗'!$A$3:$A$95&lt;=$D$1)*('6烧主抽电耗'!$F$3:$F$95=$A12)*('6烧主抽电耗'!$R$3:$R$95&gt;0))</f>
        <v>#DIV/0!</v>
      </c>
      <c r="U12" s="28">
        <f>SUMPRODUCT(('6烧主抽电耗'!$A$3:$A$95&gt;=$B$1)*('6烧主抽电耗'!$A$3:$A$95&lt;=$D$1)*('6烧主抽电耗'!$F$3:$F$95=$N12)*('6烧主抽电耗'!$R$3:$R$95&lt;$U$10))</f>
        <v>8</v>
      </c>
      <c r="V12" s="28">
        <f>SUMPRODUCT(('6烧主抽电耗'!$A$3:$A$95&gt;=$B$1)*('6烧主抽电耗'!$A$3:$A$95&lt;=$D$1)*('6烧主抽电耗'!$F$3:$F$95=$N12)*('6烧主抽电耗'!$R$3:$R$95&gt;$V$10))</f>
        <v>0</v>
      </c>
      <c r="W12" s="43" t="e">
        <f>(O12-U12-V12)/O12</f>
        <v>#DIV/0!</v>
      </c>
    </row>
    <row r="13" spans="1:23" ht="18.75" customHeight="1">
      <c r="A13" s="29" t="s">
        <v>64</v>
      </c>
      <c r="B13" s="28">
        <f>SUMPRODUCT(('5烧主抽电耗'!$A$3:$A$95&gt;=$B$1)*('5烧主抽电耗'!$A$3:$A$95&lt;=$D$1)*('5烧主抽电耗'!$F$3:$F$95=$A13)*('5烧主抽电耗'!$P$3:$P$95&gt;0))</f>
        <v>0</v>
      </c>
      <c r="C13" s="41" t="e">
        <f>SUMPRODUCT(('5烧主抽电耗'!$A$3:$A$95&gt;=$B$1)*('5烧主抽电耗'!$A$3:$A$95&lt;=$D$1)*('5烧主抽电耗'!$F$3:$F$95=$A13),'5烧主抽电耗'!$P$3:$P$95)/SUMPRODUCT(('5烧主抽电耗'!$A$3:$A$95&gt;=$B$1)*('5烧主抽电耗'!$A$3:$A$95&lt;=$D$1)*('5烧主抽电耗'!$F$3:$F$95=$A13)*('5烧主抽电耗'!$P$3:$P$95&gt;0))</f>
        <v>#DIV/0!</v>
      </c>
      <c r="D13" s="42">
        <f>SUMPRODUCT(('5烧主抽电耗'!$A$3:$A$95&gt;=$B$1)*('5烧主抽电耗'!$A$3:$A$95&lt;=$D$1)*('5烧主抽电耗'!$F$3:$F$95=$A13)*('5烧主抽电耗'!$P$3:$P$95&lt;$D$10)*('5烧主抽电耗'!$P$3:$P$95&gt;0))</f>
        <v>0</v>
      </c>
      <c r="E13" s="28">
        <f>SUMPRODUCT(('5烧主抽电耗'!$A$3:$A$95&gt;=$B$1)*('5烧主抽电耗'!$A$3:$A$95&lt;=$D$1)*('5烧主抽电耗'!$F$3:$F$95=$A13)*('5烧主抽电耗'!$P$3:$P$95&gt;$E$10))</f>
        <v>0</v>
      </c>
      <c r="F13" s="43" t="e">
        <f>(B13-D13-E13)/B13</f>
        <v>#DIV/0!</v>
      </c>
      <c r="G13" s="41" t="e">
        <f>SUMPRODUCT(('5烧主抽电耗'!$A$3:$A$95&gt;=$B$1)*('5烧主抽电耗'!$A$3:$A$95&lt;=$D$1)*('5烧主抽电耗'!$F$3:$F$95=$A13),'5烧主抽电耗'!$R$3:$R$95)/SUMPRODUCT(('5烧主抽电耗'!$A$3:$A$95&gt;=$B$1)*('5烧主抽电耗'!$A$3:$A$95&lt;=$D$1)*('5烧主抽电耗'!$F$3:$F$95=$A13)*('5烧主抽电耗'!$R$3:$R$95&gt;0))</f>
        <v>#DIV/0!</v>
      </c>
      <c r="H13" s="28">
        <f>SUMPRODUCT(('5烧主抽电耗'!$A$3:$A$95&gt;=$B$1)*('5烧主抽电耗'!$A$3:$A$95&lt;=$D$1)*('5烧主抽电耗'!$F$3:$F$95=$A13)*('5烧主抽电耗'!$R$3:$R$95&lt;$H$10))</f>
        <v>8</v>
      </c>
      <c r="I13" s="28">
        <f>SUMPRODUCT(('5烧主抽电耗'!$A$3:$A$95&gt;=$B$1)*('5烧主抽电耗'!$A$3:$A$95&lt;=$D$1)*('5烧主抽电耗'!$F$3:$F$95=$A13)*('5烧主抽电耗'!$R$3:$R$95&gt;$I$10))</f>
        <v>0</v>
      </c>
      <c r="J13" s="64" t="e">
        <f>(B13-H13-I13)/B13</f>
        <v>#DIV/0!</v>
      </c>
      <c r="K13" s="65"/>
      <c r="L13" s="66"/>
      <c r="N13" s="58" t="s">
        <v>64</v>
      </c>
      <c r="O13" s="28">
        <f>SUMPRODUCT(('6烧主抽电耗'!$A$3:$A$95&gt;=$B$1)*('6烧主抽电耗'!$A$3:$A$95&lt;=$D$1)*('6烧主抽电耗'!$F$3:$F$95=$N13)*('6烧主抽电耗'!$P$3:$P$95&gt;0))</f>
        <v>0</v>
      </c>
      <c r="P13" s="41" t="e">
        <f>SUMPRODUCT(('6烧主抽电耗'!$A$3:$A$95&gt;=$B$1)*('6烧主抽电耗'!$A$3:$A$95&lt;=$D$1)*('6烧主抽电耗'!$F$3:$F$95=$A13),'6烧主抽电耗'!$P$3:$P$95)/SUMPRODUCT(('6烧主抽电耗'!$A$3:$A$95&gt;=$B$1)*('6烧主抽电耗'!$A$3:$A$95&lt;=$D$1)*('6烧主抽电耗'!$F$3:$F$95=$A13)*('6烧主抽电耗'!$P$3:$P$95&gt;0))</f>
        <v>#DIV/0!</v>
      </c>
      <c r="Q13" s="42">
        <f>SUMPRODUCT(('6烧主抽电耗'!$A$3:$A$95&gt;=$B$1)*('6烧主抽电耗'!$A$3:$A$95&lt;=$D$1)*('6烧主抽电耗'!$F$3:$F$95=$N13)*('6烧主抽电耗'!$P$3:$P$95&lt;$Q$10)*('6烧主抽电耗'!$P$3:$P$95&gt;0))</f>
        <v>0</v>
      </c>
      <c r="R13" s="28">
        <f>SUMPRODUCT(('6烧主抽电耗'!$A$3:$A$95&gt;=$B$1)*('6烧主抽电耗'!$A$3:$A$95&lt;=$D$1)*('6烧主抽电耗'!$F$3:$F$95=$N13)*('6烧主抽电耗'!$P$3:$P$95&gt;$R$10))</f>
        <v>0</v>
      </c>
      <c r="S13" s="43" t="e">
        <f>(O13-Q13-R13)/O13</f>
        <v>#DIV/0!</v>
      </c>
      <c r="T13" s="41" t="e">
        <f>SUMPRODUCT(('6烧主抽电耗'!$A$3:$A$95&gt;=$B$1)*('6烧主抽电耗'!$A$3:$A$95&lt;=$D$1)*('6烧主抽电耗'!$F$3:$F$95=$A13),'6烧主抽电耗'!$R$3:$R$95)/SUMPRODUCT(('6烧主抽电耗'!$A$3:$A$95&gt;=$B$1)*('6烧主抽电耗'!$A$3:$A$95&lt;=$D$1)*('6烧主抽电耗'!$F$3:$F$95=$A13)*('6烧主抽电耗'!$R$3:$R$95&gt;0))</f>
        <v>#DIV/0!</v>
      </c>
      <c r="U13" s="28">
        <f>SUMPRODUCT(('6烧主抽电耗'!$A$3:$A$95&gt;=$B$1)*('6烧主抽电耗'!$A$3:$A$95&lt;=$D$1)*('6烧主抽电耗'!$F$3:$F$95=$N13)*('6烧主抽电耗'!$R$3:$R$95&lt;$U$10))</f>
        <v>8</v>
      </c>
      <c r="V13" s="28">
        <f>SUMPRODUCT(('6烧主抽电耗'!$A$3:$A$95&gt;=$B$1)*('6烧主抽电耗'!$A$3:$A$95&lt;=$D$1)*('6烧主抽电耗'!$F$3:$F$95=$N13)*('6烧主抽电耗'!$R$3:$R$95&gt;$V$10))</f>
        <v>0</v>
      </c>
      <c r="W13" s="43" t="e">
        <f>(O13-U13-V13)/O13</f>
        <v>#DIV/0!</v>
      </c>
    </row>
    <row r="14" spans="1:23" ht="19.5" customHeight="1">
      <c r="A14" s="29" t="s">
        <v>63</v>
      </c>
      <c r="B14" s="28">
        <f>SUMPRODUCT(('5烧主抽电耗'!$A$3:$A$95&gt;=$B$1)*('5烧主抽电耗'!$A$3:$A$95&lt;=$D$1)*('5烧主抽电耗'!$F$3:$F$95=$A14)*('5烧主抽电耗'!$P$3:$P$95&gt;0))</f>
        <v>0</v>
      </c>
      <c r="C14" s="41" t="e">
        <f>SUMPRODUCT(('5烧主抽电耗'!$A$3:$A$95&gt;=$B$1)*('5烧主抽电耗'!$A$3:$A$95&lt;=$D$1)*('5烧主抽电耗'!$F$3:$F$95=$A14),'5烧主抽电耗'!$P$3:$P$95)/SUMPRODUCT(('5烧主抽电耗'!$A$3:$A$95&gt;=$B$1)*('5烧主抽电耗'!$A$3:$A$95&lt;=$D$1)*('5烧主抽电耗'!$F$3:$F$95=$A14)*('5烧主抽电耗'!$P$3:$P$95&gt;0))</f>
        <v>#DIV/0!</v>
      </c>
      <c r="D14" s="42">
        <f>SUMPRODUCT(('5烧主抽电耗'!$A$3:$A$95&gt;=$B$1)*('5烧主抽电耗'!$A$3:$A$95&lt;=$D$1)*('5烧主抽电耗'!$F$3:$F$95=$A14)*('5烧主抽电耗'!$P$3:$P$95&lt;$D$10)*('5烧主抽电耗'!$P$3:$P$95&gt;0))</f>
        <v>0</v>
      </c>
      <c r="E14" s="28">
        <f>SUMPRODUCT(('5烧主抽电耗'!$A$3:$A$95&gt;=$B$1)*('5烧主抽电耗'!$A$3:$A$95&lt;=$D$1)*('5烧主抽电耗'!$F$3:$F$95=$A14)*('5烧主抽电耗'!$P$3:$P$95&gt;$E$10))</f>
        <v>0</v>
      </c>
      <c r="F14" s="43" t="e">
        <f>(B14-D14-E14)/B14</f>
        <v>#DIV/0!</v>
      </c>
      <c r="G14" s="41" t="e">
        <f>SUMPRODUCT(('5烧主抽电耗'!$A$3:$A$95&gt;=$B$1)*('5烧主抽电耗'!$A$3:$A$95&lt;=$D$1)*('5烧主抽电耗'!$F$3:$F$95=$A14),'5烧主抽电耗'!$R$3:$R$95)/SUMPRODUCT(('5烧主抽电耗'!$A$3:$A$95&gt;=$B$1)*('5烧主抽电耗'!$A$3:$A$95&lt;=$D$1)*('5烧主抽电耗'!$F$3:$F$95=$A14)*('5烧主抽电耗'!$R$3:$R$95&gt;0))</f>
        <v>#DIV/0!</v>
      </c>
      <c r="H14" s="28">
        <f>SUMPRODUCT(('5烧主抽电耗'!$A$3:$A$95&gt;=$B$1)*('5烧主抽电耗'!$A$3:$A$95&lt;=$D$1)*('5烧主抽电耗'!$F$3:$F$95=$A14)*('5烧主抽电耗'!$R$3:$R$95&lt;$H$10))</f>
        <v>7</v>
      </c>
      <c r="I14" s="28">
        <f>SUMPRODUCT(('5烧主抽电耗'!$A$3:$A$95&gt;=$B$1)*('5烧主抽电耗'!$A$3:$A$95&lt;=$D$1)*('5烧主抽电耗'!$F$3:$F$95=$A14)*('5烧主抽电耗'!$R$3:$R$95&gt;$I$10))</f>
        <v>0</v>
      </c>
      <c r="J14" s="64" t="e">
        <f>(B14-H14-I14)/B14</f>
        <v>#DIV/0!</v>
      </c>
      <c r="K14" s="65"/>
      <c r="L14" s="66"/>
      <c r="N14" s="58" t="s">
        <v>63</v>
      </c>
      <c r="O14" s="28">
        <f>SUMPRODUCT(('6烧主抽电耗'!$A$3:$A$95&gt;=$B$1)*('6烧主抽电耗'!$A$3:$A$95&lt;=$D$1)*('6烧主抽电耗'!$F$3:$F$95=$N14)*('6烧主抽电耗'!$P$3:$P$95&gt;0))</f>
        <v>0</v>
      </c>
      <c r="P14" s="41" t="e">
        <f>SUMPRODUCT(('6烧主抽电耗'!$A$3:$A$95&gt;=$B$1)*('6烧主抽电耗'!$A$3:$A$95&lt;=$D$1)*('6烧主抽电耗'!$F$3:$F$95=$A14),'6烧主抽电耗'!$P$3:$P$95)/SUMPRODUCT(('6烧主抽电耗'!$A$3:$A$95&gt;=$B$1)*('6烧主抽电耗'!$A$3:$A$95&lt;=$D$1)*('6烧主抽电耗'!$F$3:$F$95=$A14)*('6烧主抽电耗'!$P$3:$P$95&gt;0))</f>
        <v>#DIV/0!</v>
      </c>
      <c r="Q14" s="42">
        <f>SUMPRODUCT(('6烧主抽电耗'!$A$3:$A$95&gt;=$B$1)*('6烧主抽电耗'!$A$3:$A$95&lt;=$D$1)*('6烧主抽电耗'!$F$3:$F$95=$N14)*('6烧主抽电耗'!$P$3:$P$95&lt;$Q$10)*('6烧主抽电耗'!$P$3:$P$95&gt;0))</f>
        <v>0</v>
      </c>
      <c r="R14" s="28">
        <f>SUMPRODUCT(('6烧主抽电耗'!$A$3:$A$95&gt;=$B$1)*('6烧主抽电耗'!$A$3:$A$95&lt;=$D$1)*('6烧主抽电耗'!$F$3:$F$95=$N14)*('6烧主抽电耗'!$P$3:$P$95&gt;$R$10))</f>
        <v>0</v>
      </c>
      <c r="S14" s="43" t="e">
        <f>(O14-Q14-R14)/O14</f>
        <v>#DIV/0!</v>
      </c>
      <c r="T14" s="41" t="e">
        <f>SUMPRODUCT(('6烧主抽电耗'!$A$3:$A$95&gt;=$B$1)*('6烧主抽电耗'!$A$3:$A$95&lt;=$D$1)*('6烧主抽电耗'!$F$3:$F$95=$A14),'6烧主抽电耗'!$R$3:$R$95)/SUMPRODUCT(('6烧主抽电耗'!$A$3:$A$95&gt;=$B$1)*('6烧主抽电耗'!$A$3:$A$95&lt;=$D$1)*('6烧主抽电耗'!$F$3:$F$95=$A14)*('6烧主抽电耗'!$R$3:$R$95&gt;0))</f>
        <v>#DIV/0!</v>
      </c>
      <c r="U14" s="28">
        <f>SUMPRODUCT(('6烧主抽电耗'!$A$3:$A$95&gt;=$B$1)*('6烧主抽电耗'!$A$3:$A$95&lt;=$D$1)*('6烧主抽电耗'!$F$3:$F$95=$N14)*('6烧主抽电耗'!$R$3:$R$95&lt;$U$10))</f>
        <v>7</v>
      </c>
      <c r="V14" s="28">
        <f>SUMPRODUCT(('6烧主抽电耗'!$A$3:$A$95&gt;=$B$1)*('6烧主抽电耗'!$A$3:$A$95&lt;=$D$1)*('6烧主抽电耗'!$F$3:$F$95=$N14)*('6烧主抽电耗'!$R$3:$R$95&gt;$V$10))</f>
        <v>0</v>
      </c>
      <c r="W14" s="43" t="e">
        <f>(O14-U14-V14)/O14</f>
        <v>#DIV/0!</v>
      </c>
    </row>
    <row r="15" spans="1:23" ht="18.75">
      <c r="A15" s="34" t="s">
        <v>232</v>
      </c>
      <c r="B15" s="28">
        <f>SUM(B11:B14)</f>
        <v>0</v>
      </c>
      <c r="C15" s="41" t="e">
        <f>SUMPRODUCT(('5烧主抽电耗'!$A$3:$A$95&gt;=$B$1)*('5烧主抽电耗'!$A$3:$A$95&lt;=$D$1),'5烧主抽电耗'!$P$3:$P$95)/SUMPRODUCT(('5烧主抽电耗'!$A$3:$A$95&gt;=$B$1)*('5烧主抽电耗'!$A$3:$A$95&lt;=$D$1)*('5烧主抽电耗'!$P$3:$P$95&gt;0))</f>
        <v>#DIV/0!</v>
      </c>
      <c r="D15" s="42">
        <f>SUMPRODUCT(('5烧主抽电耗'!$A$3:$A$95&gt;=$B$1)*('5烧主抽电耗'!$A$3:$A$95&lt;=$D$1)*('5烧主抽电耗'!$F$3:$F$95=$A15)*('5烧主抽电耗'!$P$3:$P$95&lt;$D$10)*('5烧主抽电耗'!$P$3:$P$95&gt;0))</f>
        <v>0</v>
      </c>
      <c r="E15" s="28">
        <f>SUM(E11:E14)</f>
        <v>0</v>
      </c>
      <c r="F15" s="43" t="e">
        <f>(B15-D15-E15)/B15</f>
        <v>#DIV/0!</v>
      </c>
      <c r="G15" s="41" t="e">
        <f>SUMPRODUCT(('5烧主抽电耗'!$A$3:$A$95&gt;=$B$1)*('5烧主抽电耗'!$A$3:$A$95&lt;=$D$1),'5烧主抽电耗'!$R$3:$R$95)/SUMPRODUCT(('5烧主抽电耗'!$A$3:$A$95&gt;=$B$1)*('5烧主抽电耗'!$A$3:$A$95&lt;=$D$1)*('5烧主抽电耗'!$R$3:$R$95&gt;0))</f>
        <v>#DIV/0!</v>
      </c>
      <c r="H15" s="28">
        <f>SUM(H11:H14)</f>
        <v>30</v>
      </c>
      <c r="I15" s="28">
        <f>SUM(I11:I14)</f>
        <v>0</v>
      </c>
      <c r="J15" s="64" t="e">
        <f>(B15-H15-I15)/B15</f>
        <v>#DIV/0!</v>
      </c>
      <c r="K15" s="65"/>
      <c r="L15" s="66"/>
      <c r="N15" s="61" t="s">
        <v>232</v>
      </c>
      <c r="O15" s="28">
        <f>SUM(O11:O14)</f>
        <v>0</v>
      </c>
      <c r="P15" s="41" t="e">
        <f>SUMPRODUCT(('6烧主抽电耗'!$A$3:$A$95&gt;=$B$1)*('6烧主抽电耗'!$A$3:$A$95&lt;=$D$1),'6烧主抽电耗'!$P$3:$P$95)/SUMPRODUCT(('6烧主抽电耗'!$A$3:$A$95&gt;=$B$1)*('6烧主抽电耗'!$A$3:$A$95&lt;=$D$1)*('6烧主抽电耗'!$P$3:$P$95&gt;0))</f>
        <v>#DIV/0!</v>
      </c>
      <c r="Q15" s="42">
        <f>SUMPRODUCT(('6烧主抽电耗'!$A$3:$A$95&gt;=$B$1)*('6烧主抽电耗'!$A$3:$A$95&lt;=$D$1)*('6烧主抽电耗'!$F$3:$F$95=$N15)*('6烧主抽电耗'!$P$3:$P$95&lt;$Q$10)*('6烧主抽电耗'!$P$3:$P$95&gt;0))</f>
        <v>0</v>
      </c>
      <c r="R15" s="28">
        <f>SUM(R11:R14)</f>
        <v>0</v>
      </c>
      <c r="S15" s="43" t="e">
        <f>(O15-Q15-R15)/O15</f>
        <v>#DIV/0!</v>
      </c>
      <c r="T15" s="41" t="e">
        <f>SUMPRODUCT(('6烧主抽电耗'!$A$3:$A$95&gt;=$B$1)*('6烧主抽电耗'!$A$3:$A$95&lt;=$D$1),'6烧主抽电耗'!$R$3:$R$95)/SUMPRODUCT(('6烧主抽电耗'!$A$3:$A$95&gt;=$B$1)*('6烧主抽电耗'!$A$3:$A$95&lt;=$D$1)*('6烧主抽电耗'!$R$3:$R$95&gt;0))</f>
        <v>#DIV/0!</v>
      </c>
      <c r="U15" s="28">
        <f>SUM(U11:U14)</f>
        <v>30</v>
      </c>
      <c r="V15" s="28">
        <f>SUM(V11:V14)</f>
        <v>0</v>
      </c>
      <c r="W15" s="43" t="e">
        <f>(O15-U15-V15)/O15</f>
        <v>#DIV/0!</v>
      </c>
    </row>
    <row r="16" spans="1:23" s="5" customFormat="1" ht="20.25" customHeight="1">
      <c r="A16" s="44"/>
      <c r="B16" s="45"/>
      <c r="C16" s="45"/>
      <c r="D16" s="45"/>
      <c r="E16" s="46"/>
      <c r="F16" s="45"/>
      <c r="G16" s="45"/>
      <c r="H16" s="46"/>
      <c r="I16" s="46"/>
      <c r="J16" s="46"/>
      <c r="K16" s="65"/>
      <c r="L16" s="66"/>
      <c r="M16" s="9"/>
      <c r="N16" s="44"/>
      <c r="O16" s="45"/>
      <c r="P16" s="45"/>
      <c r="Q16" s="45"/>
      <c r="R16" s="46"/>
      <c r="S16" s="45"/>
      <c r="T16" s="45"/>
      <c r="U16" s="46"/>
    </row>
    <row r="17" spans="1:256" ht="18.75" customHeight="1">
      <c r="A17" s="20" t="s">
        <v>224</v>
      </c>
      <c r="B17" s="21"/>
      <c r="C17" s="378" t="s">
        <v>246</v>
      </c>
      <c r="D17" s="379"/>
      <c r="E17" s="379"/>
      <c r="F17" s="382"/>
      <c r="G17" s="378" t="s">
        <v>247</v>
      </c>
      <c r="H17" s="379"/>
      <c r="I17" s="379"/>
      <c r="J17" s="382"/>
      <c r="N17" s="52" t="s">
        <v>229</v>
      </c>
      <c r="O17" s="21"/>
      <c r="P17" s="378" t="s">
        <v>246</v>
      </c>
      <c r="Q17" s="379"/>
      <c r="R17" s="379"/>
      <c r="S17" s="382"/>
      <c r="T17" s="378" t="s">
        <v>247</v>
      </c>
      <c r="U17" s="379"/>
      <c r="V17" s="379"/>
      <c r="W17" s="382"/>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5" t="s">
        <v>242</v>
      </c>
      <c r="B18" s="26" t="s">
        <v>243</v>
      </c>
      <c r="C18" s="28" t="s">
        <v>244</v>
      </c>
      <c r="D18" s="38">
        <v>-15</v>
      </c>
      <c r="E18" s="38">
        <v>-13</v>
      </c>
      <c r="F18" s="21" t="s">
        <v>245</v>
      </c>
      <c r="G18" s="28" t="s">
        <v>244</v>
      </c>
      <c r="H18" s="38">
        <v>-15</v>
      </c>
      <c r="I18" s="38">
        <v>-13</v>
      </c>
      <c r="J18" s="67" t="s">
        <v>245</v>
      </c>
      <c r="N18" s="55" t="s">
        <v>242</v>
      </c>
      <c r="O18" s="26" t="s">
        <v>243</v>
      </c>
      <c r="P18" s="28" t="s">
        <v>244</v>
      </c>
      <c r="Q18" s="38">
        <v>-15.5</v>
      </c>
      <c r="R18" s="38">
        <v>-13</v>
      </c>
      <c r="S18" s="21" t="s">
        <v>245</v>
      </c>
      <c r="T18" s="28" t="s">
        <v>244</v>
      </c>
      <c r="U18" s="38">
        <v>-15.5</v>
      </c>
      <c r="V18" s="38">
        <v>-13</v>
      </c>
      <c r="W18" s="21" t="s">
        <v>245</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18.75">
      <c r="A19" s="29" t="s">
        <v>235</v>
      </c>
      <c r="B19" s="28">
        <f>SUMPRODUCT(('5烧主抽电耗'!$A$3:$A$95&gt;=$B$1)*('5烧主抽电耗'!$A$3:$A$95&lt;=$D$1)*('5烧主抽电耗'!$F$3:$F$95=$A19)*('5烧主抽电耗'!$Q$3:$Q$95&lt;&gt;""))</f>
        <v>7</v>
      </c>
      <c r="C19" s="41" t="e">
        <f>SUMPRODUCT(('5烧主抽电耗'!$A$3:$A$95&gt;=$B$1)*('5烧主抽电耗'!$A$3:$A$95&lt;=$D$1)*('5烧主抽电耗'!$F$3:$F$95=$A19),'5烧主抽电耗'!$Q$3:$Q$95)/SUMPRODUCT(('5烧主抽电耗'!$A$3:$A$95&gt;=$B$1)*('5烧主抽电耗'!$A$3:$A$95&lt;=$D$1)*('5烧主抽电耗'!$F$3:$F$95=$A19)*('5烧主抽电耗'!$Q$3:$Q$95&lt;&gt;0))</f>
        <v>#DIV/0!</v>
      </c>
      <c r="D19" s="42">
        <f>SUMPRODUCT(('5烧主抽电耗'!$A$3:$A$95&gt;=$B$1)*('5烧主抽电耗'!$A$3:$A$95&lt;=$D$1)*('5烧主抽电耗'!$F$3:$F$95=$A19)*('5烧主抽电耗'!$Q$3:$Q$95&lt;$D$18))</f>
        <v>0</v>
      </c>
      <c r="E19" s="28">
        <f>SUMPRODUCT(('5烧主抽电耗'!$A$3:$A$95&gt;=$B$1)*('5烧主抽电耗'!$A$3:$A$95&lt;=$D$1)*('5烧主抽电耗'!$F$3:$F$95=$A19)*('5烧主抽电耗'!$Q$3:$Q$95&gt;$E$18))</f>
        <v>7</v>
      </c>
      <c r="F19" s="43">
        <f>(B19-D19-E19)/B19</f>
        <v>0</v>
      </c>
      <c r="G19" s="41" t="e">
        <f>SUMPRODUCT(('5烧主抽电耗'!$A$3:$A$95&gt;=$B$1)*('5烧主抽电耗'!$A$3:$A$95&lt;=$D$1)*('5烧主抽电耗'!$F$3:$F$95=$A19),'5烧主抽电耗'!$S$3:$S$95)/SUMPRODUCT(('5烧主抽电耗'!$A$3:$A$95&gt;=$B$1)*('5烧主抽电耗'!$A$3:$A$95&lt;=$D$1)*('5烧主抽电耗'!$F$3:$F$95=$A19)*('5烧主抽电耗'!$S$3:$S$95&lt;&gt;0))</f>
        <v>#DIV/0!</v>
      </c>
      <c r="H19" s="28">
        <f>SUMPRODUCT(('5烧主抽电耗'!$A$3:$A$95&gt;=$B$1)*('5烧主抽电耗'!$A$3:$A$95&lt;=$D$1)*('5烧主抽电耗'!$F$3:$F$95=$A19)*('5烧主抽电耗'!$S$3:$S$95&lt;$H$18))</f>
        <v>0</v>
      </c>
      <c r="I19" s="28">
        <f>SUMPRODUCT(('5烧主抽电耗'!$A$3:$A$95&gt;=$B$1)*('5烧主抽电耗'!$A$3:$A$95&lt;=$D$1)*('5烧主抽电耗'!$F$3:$F$95=$A19)*('5烧主抽电耗'!$S$3:$S$95&gt;$I$18))</f>
        <v>7</v>
      </c>
      <c r="J19" s="64">
        <f>(B19-H19-I19)/B19</f>
        <v>0</v>
      </c>
      <c r="K19" s="65"/>
      <c r="L19" s="66"/>
      <c r="N19" s="58" t="s">
        <v>235</v>
      </c>
      <c r="O19" s="28">
        <f>SUMPRODUCT(('6烧主抽电耗'!$A$3:$A$95&gt;=$B$1)*('6烧主抽电耗'!$A$3:$A$95&lt;=$D$1)*('6烧主抽电耗'!$F$3:$F$95=$N19)*('6烧主抽电耗'!$Q$3:$Q$95&lt;&gt;""))</f>
        <v>7</v>
      </c>
      <c r="P19" s="41" t="e">
        <f>SUMPRODUCT(('6烧主抽电耗'!$A$3:$A$95&gt;=$B$1)*('6烧主抽电耗'!$A$3:$A$95&lt;=$D$1)*('6烧主抽电耗'!$F$3:$F$95=$A19),'6烧主抽电耗'!$Q$3:$Q$95)/SUMPRODUCT(('6烧主抽电耗'!$A$3:$A$95&gt;=$B$1)*('6烧主抽电耗'!$A$3:$A$95&lt;=$D$1)*('6烧主抽电耗'!$F$3:$F$95=$A19)*('6烧主抽电耗'!$Q$3:$Q$95&lt;&gt;0))</f>
        <v>#DIV/0!</v>
      </c>
      <c r="Q19" s="42">
        <f>SUMPRODUCT(('6烧主抽电耗'!$A$3:$A$95&gt;=$B$1)*('6烧主抽电耗'!$A$3:$A$95&lt;=$D$1)*('6烧主抽电耗'!$F$3:$F$95=$N19)*('6烧主抽电耗'!$Q$3:$Q$95&lt;$Q$18))</f>
        <v>0</v>
      </c>
      <c r="R19" s="28">
        <f>SUMPRODUCT(('6烧主抽电耗'!$A$3:$A$95&gt;=$B$1)*('6烧主抽电耗'!$A$3:$A$95&lt;=$D$1)*('6烧主抽电耗'!$F$3:$F$95=$N19)*('6烧主抽电耗'!$Q$3:$Q$95&gt;$R$18))</f>
        <v>7</v>
      </c>
      <c r="S19" s="43">
        <f>(O19-Q19-R19)/O19</f>
        <v>0</v>
      </c>
      <c r="T19" s="41" t="e">
        <f>SUMPRODUCT(('6烧主抽电耗'!$A$3:$A$95&gt;=$B$1)*('6烧主抽电耗'!$A$3:$A$95&lt;=$D$1)*('6烧主抽电耗'!$F$3:$F$95=$A19),'6烧主抽电耗'!$S$3:$S$95)/SUMPRODUCT(('6烧主抽电耗'!$A$3:$A$95&gt;=$B$1)*('6烧主抽电耗'!$A$3:$A$95&lt;=$D$1)*('6烧主抽电耗'!$F$3:$F$95=$A19)*('6烧主抽电耗'!$S$3:$S$95&lt;&gt;0))</f>
        <v>#DIV/0!</v>
      </c>
      <c r="U19" s="28">
        <f>SUMPRODUCT(('6烧主抽电耗'!$A$3:$A$95&gt;=$B$1)*('6烧主抽电耗'!$A$3:$A$95&lt;=$D$1)*('6烧主抽电耗'!$F$3:$F$95=$N19)*('6烧主抽电耗'!$S$3:$S$95&lt;$U$18))</f>
        <v>0</v>
      </c>
      <c r="V19" s="28">
        <f>SUMPRODUCT(('6烧主抽电耗'!$A$3:$A$95&gt;=$B$1)*('6烧主抽电耗'!$A$3:$A$95&lt;=$D$1)*('6烧主抽电耗'!$F$3:$F$95=$N19)*('6烧主抽电耗'!$S$3:$S$95&gt;$V$18))</f>
        <v>7</v>
      </c>
      <c r="W19" s="43">
        <f>(O19-U19-V19)/O19</f>
        <v>0</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18.75">
      <c r="A20" s="29" t="s">
        <v>236</v>
      </c>
      <c r="B20" s="28">
        <f>SUMPRODUCT(('5烧主抽电耗'!$A$3:$A$95&gt;=$B$1)*('5烧主抽电耗'!$A$3:$A$95&lt;=$D$1)*('5烧主抽电耗'!$F$3:$F$95=$A20)*('5烧主抽电耗'!$Q$3:$Q$95&lt;&gt;""))</f>
        <v>8</v>
      </c>
      <c r="C20" s="41" t="e">
        <f>SUMPRODUCT(('5烧主抽电耗'!$A$3:$A$95&gt;=$B$1)*('5烧主抽电耗'!$A$3:$A$95&lt;=$D$1)*('5烧主抽电耗'!$F$3:$F$95=$A20),'5烧主抽电耗'!$Q$3:$Q$95)/SUMPRODUCT(('5烧主抽电耗'!$A$3:$A$95&gt;=$B$1)*('5烧主抽电耗'!$A$3:$A$95&lt;=$D$1)*('5烧主抽电耗'!$F$3:$F$95=$A20)*('5烧主抽电耗'!$Q$3:$Q$95&lt;&gt;0))</f>
        <v>#DIV/0!</v>
      </c>
      <c r="D20" s="42">
        <f>SUMPRODUCT(('5烧主抽电耗'!$A$3:$A$95&gt;=$B$1)*('5烧主抽电耗'!$A$3:$A$95&lt;=$D$1)*('5烧主抽电耗'!$F$3:$F$95=$A20)*('5烧主抽电耗'!$Q$3:$Q$95&lt;$D$18))</f>
        <v>0</v>
      </c>
      <c r="E20" s="28">
        <f>SUMPRODUCT(('5烧主抽电耗'!$A$3:$A$95&gt;=$B$1)*('5烧主抽电耗'!$A$3:$A$95&lt;=$D$1)*('5烧主抽电耗'!$F$3:$F$95=$A20)*('5烧主抽电耗'!$Q$3:$Q$95&gt;$E$18))</f>
        <v>8</v>
      </c>
      <c r="F20" s="43">
        <f>(B20-D20-E20)/B20</f>
        <v>0</v>
      </c>
      <c r="G20" s="41" t="e">
        <f>SUMPRODUCT(('5烧主抽电耗'!$A$3:$A$95&gt;=$B$1)*('5烧主抽电耗'!$A$3:$A$95&lt;=$D$1)*('5烧主抽电耗'!$F$3:$F$95=$A20),'5烧主抽电耗'!$S$3:$S$95)/SUMPRODUCT(('5烧主抽电耗'!$A$3:$A$95&gt;=$B$1)*('5烧主抽电耗'!$A$3:$A$95&lt;=$D$1)*('5烧主抽电耗'!$F$3:$F$95=$A20)*('5烧主抽电耗'!$S$3:$S$95&lt;&gt;0))</f>
        <v>#DIV/0!</v>
      </c>
      <c r="H20" s="28">
        <f>SUMPRODUCT(('5烧主抽电耗'!$A$3:$A$95&gt;=$B$1)*('5烧主抽电耗'!$A$3:$A$95&lt;=$D$1)*('5烧主抽电耗'!$F$3:$F$95=$A20)*('5烧主抽电耗'!$S$3:$S$95&lt;$H$18))</f>
        <v>0</v>
      </c>
      <c r="I20" s="28">
        <f>SUMPRODUCT(('5烧主抽电耗'!$A$3:$A$95&gt;=$B$1)*('5烧主抽电耗'!$A$3:$A$95&lt;=$D$1)*('5烧主抽电耗'!$F$3:$F$95=$A20)*('5烧主抽电耗'!$S$3:$S$95&gt;$I$18))</f>
        <v>8</v>
      </c>
      <c r="J20" s="64">
        <f>(B20-H20-I20)/B20</f>
        <v>0</v>
      </c>
      <c r="K20" s="65"/>
      <c r="L20" s="66"/>
      <c r="N20" s="58" t="s">
        <v>236</v>
      </c>
      <c r="O20" s="28">
        <f>SUMPRODUCT(('6烧主抽电耗'!$A$3:$A$95&gt;=$B$1)*('6烧主抽电耗'!$A$3:$A$95&lt;=$D$1)*('6烧主抽电耗'!$F$3:$F$95=$N20)*('6烧主抽电耗'!$Q$3:$Q$95&lt;&gt;""))</f>
        <v>8</v>
      </c>
      <c r="P20" s="41" t="e">
        <f>SUMPRODUCT(('6烧主抽电耗'!$A$3:$A$95&gt;=$B$1)*('6烧主抽电耗'!$A$3:$A$95&lt;=$D$1)*('6烧主抽电耗'!$F$3:$F$95=$A20),'6烧主抽电耗'!$Q$3:$Q$95)/SUMPRODUCT(('6烧主抽电耗'!$A$3:$A$95&gt;=$B$1)*('6烧主抽电耗'!$A$3:$A$95&lt;=$D$1)*('6烧主抽电耗'!$F$3:$F$95=$A20)*('6烧主抽电耗'!$Q$3:$Q$95&lt;&gt;0))</f>
        <v>#DIV/0!</v>
      </c>
      <c r="Q20" s="42">
        <f>SUMPRODUCT(('6烧主抽电耗'!$A$3:$A$95&gt;=$B$1)*('6烧主抽电耗'!$A$3:$A$95&lt;=$D$1)*('6烧主抽电耗'!$F$3:$F$95=$N20)*('6烧主抽电耗'!$Q$3:$Q$95&lt;$Q$18))</f>
        <v>0</v>
      </c>
      <c r="R20" s="28">
        <f>SUMPRODUCT(('6烧主抽电耗'!$A$3:$A$95&gt;=$B$1)*('6烧主抽电耗'!$A$3:$A$95&lt;=$D$1)*('6烧主抽电耗'!$F$3:$F$95=$N20)*('6烧主抽电耗'!$Q$3:$Q$95&gt;$R$18))</f>
        <v>8</v>
      </c>
      <c r="S20" s="43">
        <f>(O20-Q20-R20)/O20</f>
        <v>0</v>
      </c>
      <c r="T20" s="41" t="e">
        <f>SUMPRODUCT(('6烧主抽电耗'!$A$3:$A$95&gt;=$B$1)*('6烧主抽电耗'!$A$3:$A$95&lt;=$D$1)*('6烧主抽电耗'!$F$3:$F$95=$A20),'6烧主抽电耗'!$S$3:$S$95)/SUMPRODUCT(('6烧主抽电耗'!$A$3:$A$95&gt;=$B$1)*('6烧主抽电耗'!$A$3:$A$95&lt;=$D$1)*('6烧主抽电耗'!$F$3:$F$95=$A20)*('6烧主抽电耗'!$S$3:$S$95&lt;&gt;0))</f>
        <v>#DIV/0!</v>
      </c>
      <c r="U20" s="28">
        <f>SUMPRODUCT(('6烧主抽电耗'!$A$3:$A$95&gt;=$B$1)*('6烧主抽电耗'!$A$3:$A$95&lt;=$D$1)*('6烧主抽电耗'!$F$3:$F$95=$N20)*('6烧主抽电耗'!$S$3:$S$95&lt;$U$18))</f>
        <v>0</v>
      </c>
      <c r="V20" s="28">
        <f>SUMPRODUCT(('6烧主抽电耗'!$A$3:$A$95&gt;=$B$1)*('6烧主抽电耗'!$A$3:$A$95&lt;=$D$1)*('6烧主抽电耗'!$F$3:$F$95=$N20)*('6烧主抽电耗'!$S$3:$S$95&gt;$V$18))</f>
        <v>8</v>
      </c>
      <c r="W20" s="43">
        <f>(O20-U20-V20)/O20</f>
        <v>0</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18.75">
      <c r="A21" s="29" t="s">
        <v>64</v>
      </c>
      <c r="B21" s="28">
        <f>SUMPRODUCT(('5烧主抽电耗'!$A$3:$A$95&gt;=$B$1)*('5烧主抽电耗'!$A$3:$A$95&lt;=$D$1)*('5烧主抽电耗'!$F$3:$F$95=$A21)*('5烧主抽电耗'!$Q$3:$Q$95&lt;&gt;""))</f>
        <v>8</v>
      </c>
      <c r="C21" s="41" t="e">
        <f>SUMPRODUCT(('5烧主抽电耗'!$A$3:$A$95&gt;=$B$1)*('5烧主抽电耗'!$A$3:$A$95&lt;=$D$1)*('5烧主抽电耗'!$F$3:$F$95=$A21),'5烧主抽电耗'!$Q$3:$Q$95)/SUMPRODUCT(('5烧主抽电耗'!$A$3:$A$95&gt;=$B$1)*('5烧主抽电耗'!$A$3:$A$95&lt;=$D$1)*('5烧主抽电耗'!$F$3:$F$95=$A21)*('5烧主抽电耗'!$Q$3:$Q$95&lt;&gt;0))</f>
        <v>#DIV/0!</v>
      </c>
      <c r="D21" s="42">
        <f>SUMPRODUCT(('5烧主抽电耗'!$A$3:$A$95&gt;=$B$1)*('5烧主抽电耗'!$A$3:$A$95&lt;=$D$1)*('5烧主抽电耗'!$F$3:$F$95=$A21)*('5烧主抽电耗'!$Q$3:$Q$95&lt;$D$18))</f>
        <v>0</v>
      </c>
      <c r="E21" s="28">
        <f>SUMPRODUCT(('5烧主抽电耗'!$A$3:$A$95&gt;=$B$1)*('5烧主抽电耗'!$A$3:$A$95&lt;=$D$1)*('5烧主抽电耗'!$F$3:$F$95=$A21)*('5烧主抽电耗'!$Q$3:$Q$95&gt;$E$18))</f>
        <v>8</v>
      </c>
      <c r="F21" s="43">
        <f>(B21-D21-E21)/B21</f>
        <v>0</v>
      </c>
      <c r="G21" s="41" t="e">
        <f>SUMPRODUCT(('5烧主抽电耗'!$A$3:$A$95&gt;=$B$1)*('5烧主抽电耗'!$A$3:$A$95&lt;=$D$1)*('5烧主抽电耗'!$F$3:$F$95=$A21),'5烧主抽电耗'!$S$3:$S$95)/SUMPRODUCT(('5烧主抽电耗'!$A$3:$A$95&gt;=$B$1)*('5烧主抽电耗'!$A$3:$A$95&lt;=$D$1)*('5烧主抽电耗'!$F$3:$F$95=$A21)*('5烧主抽电耗'!$S$3:$S$95&lt;&gt;0))</f>
        <v>#DIV/0!</v>
      </c>
      <c r="H21" s="28">
        <f>SUMPRODUCT(('5烧主抽电耗'!$A$3:$A$95&gt;=$B$1)*('5烧主抽电耗'!$A$3:$A$95&lt;=$D$1)*('5烧主抽电耗'!$F$3:$F$95=$A21)*('5烧主抽电耗'!$S$3:$S$95&lt;$H$18))</f>
        <v>0</v>
      </c>
      <c r="I21" s="28">
        <f>SUMPRODUCT(('5烧主抽电耗'!$A$3:$A$95&gt;=$B$1)*('5烧主抽电耗'!$A$3:$A$95&lt;=$D$1)*('5烧主抽电耗'!$F$3:$F$95=$A21)*('5烧主抽电耗'!$S$3:$S$95&gt;$I$18))</f>
        <v>8</v>
      </c>
      <c r="J21" s="64">
        <f>(B21-H21-I21)/B21</f>
        <v>0</v>
      </c>
      <c r="K21" s="65"/>
      <c r="L21" s="66"/>
      <c r="N21" s="58" t="s">
        <v>64</v>
      </c>
      <c r="O21" s="28">
        <f>SUMPRODUCT(('6烧主抽电耗'!$A$3:$A$95&gt;=$B$1)*('6烧主抽电耗'!$A$3:$A$95&lt;=$D$1)*('6烧主抽电耗'!$F$3:$F$95=$N21)*('6烧主抽电耗'!$Q$3:$Q$95&lt;&gt;""))</f>
        <v>8</v>
      </c>
      <c r="P21" s="41" t="e">
        <f>SUMPRODUCT(('6烧主抽电耗'!$A$3:$A$95&gt;=$B$1)*('6烧主抽电耗'!$A$3:$A$95&lt;=$D$1)*('6烧主抽电耗'!$F$3:$F$95=$A21),'6烧主抽电耗'!$Q$3:$Q$95)/SUMPRODUCT(('6烧主抽电耗'!$A$3:$A$95&gt;=$B$1)*('6烧主抽电耗'!$A$3:$A$95&lt;=$D$1)*('6烧主抽电耗'!$F$3:$F$95=$A21)*('6烧主抽电耗'!$Q$3:$Q$95&lt;&gt;0))</f>
        <v>#DIV/0!</v>
      </c>
      <c r="Q21" s="42">
        <f>SUMPRODUCT(('6烧主抽电耗'!$A$3:$A$95&gt;=$B$1)*('6烧主抽电耗'!$A$3:$A$95&lt;=$D$1)*('6烧主抽电耗'!$F$3:$F$95=$N21)*('6烧主抽电耗'!$Q$3:$Q$95&lt;$Q$18))</f>
        <v>0</v>
      </c>
      <c r="R21" s="28">
        <f>SUMPRODUCT(('6烧主抽电耗'!$A$3:$A$95&gt;=$B$1)*('6烧主抽电耗'!$A$3:$A$95&lt;=$D$1)*('6烧主抽电耗'!$F$3:$F$95=$N21)*('6烧主抽电耗'!$Q$3:$Q$95&gt;$R$18))</f>
        <v>8</v>
      </c>
      <c r="S21" s="43">
        <f>(O21-Q21-R21)/O21</f>
        <v>0</v>
      </c>
      <c r="T21" s="41" t="e">
        <f>SUMPRODUCT(('6烧主抽电耗'!$A$3:$A$95&gt;=$B$1)*('6烧主抽电耗'!$A$3:$A$95&lt;=$D$1)*('6烧主抽电耗'!$F$3:$F$95=$A21),'6烧主抽电耗'!$S$3:$S$95)/SUMPRODUCT(('6烧主抽电耗'!$A$3:$A$95&gt;=$B$1)*('6烧主抽电耗'!$A$3:$A$95&lt;=$D$1)*('6烧主抽电耗'!$F$3:$F$95=$A21)*('6烧主抽电耗'!$S$3:$S$95&lt;&gt;0))</f>
        <v>#DIV/0!</v>
      </c>
      <c r="U21" s="28">
        <f>SUMPRODUCT(('6烧主抽电耗'!$A$3:$A$95&gt;=$B$1)*('6烧主抽电耗'!$A$3:$A$95&lt;=$D$1)*('6烧主抽电耗'!$F$3:$F$95=$N21)*('6烧主抽电耗'!$S$3:$S$95&lt;$U$18))</f>
        <v>0</v>
      </c>
      <c r="V21" s="28">
        <f>SUMPRODUCT(('6烧主抽电耗'!$A$3:$A$95&gt;=$B$1)*('6烧主抽电耗'!$A$3:$A$95&lt;=$D$1)*('6烧主抽电耗'!$F$3:$F$95=$N21)*('6烧主抽电耗'!$S$3:$S$95&gt;$V$18))</f>
        <v>8</v>
      </c>
      <c r="W21" s="43">
        <f>(O21-U21-V21)/O21</f>
        <v>0</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18.75">
      <c r="A22" s="29" t="s">
        <v>63</v>
      </c>
      <c r="B22" s="28">
        <f>SUMPRODUCT(('5烧主抽电耗'!$A$3:$A$95&gt;=$B$1)*('5烧主抽电耗'!$A$3:$A$95&lt;=$D$1)*('5烧主抽电耗'!$F$3:$F$95=$A22)*('5烧主抽电耗'!$Q$3:$Q$95&lt;&gt;""))</f>
        <v>7</v>
      </c>
      <c r="C22" s="41" t="e">
        <f>SUMPRODUCT(('5烧主抽电耗'!$A$3:$A$95&gt;=$B$1)*('5烧主抽电耗'!$A$3:$A$95&lt;=$D$1)*('5烧主抽电耗'!$F$3:$F$95=$A22),'5烧主抽电耗'!$Q$3:$Q$95)/SUMPRODUCT(('5烧主抽电耗'!$A$3:$A$95&gt;=$B$1)*('5烧主抽电耗'!$A$3:$A$95&lt;=$D$1)*('5烧主抽电耗'!$F$3:$F$95=$A22)*('5烧主抽电耗'!$Q$3:$Q$95&lt;&gt;0))</f>
        <v>#DIV/0!</v>
      </c>
      <c r="D22" s="42">
        <f>SUMPRODUCT(('5烧主抽电耗'!$A$3:$A$95&gt;=$B$1)*('5烧主抽电耗'!$A$3:$A$95&lt;=$D$1)*('5烧主抽电耗'!$F$3:$F$95=$A22)*('5烧主抽电耗'!$Q$3:$Q$95&lt;$D$18))</f>
        <v>0</v>
      </c>
      <c r="E22" s="28">
        <f>SUMPRODUCT(('5烧主抽电耗'!$A$3:$A$95&gt;=$B$1)*('5烧主抽电耗'!$A$3:$A$95&lt;=$D$1)*('5烧主抽电耗'!$F$3:$F$95=$A22)*('5烧主抽电耗'!$Q$3:$Q$95&gt;$E$18))</f>
        <v>7</v>
      </c>
      <c r="F22" s="43">
        <f>(B22-D22-E22)/B22</f>
        <v>0</v>
      </c>
      <c r="G22" s="41" t="e">
        <f>SUMPRODUCT(('5烧主抽电耗'!$A$3:$A$95&gt;=$B$1)*('5烧主抽电耗'!$A$3:$A$95&lt;=$D$1)*('5烧主抽电耗'!$F$3:$F$95=$A22),'5烧主抽电耗'!$S$3:$S$95)/SUMPRODUCT(('5烧主抽电耗'!$A$3:$A$95&gt;=$B$1)*('5烧主抽电耗'!$A$3:$A$95&lt;=$D$1)*('5烧主抽电耗'!$F$3:$F$95=$A22)*('5烧主抽电耗'!$S$3:$S$95&lt;&gt;0))</f>
        <v>#DIV/0!</v>
      </c>
      <c r="H22" s="28">
        <f>SUMPRODUCT(('5烧主抽电耗'!$A$3:$A$95&gt;=$B$1)*('5烧主抽电耗'!$A$3:$A$95&lt;=$D$1)*('5烧主抽电耗'!$F$3:$F$95=$A22)*('5烧主抽电耗'!$S$3:$S$95&lt;$H$18))</f>
        <v>0</v>
      </c>
      <c r="I22" s="28">
        <f>SUMPRODUCT(('5烧主抽电耗'!$A$3:$A$95&gt;=$B$1)*('5烧主抽电耗'!$A$3:$A$95&lt;=$D$1)*('5烧主抽电耗'!$F$3:$F$95=$A22)*('5烧主抽电耗'!$S$3:$S$95&gt;$I$18))</f>
        <v>7</v>
      </c>
      <c r="J22" s="64">
        <f>(B22-H22-I22)/B22</f>
        <v>0</v>
      </c>
      <c r="K22" s="65"/>
      <c r="L22" s="66"/>
      <c r="N22" s="58" t="s">
        <v>63</v>
      </c>
      <c r="O22" s="28">
        <f>SUMPRODUCT(('6烧主抽电耗'!$A$3:$A$95&gt;=$B$1)*('6烧主抽电耗'!$A$3:$A$95&lt;=$D$1)*('6烧主抽电耗'!$F$3:$F$95=$N22)*('6烧主抽电耗'!$Q$3:$Q$95&lt;&gt;""))</f>
        <v>7</v>
      </c>
      <c r="P22" s="41" t="e">
        <f>SUMPRODUCT(('6烧主抽电耗'!$A$3:$A$95&gt;=$B$1)*('6烧主抽电耗'!$A$3:$A$95&lt;=$D$1)*('6烧主抽电耗'!$F$3:$F$95=$A22),'6烧主抽电耗'!$Q$3:$Q$95)/SUMPRODUCT(('6烧主抽电耗'!$A$3:$A$95&gt;=$B$1)*('6烧主抽电耗'!$A$3:$A$95&lt;=$D$1)*('6烧主抽电耗'!$F$3:$F$95=$A22)*('6烧主抽电耗'!$Q$3:$Q$95&lt;&gt;0))</f>
        <v>#DIV/0!</v>
      </c>
      <c r="Q22" s="42">
        <f>SUMPRODUCT(('6烧主抽电耗'!$A$3:$A$95&gt;=$B$1)*('6烧主抽电耗'!$A$3:$A$95&lt;=$D$1)*('6烧主抽电耗'!$F$3:$F$95=$N22)*('6烧主抽电耗'!$Q$3:$Q$95&lt;$Q$18))</f>
        <v>0</v>
      </c>
      <c r="R22" s="28">
        <f>SUMPRODUCT(('6烧主抽电耗'!$A$3:$A$95&gt;=$B$1)*('6烧主抽电耗'!$A$3:$A$95&lt;=$D$1)*('6烧主抽电耗'!$F$3:$F$95=$N22)*('6烧主抽电耗'!$Q$3:$Q$95&gt;$R$18))</f>
        <v>7</v>
      </c>
      <c r="S22" s="43">
        <f>(O22-Q22-R22)/O22</f>
        <v>0</v>
      </c>
      <c r="T22" s="41" t="e">
        <f>SUMPRODUCT(('6烧主抽电耗'!$A$3:$A$95&gt;=$B$1)*('6烧主抽电耗'!$A$3:$A$95&lt;=$D$1)*('6烧主抽电耗'!$F$3:$F$95=$A22),'6烧主抽电耗'!$S$3:$S$95)/SUMPRODUCT(('6烧主抽电耗'!$A$3:$A$95&gt;=$B$1)*('6烧主抽电耗'!$A$3:$A$95&lt;=$D$1)*('6烧主抽电耗'!$F$3:$F$95=$A22)*('6烧主抽电耗'!$S$3:$S$95&lt;&gt;0))</f>
        <v>#DIV/0!</v>
      </c>
      <c r="U22" s="28">
        <f>SUMPRODUCT(('6烧主抽电耗'!$A$3:$A$95&gt;=$B$1)*('6烧主抽电耗'!$A$3:$A$95&lt;=$D$1)*('6烧主抽电耗'!$F$3:$F$95=$N22)*('6烧主抽电耗'!$S$3:$S$95&lt;$U$18))</f>
        <v>0</v>
      </c>
      <c r="V22" s="28">
        <f>SUMPRODUCT(('6烧主抽电耗'!$A$3:$A$95&gt;=$B$1)*('6烧主抽电耗'!$A$3:$A$95&lt;=$D$1)*('6烧主抽电耗'!$F$3:$F$95=$N22)*('6烧主抽电耗'!$S$3:$S$95&gt;$V$18))</f>
        <v>7</v>
      </c>
      <c r="W22" s="43">
        <f>(O22-U22-V22)/O22</f>
        <v>0</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18.75">
      <c r="A23" s="34" t="s">
        <v>232</v>
      </c>
      <c r="B23" s="28">
        <f>SUM(B19:B22)</f>
        <v>30</v>
      </c>
      <c r="C23" s="41" t="e">
        <f>SUMPRODUCT(('5烧主抽电耗'!$A$3:$A$95&gt;=$B$1)*('5烧主抽电耗'!$A$3:$A$95&lt;=$D$1),'5烧主抽电耗'!$Q$3:$Q$95)/SUMPRODUCT(('5烧主抽电耗'!$A$3:$A$95&gt;=$B$1)*('5烧主抽电耗'!$A$3:$A$95&lt;=$D$1)*('5烧主抽电耗'!$Q$3:$Q$95&lt;&gt;0))</f>
        <v>#DIV/0!</v>
      </c>
      <c r="D23" s="28">
        <f t="shared" ref="D23:I23" si="0">SUM(D19:D22)</f>
        <v>0</v>
      </c>
      <c r="E23" s="28">
        <f t="shared" si="0"/>
        <v>30</v>
      </c>
      <c r="F23" s="43">
        <f>(B23-D23-E23)/B23</f>
        <v>0</v>
      </c>
      <c r="G23" s="41" t="e">
        <f>SUMPRODUCT(('5烧主抽电耗'!$A$3:$A$95&gt;=$B$1)*('5烧主抽电耗'!$A$3:$A$95&lt;=$D$1),'5烧主抽电耗'!$S$3:$S$95)/SUMPRODUCT(('5烧主抽电耗'!$A$3:$A$95&gt;=$B$1)*('5烧主抽电耗'!$A$3:$A$95&lt;=$D$1)*('5烧主抽电耗'!$S$3:$S$95&lt;&gt;0))</f>
        <v>#DIV/0!</v>
      </c>
      <c r="H23" s="28">
        <f t="shared" si="0"/>
        <v>0</v>
      </c>
      <c r="I23" s="28">
        <f t="shared" si="0"/>
        <v>30</v>
      </c>
      <c r="J23" s="64">
        <f>(B23-H23-I23)/B23</f>
        <v>0</v>
      </c>
      <c r="K23" s="65"/>
      <c r="L23" s="66"/>
      <c r="N23" s="61" t="s">
        <v>232</v>
      </c>
      <c r="O23" s="28">
        <f>SUM(O19:O22)</f>
        <v>30</v>
      </c>
      <c r="P23" s="41" t="e">
        <f>SUMPRODUCT(('6烧主抽电耗'!$A$3:$A$95&gt;=$B$1)*('6烧主抽电耗'!$A$3:$A$95&lt;=$D$1),'6烧主抽电耗'!$Q$3:$Q$95)/SUMPRODUCT(('6烧主抽电耗'!$A$3:$A$95&gt;=$B$1)*('6烧主抽电耗'!$A$3:$A$95&lt;=$D$1)*('6烧主抽电耗'!$Q$3:$Q$95&lt;&gt;0))</f>
        <v>#DIV/0!</v>
      </c>
      <c r="Q23" s="28">
        <f>SUM(Q19:Q22)</f>
        <v>0</v>
      </c>
      <c r="R23" s="28">
        <f>SUM(R19:R22)</f>
        <v>30</v>
      </c>
      <c r="S23" s="43">
        <f>(O23-Q23-R23)/O23</f>
        <v>0</v>
      </c>
      <c r="T23" s="41" t="e">
        <f>SUMPRODUCT(('6烧主抽电耗'!$A$3:$A$95&gt;=$B$1)*('6烧主抽电耗'!$A$3:$A$95&lt;=$D$1),'6烧主抽电耗'!$S$3:$S$95)/SUMPRODUCT(('6烧主抽电耗'!$A$3:$A$95&gt;=$B$1)*('6烧主抽电耗'!$A$3:$A$95&lt;=$D$1)*('6烧主抽电耗'!$S$3:$S$95&lt;&gt;0))</f>
        <v>#DIV/0!</v>
      </c>
      <c r="U23" s="28">
        <f>SUM(U19:U22)</f>
        <v>0</v>
      </c>
      <c r="V23" s="28">
        <f>SUM(V19:V22)</f>
        <v>30</v>
      </c>
      <c r="W23" s="43">
        <f>(O23-U23-V23)/O23</f>
        <v>0</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21" customHeight="1">
      <c r="A24" s="45"/>
      <c r="B24" s="45"/>
      <c r="C24" s="45"/>
      <c r="D24" s="45"/>
      <c r="E24" s="45"/>
      <c r="F24" s="45"/>
      <c r="G24" s="45"/>
      <c r="H24" s="45"/>
      <c r="I24" s="45"/>
      <c r="J24" s="45"/>
      <c r="N24" s="45"/>
      <c r="O24" s="45"/>
      <c r="P24" s="45"/>
      <c r="Q24" s="45"/>
      <c r="R24" s="45"/>
      <c r="S24" s="45"/>
      <c r="T24" s="45"/>
      <c r="U24" s="45"/>
    </row>
    <row r="25" spans="1:256" ht="25.5" customHeight="1">
      <c r="A25" s="20" t="s">
        <v>224</v>
      </c>
      <c r="B25" s="28"/>
      <c r="C25" s="381" t="s">
        <v>248</v>
      </c>
      <c r="D25" s="381"/>
      <c r="E25" s="381"/>
      <c r="F25" s="381" t="s">
        <v>249</v>
      </c>
      <c r="G25" s="381"/>
      <c r="H25" s="381"/>
      <c r="I25" s="45"/>
      <c r="J25" s="45"/>
      <c r="N25" s="52" t="s">
        <v>229</v>
      </c>
      <c r="O25" s="28"/>
      <c r="P25" s="381" t="s">
        <v>248</v>
      </c>
      <c r="Q25" s="381"/>
      <c r="R25" s="381"/>
      <c r="S25" s="381" t="s">
        <v>249</v>
      </c>
      <c r="T25" s="381"/>
      <c r="U25" s="381"/>
    </row>
    <row r="26" spans="1:256" ht="32.25" customHeight="1">
      <c r="A26" s="37" t="s">
        <v>8</v>
      </c>
      <c r="B26" s="26" t="s">
        <v>243</v>
      </c>
      <c r="C26" s="28" t="s">
        <v>244</v>
      </c>
      <c r="D26" s="38">
        <v>500</v>
      </c>
      <c r="E26" s="21" t="s">
        <v>245</v>
      </c>
      <c r="F26" s="28" t="s">
        <v>244</v>
      </c>
      <c r="G26" s="38">
        <v>500</v>
      </c>
      <c r="H26" s="21" t="s">
        <v>245</v>
      </c>
      <c r="I26" s="45"/>
      <c r="J26" s="45"/>
      <c r="N26" s="62" t="s">
        <v>8</v>
      </c>
      <c r="O26" s="26" t="s">
        <v>243</v>
      </c>
      <c r="P26" s="28" t="s">
        <v>244</v>
      </c>
      <c r="Q26" s="38">
        <v>500</v>
      </c>
      <c r="R26" s="21" t="s">
        <v>245</v>
      </c>
      <c r="S26" s="28" t="s">
        <v>244</v>
      </c>
      <c r="T26" s="38">
        <v>500</v>
      </c>
      <c r="U26" s="21" t="s">
        <v>245</v>
      </c>
    </row>
    <row r="27" spans="1:256" ht="18.75">
      <c r="A27" s="29" t="s">
        <v>235</v>
      </c>
      <c r="B27" s="28">
        <f>SUMPRODUCT(('5烧主抽电耗'!$A$3:$A$95&gt;=$B$1)*('5烧主抽电耗'!$A$3:$A$95&lt;=$D$1)*('5烧主抽电耗'!$F$3:$F$95=$A27)*('5烧主抽电耗'!$AA$3:$AA$95&lt;&gt;""))</f>
        <v>0</v>
      </c>
      <c r="C27" s="47">
        <f>SUMPRODUCT(('5烧主抽电耗'!$A$3:$A$95&gt;=$B$1)*('5烧主抽电耗'!$A$3:$A$95&lt;=$D$1)*('5烧主抽电耗'!$F$3:$F$95=$A11),'5烧主抽电耗'!$AA$3:$AA$95)/SUMPRODUCT(('5烧主抽电耗'!$A$3:$A$95&gt;=$B$1)*('5烧主抽电耗'!$A$3:$A$95&lt;=$D$1)*('5烧主抽电耗'!$F$3:$F$95=$A11)*('5烧主抽电耗'!$AA$3:$AA$95&lt;&gt;0))</f>
        <v>0</v>
      </c>
      <c r="D27" s="28">
        <f>SUMPRODUCT(('5烧主抽电耗'!$A$3:$A$95&gt;=$B$1)*('5烧主抽电耗'!$A$3:$A$95&lt;=$D$1)*('5烧主抽电耗'!$F$3:$F$95=$A11)*('5烧主抽电耗'!$AA$3:$AA$95&lt;$D$26))</f>
        <v>0</v>
      </c>
      <c r="E27" s="43" t="e">
        <f>D27/B27</f>
        <v>#DIV/0!</v>
      </c>
      <c r="F27" s="47">
        <f>SUMPRODUCT(('5烧主抽电耗'!$A$3:$A$95&gt;=$B$1)*('5烧主抽电耗'!$A$3:$A$95&lt;=$D$1)*('5烧主抽电耗'!$F$3:$F$95=$A11),'5烧主抽电耗'!$AB$3:$AB$95)/SUMPRODUCT(('5烧主抽电耗'!$A$3:$A$95&gt;=$B$1)*('5烧主抽电耗'!$A$3:$A$95&lt;=$D$1)*('5烧主抽电耗'!$F$3:$F$95=$A11)*('5烧主抽电耗'!$AB$3:$AB$95&lt;&gt;0))</f>
        <v>0</v>
      </c>
      <c r="G27" s="28">
        <f>SUMPRODUCT(('5烧主抽电耗'!$A$3:$A$95&gt;=$B$1)*('5烧主抽电耗'!$A$3:$A$95&lt;=$D$1)*('5烧主抽电耗'!$F$3:$F$95=$A11)*('5烧主抽电耗'!$AB$3:$AB$95&lt;$G$26))</f>
        <v>0</v>
      </c>
      <c r="H27" s="43" t="e">
        <f>G27/B27</f>
        <v>#DIV/0!</v>
      </c>
      <c r="I27" s="45"/>
      <c r="J27" s="45"/>
      <c r="N27" s="58" t="s">
        <v>235</v>
      </c>
      <c r="O27" s="28" t="e">
        <f>SUMPRODUCT(('6烧主抽电耗'!$A$3:$A$95&gt;=$B$1)*('6烧主抽电耗'!$A$3:$A$95&lt;=$D$1)*('6烧主抽电耗'!$F$3:$F$95=$N27)*('6烧主抽电耗'!$AA$3:$AA$95&lt;&gt;""))</f>
        <v>#REF!</v>
      </c>
      <c r="P27" s="47" t="e">
        <f>SUMPRODUCT(('6烧主抽电耗'!$A$3:$A$95&gt;=$B$1)*('6烧主抽电耗'!$A$3:$A$95&lt;=$D$1)*('6烧主抽电耗'!$F$3:$F$95=$A11),'6烧主抽电耗'!$AA$3:$AA$95)/SUMPRODUCT(('6烧主抽电耗'!$A$3:$A$95&gt;=$B$1)*('6烧主抽电耗'!$A$3:$A$95&lt;=$D$1)*('6烧主抽电耗'!$F$3:$F$95=$A11)*('6烧主抽电耗'!$AA$3:$AA$95&lt;&gt;0))</f>
        <v>#REF!</v>
      </c>
      <c r="Q27" s="28" t="e">
        <f>SUMPRODUCT(('6烧主抽电耗'!$A$3:$A$95&gt;=$B$1)*('6烧主抽电耗'!$A$3:$A$95&lt;=$D$1)*('6烧主抽电耗'!$F$3:$F$95=$N11)*('6烧主抽电耗'!$AA$3:$AA$95&lt;$Q$26))</f>
        <v>#REF!</v>
      </c>
      <c r="R27" s="43" t="e">
        <f>Q27/O27</f>
        <v>#REF!</v>
      </c>
      <c r="S27" s="47" t="e">
        <f>SUMPRODUCT(('6烧主抽电耗'!$A$3:$A$95&gt;=$B$1)*('6烧主抽电耗'!$A$3:$A$95&lt;=$D$1)*('6烧主抽电耗'!$F$3:$F$95=$A11),'6烧主抽电耗'!$AB$3:$AB$95)/SUMPRODUCT(('6烧主抽电耗'!$A$3:$A$95&gt;=$B$1)*('6烧主抽电耗'!$A$3:$A$95&lt;=$D$1)*('6烧主抽电耗'!$F$3:$F$95=$A11)*('6烧主抽电耗'!$AB$3:$AB$95&lt;&gt;0))</f>
        <v>#REF!</v>
      </c>
      <c r="T27" s="28" t="e">
        <f>SUMPRODUCT(('6烧主抽电耗'!$A$3:$A$95&gt;=$B$1)*('6烧主抽电耗'!$A$3:$A$95&lt;=$D$1)*('6烧主抽电耗'!$F$3:$F$95=$N11)*('6烧主抽电耗'!$AB$3:$AB$95&lt;$T$26))</f>
        <v>#REF!</v>
      </c>
      <c r="U27" s="43" t="e">
        <f>T27/O27</f>
        <v>#REF!</v>
      </c>
    </row>
    <row r="28" spans="1:256" ht="18.75">
      <c r="A28" s="29" t="s">
        <v>236</v>
      </c>
      <c r="B28" s="28">
        <f>B12</f>
        <v>0</v>
      </c>
      <c r="C28" s="47">
        <f>SUMPRODUCT(('5烧主抽电耗'!$A$3:$A$95&gt;=$B$1)*('5烧主抽电耗'!$A$3:$A$95&lt;=$D$1)*('5烧主抽电耗'!$F$3:$F$95=$A12),'5烧主抽电耗'!$AA$3:$AA$95)/SUMPRODUCT(('5烧主抽电耗'!$A$3:$A$95&gt;=$B$1)*('5烧主抽电耗'!$A$3:$A$95&lt;=$D$1)*('5烧主抽电耗'!$F$3:$F$95=$A12)*('5烧主抽电耗'!$AA$3:$AA$95&lt;&gt;0))</f>
        <v>0</v>
      </c>
      <c r="D28" s="28">
        <f>SUMPRODUCT(('5烧主抽电耗'!$A$3:$A$95&gt;=$B$1)*('5烧主抽电耗'!$A$3:$A$95&lt;=$D$1)*('5烧主抽电耗'!$F$3:$F$95=$A12)*('5烧主抽电耗'!$AA$3:$AA$95&lt;$D$26))</f>
        <v>0</v>
      </c>
      <c r="E28" s="43" t="e">
        <f>D28/B28</f>
        <v>#DIV/0!</v>
      </c>
      <c r="F28" s="47">
        <f>SUMPRODUCT(('5烧主抽电耗'!$A$3:$A$95&gt;=$B$1)*('5烧主抽电耗'!$A$3:$A$95&lt;=$D$1)*('5烧主抽电耗'!$F$3:$F$95=$A12),'5烧主抽电耗'!$AB$3:$AB$95)/SUMPRODUCT(('5烧主抽电耗'!$A$3:$A$95&gt;=$B$1)*('5烧主抽电耗'!$A$3:$A$95&lt;=$D$1)*('5烧主抽电耗'!$F$3:$F$95=$A12)*('5烧主抽电耗'!$AB$3:$AB$95&lt;&gt;0))</f>
        <v>0</v>
      </c>
      <c r="G28" s="28">
        <f>SUMPRODUCT(('5烧主抽电耗'!$A$3:$A$95&gt;=$B$1)*('5烧主抽电耗'!$A$3:$A$95&lt;=$D$1)*('5烧主抽电耗'!$F$3:$F$95=$A12)*('5烧主抽电耗'!$AB$3:$AB$95&lt;$G$26))</f>
        <v>0</v>
      </c>
      <c r="H28" s="43" t="e">
        <f>G28/B28</f>
        <v>#DIV/0!</v>
      </c>
      <c r="I28" s="45"/>
      <c r="J28" s="45"/>
      <c r="N28" s="58" t="s">
        <v>236</v>
      </c>
      <c r="O28" s="28" t="e">
        <f>SUMPRODUCT(('6烧主抽电耗'!$A$3:$A$95&gt;=$B$1)*('6烧主抽电耗'!$A$3:$A$95&lt;=$D$1)*('6烧主抽电耗'!$F$3:$F$95=$N28)*('6烧主抽电耗'!$AA$3:$AA$95&lt;&gt;""))</f>
        <v>#REF!</v>
      </c>
      <c r="P28" s="47" t="e">
        <f>SUMPRODUCT(('6烧主抽电耗'!$A$3:$A$95&gt;=$B$1)*('6烧主抽电耗'!$A$3:$A$95&lt;=$D$1)*('6烧主抽电耗'!$F$3:$F$95=$A12),'6烧主抽电耗'!$AA$3:$AA$95)/SUMPRODUCT(('6烧主抽电耗'!$A$3:$A$95&gt;=$B$1)*('6烧主抽电耗'!$A$3:$A$95&lt;=$D$1)*('6烧主抽电耗'!$F$3:$F$95=$A12)*('6烧主抽电耗'!$AA$3:$AA$95&lt;&gt;0))</f>
        <v>#REF!</v>
      </c>
      <c r="Q28" s="28" t="e">
        <f>SUMPRODUCT(('6烧主抽电耗'!$A$3:$A$95&gt;=$B$1)*('6烧主抽电耗'!$A$3:$A$95&lt;=$D$1)*('6烧主抽电耗'!$F$3:$F$95=$N12)*('6烧主抽电耗'!$AA$3:$AA$95&lt;$Q$26))</f>
        <v>#REF!</v>
      </c>
      <c r="R28" s="43" t="e">
        <f>Q28/O28</f>
        <v>#REF!</v>
      </c>
      <c r="S28" s="47" t="e">
        <f>SUMPRODUCT(('6烧主抽电耗'!$A$3:$A$95&gt;=$B$1)*('6烧主抽电耗'!$A$3:$A$95&lt;=$D$1)*('6烧主抽电耗'!$F$3:$F$95=$A12),'6烧主抽电耗'!$AB$3:$AB$95)/SUMPRODUCT(('6烧主抽电耗'!$A$3:$A$95&gt;=$B$1)*('6烧主抽电耗'!$A$3:$A$95&lt;=$D$1)*('6烧主抽电耗'!$F$3:$F$95=$A12)*('6烧主抽电耗'!$AB$3:$AB$95&lt;&gt;0))</f>
        <v>#REF!</v>
      </c>
      <c r="T28" s="28" t="e">
        <f>SUMPRODUCT(('6烧主抽电耗'!$A$3:$A$95&gt;=$B$1)*('6烧主抽电耗'!$A$3:$A$95&lt;=$D$1)*('6烧主抽电耗'!$F$3:$F$95=$N12)*('6烧主抽电耗'!$AB$3:$AB$95&lt;$T$26))</f>
        <v>#REF!</v>
      </c>
      <c r="U28" s="43" t="e">
        <f>T28/O28</f>
        <v>#REF!</v>
      </c>
    </row>
    <row r="29" spans="1:256" ht="18.75">
      <c r="A29" s="29" t="s">
        <v>64</v>
      </c>
      <c r="B29" s="28">
        <f>B13</f>
        <v>0</v>
      </c>
      <c r="C29" s="47">
        <f>SUMPRODUCT(('5烧主抽电耗'!$A$3:$A$95&gt;=$B$1)*('5烧主抽电耗'!$A$3:$A$95&lt;=$D$1)*('5烧主抽电耗'!$F$3:$F$95=$A13),'5烧主抽电耗'!$AA$3:$AA$95)/SUMPRODUCT(('5烧主抽电耗'!$A$3:$A$95&gt;=$B$1)*('5烧主抽电耗'!$A$3:$A$95&lt;=$D$1)*('5烧主抽电耗'!$F$3:$F$95=$A13)*('5烧主抽电耗'!$AA$3:$AA$95&lt;&gt;0))</f>
        <v>0</v>
      </c>
      <c r="D29" s="28">
        <f>SUMPRODUCT(('5烧主抽电耗'!$A$3:$A$95&gt;=$B$1)*('5烧主抽电耗'!$A$3:$A$95&lt;=$D$1)*('5烧主抽电耗'!$F$3:$F$95=$A13)*('5烧主抽电耗'!$AA$3:$AA$95&lt;$D$26))</f>
        <v>0</v>
      </c>
      <c r="E29" s="43" t="e">
        <f>D29/B29</f>
        <v>#DIV/0!</v>
      </c>
      <c r="F29" s="47">
        <f>SUMPRODUCT(('5烧主抽电耗'!$A$3:$A$95&gt;=$B$1)*('5烧主抽电耗'!$A$3:$A$95&lt;=$D$1)*('5烧主抽电耗'!$F$3:$F$95=$A13),'5烧主抽电耗'!$AB$3:$AB$95)/SUMPRODUCT(('5烧主抽电耗'!$A$3:$A$95&gt;=$B$1)*('5烧主抽电耗'!$A$3:$A$95&lt;=$D$1)*('5烧主抽电耗'!$F$3:$F$95=$A13)*('5烧主抽电耗'!$AB$3:$AB$95&lt;&gt;0))</f>
        <v>0</v>
      </c>
      <c r="G29" s="28">
        <f>SUMPRODUCT(('5烧主抽电耗'!$A$3:$A$95&gt;=$B$1)*('5烧主抽电耗'!$A$3:$A$95&lt;=$D$1)*('5烧主抽电耗'!$F$3:$F$95=$A13)*('5烧主抽电耗'!$AB$3:$AB$95&lt;$G$26))</f>
        <v>0</v>
      </c>
      <c r="H29" s="43" t="e">
        <f>G29/B29</f>
        <v>#DIV/0!</v>
      </c>
      <c r="I29" s="45"/>
      <c r="J29" s="45"/>
      <c r="N29" s="58" t="s">
        <v>64</v>
      </c>
      <c r="O29" s="28" t="e">
        <f>SUMPRODUCT(('6烧主抽电耗'!$A$3:$A$95&gt;=$B$1)*('6烧主抽电耗'!$A$3:$A$95&lt;=$D$1)*('6烧主抽电耗'!$F$3:$F$95=$N29)*('6烧主抽电耗'!$AA$3:$AA$95&lt;&gt;""))</f>
        <v>#REF!</v>
      </c>
      <c r="P29" s="47" t="e">
        <f>SUMPRODUCT(('6烧主抽电耗'!$A$3:$A$95&gt;=$B$1)*('6烧主抽电耗'!$A$3:$A$95&lt;=$D$1)*('6烧主抽电耗'!$F$3:$F$95=$A13),'6烧主抽电耗'!$AA$3:$AA$95)/SUMPRODUCT(('6烧主抽电耗'!$A$3:$A$95&gt;=$B$1)*('6烧主抽电耗'!$A$3:$A$95&lt;=$D$1)*('6烧主抽电耗'!$F$3:$F$95=$A13)*('6烧主抽电耗'!$AA$3:$AA$95&lt;&gt;0))</f>
        <v>#REF!</v>
      </c>
      <c r="Q29" s="28" t="e">
        <f>SUMPRODUCT(('6烧主抽电耗'!$A$3:$A$95&gt;=$B$1)*('6烧主抽电耗'!$A$3:$A$95&lt;=$D$1)*('6烧主抽电耗'!$F$3:$F$95=$N13)*('6烧主抽电耗'!$AA$3:$AA$95&lt;$Q$26))</f>
        <v>#REF!</v>
      </c>
      <c r="R29" s="43" t="e">
        <f>Q29/O29</f>
        <v>#REF!</v>
      </c>
      <c r="S29" s="47" t="e">
        <f>SUMPRODUCT(('6烧主抽电耗'!$A$3:$A$95&gt;=$B$1)*('6烧主抽电耗'!$A$3:$A$95&lt;=$D$1)*('6烧主抽电耗'!$F$3:$F$95=$A13),'6烧主抽电耗'!$AB$3:$AB$95)/SUMPRODUCT(('6烧主抽电耗'!$A$3:$A$95&gt;=$B$1)*('6烧主抽电耗'!$A$3:$A$95&lt;=$D$1)*('6烧主抽电耗'!$F$3:$F$95=$A13)*('6烧主抽电耗'!$AB$3:$AB$95&lt;&gt;0))</f>
        <v>#REF!</v>
      </c>
      <c r="T29" s="28" t="e">
        <f>SUMPRODUCT(('6烧主抽电耗'!$A$3:$A$95&gt;=$B$1)*('6烧主抽电耗'!$A$3:$A$95&lt;=$D$1)*('6烧主抽电耗'!$F$3:$F$95=$N13)*('6烧主抽电耗'!$AB$3:$AB$95&lt;$T$26))</f>
        <v>#REF!</v>
      </c>
      <c r="U29" s="43" t="e">
        <f>T29/O29</f>
        <v>#REF!</v>
      </c>
    </row>
    <row r="30" spans="1:256" ht="18.75">
      <c r="A30" s="29" t="s">
        <v>63</v>
      </c>
      <c r="B30" s="28">
        <f>B14</f>
        <v>0</v>
      </c>
      <c r="C30" s="47">
        <f>SUMPRODUCT(('5烧主抽电耗'!$A$3:$A$95&gt;=$B$1)*('5烧主抽电耗'!$A$3:$A$95&lt;=$D$1)*('5烧主抽电耗'!$F$3:$F$95=$A14),'5烧主抽电耗'!$AA$3:$AA$95)/SUMPRODUCT(('5烧主抽电耗'!$A$3:$A$95&gt;=$B$1)*('5烧主抽电耗'!$A$3:$A$95&lt;=$D$1)*('5烧主抽电耗'!$F$3:$F$95=$A14)*('5烧主抽电耗'!$AA$3:$AA$95&lt;&gt;0))</f>
        <v>0</v>
      </c>
      <c r="D30" s="28">
        <f>SUMPRODUCT(('5烧主抽电耗'!$A$3:$A$95&gt;=$B$1)*('5烧主抽电耗'!$A$3:$A$95&lt;=$D$1)*('5烧主抽电耗'!$F$3:$F$95=$A14)*('5烧主抽电耗'!$AA$3:$AA$95&lt;$D$26))</f>
        <v>0</v>
      </c>
      <c r="E30" s="43" t="e">
        <f>D30/B30</f>
        <v>#DIV/0!</v>
      </c>
      <c r="F30" s="47">
        <f>SUMPRODUCT(('5烧主抽电耗'!$A$3:$A$95&gt;=$B$1)*('5烧主抽电耗'!$A$3:$A$95&lt;=$D$1)*('5烧主抽电耗'!$F$3:$F$95=$A14),'5烧主抽电耗'!$AB$3:$AB$95)/SUMPRODUCT(('5烧主抽电耗'!$A$3:$A$95&gt;=$B$1)*('5烧主抽电耗'!$A$3:$A$95&lt;=$D$1)*('5烧主抽电耗'!$F$3:$F$95=$A14)*('5烧主抽电耗'!$AB$3:$AB$95&lt;&gt;0))</f>
        <v>0</v>
      </c>
      <c r="G30" s="28">
        <f>SUMPRODUCT(('5烧主抽电耗'!$A$3:$A$95&gt;=$B$1)*('5烧主抽电耗'!$A$3:$A$95&lt;=$D$1)*('5烧主抽电耗'!$F$3:$F$95=$A14)*('5烧主抽电耗'!$AB$3:$AB$95&lt;$G$26))</f>
        <v>0</v>
      </c>
      <c r="H30" s="43" t="e">
        <f>G30/B30</f>
        <v>#DIV/0!</v>
      </c>
      <c r="I30" s="45"/>
      <c r="J30" s="45"/>
      <c r="N30" s="58" t="s">
        <v>63</v>
      </c>
      <c r="O30" s="28" t="e">
        <f>SUMPRODUCT(('6烧主抽电耗'!$A$3:$A$95&gt;=$B$1)*('6烧主抽电耗'!$A$3:$A$95&lt;=$D$1)*('6烧主抽电耗'!$F$3:$F$95=$N30)*('6烧主抽电耗'!$AA$3:$AA$95&lt;&gt;""))</f>
        <v>#REF!</v>
      </c>
      <c r="P30" s="47" t="e">
        <f>SUMPRODUCT(('6烧主抽电耗'!$A$3:$A$95&gt;=$B$1)*('6烧主抽电耗'!$A$3:$A$95&lt;=$D$1)*('6烧主抽电耗'!$F$3:$F$95=$A14),'6烧主抽电耗'!$AA$3:$AA$95)/SUMPRODUCT(('6烧主抽电耗'!$A$3:$A$95&gt;=$B$1)*('6烧主抽电耗'!$A$3:$A$95&lt;=$D$1)*('6烧主抽电耗'!$F$3:$F$95=$A14)*('6烧主抽电耗'!$AA$3:$AA$95&lt;&gt;0))</f>
        <v>#REF!</v>
      </c>
      <c r="Q30" s="28" t="e">
        <f>SUMPRODUCT(('6烧主抽电耗'!$A$3:$A$95&gt;=$B$1)*('6烧主抽电耗'!$A$3:$A$95&lt;=$D$1)*('6烧主抽电耗'!$F$3:$F$95=$N14)*('6烧主抽电耗'!$AA$3:$AA$95&lt;$Q$26))</f>
        <v>#REF!</v>
      </c>
      <c r="R30" s="43" t="e">
        <f>Q30/O30</f>
        <v>#REF!</v>
      </c>
      <c r="S30" s="47" t="e">
        <f>SUMPRODUCT(('6烧主抽电耗'!$A$3:$A$95&gt;=$B$1)*('6烧主抽电耗'!$A$3:$A$95&lt;=$D$1)*('6烧主抽电耗'!$F$3:$F$95=$A14),'6烧主抽电耗'!$AB$3:$AB$95)/SUMPRODUCT(('6烧主抽电耗'!$A$3:$A$95&gt;=$B$1)*('6烧主抽电耗'!$A$3:$A$95&lt;=$D$1)*('6烧主抽电耗'!$F$3:$F$95=$A14)*('6烧主抽电耗'!$AB$3:$AB$95&lt;&gt;0))</f>
        <v>#REF!</v>
      </c>
      <c r="T30" s="28" t="e">
        <f>SUMPRODUCT(('6烧主抽电耗'!$A$3:$A$95&gt;=$B$1)*('6烧主抽电耗'!$A$3:$A$95&lt;=$D$1)*('6烧主抽电耗'!$F$3:$F$95=$N14)*('6烧主抽电耗'!$AB$3:$AB$95&lt;$T$26))</f>
        <v>#REF!</v>
      </c>
      <c r="U30" s="43" t="e">
        <f>T30/O30</f>
        <v>#REF!</v>
      </c>
    </row>
    <row r="31" spans="1:256" ht="18.75">
      <c r="A31" s="34" t="s">
        <v>232</v>
      </c>
      <c r="B31" s="28">
        <f t="shared" ref="B31:G31" si="1">SUM(B27:B30)</f>
        <v>0</v>
      </c>
      <c r="C31" s="47">
        <f>SUMPRODUCT(('5烧主抽电耗'!$A$3:$A$95&gt;=$B$1)*('5烧主抽电耗'!$A$3:$A$95&lt;=$D$1),'5烧主抽电耗'!$AA$3:$AA$95)/SUMPRODUCT(('5烧主抽电耗'!$A$3:$A$95&gt;=$B$1)*('5烧主抽电耗'!$A$3:$A$95&lt;=$D$1)*('5烧主抽电耗'!$AA$3:$AA$95&lt;&gt;0))</f>
        <v>0</v>
      </c>
      <c r="D31" s="28">
        <f t="shared" si="1"/>
        <v>0</v>
      </c>
      <c r="E31" s="43" t="e">
        <f>D31/B31</f>
        <v>#DIV/0!</v>
      </c>
      <c r="F31" s="47">
        <f>SUMPRODUCT(('5烧主抽电耗'!$A$3:$A$95&gt;=$B$1)*('5烧主抽电耗'!$A$3:$A$95&lt;=$D$1),'5烧主抽电耗'!$AB$3:$AB$95)/SUMPRODUCT(('5烧主抽电耗'!$A$3:$A$95&gt;=$B$1)*('5烧主抽电耗'!$A$3:$A$95&lt;=$D$1)*('5烧主抽电耗'!$AB$3:$AB$95&lt;&gt;0))</f>
        <v>0</v>
      </c>
      <c r="G31" s="28">
        <f t="shared" si="1"/>
        <v>0</v>
      </c>
      <c r="H31" s="43" t="e">
        <f>G31/B31</f>
        <v>#DIV/0!</v>
      </c>
      <c r="I31" s="45"/>
      <c r="J31" s="45"/>
      <c r="N31" s="61" t="s">
        <v>232</v>
      </c>
      <c r="O31" s="28" t="e">
        <f t="shared" ref="O31:T31" si="2">SUM(O27:O30)</f>
        <v>#REF!</v>
      </c>
      <c r="P31" s="47" t="e">
        <f>SUMPRODUCT(('6烧主抽电耗'!$A$3:$A$95&gt;=$B$1)*('6烧主抽电耗'!$A$3:$A$95&lt;=$D$1),'6烧主抽电耗'!$AA$3:$AA$95)/SUMPRODUCT(('6烧主抽电耗'!$A$3:$A$95&gt;=$B$1)*('6烧主抽电耗'!$A$3:$A$95&lt;=$D$1)*('6烧主抽电耗'!$AA$3:$AA$95&lt;&gt;0))</f>
        <v>#REF!</v>
      </c>
      <c r="Q31" s="28" t="e">
        <f t="shared" si="2"/>
        <v>#REF!</v>
      </c>
      <c r="R31" s="43" t="e">
        <f>Q31/O31</f>
        <v>#REF!</v>
      </c>
      <c r="S31" s="47" t="e">
        <f>SUMPRODUCT(('6烧主抽电耗'!$A$3:$A$95&gt;=$B$1)*('6烧主抽电耗'!$A$3:$A$95&lt;=$D$1),'6烧主抽电耗'!$AB$3:$AB$95)/SUMPRODUCT(('6烧主抽电耗'!$A$3:$A$95&gt;=$B$1)*('6烧主抽电耗'!$A$3:$A$95&lt;=$D$1)*('6烧主抽电耗'!$AB$3:$AB$95&lt;&gt;0))</f>
        <v>#REF!</v>
      </c>
      <c r="T31" s="28" t="e">
        <f t="shared" si="2"/>
        <v>#REF!</v>
      </c>
      <c r="U31" s="43" t="e">
        <f>T31/O31</f>
        <v>#REF!</v>
      </c>
    </row>
    <row r="32" spans="1:256" ht="17.25" customHeight="1">
      <c r="A32" s="45"/>
      <c r="B32" s="45"/>
      <c r="C32" s="45"/>
      <c r="D32" s="45"/>
      <c r="E32" s="45"/>
      <c r="F32" s="45"/>
      <c r="G32" s="45"/>
      <c r="H32" s="45"/>
      <c r="I32" s="45"/>
      <c r="J32" s="45"/>
      <c r="N32" s="45"/>
      <c r="O32" s="45"/>
      <c r="P32" s="45"/>
      <c r="Q32" s="45"/>
      <c r="R32" s="45"/>
      <c r="S32" s="45"/>
      <c r="T32" s="45"/>
      <c r="U32" s="45"/>
    </row>
    <row r="33" spans="1:21" ht="18.75">
      <c r="A33" s="20" t="s">
        <v>224</v>
      </c>
      <c r="B33" s="383" t="s">
        <v>6</v>
      </c>
      <c r="C33" s="383"/>
      <c r="D33" s="383" t="s">
        <v>7</v>
      </c>
      <c r="E33" s="383"/>
      <c r="F33" s="45"/>
      <c r="G33" s="45"/>
      <c r="H33" s="45"/>
      <c r="I33" s="45"/>
      <c r="J33" s="45"/>
      <c r="N33" s="52" t="s">
        <v>229</v>
      </c>
      <c r="O33" s="383" t="s">
        <v>6</v>
      </c>
      <c r="P33" s="383"/>
      <c r="Q33" s="383" t="s">
        <v>7</v>
      </c>
      <c r="R33" s="383"/>
      <c r="S33" s="45"/>
      <c r="T33" s="45"/>
      <c r="U33" s="45"/>
    </row>
    <row r="34" spans="1:21" ht="20.25" customHeight="1">
      <c r="A34" s="25" t="s">
        <v>14</v>
      </c>
      <c r="B34" s="21" t="s">
        <v>230</v>
      </c>
      <c r="C34" s="21" t="s">
        <v>231</v>
      </c>
      <c r="D34" s="21" t="s">
        <v>230</v>
      </c>
      <c r="E34" s="21" t="s">
        <v>231</v>
      </c>
      <c r="F34" s="45"/>
      <c r="G34" s="45"/>
      <c r="H34" s="45"/>
      <c r="I34" s="45"/>
      <c r="J34" s="45"/>
      <c r="N34" s="55" t="s">
        <v>14</v>
      </c>
      <c r="O34" s="21" t="s">
        <v>230</v>
      </c>
      <c r="P34" s="21" t="s">
        <v>231</v>
      </c>
      <c r="Q34" s="21" t="s">
        <v>230</v>
      </c>
      <c r="R34" s="21" t="s">
        <v>231</v>
      </c>
      <c r="S34" s="45"/>
      <c r="T34" s="45"/>
      <c r="U34" s="45"/>
    </row>
    <row r="35" spans="1:21" ht="18.75">
      <c r="A35" s="29" t="s">
        <v>235</v>
      </c>
      <c r="B35" s="48">
        <f>SUMPRODUCT((主抽数据!$AU$5:$AU$97&gt;=$B$1)*(主抽数据!$AU$5:$AU$97&lt;=$D$1)*(主抽数据!$AV$5:$AV$97=$A35),主抽数据!I$5:I$97)/SUMPRODUCT((主抽数据!$AU$5:$AU$97&gt;=$B$1)*(主抽数据!$AU$5:$AU$97&lt;=$D$1)*(主抽数据!$AV$5:$AV$97=$A35)*(主抽数据!I$5:I$97&gt;0))</f>
        <v>0.93999999999999972</v>
      </c>
      <c r="C35" s="48">
        <f>SUMPRODUCT((主抽数据!$AU$5:$AU$97&gt;=$B$1)*(主抽数据!$AU$5:$AU$97&lt;=$D$1)*(主抽数据!$AV$5:$AV$97=$A35),主抽数据!J$5:J$97)/SUMPRODUCT((主抽数据!$AU$5:$AU$97&gt;=$B$1)*(主抽数据!$AU$5:$AU$97&lt;=$D$1)*(主抽数据!$AV$5:$AV$97=$A35)*(主抽数据!J$5:J$97&gt;0))</f>
        <v>0.93999999999999972</v>
      </c>
      <c r="D35" s="48">
        <f>SUMPRODUCT((主抽数据!$AU$5:$AU$97&gt;=$B$1)*(主抽数据!$AU$5:$AU$97&lt;=$D$1)*(主抽数据!$AV$5:$AV$97=$A35),主抽数据!K$5:K$97)/SUMPRODUCT((主抽数据!$AU$5:$AU$97&gt;=$B$1)*(主抽数据!$AU$5:$AU$97&lt;=$D$1)*(主抽数据!$AV$5:$AV$97=$A35)*(主抽数据!K$5:K$97&gt;0))</f>
        <v>0</v>
      </c>
      <c r="E35" s="48">
        <f>SUMPRODUCT((主抽数据!$AU$5:$AU$97&gt;=$B$1)*(主抽数据!$AU$5:$AU$97&lt;=$D$1)*(主抽数据!$AV$5:$AV$97=$A35),主抽数据!L$5:L$97)/SUMPRODUCT((主抽数据!$AU$5:$AU$97&gt;=$B$1)*(主抽数据!$AU$5:$AU$97&lt;=$D$1)*(主抽数据!$AV$5:$AV$97=$A35)*(主抽数据!L$5:L$97&gt;0))</f>
        <v>0</v>
      </c>
      <c r="F35" s="45"/>
      <c r="G35" s="45"/>
      <c r="H35" s="45"/>
      <c r="I35" s="45"/>
      <c r="J35" s="45"/>
      <c r="N35" s="58" t="s">
        <v>235</v>
      </c>
      <c r="O35" s="48" t="e">
        <f>SUMPRODUCT((主抽数据!$AU$5:$AU$97&gt;=$B$1)*(主抽数据!$AU$5:$AU$97&lt;=$D$1)*(主抽数据!$AV$5:$AV$97=$N35),主抽数据!X$5:X$98)/SUMPRODUCT((主抽数据!$AU$5:$AU$97&gt;=$B$1)*(主抽数据!$AU$5:$AU$97&lt;=$D$1)*(主抽数据!$AV$5:$AV$97=$N35)*(主抽数据!X$5:X$98&gt;0))</f>
        <v>#VALUE!</v>
      </c>
      <c r="P35" s="48" t="e">
        <f>SUMPRODUCT((主抽数据!$AU$5:$AU$97&gt;=$B$1)*(主抽数据!$AU$5:$AU$97&lt;=$D$1)*(主抽数据!$AV$5:$AV$97=$N35),主抽数据!Y$5:Y$98)/SUMPRODUCT((主抽数据!$AU$5:$AU$97&gt;=$B$1)*(主抽数据!$AU$5:$AU$97&lt;=$D$1)*(主抽数据!$AV$5:$AV$97=$N35)*(主抽数据!Y$5:Y$98&gt;0))</f>
        <v>#VALUE!</v>
      </c>
      <c r="Q35" s="48" t="e">
        <f>SUMPRODUCT((主抽数据!$AU$5:$AU$97&gt;=$B$1)*(主抽数据!$AU$5:$AU$97&lt;=$D$1)*(主抽数据!$AV$5:$AV$97=$N35),主抽数据!Z$5:Z$98)/SUMPRODUCT((主抽数据!$AU$5:$AU$97&gt;=$B$1)*(主抽数据!$AU$5:$AU$97&lt;=$D$1)*(主抽数据!$AV$5:$AV$97=$N35)*(主抽数据!Z$5:Z$98&gt;0))</f>
        <v>#VALUE!</v>
      </c>
      <c r="R35" s="48" t="e">
        <f>SUMPRODUCT((主抽数据!$AU$5:$AU$97&gt;=$B$1)*(主抽数据!$AU$5:$AU$97&lt;=$D$1)*(主抽数据!$AV$5:$AV$97=$N35),主抽数据!AA$5:AA$98)/SUMPRODUCT((主抽数据!$AU$5:$AU$97&gt;=$B$1)*(主抽数据!$AU$5:$AU$97&lt;=$D$1)*(主抽数据!$AV$5:$AV$97=$N35)*(主抽数据!AA$5:AA$98&gt;0))</f>
        <v>#VALUE!</v>
      </c>
      <c r="S35" s="45"/>
      <c r="T35" s="45"/>
      <c r="U35" s="45"/>
    </row>
    <row r="36" spans="1:21" ht="18.75">
      <c r="A36" s="29" t="s">
        <v>236</v>
      </c>
      <c r="B36" s="48">
        <f>SUMPRODUCT((主抽数据!$AU$5:$AU$97&gt;=$B$1)*(主抽数据!$AU$5:$AU$97&lt;=$D$1)*(主抽数据!$AV$5:$AV$97=$A36),主抽数据!$I$5:$I$97)/SUMPRODUCT((主抽数据!$AU$5:$AU$97&gt;=$B$1)*(主抽数据!$AU$5:$AU$97&lt;=$D$1)*(主抽数据!$AV$5:$AV$97=$A36)*(主抽数据!$I$5:$I$97&gt;0))</f>
        <v>0.93999999999999972</v>
      </c>
      <c r="C36" s="48">
        <f>SUMPRODUCT((主抽数据!$AU$5:$AU$97&gt;=$B$1)*(主抽数据!$AU$5:$AU$97&lt;=$D$1)*(主抽数据!$AV$5:$AV$97=$A36),主抽数据!J$5:J$97)/SUMPRODUCT((主抽数据!$AU$5:$AU$97&gt;=$B$1)*(主抽数据!$AU$5:$AU$97&lt;=$D$1)*(主抽数据!$AV$5:$AV$97=$A36)*(主抽数据!J$5:J$97&gt;0))</f>
        <v>0.93999999999999972</v>
      </c>
      <c r="D36" s="48">
        <f>SUMPRODUCT((主抽数据!$AU$5:$AU$97&gt;=$B$1)*(主抽数据!$AU$5:$AU$97&lt;=$D$1)*(主抽数据!$AV$5:$AV$97=$A36),主抽数据!$K$5:$K$97)/SUMPRODUCT((主抽数据!$AU$5:$AU$97&gt;=$B$1)*(主抽数据!$AU$5:$AU$97&lt;=$D$1)*(主抽数据!$AV$5:$AV$97=$A36)*(主抽数据!$K$5:$K$97&gt;0))</f>
        <v>0</v>
      </c>
      <c r="E36" s="48">
        <f>SUMPRODUCT((主抽数据!$AU$5:$AU$97&gt;=$B$1)*(主抽数据!$AU$5:$AU$97&lt;=$D$1)*(主抽数据!$AV$5:$AV$97=$A36),主抽数据!L$5:L$97)/SUMPRODUCT((主抽数据!$AU$5:$AU$97&gt;=$B$1)*(主抽数据!$AU$5:$AU$97&lt;=$D$1)*(主抽数据!$AV$5:$AV$97=$A36)*(主抽数据!L$5:L$97&gt;0))</f>
        <v>0</v>
      </c>
      <c r="F36" s="45"/>
      <c r="G36" s="45"/>
      <c r="H36" s="45"/>
      <c r="I36" s="45"/>
      <c r="J36" s="45"/>
      <c r="N36" s="58" t="s">
        <v>236</v>
      </c>
      <c r="O36" s="48" t="e">
        <f>SUMPRODUCT((主抽数据!$AU$5:$AU$97&gt;=$B$1)*(主抽数据!$AU$5:$AU$97&lt;=$D$1)*(主抽数据!$AV$5:$AV$97=$N36),主抽数据!X$5:X$98)/SUMPRODUCT((主抽数据!$AU$5:$AU$97&gt;=$B$1)*(主抽数据!$AU$5:$AU$97&lt;=$D$1)*(主抽数据!$AV$5:$AV$97=$N36)*(主抽数据!X$5:X$98&gt;0))</f>
        <v>#VALUE!</v>
      </c>
      <c r="P36" s="48" t="e">
        <f>SUMPRODUCT((主抽数据!$AU$5:$AU$97&gt;=$B$1)*(主抽数据!$AU$5:$AU$97&lt;=$D$1)*(主抽数据!$AV$5:$AV$97=$N36),主抽数据!Y$5:Y$98)/SUMPRODUCT((主抽数据!$AU$5:$AU$97&gt;=$B$1)*(主抽数据!$AU$5:$AU$97&lt;=$D$1)*(主抽数据!$AV$5:$AV$97=$N36)*(主抽数据!Y$5:Y$98&gt;0))</f>
        <v>#VALUE!</v>
      </c>
      <c r="Q36" s="48" t="e">
        <f>SUMPRODUCT((主抽数据!$AU$5:$AU$97&gt;=$B$1)*(主抽数据!$AU$5:$AU$97&lt;=$D$1)*(主抽数据!$AV$5:$AV$97=$N36),主抽数据!Z$5:Z$98)/SUMPRODUCT((主抽数据!$AU$5:$AU$97&gt;=$B$1)*(主抽数据!$AU$5:$AU$97&lt;=$D$1)*(主抽数据!$AV$5:$AV$97=$N36)*(主抽数据!Z$5:Z$98&gt;0))</f>
        <v>#VALUE!</v>
      </c>
      <c r="R36" s="48" t="e">
        <f>SUMPRODUCT((主抽数据!$AU$5:$AU$97&gt;=$B$1)*(主抽数据!$AU$5:$AU$97&lt;=$D$1)*(主抽数据!$AV$5:$AV$97=$N36),主抽数据!AA$5:AA$98)/SUMPRODUCT((主抽数据!$AU$5:$AU$97&gt;=$B$1)*(主抽数据!$AU$5:$AU$97&lt;=$D$1)*(主抽数据!$AV$5:$AV$97=$N36)*(主抽数据!AA$5:AA$98&gt;0))</f>
        <v>#VALUE!</v>
      </c>
      <c r="S36" s="45"/>
      <c r="T36" s="45"/>
      <c r="U36" s="45"/>
    </row>
    <row r="37" spans="1:21" ht="18.75">
      <c r="A37" s="29" t="s">
        <v>64</v>
      </c>
      <c r="B37" s="48">
        <f>SUMPRODUCT((主抽数据!$AU$5:$AU$97&gt;=$B$1)*(主抽数据!$AU$5:$AU$97&lt;=$D$1)*(主抽数据!$AV$5:$AV$97=$A37),主抽数据!$I$5:$I$97)/SUMPRODUCT((主抽数据!$AU$5:$AU$97&gt;=$B$1)*(主抽数据!$AU$5:$AU$97&lt;=$D$1)*(主抽数据!$AV$5:$AV$97=$A37)*(主抽数据!$I$5:$I$97&gt;0))</f>
        <v>0.93999999999999972</v>
      </c>
      <c r="C37" s="48">
        <f>SUMPRODUCT((主抽数据!$AU$5:$AU$97&gt;=$B$1)*(主抽数据!$AU$5:$AU$97&lt;=$D$1)*(主抽数据!$AV$5:$AV$97=$A37),主抽数据!J$5:J$97)/SUMPRODUCT((主抽数据!$AU$5:$AU$97&gt;=$B$1)*(主抽数据!$AU$5:$AU$97&lt;=$D$1)*(主抽数据!$AV$5:$AV$97=$A37)*(主抽数据!J$5:J$97&gt;0))</f>
        <v>0.93999999999999972</v>
      </c>
      <c r="D37" s="48">
        <f>SUMPRODUCT((主抽数据!$AU$5:$AU$97&gt;=$B$1)*(主抽数据!$AU$5:$AU$97&lt;=$D$1)*(主抽数据!$AV$5:$AV$97=$A37),主抽数据!$K$5:$K$97)/SUMPRODUCT((主抽数据!$AU$5:$AU$97&gt;=$B$1)*(主抽数据!$AU$5:$AU$97&lt;=$D$1)*(主抽数据!$AV$5:$AV$97=$A37)*(主抽数据!$K$5:$K$97&gt;0))</f>
        <v>0</v>
      </c>
      <c r="E37" s="48">
        <f>SUMPRODUCT((主抽数据!$AU$5:$AU$97&gt;=$B$1)*(主抽数据!$AU$5:$AU$97&lt;=$D$1)*(主抽数据!$AV$5:$AV$97=$A37),主抽数据!L$5:L$97)/SUMPRODUCT((主抽数据!$AU$5:$AU$97&gt;=$B$1)*(主抽数据!$AU$5:$AU$97&lt;=$D$1)*(主抽数据!$AV$5:$AV$97=$A37)*(主抽数据!L$5:L$97&gt;0))</f>
        <v>0</v>
      </c>
      <c r="F37" s="45"/>
      <c r="G37" s="45"/>
      <c r="H37" s="45"/>
      <c r="I37" s="45"/>
      <c r="J37" s="45"/>
      <c r="N37" s="58" t="s">
        <v>64</v>
      </c>
      <c r="O37" s="48" t="e">
        <f>SUMPRODUCT((主抽数据!$AU$5:$AU$97&gt;=$B$1)*(主抽数据!$AU$5:$AU$97&lt;=$D$1)*(主抽数据!$AV$5:$AV$97=$N37),主抽数据!X$5:X$98)/SUMPRODUCT((主抽数据!$AU$5:$AU$97&gt;=$B$1)*(主抽数据!$AU$5:$AU$97&lt;=$D$1)*(主抽数据!$AV$5:$AV$97=$N37)*(主抽数据!X$5:X$98&gt;0))</f>
        <v>#VALUE!</v>
      </c>
      <c r="P37" s="48" t="e">
        <f>SUMPRODUCT((主抽数据!$AU$5:$AU$97&gt;=$B$1)*(主抽数据!$AU$5:$AU$97&lt;=$D$1)*(主抽数据!$AV$5:$AV$97=$N37),主抽数据!Y$5:Y$98)/SUMPRODUCT((主抽数据!$AU$5:$AU$97&gt;=$B$1)*(主抽数据!$AU$5:$AU$97&lt;=$D$1)*(主抽数据!$AV$5:$AV$97=$N37)*(主抽数据!Y$5:Y$98&gt;0))</f>
        <v>#VALUE!</v>
      </c>
      <c r="Q37" s="48" t="e">
        <f>SUMPRODUCT((主抽数据!$AU$5:$AU$97&gt;=$B$1)*(主抽数据!$AU$5:$AU$97&lt;=$D$1)*(主抽数据!$AV$5:$AV$97=$N37),主抽数据!Z$5:Z$98)/SUMPRODUCT((主抽数据!$AU$5:$AU$97&gt;=$B$1)*(主抽数据!$AU$5:$AU$97&lt;=$D$1)*(主抽数据!$AV$5:$AV$97=$N37)*(主抽数据!Z$5:Z$98&gt;0))</f>
        <v>#VALUE!</v>
      </c>
      <c r="R37" s="48" t="e">
        <f>SUMPRODUCT((主抽数据!$AU$5:$AU$97&gt;=$B$1)*(主抽数据!$AU$5:$AU$97&lt;=$D$1)*(主抽数据!$AV$5:$AV$97=$N37),主抽数据!AA$5:AA$98)/SUMPRODUCT((主抽数据!$AU$5:$AU$97&gt;=$B$1)*(主抽数据!$AU$5:$AU$97&lt;=$D$1)*(主抽数据!$AV$5:$AV$97=$N37)*(主抽数据!AA$5:AA$98&gt;0))</f>
        <v>#VALUE!</v>
      </c>
      <c r="S37" s="45"/>
      <c r="T37" s="45"/>
      <c r="U37" s="45"/>
    </row>
    <row r="38" spans="1:21" ht="18.75">
      <c r="A38" s="29" t="s">
        <v>63</v>
      </c>
      <c r="B38" s="48">
        <f>SUMPRODUCT((主抽数据!$AU$5:$AU$97&gt;=$B$1)*(主抽数据!$AU$5:$AU$97&lt;=$D$1)*(主抽数据!$AV$5:$AV$97=$A38),主抽数据!$I$5:$I$97)/SUMPRODUCT((主抽数据!$AU$5:$AU$97&gt;=$B$1)*(主抽数据!$AU$5:$AU$97&lt;=$D$1)*(主抽数据!$AV$5:$AV$97=$A38)*(主抽数据!$I$5:$I$97&gt;0))</f>
        <v>0.93999999999999972</v>
      </c>
      <c r="C38" s="48">
        <f>SUMPRODUCT((主抽数据!$AU$5:$AU$97&gt;=$B$1)*(主抽数据!$AU$5:$AU$97&lt;=$D$1)*(主抽数据!$AV$5:$AV$97=$A38),主抽数据!J$5:J$97)/SUMPRODUCT((主抽数据!$AU$5:$AU$97&gt;=$B$1)*(主抽数据!$AU$5:$AU$97&lt;=$D$1)*(主抽数据!$AV$5:$AV$97=$A38)*(主抽数据!J$5:J$97&gt;0))</f>
        <v>0.93999999999999972</v>
      </c>
      <c r="D38" s="48">
        <f>SUMPRODUCT((主抽数据!$AU$5:$AU$97&gt;=$B$1)*(主抽数据!$AU$5:$AU$97&lt;=$D$1)*(主抽数据!$AV$5:$AV$97=$A38),主抽数据!$K$5:$K$97)/SUMPRODUCT((主抽数据!$AU$5:$AU$97&gt;=$B$1)*(主抽数据!$AU$5:$AU$97&lt;=$D$1)*(主抽数据!$AV$5:$AV$97=$A38)*(主抽数据!$K$5:$K$97&gt;0))</f>
        <v>0</v>
      </c>
      <c r="E38" s="48">
        <f>SUMPRODUCT((主抽数据!$AU$5:$AU$97&gt;=$B$1)*(主抽数据!$AU$5:$AU$97&lt;=$D$1)*(主抽数据!$AV$5:$AV$97=$A38),主抽数据!L$5:L$97)/SUMPRODUCT((主抽数据!$AU$5:$AU$97&gt;=$B$1)*(主抽数据!$AU$5:$AU$97&lt;=$D$1)*(主抽数据!$AV$5:$AV$97=$A38)*(主抽数据!L$5:L$97&gt;0))</f>
        <v>0</v>
      </c>
      <c r="F38" s="45"/>
      <c r="G38" s="45"/>
      <c r="H38" s="45"/>
      <c r="I38" s="45"/>
      <c r="J38" s="45"/>
      <c r="N38" s="58" t="s">
        <v>63</v>
      </c>
      <c r="O38" s="48" t="e">
        <f>SUMPRODUCT((主抽数据!$AU$5:$AU$97&gt;=$B$1)*(主抽数据!$AU$5:$AU$97&lt;=$D$1)*(主抽数据!$AV$5:$AV$97=$N38),主抽数据!X$5:X$98)/SUMPRODUCT((主抽数据!$AU$5:$AU$97&gt;=$B$1)*(主抽数据!$AU$5:$AU$97&lt;=$D$1)*(主抽数据!$AV$5:$AV$97=$N38)*(主抽数据!X$5:X$98&gt;0))</f>
        <v>#VALUE!</v>
      </c>
      <c r="P38" s="48" t="e">
        <f>SUMPRODUCT((主抽数据!$AU$5:$AU$97&gt;=$B$1)*(主抽数据!$AU$5:$AU$97&lt;=$D$1)*(主抽数据!$AV$5:$AV$97=$N38),主抽数据!Y$5:Y$98)/SUMPRODUCT((主抽数据!$AU$5:$AU$97&gt;=$B$1)*(主抽数据!$AU$5:$AU$97&lt;=$D$1)*(主抽数据!$AV$5:$AV$97=$N38)*(主抽数据!Y$5:Y$98&gt;0))</f>
        <v>#VALUE!</v>
      </c>
      <c r="Q38" s="48" t="e">
        <f>SUMPRODUCT((主抽数据!$AU$5:$AU$97&gt;=$B$1)*(主抽数据!$AU$5:$AU$97&lt;=$D$1)*(主抽数据!$AV$5:$AV$97=$N38),主抽数据!Z$5:Z$98)/SUMPRODUCT((主抽数据!$AU$5:$AU$97&gt;=$B$1)*(主抽数据!$AU$5:$AU$97&lt;=$D$1)*(主抽数据!$AV$5:$AV$97=$N38)*(主抽数据!Z$5:Z$98&gt;0))</f>
        <v>#VALUE!</v>
      </c>
      <c r="R38" s="48" t="e">
        <f>SUMPRODUCT((主抽数据!$AU$5:$AU$97&gt;=$B$1)*(主抽数据!$AU$5:$AU$97&lt;=$D$1)*(主抽数据!$AV$5:$AV$97=$N38),主抽数据!AA$5:AA$98)/SUMPRODUCT((主抽数据!$AU$5:$AU$97&gt;=$B$1)*(主抽数据!$AU$5:$AU$97&lt;=$D$1)*(主抽数据!$AV$5:$AV$97=$N38)*(主抽数据!AA$5:AA$98&gt;0))</f>
        <v>#VALUE!</v>
      </c>
      <c r="S38" s="45"/>
      <c r="T38" s="45"/>
      <c r="U38" s="45"/>
    </row>
    <row r="39" spans="1:21" ht="18.75">
      <c r="A39" s="34" t="s">
        <v>232</v>
      </c>
      <c r="B39" s="48">
        <f>SUMPRODUCT((主抽数据!$AU$5:$AU$97&gt;=$B$1)*(主抽数据!$AU$5:$AU$97&lt;=$D$1),主抽数据!$I$5:$I$97)/SUMPRODUCT((主抽数据!$AU$5:$AU$97&gt;=$B$1)*(主抽数据!$AU$5:$AU$97&lt;=$D$1)*(主抽数据!$I$5:$I$97&gt;0))</f>
        <v>0.94000000000000028</v>
      </c>
      <c r="C39" s="48">
        <f>SUMPRODUCT((主抽数据!$AU$5:$AU$97&gt;=$B$1)*(主抽数据!$AU$5:$AU$97&lt;=$D$1),主抽数据!J$5:J$97)/SUMPRODUCT((主抽数据!$AU$5:$AU$97&gt;=$B$1)*(主抽数据!$AU$5:$AU$97&lt;=$D$1)*(主抽数据!J$5:J$97&gt;0))</f>
        <v>0.94000000000000028</v>
      </c>
      <c r="D39" s="48">
        <f>SUMPRODUCT((主抽数据!$AU$5:$AU$97&gt;=$B$1)*(主抽数据!$AU$5:$AU$97&lt;=$D$1),主抽数据!$K$5:$K$97)/SUMPRODUCT((主抽数据!$AU$5:$AU$97&gt;=$B$1)*(主抽数据!$AU$5:$AU$97&lt;=$D$1)*(主抽数据!$K$5:$K$97&gt;0))</f>
        <v>0</v>
      </c>
      <c r="E39" s="48">
        <f>SUMPRODUCT((主抽数据!$AU$5:$AU$97&gt;=$B$1)*(主抽数据!$AU$5:$AU$97&lt;=$D$1),主抽数据!L$5:L$97)/SUMPRODUCT((主抽数据!$AU$5:$AU$97&gt;=$B$1)*(主抽数据!$AU$5:$AU$97&lt;=$D$1)*(主抽数据!L$5:L$97&gt;0))</f>
        <v>0</v>
      </c>
      <c r="F39" s="45"/>
      <c r="G39" s="45"/>
      <c r="H39" s="45"/>
      <c r="I39" s="45"/>
      <c r="J39" s="45"/>
      <c r="N39" s="61" t="s">
        <v>232</v>
      </c>
      <c r="O39" s="48" t="e">
        <f>SUMPRODUCT((主抽数据!$AU$5:$AU$97&gt;=$B$1)*(主抽数据!$AU$5:$AU$97&lt;=$D$1),主抽数据!X$5:X$98)/SUMPRODUCT((主抽数据!$AU$5:$AU$97&gt;=$B$1)*(主抽数据!$AU$5:$AU$97&lt;=$D$1)*(主抽数据!X$5:X$98&gt;0))</f>
        <v>#VALUE!</v>
      </c>
      <c r="P39" s="48" t="e">
        <f>SUMPRODUCT((主抽数据!$AU$5:$AU$97&gt;=$B$1)*(主抽数据!$AU$5:$AU$97&lt;=$D$1),主抽数据!Y$5:Y$98)/SUMPRODUCT((主抽数据!$AU$5:$AU$97&gt;=$B$1)*(主抽数据!$AU$5:$AU$97&lt;=$D$1)*(主抽数据!Y$5:Y$98&gt;0))</f>
        <v>#VALUE!</v>
      </c>
      <c r="Q39" s="48" t="e">
        <f>SUMPRODUCT((主抽数据!$AU$5:$AU$97&gt;=$B$1)*(主抽数据!$AU$5:$AU$97&lt;=$D$1),主抽数据!Z$5:Z$98)/SUMPRODUCT((主抽数据!$AU$5:$AU$97&gt;=$B$1)*(主抽数据!$AU$5:$AU$97&lt;=$D$1)*(主抽数据!Z$5:Z$98&gt;0))</f>
        <v>#VALUE!</v>
      </c>
      <c r="R39" s="48" t="e">
        <f>SUMPRODUCT((主抽数据!$AU$5:$AU$97&gt;=$B$1)*(主抽数据!$AU$5:$AU$97&lt;=$D$1),主抽数据!AA$5:AA$98)/SUMPRODUCT((主抽数据!$AU$5:$AU$97&gt;=$B$1)*(主抽数据!$AU$5:$AU$97&lt;=$D$1)*(主抽数据!AA$5:AA$98&gt;0))</f>
        <v>#VALUE!</v>
      </c>
      <c r="S39" s="45"/>
      <c r="T39" s="45"/>
      <c r="U39" s="45"/>
    </row>
  </sheetData>
  <mergeCells count="18">
    <mergeCell ref="C25:E25"/>
    <mergeCell ref="F25:H25"/>
    <mergeCell ref="P25:R25"/>
    <mergeCell ref="S25:U25"/>
    <mergeCell ref="B33:C33"/>
    <mergeCell ref="D33:E33"/>
    <mergeCell ref="O33:P33"/>
    <mergeCell ref="Q33:R33"/>
    <mergeCell ref="T9:W9"/>
    <mergeCell ref="C17:F17"/>
    <mergeCell ref="G17:J17"/>
    <mergeCell ref="P17:S17"/>
    <mergeCell ref="T17:W17"/>
    <mergeCell ref="B2:D2"/>
    <mergeCell ref="O2:Q2"/>
    <mergeCell ref="C9:F9"/>
    <mergeCell ref="G9:J9"/>
    <mergeCell ref="P9:S9"/>
  </mergeCells>
  <phoneticPr fontId="53" type="noConversion"/>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6" sqref="E6"/>
    </sheetView>
  </sheetViews>
  <sheetFormatPr defaultColWidth="9" defaultRowHeight="14.25"/>
  <cols>
    <col min="1" max="1" width="15.125" customWidth="1"/>
    <col min="2" max="2" width="77.375" customWidth="1"/>
  </cols>
  <sheetData>
    <row r="1" spans="1:2" ht="22.5">
      <c r="A1" s="1" t="s">
        <v>250</v>
      </c>
      <c r="B1" s="2" t="s">
        <v>251</v>
      </c>
    </row>
    <row r="2" spans="1:2" ht="22.5">
      <c r="A2" s="1" t="s">
        <v>252</v>
      </c>
      <c r="B2" s="2" t="s">
        <v>253</v>
      </c>
    </row>
    <row r="3" spans="1:2" ht="22.5">
      <c r="A3" s="1" t="s">
        <v>254</v>
      </c>
      <c r="B3" s="2" t="s">
        <v>255</v>
      </c>
    </row>
    <row r="4" spans="1:2" ht="22.5">
      <c r="A4" s="1" t="s">
        <v>256</v>
      </c>
      <c r="B4" s="3" t="s">
        <v>257</v>
      </c>
    </row>
    <row r="5" spans="1:2" ht="22.5">
      <c r="A5" s="1" t="s">
        <v>258</v>
      </c>
      <c r="B5" s="2" t="s">
        <v>259</v>
      </c>
    </row>
    <row r="6" spans="1:2" ht="193.5">
      <c r="A6" s="1" t="s">
        <v>260</v>
      </c>
      <c r="B6" s="4" t="s">
        <v>261</v>
      </c>
    </row>
    <row r="7" spans="1:2" ht="22.5">
      <c r="A7" s="1" t="s">
        <v>262</v>
      </c>
      <c r="B7" s="2" t="s">
        <v>263</v>
      </c>
    </row>
    <row r="8" spans="1:2" ht="22.5">
      <c r="A8" s="1" t="s">
        <v>264</v>
      </c>
      <c r="B8" s="3"/>
    </row>
    <row r="9" spans="1:2" ht="22.5">
      <c r="A9" s="1" t="s">
        <v>265</v>
      </c>
      <c r="B9" s="2" t="s">
        <v>266</v>
      </c>
    </row>
  </sheetData>
  <phoneticPr fontId="53" type="noConversion"/>
  <pageMargins left="0.75" right="0.75" top="1" bottom="1" header="0.50902777777777797" footer="0.50902777777777797"/>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F15" sqref="F15"/>
    </sheetView>
  </sheetViews>
  <sheetFormatPr defaultColWidth="9" defaultRowHeight="14.25"/>
  <sheetData>
    <row r="1" spans="1:10" ht="66">
      <c r="A1" s="256"/>
      <c r="B1" s="256"/>
      <c r="C1" s="257"/>
      <c r="D1" s="212"/>
      <c r="E1" s="254" t="s">
        <v>25</v>
      </c>
      <c r="F1" s="254" t="s">
        <v>26</v>
      </c>
      <c r="G1" s="212" t="s">
        <v>27</v>
      </c>
      <c r="H1" s="212" t="s">
        <v>28</v>
      </c>
      <c r="I1" s="258" t="s">
        <v>29</v>
      </c>
      <c r="J1" s="258" t="s">
        <v>30</v>
      </c>
    </row>
  </sheetData>
  <phoneticPr fontId="53" type="noConversion"/>
  <pageMargins left="0.75" right="0.75" top="1" bottom="1" header="0.50902777777777797" footer="0.509027777777777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B42" sqref="B42"/>
    </sheetView>
  </sheetViews>
  <sheetFormatPr defaultColWidth="9" defaultRowHeight="14.25"/>
  <sheetData>
    <row r="1" spans="1:6" ht="66">
      <c r="A1" s="254" t="s">
        <v>31</v>
      </c>
      <c r="B1" s="254" t="s">
        <v>32</v>
      </c>
      <c r="C1" s="219" t="s">
        <v>33</v>
      </c>
      <c r="D1" s="219" t="s">
        <v>34</v>
      </c>
      <c r="E1" s="255" t="s">
        <v>35</v>
      </c>
      <c r="F1" s="255" t="s">
        <v>36</v>
      </c>
    </row>
  </sheetData>
  <phoneticPr fontId="5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5"/>
  <sheetViews>
    <sheetView tabSelected="1" workbookViewId="0">
      <pane xSplit="7" ySplit="3" topLeftCell="H4" activePane="bottomRight" state="frozen"/>
      <selection pane="topRight"/>
      <selection pane="bottomLeft"/>
      <selection pane="bottomRight" activeCell="K9" sqref="K9"/>
    </sheetView>
  </sheetViews>
  <sheetFormatPr defaultColWidth="9" defaultRowHeight="15.75"/>
  <cols>
    <col min="1" max="1" width="9.25" style="213" customWidth="1"/>
    <col min="2" max="2" width="8" style="213"/>
    <col min="3" max="3" width="5.5" style="213"/>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14"/>
    <col min="23" max="23" width="10.375"/>
    <col min="24" max="24" width="10.5"/>
    <col min="25" max="26" width="11.375"/>
    <col min="29" max="30" width="10.375"/>
    <col min="32" max="32" width="9" style="73"/>
  </cols>
  <sheetData>
    <row r="1" spans="1:38" ht="27.75" customHeight="1">
      <c r="A1" s="363" t="s">
        <v>46</v>
      </c>
      <c r="B1" s="363"/>
      <c r="C1" s="363"/>
      <c r="D1" s="363"/>
      <c r="E1" s="363"/>
      <c r="F1" s="363"/>
      <c r="G1" s="363"/>
      <c r="H1" s="363"/>
      <c r="I1" s="363"/>
      <c r="J1" s="363"/>
      <c r="K1" s="363"/>
      <c r="L1" s="363"/>
      <c r="M1" s="363"/>
      <c r="N1" s="363"/>
      <c r="O1" s="363"/>
      <c r="P1" s="363"/>
      <c r="U1" s="364" t="s">
        <v>47</v>
      </c>
      <c r="V1" s="364"/>
      <c r="W1" s="364"/>
      <c r="X1" s="364"/>
      <c r="Y1" s="364"/>
      <c r="Z1" s="364"/>
      <c r="AA1" s="364"/>
      <c r="AB1" s="364"/>
      <c r="AC1" s="364"/>
      <c r="AD1" s="364"/>
      <c r="AE1" s="364"/>
      <c r="AF1" s="146"/>
    </row>
    <row r="2" spans="1:38" ht="14.25">
      <c r="A2" s="215"/>
      <c r="B2" s="216"/>
      <c r="C2" s="216"/>
      <c r="D2" s="216"/>
      <c r="E2" s="217"/>
      <c r="F2" s="217"/>
      <c r="G2" s="217"/>
      <c r="H2" s="354" t="s">
        <v>4</v>
      </c>
      <c r="I2" s="354"/>
      <c r="J2" s="354" t="s">
        <v>7</v>
      </c>
      <c r="K2" s="354"/>
      <c r="L2" s="217"/>
      <c r="M2" s="217"/>
      <c r="N2" s="365" t="s">
        <v>48</v>
      </c>
      <c r="O2" s="365"/>
      <c r="P2" s="365"/>
      <c r="U2" s="211"/>
      <c r="V2" s="211"/>
      <c r="W2" s="354" t="s">
        <v>4</v>
      </c>
      <c r="X2" s="354"/>
      <c r="Y2" s="354" t="s">
        <v>7</v>
      </c>
      <c r="Z2" s="354"/>
      <c r="AA2" s="217"/>
      <c r="AB2" s="217"/>
      <c r="AC2" s="365" t="s">
        <v>48</v>
      </c>
      <c r="AD2" s="365"/>
      <c r="AE2" s="365"/>
      <c r="AF2" s="241"/>
      <c r="AH2" s="242" t="s">
        <v>49</v>
      </c>
      <c r="AI2" s="243"/>
      <c r="AJ2" s="243"/>
      <c r="AK2" s="231"/>
      <c r="AL2" s="231"/>
    </row>
    <row r="3" spans="1:38" ht="17.25" customHeight="1">
      <c r="A3" s="218" t="s">
        <v>12</v>
      </c>
      <c r="B3" s="218" t="s">
        <v>15</v>
      </c>
      <c r="C3" s="218" t="s">
        <v>13</v>
      </c>
      <c r="D3" s="218" t="s">
        <v>50</v>
      </c>
      <c r="E3" s="218" t="s">
        <v>51</v>
      </c>
      <c r="F3" s="218"/>
      <c r="G3" s="218" t="s">
        <v>14</v>
      </c>
      <c r="H3" s="218" t="s">
        <v>16</v>
      </c>
      <c r="I3" s="218" t="s">
        <v>17</v>
      </c>
      <c r="J3" s="218" t="s">
        <v>16</v>
      </c>
      <c r="K3" s="218" t="s">
        <v>17</v>
      </c>
      <c r="L3" s="218" t="s">
        <v>52</v>
      </c>
      <c r="M3" s="218" t="s">
        <v>53</v>
      </c>
      <c r="N3" s="24" t="s">
        <v>54</v>
      </c>
      <c r="O3" s="24" t="s">
        <v>55</v>
      </c>
      <c r="P3" s="24" t="s">
        <v>56</v>
      </c>
      <c r="Q3" s="231" t="s">
        <v>57</v>
      </c>
      <c r="U3" s="233" t="s">
        <v>12</v>
      </c>
      <c r="V3" s="234" t="s">
        <v>15</v>
      </c>
      <c r="W3" s="218" t="s">
        <v>20</v>
      </c>
      <c r="X3" s="218" t="s">
        <v>21</v>
      </c>
      <c r="Y3" s="218" t="s">
        <v>20</v>
      </c>
      <c r="Z3" s="218" t="s">
        <v>21</v>
      </c>
      <c r="AA3" s="218" t="s">
        <v>52</v>
      </c>
      <c r="AB3" s="218" t="s">
        <v>53</v>
      </c>
      <c r="AC3" s="24" t="s">
        <v>54</v>
      </c>
      <c r="AD3" s="24" t="s">
        <v>55</v>
      </c>
      <c r="AE3" s="24" t="s">
        <v>56</v>
      </c>
      <c r="AF3" s="82" t="s">
        <v>57</v>
      </c>
      <c r="AH3" s="244" t="s">
        <v>54</v>
      </c>
      <c r="AI3" s="244" t="s">
        <v>55</v>
      </c>
      <c r="AJ3" s="244" t="s">
        <v>56</v>
      </c>
      <c r="AK3" s="217" t="s">
        <v>58</v>
      </c>
      <c r="AL3" s="245">
        <v>0.24</v>
      </c>
    </row>
    <row r="4" spans="1:38" ht="14.25">
      <c r="A4" s="220">
        <v>43344</v>
      </c>
      <c r="B4" s="221">
        <v>0</v>
      </c>
      <c r="C4" s="222" t="s">
        <v>37</v>
      </c>
      <c r="D4" s="223">
        <f t="shared" ref="D4:D35" si="0">A4+B4</f>
        <v>43344</v>
      </c>
      <c r="E4" s="223">
        <f t="shared" ref="E4:E35" si="1">D5</f>
        <v>43344.333333333336</v>
      </c>
      <c r="F4" s="224">
        <f>SUMPRODUCT(('6烧主抽电耗'!$A$3:$A$96=$A4)*('6烧主抽电耗'!$D$3:$D$96=$C4),'6烧主抽电耗'!$E$3:$E$96)</f>
        <v>2</v>
      </c>
      <c r="G4" s="223" t="str">
        <f t="shared" ref="G4:G21" si="2">IF(AND(F4=1),"甲班",IF(AND(F4=2),"乙班",IF(AND(F4=3),"丙班",IF(AND(F4=4),"丁班",))))</f>
        <v>乙班</v>
      </c>
      <c r="H4" s="225">
        <v>43544360</v>
      </c>
      <c r="I4" s="225">
        <v>35020029</v>
      </c>
      <c r="J4" s="225" t="str">
        <f>IF(_cuofeng5_month_day!A2="","",_cuofeng5_month_day!A2)</f>
        <v/>
      </c>
      <c r="K4" s="225" t="str">
        <f>IF(_cuofeng5_month_day!B2="","",_cuofeng5_month_day!B2)</f>
        <v/>
      </c>
      <c r="L4" s="224">
        <f>IFERROR(SUMPRODUCT((_5shaozhuchou_month_day!$A$3:$A$900&gt;=D4)*(_5shaozhuchou_month_day!$A$3:$A$900&lt;E4),_5shaozhuchou_month_day!$Y$3:$Y$900)/SUMPRODUCT((_5shaozhuchou_month_day!$A$3:$A$900&gt;=D4)*(_5shaozhuchou_month_day!$A$3:$A$900&lt;E4)),0)</f>
        <v>0</v>
      </c>
      <c r="M4" s="224" t="e">
        <f>L4*(1-$AL$3)*#REF!*$AL$4*(E4-D4)*24</f>
        <v>#REF!</v>
      </c>
      <c r="N4" s="231">
        <f>IF(OR($B4=$AH$4,$B4=$AH$5),(($H5-$H4)+($I5-$I4))*3,0)</f>
        <v>0</v>
      </c>
      <c r="O4" s="231">
        <f>IF(OR($B4=$AI$4,$B4=$AI$5,$B4=$AI$6),(($H5-$H4)+($I5-$I4))*3,0)</f>
        <v>0</v>
      </c>
      <c r="P4" s="231">
        <f>IF(OR($B4=$AJ$4),(($H5-$H4)+($I5-$I4))*3,0)</f>
        <v>79491</v>
      </c>
      <c r="Q4" s="231"/>
      <c r="U4" s="220">
        <f>A4</f>
        <v>43344</v>
      </c>
      <c r="V4" s="221">
        <f>B4</f>
        <v>0</v>
      </c>
      <c r="W4" s="235"/>
      <c r="X4" s="236"/>
      <c r="Y4" s="229"/>
      <c r="Z4" s="229"/>
      <c r="AA4" s="82"/>
      <c r="AB4" s="82" t="e">
        <f>AA4*(1-$AL$3)*#REF!*$AL$4*(E4-D4)*24</f>
        <v>#REF!</v>
      </c>
      <c r="AC4" s="231">
        <f>IF(OR($V4=$AH$4,$V4=$AH$5),(($W5-$W4)+($X5-$X4))*3,0)</f>
        <v>0</v>
      </c>
      <c r="AD4" s="231">
        <f>IF(OR($V4=$AI$4,$V4=$AI$5,$V4=$AI$6),(($W5-$W4)+($X5-$X4))*3,0)</f>
        <v>0</v>
      </c>
      <c r="AE4" s="231">
        <f>IF(OR($V4=$AJ$4),(($W5-$W4)+($X5-$X4))*3,0)</f>
        <v>0</v>
      </c>
      <c r="AF4" s="82"/>
      <c r="AH4" s="246">
        <v>0.58333333333333304</v>
      </c>
      <c r="AI4" s="246">
        <v>0.33333333333333298</v>
      </c>
      <c r="AJ4" s="246">
        <v>0</v>
      </c>
      <c r="AK4" s="217" t="s">
        <v>61</v>
      </c>
      <c r="AL4" s="245">
        <v>0.86</v>
      </c>
    </row>
    <row r="5" spans="1:38" ht="15.75" customHeight="1">
      <c r="A5" s="226">
        <f>A4</f>
        <v>43344</v>
      </c>
      <c r="B5" s="221">
        <v>0.33333333333333298</v>
      </c>
      <c r="C5" s="222" t="s">
        <v>39</v>
      </c>
      <c r="D5" s="223">
        <f t="shared" si="0"/>
        <v>43344.333333333336</v>
      </c>
      <c r="E5" s="223">
        <f t="shared" si="1"/>
        <v>43344.583333333336</v>
      </c>
      <c r="F5" s="224">
        <f>SUMPRODUCT(('6烧主抽电耗'!$A$3:$A$96=$A5)*('6烧主抽电耗'!$D$3:$D$96=$C5),'6烧主抽电耗'!$E$3:$E$96)</f>
        <v>3</v>
      </c>
      <c r="G5" s="223" t="str">
        <f t="shared" si="2"/>
        <v>丙班</v>
      </c>
      <c r="H5" s="227">
        <v>43558538</v>
      </c>
      <c r="I5" s="227">
        <v>35032348</v>
      </c>
      <c r="J5" s="225" t="str">
        <f>IF(_cuofeng5_month_day!A3="","",_cuofeng5_month_day!A3)</f>
        <v/>
      </c>
      <c r="K5" s="225" t="str">
        <f>IF(_cuofeng5_month_day!B3="","",_cuofeng5_month_day!B3)</f>
        <v/>
      </c>
      <c r="L5" s="224">
        <f>IFERROR(SUMPRODUCT((_5shaozhuchou_month_day!$A$3:$A$900&gt;=D5)*(_5shaozhuchou_month_day!$A$3:$A$900&lt;E5),_5shaozhuchou_month_day!$Y$3:$Y$900)/SUMPRODUCT((_5shaozhuchou_month_day!$A$3:$A$900&gt;=D5)*(_5shaozhuchou_month_day!$A$3:$A$900&lt;E5)),0)</f>
        <v>0</v>
      </c>
      <c r="M5" s="224" t="e">
        <f>L5*(1-$AL$3)*#REF!*$AL$4*(E5-D5)*24</f>
        <v>#REF!</v>
      </c>
      <c r="N5" s="231">
        <f t="shared" ref="N5:N36" si="3">IF(OR($B5=$AH$4,$B5=$AH$5),(($H6-$H5)+($I6-$I5))*3,0)</f>
        <v>0</v>
      </c>
      <c r="O5" s="231">
        <f t="shared" ref="O5:O68" si="4">IF(OR($B5=$AI$4,$B5=$AI$5,$B5=$AI$6),(($H6-$H5)+($I6-$I5))*3,0)</f>
        <v>55554</v>
      </c>
      <c r="P5" s="231">
        <f t="shared" ref="P5:P68" si="5">IF(OR($B5=$AJ$4),(($H6-$H5)+($I6-$I5))*3,0)</f>
        <v>0</v>
      </c>
      <c r="Q5" s="82">
        <f>IF(OR($B5=$AH$4,$B4=$AH$5),($L4-$L5)*(1-$AL$3)*(E5-D5)*24*$AL$4*$AL$5,0)</f>
        <v>0</v>
      </c>
      <c r="U5" s="226">
        <f t="shared" ref="U5:U36" si="6">A5</f>
        <v>43344</v>
      </c>
      <c r="V5" s="221">
        <f t="shared" ref="V5:V68" si="7">B5</f>
        <v>0.33333333333333298</v>
      </c>
      <c r="W5" s="229"/>
      <c r="X5" s="229"/>
      <c r="Y5" s="229"/>
      <c r="Z5" s="229"/>
      <c r="AA5" s="82"/>
      <c r="AB5" s="82" t="e">
        <f>AA5*(1-$AL$3)*#REF!*$AL$4*(E5-D5)*24</f>
        <v>#REF!</v>
      </c>
      <c r="AC5" s="231">
        <f t="shared" ref="AC5:AC68" si="8">IF(OR($V5=$AH$4,$V5=$AH$5),(($W6-$W5)+($X6-$X5))*3,0)</f>
        <v>0</v>
      </c>
      <c r="AD5" s="231">
        <f t="shared" ref="AD5:AD68" si="9">IF(OR($V5=$AI$4,$V5=$AI$5,$V5=$AI$6),(($W6-$W5)+($X6-$X5))*3,0)</f>
        <v>0</v>
      </c>
      <c r="AE5" s="231">
        <f t="shared" ref="AE5:AE68" si="10">IF(OR($V5=$AJ$4),(($W6-$W5)+($X6-$X5))*3,0)</f>
        <v>0</v>
      </c>
      <c r="AF5" s="82">
        <f>IF(OR($V5=$AH$4,$V5=$AH$5),($AA4-$AA5)*(1-$AL$3)*(E5-D5)*24*$AL$4*$AL$5,0)</f>
        <v>0</v>
      </c>
      <c r="AH5" s="246">
        <v>0.79166666666666696</v>
      </c>
      <c r="AI5" s="246">
        <v>0.70833333333333304</v>
      </c>
      <c r="AJ5" s="244"/>
      <c r="AK5" s="217" t="s">
        <v>62</v>
      </c>
      <c r="AL5" s="245">
        <v>0.98</v>
      </c>
    </row>
    <row r="6" spans="1:38" ht="14.25">
      <c r="A6" s="226">
        <f>A5</f>
        <v>43344</v>
      </c>
      <c r="B6" s="221">
        <v>0.58333333333333304</v>
      </c>
      <c r="C6" s="222" t="s">
        <v>39</v>
      </c>
      <c r="D6" s="223">
        <f t="shared" si="0"/>
        <v>43344.583333333336</v>
      </c>
      <c r="E6" s="223">
        <f t="shared" si="1"/>
        <v>43344.708333333336</v>
      </c>
      <c r="F6" s="224">
        <f>SUMPRODUCT(('6烧主抽电耗'!$A$3:$A$96=$A6)*('6烧主抽电耗'!$D$3:$D$96=$C6),'6烧主抽电耗'!$E$3:$E$96)</f>
        <v>3</v>
      </c>
      <c r="G6" s="223" t="str">
        <f t="shared" si="2"/>
        <v>丙班</v>
      </c>
      <c r="H6" s="225">
        <v>43568114</v>
      </c>
      <c r="I6" s="225">
        <v>35041290</v>
      </c>
      <c r="J6" s="225" t="str">
        <f>IF(_cuofeng5_month_day!A4="","",_cuofeng5_month_day!A4)</f>
        <v/>
      </c>
      <c r="K6" s="225" t="str">
        <f>IF(_cuofeng5_month_day!B4="","",_cuofeng5_month_day!B4)</f>
        <v/>
      </c>
      <c r="L6" s="224">
        <f>IFERROR(SUMPRODUCT((_5shaozhuchou_month_day!$A$3:$A$900&gt;=D6)*(_5shaozhuchou_month_day!$A$3:$A$900&lt;E6),_5shaozhuchou_month_day!$Y$3:$Y$900)/SUMPRODUCT((_5shaozhuchou_month_day!$A$3:$A$900&gt;=D6)*(_5shaozhuchou_month_day!$A$3:$A$900&lt;E6)),0)</f>
        <v>0</v>
      </c>
      <c r="M6" s="224" t="e">
        <f>L6*(1-$AL$3)*#REF!*$AL$4*(E6-D6)*24</f>
        <v>#REF!</v>
      </c>
      <c r="N6" s="231">
        <f t="shared" si="3"/>
        <v>26994</v>
      </c>
      <c r="O6" s="231">
        <f t="shared" si="4"/>
        <v>0</v>
      </c>
      <c r="P6" s="231">
        <f t="shared" si="5"/>
        <v>0</v>
      </c>
      <c r="Q6" s="82" t="e">
        <f>IF(OR($B6=#REF!,$B5=$AH$4),($L5-$L6)*(1-$AL$3)*(E6-D6)*24*#REF!*$AL$4,0)</f>
        <v>#REF!</v>
      </c>
      <c r="U6" s="226">
        <f t="shared" si="6"/>
        <v>43344</v>
      </c>
      <c r="V6" s="221">
        <f t="shared" si="7"/>
        <v>0.58333333333333304</v>
      </c>
      <c r="W6" s="229"/>
      <c r="X6" s="229"/>
      <c r="Y6" s="229"/>
      <c r="Z6" s="229"/>
      <c r="AA6" s="82"/>
      <c r="AB6" s="82" t="e">
        <f>AA6*(1-$AL$3)*#REF!*$AL$4*(E6-D6)*24</f>
        <v>#REF!</v>
      </c>
      <c r="AC6" s="231">
        <f t="shared" si="8"/>
        <v>0</v>
      </c>
      <c r="AD6" s="231">
        <f t="shared" si="9"/>
        <v>0</v>
      </c>
      <c r="AE6" s="231">
        <f t="shared" si="10"/>
        <v>0</v>
      </c>
      <c r="AF6" s="82" t="e">
        <f>IF(OR($V6=#REF!,$V6=$AH$4),($AA5-$AA6)*(1-$AL$3)*(E6-D6)*24*#REF!*$AL$4,0)</f>
        <v>#REF!</v>
      </c>
      <c r="AH6" s="246"/>
      <c r="AI6" s="246">
        <v>0.91666666666666696</v>
      </c>
      <c r="AJ6" s="244"/>
      <c r="AK6" s="247"/>
      <c r="AL6" s="247"/>
    </row>
    <row r="7" spans="1:38" ht="14.25">
      <c r="A7" s="226">
        <f>A6</f>
        <v>43344</v>
      </c>
      <c r="B7" s="221">
        <v>0.70833333333333304</v>
      </c>
      <c r="C7" s="222" t="s">
        <v>41</v>
      </c>
      <c r="D7" s="223">
        <f t="shared" si="0"/>
        <v>43344.708333333336</v>
      </c>
      <c r="E7" s="223">
        <f t="shared" si="1"/>
        <v>43344.791666666664</v>
      </c>
      <c r="F7" s="224">
        <f>SUMPRODUCT(('6烧主抽电耗'!$A$3:$A$96=$A7)*('6烧主抽电耗'!$D$3:$D$96=$C7),'6烧主抽电耗'!$E$3:$E$96)</f>
        <v>4</v>
      </c>
      <c r="G7" s="223" t="str">
        <f t="shared" si="2"/>
        <v>丁班</v>
      </c>
      <c r="H7" s="225">
        <v>43572911</v>
      </c>
      <c r="I7" s="225">
        <v>35045491</v>
      </c>
      <c r="J7" s="225" t="str">
        <f>IF(_cuofeng5_month_day!A5="","",_cuofeng5_month_day!A5)</f>
        <v/>
      </c>
      <c r="K7" s="225" t="str">
        <f>IF(_cuofeng5_month_day!B5="","",_cuofeng5_month_day!B5)</f>
        <v/>
      </c>
      <c r="L7" s="224">
        <f>IFERROR(SUMPRODUCT((_5shaozhuchou_month_day!$A$3:$A$900&gt;=D7)*(_5shaozhuchou_month_day!$A$3:$A$900&lt;E7),_5shaozhuchou_month_day!$Y$3:$Y$900)/SUMPRODUCT((_5shaozhuchou_month_day!$A$3:$A$900&gt;=D7)*(_5shaozhuchou_month_day!$A$3:$A$900&lt;E7)),0)</f>
        <v>0</v>
      </c>
      <c r="M7" s="224" t="e">
        <f>L7*(1-$AL$3)*#REF!*$AL$4*(E7-D7)*24</f>
        <v>#REF!</v>
      </c>
      <c r="N7" s="231">
        <f t="shared" si="3"/>
        <v>0</v>
      </c>
      <c r="O7" s="231">
        <f t="shared" si="4"/>
        <v>18312</v>
      </c>
      <c r="P7" s="231">
        <f t="shared" si="5"/>
        <v>0</v>
      </c>
      <c r="Q7" s="82" t="e">
        <f>IF(OR($B7=#REF!,$B6=$AH$4),($L6-$L7)*(1-$AL$3)*(E7-D7)*24*#REF!*$AL$4,0)</f>
        <v>#REF!</v>
      </c>
      <c r="U7" s="226">
        <f t="shared" si="6"/>
        <v>43344</v>
      </c>
      <c r="V7" s="221">
        <f t="shared" si="7"/>
        <v>0.70833333333333304</v>
      </c>
      <c r="W7" s="237"/>
      <c r="X7" s="225"/>
      <c r="Y7" s="229"/>
      <c r="Z7" s="229"/>
      <c r="AA7" s="82"/>
      <c r="AB7" s="82" t="e">
        <f>AA7*(1-$AL$3)*#REF!*$AL$4*(E7-D7)*24</f>
        <v>#REF!</v>
      </c>
      <c r="AC7" s="231">
        <f t="shared" si="8"/>
        <v>0</v>
      </c>
      <c r="AD7" s="231">
        <f t="shared" si="9"/>
        <v>0</v>
      </c>
      <c r="AE7" s="231">
        <f t="shared" si="10"/>
        <v>0</v>
      </c>
      <c r="AF7" s="82" t="e">
        <f>IF(OR($V7=#REF!,$V7=$AH$4),($AA6-$AA7)*(1-$AL$3)*(E7-D7)*24*#REF!*$AL$4,0)</f>
        <v>#REF!</v>
      </c>
    </row>
    <row r="8" spans="1:38" ht="14.25">
      <c r="A8" s="226">
        <f>A7</f>
        <v>43344</v>
      </c>
      <c r="B8" s="221">
        <v>0.79166666666666696</v>
      </c>
      <c r="C8" s="222" t="s">
        <v>41</v>
      </c>
      <c r="D8" s="223">
        <f t="shared" si="0"/>
        <v>43344.791666666664</v>
      </c>
      <c r="E8" s="223">
        <f t="shared" si="1"/>
        <v>43344.916666666664</v>
      </c>
      <c r="F8" s="224">
        <f>SUMPRODUCT(('6烧主抽电耗'!$A$3:$A$96=$A8)*('6烧主抽电耗'!$D$3:$D$96=$C8),'6烧主抽电耗'!$E$3:$E$96)</f>
        <v>4</v>
      </c>
      <c r="G8" s="223" t="str">
        <f t="shared" si="2"/>
        <v>丁班</v>
      </c>
      <c r="H8" s="225">
        <v>43576186</v>
      </c>
      <c r="I8" s="225">
        <v>35048320</v>
      </c>
      <c r="J8" s="225" t="str">
        <f>IF(_cuofeng5_month_day!A6="","",_cuofeng5_month_day!A6)</f>
        <v/>
      </c>
      <c r="K8" s="225" t="str">
        <f>IF(_cuofeng5_month_day!B6="","",_cuofeng5_month_day!B6)</f>
        <v/>
      </c>
      <c r="L8" s="224">
        <f>IFERROR(SUMPRODUCT((_5shaozhuchou_month_day!$A$3:$A$900&gt;=D8)*(_5shaozhuchou_month_day!$A$3:$A$900&lt;E8),_5shaozhuchou_month_day!$Y$3:$Y$900)/SUMPRODUCT((_5shaozhuchou_month_day!$A$3:$A$900&gt;=D8)*(_5shaozhuchou_month_day!$A$3:$A$900&lt;E8)),0)</f>
        <v>0</v>
      </c>
      <c r="M8" s="224" t="e">
        <f>L8*(1-$AL$3)*#REF!*$AL$4*(E8-D8)*24</f>
        <v>#REF!</v>
      </c>
      <c r="N8" s="231">
        <f t="shared" si="3"/>
        <v>27519</v>
      </c>
      <c r="O8" s="231">
        <f t="shared" si="4"/>
        <v>0</v>
      </c>
      <c r="P8" s="231">
        <f t="shared" si="5"/>
        <v>0</v>
      </c>
      <c r="Q8" s="82" t="e">
        <f>IF(OR($B8=#REF!,$B7=$AH$4),($L7-$L8)*(1-$AL$3)*(E8-D8)*24*#REF!*$AL$4,0)</f>
        <v>#REF!</v>
      </c>
      <c r="U8" s="226">
        <f t="shared" si="6"/>
        <v>43344</v>
      </c>
      <c r="V8" s="221">
        <f t="shared" si="7"/>
        <v>0.79166666666666696</v>
      </c>
      <c r="W8" s="237"/>
      <c r="X8" s="225"/>
      <c r="Y8" s="229"/>
      <c r="Z8" s="229"/>
      <c r="AA8" s="82"/>
      <c r="AB8" s="82" t="e">
        <f>AA8*(1-$AL$3)*#REF!*$AL$4*(E8-D8)*24</f>
        <v>#REF!</v>
      </c>
      <c r="AC8" s="231">
        <f t="shared" si="8"/>
        <v>0</v>
      </c>
      <c r="AD8" s="231">
        <f t="shared" si="9"/>
        <v>0</v>
      </c>
      <c r="AE8" s="231">
        <f t="shared" si="10"/>
        <v>0</v>
      </c>
      <c r="AF8" s="82" t="e">
        <f>IF(OR($V8=#REF!,$V8=$AH$4),($AA7-$AA8)*(1-$AL$3)*(E8-D8)*24*#REF!*$AL$4,0)</f>
        <v>#REF!</v>
      </c>
    </row>
    <row r="9" spans="1:38" ht="14.25">
      <c r="A9" s="228">
        <f>A8</f>
        <v>43344</v>
      </c>
      <c r="B9" s="221">
        <v>0.91666666666666696</v>
      </c>
      <c r="C9" s="222" t="s">
        <v>41</v>
      </c>
      <c r="D9" s="223">
        <f t="shared" si="0"/>
        <v>43344.916666666664</v>
      </c>
      <c r="E9" s="223">
        <f t="shared" si="1"/>
        <v>43345</v>
      </c>
      <c r="F9" s="224">
        <f>SUMPRODUCT(('6烧主抽电耗'!$A$3:$A$96=$A9)*('6烧主抽电耗'!$D$3:$D$96=$C9),'6烧主抽电耗'!$E$3:$E$96)</f>
        <v>4</v>
      </c>
      <c r="G9" s="223" t="str">
        <f t="shared" si="2"/>
        <v>丁班</v>
      </c>
      <c r="H9" s="225">
        <v>43581134</v>
      </c>
      <c r="I9" s="225">
        <v>35052545</v>
      </c>
      <c r="J9" s="225" t="str">
        <f>IF(_cuofeng5_month_day!A7="","",_cuofeng5_month_day!A7)</f>
        <v/>
      </c>
      <c r="K9" s="225" t="str">
        <f>IF(_cuofeng5_month_day!B7="","",_cuofeng5_month_day!B7)</f>
        <v/>
      </c>
      <c r="L9" s="224">
        <f>IFERROR(SUMPRODUCT((_5shaozhuchou_month_day!$A$3:$A$900&gt;=D9)*(_5shaozhuchou_month_day!$A$3:$A$900&lt;E9),_5shaozhuchou_month_day!$Y$3:$Y$900)/SUMPRODUCT((_5shaozhuchou_month_day!$A$3:$A$900&gt;=D9)*(_5shaozhuchou_month_day!$A$3:$A$900&lt;E9)),0)</f>
        <v>0</v>
      </c>
      <c r="M9" s="224" t="e">
        <f>L9*(1-$AL$3)*#REF!*$AL$4*(E9-D9)*24</f>
        <v>#REF!</v>
      </c>
      <c r="N9" s="231">
        <f t="shared" si="3"/>
        <v>0</v>
      </c>
      <c r="O9" s="231">
        <f t="shared" si="4"/>
        <v>19014</v>
      </c>
      <c r="P9" s="231">
        <f t="shared" si="5"/>
        <v>0</v>
      </c>
      <c r="Q9" s="82" t="e">
        <f>IF(OR($B9=#REF!,$B8=$AH$4),($L8-$L9)*(1-$AL$3)*(E9-D9)*24*#REF!*$AL$4,0)</f>
        <v>#REF!</v>
      </c>
      <c r="U9" s="228">
        <f t="shared" si="6"/>
        <v>43344</v>
      </c>
      <c r="V9" s="221">
        <f t="shared" si="7"/>
        <v>0.91666666666666696</v>
      </c>
      <c r="W9" s="237"/>
      <c r="X9" s="225"/>
      <c r="Y9" s="229"/>
      <c r="Z9" s="229"/>
      <c r="AA9" s="82"/>
      <c r="AB9" s="82" t="e">
        <f>AA9*(1-$AL$3)*#REF!*$AL$4*(E9-D9)*24</f>
        <v>#REF!</v>
      </c>
      <c r="AC9" s="231">
        <f t="shared" si="8"/>
        <v>0</v>
      </c>
      <c r="AD9" s="231">
        <f t="shared" si="9"/>
        <v>0</v>
      </c>
      <c r="AE9" s="231">
        <f t="shared" si="10"/>
        <v>0</v>
      </c>
      <c r="AF9" s="82" t="e">
        <f>IF(OR($V9=#REF!,$V9=$AH$4),($AA8-$AA9)*(1-$AL$3)*(E9-D9)*24*#REF!*$AL$4,0)</f>
        <v>#REF!</v>
      </c>
    </row>
    <row r="10" spans="1:38" ht="14.25">
      <c r="A10" s="220">
        <f>A4+1</f>
        <v>43345</v>
      </c>
      <c r="B10" s="221">
        <v>0</v>
      </c>
      <c r="C10" s="222" t="s">
        <v>37</v>
      </c>
      <c r="D10" s="223">
        <f t="shared" si="0"/>
        <v>43345</v>
      </c>
      <c r="E10" s="223">
        <f t="shared" si="1"/>
        <v>43345.333333333336</v>
      </c>
      <c r="F10" s="224">
        <f>SUMPRODUCT(('6烧主抽电耗'!$A$3:$A$96=$A10)*('6烧主抽电耗'!$D$3:$D$96=$C10),'6烧主抽电耗'!$E$3:$E$96)</f>
        <v>1</v>
      </c>
      <c r="G10" s="223" t="str">
        <f t="shared" si="2"/>
        <v>甲班</v>
      </c>
      <c r="H10" s="229">
        <v>43584634</v>
      </c>
      <c r="I10" s="229">
        <v>35055383</v>
      </c>
      <c r="J10" s="225" t="str">
        <f>IF(_cuofeng5_month_day!A8="","",_cuofeng5_month_day!A8)</f>
        <v/>
      </c>
      <c r="K10" s="225" t="str">
        <f>IF(_cuofeng5_month_day!B8="","",_cuofeng5_month_day!B8)</f>
        <v/>
      </c>
      <c r="L10" s="224">
        <f>IFERROR(SUMPRODUCT((_5shaozhuchou_month_day!$A$3:$A$900&gt;=D10)*(_5shaozhuchou_month_day!$A$3:$A$900&lt;E10),_5shaozhuchou_month_day!$Y$3:$Y$900)/SUMPRODUCT((_5shaozhuchou_month_day!$A$3:$A$900&gt;=D10)*(_5shaozhuchou_month_day!$A$3:$A$900&lt;E10)),0)</f>
        <v>0</v>
      </c>
      <c r="M10" s="224" t="e">
        <f>L10*(1-$AL$3)*#REF!*$AL$4*(E10-D10)*24</f>
        <v>#REF!</v>
      </c>
      <c r="N10" s="231">
        <f t="shared" si="3"/>
        <v>0</v>
      </c>
      <c r="O10" s="231">
        <f t="shared" si="4"/>
        <v>0</v>
      </c>
      <c r="P10" s="231">
        <f t="shared" si="5"/>
        <v>76476</v>
      </c>
      <c r="Q10" s="82" t="e">
        <f>IF(OR($B10=#REF!,$B9=$AH$4),($L9-$L10)*(1-$AL$3)*(E10-D10)*24*#REF!*$AL$4,0)</f>
        <v>#REF!</v>
      </c>
      <c r="U10" s="220">
        <f t="shared" si="6"/>
        <v>43345</v>
      </c>
      <c r="V10" s="221">
        <f t="shared" si="7"/>
        <v>0</v>
      </c>
      <c r="W10" s="237"/>
      <c r="X10" s="225"/>
      <c r="Y10" s="229"/>
      <c r="Z10" s="229"/>
      <c r="AA10" s="82"/>
      <c r="AB10" s="82" t="e">
        <f>AA10*(1-$AL$3)*#REF!*$AL$4*(E10-D10)*24</f>
        <v>#REF!</v>
      </c>
      <c r="AC10" s="231">
        <f t="shared" si="8"/>
        <v>0</v>
      </c>
      <c r="AD10" s="231">
        <f t="shared" si="9"/>
        <v>0</v>
      </c>
      <c r="AE10" s="231">
        <f t="shared" si="10"/>
        <v>0</v>
      </c>
      <c r="AF10" s="82" t="e">
        <f>IF(OR($V10=#REF!,$V10=$AH$4),($AA9-$AA10)*(1-$AL$3)*(E10-D10)*24*#REF!*$AL$4,0)</f>
        <v>#REF!</v>
      </c>
    </row>
    <row r="11" spans="1:38" ht="14.25">
      <c r="A11" s="226">
        <f>A10</f>
        <v>43345</v>
      </c>
      <c r="B11" s="221">
        <v>0.33333333333333298</v>
      </c>
      <c r="C11" s="222" t="s">
        <v>37</v>
      </c>
      <c r="D11" s="223">
        <f t="shared" si="0"/>
        <v>43345.333333333336</v>
      </c>
      <c r="E11" s="223">
        <f t="shared" si="1"/>
        <v>43345.583333333336</v>
      </c>
      <c r="F11" s="224">
        <f>SUMPRODUCT(('6烧主抽电耗'!$A$3:$A$96=$A11)*('6烧主抽电耗'!$D$3:$D$96=$C11),'6烧主抽电耗'!$E$3:$E$96)</f>
        <v>1</v>
      </c>
      <c r="G11" s="223" t="str">
        <f t="shared" si="2"/>
        <v>甲班</v>
      </c>
      <c r="H11" s="225">
        <v>43598437</v>
      </c>
      <c r="I11" s="225">
        <v>35067072</v>
      </c>
      <c r="J11" s="225" t="str">
        <f>IF(_cuofeng5_month_day!A9="","",_cuofeng5_month_day!A9)</f>
        <v/>
      </c>
      <c r="K11" s="225" t="str">
        <f>IF(_cuofeng5_month_day!B9="","",_cuofeng5_month_day!B9)</f>
        <v/>
      </c>
      <c r="L11" s="224">
        <f>IFERROR(SUMPRODUCT((_5shaozhuchou_month_day!$A$3:$A$900&gt;=D11)*(_5shaozhuchou_month_day!$A$3:$A$900&lt;E11),_5shaozhuchou_month_day!$Y$3:$Y$900)/SUMPRODUCT((_5shaozhuchou_month_day!$A$3:$A$900&gt;=D11)*(_5shaozhuchou_month_day!$A$3:$A$900&lt;E11)),0)</f>
        <v>0</v>
      </c>
      <c r="M11" s="224" t="e">
        <f>L11*(1-$AL$3)*#REF!*$AL$4*(E11-D11)*24</f>
        <v>#REF!</v>
      </c>
      <c r="N11" s="231">
        <f t="shared" si="3"/>
        <v>0</v>
      </c>
      <c r="O11" s="231">
        <f t="shared" si="4"/>
        <v>61137</v>
      </c>
      <c r="P11" s="231">
        <f t="shared" si="5"/>
        <v>0</v>
      </c>
      <c r="Q11" s="82" t="e">
        <f>IF(OR($B11=#REF!,$B10=$AH$4),($L10-$L11)*(1-$AL$3)*(E11-D11)*24*#REF!*$AL$4,0)</f>
        <v>#REF!</v>
      </c>
      <c r="U11" s="226">
        <f t="shared" si="6"/>
        <v>43345</v>
      </c>
      <c r="V11" s="221">
        <f t="shared" si="7"/>
        <v>0.33333333333333298</v>
      </c>
      <c r="W11" s="237"/>
      <c r="X11" s="225"/>
      <c r="Y11" s="229"/>
      <c r="Z11" s="229"/>
      <c r="AA11" s="82"/>
      <c r="AB11" s="82" t="e">
        <f>AA11*(1-$AL$3)*#REF!*$AL$4*(E11-D11)*24</f>
        <v>#REF!</v>
      </c>
      <c r="AC11" s="231">
        <f t="shared" si="8"/>
        <v>0</v>
      </c>
      <c r="AD11" s="231">
        <f t="shared" si="9"/>
        <v>0</v>
      </c>
      <c r="AE11" s="231">
        <f t="shared" si="10"/>
        <v>0</v>
      </c>
      <c r="AF11" s="82" t="e">
        <f>IF(OR($V11=#REF!,$V11=$AH$4),($AA10-$AA11)*(1-$AL$3)*(E11-D11)*24*#REF!*$AL$4,0)</f>
        <v>#REF!</v>
      </c>
    </row>
    <row r="12" spans="1:38" ht="14.25">
      <c r="A12" s="226">
        <f>A11</f>
        <v>43345</v>
      </c>
      <c r="B12" s="221">
        <v>0.58333333333333304</v>
      </c>
      <c r="C12" s="222" t="s">
        <v>39</v>
      </c>
      <c r="D12" s="223">
        <f t="shared" si="0"/>
        <v>43345.583333333336</v>
      </c>
      <c r="E12" s="223">
        <f t="shared" si="1"/>
        <v>43345.708333333336</v>
      </c>
      <c r="F12" s="224">
        <f>SUMPRODUCT(('6烧主抽电耗'!$A$3:$A$96=$A12)*('6烧主抽电耗'!$D$3:$D$96=$C12),'6烧主抽电耗'!$E$3:$E$96)</f>
        <v>2</v>
      </c>
      <c r="G12" s="223" t="str">
        <f t="shared" si="2"/>
        <v>乙班</v>
      </c>
      <c r="H12" s="225">
        <v>43609448</v>
      </c>
      <c r="I12" s="225">
        <v>35076440</v>
      </c>
      <c r="J12" s="225" t="str">
        <f>IF(_cuofeng5_month_day!A10="","",_cuofeng5_month_day!A10)</f>
        <v/>
      </c>
      <c r="K12" s="225" t="str">
        <f>IF(_cuofeng5_month_day!B10="","",_cuofeng5_month_day!B10)</f>
        <v/>
      </c>
      <c r="L12" s="224">
        <f>IFERROR(SUMPRODUCT((_5shaozhuchou_month_day!$A$3:$A$900&gt;=D12)*(_5shaozhuchou_month_day!$A$3:$A$900&lt;E12),_5shaozhuchou_month_day!$Y$3:$Y$900)/SUMPRODUCT((_5shaozhuchou_month_day!$A$3:$A$900&gt;=D12)*(_5shaozhuchou_month_day!$A$3:$A$900&lt;E12)),0)</f>
        <v>0</v>
      </c>
      <c r="M12" s="224" t="e">
        <f>L12*(1-$AL$3)*#REF!*$AL$4*(E12-D12)*24</f>
        <v>#REF!</v>
      </c>
      <c r="N12" s="231">
        <f t="shared" si="3"/>
        <v>27591</v>
      </c>
      <c r="O12" s="231">
        <f t="shared" si="4"/>
        <v>0</v>
      </c>
      <c r="P12" s="231">
        <f t="shared" si="5"/>
        <v>0</v>
      </c>
      <c r="Q12" s="82" t="e">
        <f>IF(OR($B12=#REF!,$B11=$AH$4),($L11-$L12)*(1-$AL$3)*(E12-D12)*24*#REF!*$AL$4,0)</f>
        <v>#REF!</v>
      </c>
      <c r="U12" s="226">
        <f t="shared" si="6"/>
        <v>43345</v>
      </c>
      <c r="V12" s="221">
        <f t="shared" si="7"/>
        <v>0.58333333333333304</v>
      </c>
      <c r="W12" s="237"/>
      <c r="X12" s="225"/>
      <c r="Y12" s="229"/>
      <c r="Z12" s="229"/>
      <c r="AA12" s="82"/>
      <c r="AB12" s="82" t="e">
        <f>AA12*(1-$AL$3)*#REF!*$AL$4*(E12-D12)*24</f>
        <v>#REF!</v>
      </c>
      <c r="AC12" s="231">
        <f t="shared" si="8"/>
        <v>0</v>
      </c>
      <c r="AD12" s="231">
        <f t="shared" si="9"/>
        <v>0</v>
      </c>
      <c r="AE12" s="231">
        <f t="shared" si="10"/>
        <v>0</v>
      </c>
      <c r="AF12" s="82" t="e">
        <f>IF(OR($V12=#REF!,$V12=$AH$4),($AA11-$AA12)*(1-$AL$3)*(E12-D12)*24*#REF!*$AL$4,0)</f>
        <v>#REF!</v>
      </c>
    </row>
    <row r="13" spans="1:38" ht="14.25">
      <c r="A13" s="226">
        <f>A12</f>
        <v>43345</v>
      </c>
      <c r="B13" s="221">
        <v>0.70833333333333304</v>
      </c>
      <c r="C13" s="222" t="s">
        <v>41</v>
      </c>
      <c r="D13" s="223">
        <f t="shared" si="0"/>
        <v>43345.708333333336</v>
      </c>
      <c r="E13" s="223">
        <f t="shared" si="1"/>
        <v>43345.791666666664</v>
      </c>
      <c r="F13" s="224">
        <f>SUMPRODUCT(('6烧主抽电耗'!$A$3:$A$96=$A13)*('6烧主抽电耗'!$D$3:$D$96=$C13),'6烧主抽电耗'!$E$3:$E$96)</f>
        <v>3</v>
      </c>
      <c r="G13" s="223" t="str">
        <f t="shared" si="2"/>
        <v>丙班</v>
      </c>
      <c r="H13" s="230">
        <v>43614372</v>
      </c>
      <c r="I13" s="232">
        <v>35080713</v>
      </c>
      <c r="J13" s="225" t="str">
        <f>IF(_cuofeng5_month_day!A11="","",_cuofeng5_month_day!A11)</f>
        <v/>
      </c>
      <c r="K13" s="225" t="str">
        <f>IF(_cuofeng5_month_day!B11="","",_cuofeng5_month_day!B11)</f>
        <v/>
      </c>
      <c r="L13" s="224">
        <f>IFERROR(SUMPRODUCT((_5shaozhuchou_month_day!$A$3:$A$900&gt;=D13)*(_5shaozhuchou_month_day!$A$3:$A$900&lt;E13),_5shaozhuchou_month_day!$Y$3:$Y$900)/SUMPRODUCT((_5shaozhuchou_month_day!$A$3:$A$900&gt;=D13)*(_5shaozhuchou_month_day!$A$3:$A$900&lt;E13)),0)</f>
        <v>0</v>
      </c>
      <c r="M13" s="224" t="e">
        <f>L13*(1-$AL$3)*#REF!*$AL$4*(E13-D13)*24</f>
        <v>#REF!</v>
      </c>
      <c r="N13" s="231">
        <f t="shared" si="3"/>
        <v>0</v>
      </c>
      <c r="O13" s="231">
        <f t="shared" si="4"/>
        <v>28542</v>
      </c>
      <c r="P13" s="231">
        <f t="shared" si="5"/>
        <v>0</v>
      </c>
      <c r="Q13" s="82" t="e">
        <f>IF(OR($B13=#REF!,$B12=$AH$4),($L12-$L13)*(1-$AL$3)*(E13-D13)*24*#REF!*$AL$4,0)</f>
        <v>#REF!</v>
      </c>
      <c r="U13" s="226">
        <f t="shared" si="6"/>
        <v>43345</v>
      </c>
      <c r="V13" s="221">
        <f t="shared" si="7"/>
        <v>0.70833333333333304</v>
      </c>
      <c r="W13" s="229"/>
      <c r="X13" s="229"/>
      <c r="Y13" s="229"/>
      <c r="Z13" s="229"/>
      <c r="AA13" s="82"/>
      <c r="AB13" s="82" t="e">
        <f>AA13*(1-$AL$3)*#REF!*$AL$4*(E13-D13)*24</f>
        <v>#REF!</v>
      </c>
      <c r="AC13" s="231">
        <f t="shared" si="8"/>
        <v>0</v>
      </c>
      <c r="AD13" s="231">
        <f t="shared" si="9"/>
        <v>0</v>
      </c>
      <c r="AE13" s="231">
        <f t="shared" si="10"/>
        <v>0</v>
      </c>
      <c r="AF13" s="82" t="e">
        <f>IF(OR($V13=#REF!,$V13=$AH$4),($AA12-$AA13)*(1-$AL$3)*(E13-D13)*24*#REF!*$AL$4,0)</f>
        <v>#REF!</v>
      </c>
    </row>
    <row r="14" spans="1:38" ht="14.25">
      <c r="A14" s="226">
        <f>A13</f>
        <v>43345</v>
      </c>
      <c r="B14" s="221">
        <v>0.79166666666666696</v>
      </c>
      <c r="C14" s="222" t="s">
        <v>41</v>
      </c>
      <c r="D14" s="223">
        <f t="shared" si="0"/>
        <v>43345.791666666664</v>
      </c>
      <c r="E14" s="223">
        <f t="shared" si="1"/>
        <v>43345.916666666664</v>
      </c>
      <c r="F14" s="224">
        <f>SUMPRODUCT(('6烧主抽电耗'!$A$3:$A$96=$A14)*('6烧主抽电耗'!$D$3:$D$96=$C14),'6烧主抽电耗'!$E$3:$E$96)</f>
        <v>3</v>
      </c>
      <c r="G14" s="223" t="str">
        <f t="shared" si="2"/>
        <v>丙班</v>
      </c>
      <c r="H14" s="225">
        <v>43620023</v>
      </c>
      <c r="I14" s="225">
        <v>35084576</v>
      </c>
      <c r="J14" s="225" t="str">
        <f>IF(_cuofeng5_month_day!A12="","",_cuofeng5_month_day!A12)</f>
        <v/>
      </c>
      <c r="K14" s="225" t="str">
        <f>IF(_cuofeng5_month_day!B12="","",_cuofeng5_month_day!B12)</f>
        <v/>
      </c>
      <c r="L14" s="224">
        <f>IFERROR(SUMPRODUCT((_5shaozhuchou_month_day!$A$3:$A$900&gt;=D14)*(_5shaozhuchou_month_day!$A$3:$A$900&lt;E14),_5shaozhuchou_month_day!$Y$3:$Y$900)/SUMPRODUCT((_5shaozhuchou_month_day!$A$3:$A$900&gt;=D14)*(_5shaozhuchou_month_day!$A$3:$A$900&lt;E14)),0)</f>
        <v>0</v>
      </c>
      <c r="M14" s="224" t="e">
        <f>L14*(1-$AL$3)*#REF!*$AL$4*(E14-D14)*24</f>
        <v>#REF!</v>
      </c>
      <c r="N14" s="231">
        <f t="shared" si="3"/>
        <v>24474</v>
      </c>
      <c r="O14" s="231">
        <f t="shared" si="4"/>
        <v>0</v>
      </c>
      <c r="P14" s="231">
        <f t="shared" si="5"/>
        <v>0</v>
      </c>
      <c r="Q14" s="82" t="e">
        <f>IF(OR($B14=#REF!,$B13=$AH$4),($L13-$L14)*(1-$AL$3)*(E14-D14)*24*#REF!*$AL$4,0)</f>
        <v>#REF!</v>
      </c>
      <c r="U14" s="226">
        <f t="shared" si="6"/>
        <v>43345</v>
      </c>
      <c r="V14" s="221">
        <f t="shared" si="7"/>
        <v>0.79166666666666696</v>
      </c>
      <c r="W14" s="229"/>
      <c r="X14" s="229"/>
      <c r="Y14" s="229"/>
      <c r="Z14" s="229"/>
      <c r="AA14" s="82"/>
      <c r="AB14" s="82" t="e">
        <f>AA14*(1-$AL$3)*#REF!*$AL$4*(E14-D14)*24</f>
        <v>#REF!</v>
      </c>
      <c r="AC14" s="231">
        <f t="shared" si="8"/>
        <v>0</v>
      </c>
      <c r="AD14" s="231">
        <f t="shared" si="9"/>
        <v>0</v>
      </c>
      <c r="AE14" s="231">
        <f t="shared" si="10"/>
        <v>0</v>
      </c>
      <c r="AF14" s="82" t="e">
        <f>IF(OR($V14=#REF!,$V14=$AH$4),($AA13-$AA14)*(1-$AL$3)*(E14-D14)*24*#REF!*$AL$4,0)</f>
        <v>#REF!</v>
      </c>
    </row>
    <row r="15" spans="1:38" ht="14.25">
      <c r="A15" s="228">
        <f>A14</f>
        <v>43345</v>
      </c>
      <c r="B15" s="221">
        <v>0.91666666666666696</v>
      </c>
      <c r="C15" s="222" t="s">
        <v>41</v>
      </c>
      <c r="D15" s="223">
        <f t="shared" si="0"/>
        <v>43345.916666666664</v>
      </c>
      <c r="E15" s="223">
        <f t="shared" si="1"/>
        <v>43346</v>
      </c>
      <c r="F15" s="224">
        <f>SUMPRODUCT(('6烧主抽电耗'!$A$3:$A$96=$A15)*('6烧主抽电耗'!$D$3:$D$96=$C15),'6烧主抽电耗'!$E$3:$E$96)</f>
        <v>3</v>
      </c>
      <c r="G15" s="223" t="str">
        <f t="shared" si="2"/>
        <v>丙班</v>
      </c>
      <c r="H15" s="225">
        <v>43624041</v>
      </c>
      <c r="I15" s="225">
        <v>35088716</v>
      </c>
      <c r="J15" s="225" t="str">
        <f>IF(_cuofeng5_month_day!A13="","",_cuofeng5_month_day!A13)</f>
        <v/>
      </c>
      <c r="K15" s="225" t="str">
        <f>IF(_cuofeng5_month_day!B13="","",_cuofeng5_month_day!B13)</f>
        <v/>
      </c>
      <c r="L15" s="224">
        <f>IFERROR(SUMPRODUCT((_5shaozhuchou_month_day!$A$3:$A$900&gt;=D15)*(_5shaozhuchou_month_day!$A$3:$A$900&lt;E15),_5shaozhuchou_month_day!$Y$3:$Y$900)/SUMPRODUCT((_5shaozhuchou_month_day!$A$3:$A$900&gt;=D15)*(_5shaozhuchou_month_day!$A$3:$A$900&lt;E15)),0)</f>
        <v>0</v>
      </c>
      <c r="M15" s="224" t="e">
        <f>L15*(1-$AL$3)*#REF!*$AL$4*(E15-D15)*24</f>
        <v>#REF!</v>
      </c>
      <c r="N15" s="231">
        <f t="shared" si="3"/>
        <v>0</v>
      </c>
      <c r="O15" s="231">
        <f t="shared" si="4"/>
        <v>12243</v>
      </c>
      <c r="P15" s="231">
        <f t="shared" si="5"/>
        <v>0</v>
      </c>
      <c r="Q15" s="82" t="e">
        <f>IF(OR($B15=#REF!,$B14=$AH$4),($L14-$L15)*(1-$AL$3)*(E15-D15)*24*#REF!*$AL$4,0)</f>
        <v>#REF!</v>
      </c>
      <c r="U15" s="228">
        <f t="shared" si="6"/>
        <v>43345</v>
      </c>
      <c r="V15" s="221">
        <f t="shared" si="7"/>
        <v>0.91666666666666696</v>
      </c>
      <c r="W15" s="229"/>
      <c r="X15" s="229"/>
      <c r="Y15" s="229"/>
      <c r="Z15" s="229"/>
      <c r="AA15" s="82"/>
      <c r="AB15" s="82" t="e">
        <f>AA15*(1-$AL$3)*#REF!*$AL$4*(E15-D15)*24</f>
        <v>#REF!</v>
      </c>
      <c r="AC15" s="231">
        <f t="shared" si="8"/>
        <v>0</v>
      </c>
      <c r="AD15" s="231">
        <f t="shared" si="9"/>
        <v>0</v>
      </c>
      <c r="AE15" s="231">
        <f t="shared" si="10"/>
        <v>0</v>
      </c>
      <c r="AF15" s="82" t="e">
        <f>IF(OR($V15=#REF!,$V15=$AH$4),($AA14-$AA15)*(1-$AL$3)*(E15-D15)*24*#REF!*$AL$4,0)</f>
        <v>#REF!</v>
      </c>
    </row>
    <row r="16" spans="1:38" ht="14.25">
      <c r="A16" s="220">
        <f>A10+1</f>
        <v>43346</v>
      </c>
      <c r="B16" s="221">
        <v>0</v>
      </c>
      <c r="C16" s="222" t="s">
        <v>37</v>
      </c>
      <c r="D16" s="223">
        <f t="shared" si="0"/>
        <v>43346</v>
      </c>
      <c r="E16" s="223">
        <f t="shared" si="1"/>
        <v>43346.333333333336</v>
      </c>
      <c r="F16" s="224">
        <f>SUMPRODUCT(('6烧主抽电耗'!$A$3:$A$96=$A16)*('6烧主抽电耗'!$D$3:$D$96=$C16),'6烧主抽电耗'!$E$3:$E$96)</f>
        <v>1</v>
      </c>
      <c r="G16" s="223" t="str">
        <f t="shared" si="2"/>
        <v>甲班</v>
      </c>
      <c r="H16" s="225">
        <v>43626051</v>
      </c>
      <c r="I16" s="225">
        <v>35090787</v>
      </c>
      <c r="J16" s="225" t="str">
        <f>IF(_cuofeng5_month_day!A14="","",_cuofeng5_month_day!A14)</f>
        <v/>
      </c>
      <c r="K16" s="225" t="str">
        <f>IF(_cuofeng5_month_day!B14="","",_cuofeng5_month_day!B14)</f>
        <v/>
      </c>
      <c r="L16" s="224">
        <f>IFERROR(SUMPRODUCT((_5shaozhuchou_month_day!$A$3:$A$900&gt;=D16)*(_5shaozhuchou_month_day!$A$3:$A$900&lt;E16),_5shaozhuchou_month_day!$Y$3:$Y$900)/SUMPRODUCT((_5shaozhuchou_month_day!$A$3:$A$900&gt;=D16)*(_5shaozhuchou_month_day!$A$3:$A$900&lt;E16)),0)</f>
        <v>0</v>
      </c>
      <c r="M16" s="224" t="e">
        <f>L16*(1-$AL$3)*#REF!*$AL$4*(E16-D16)*24</f>
        <v>#REF!</v>
      </c>
      <c r="N16" s="231">
        <f t="shared" si="3"/>
        <v>0</v>
      </c>
      <c r="O16" s="231">
        <f t="shared" si="4"/>
        <v>0</v>
      </c>
      <c r="P16" s="231">
        <f t="shared" si="5"/>
        <v>77343</v>
      </c>
      <c r="Q16" s="82" t="e">
        <f>IF(OR($B16=#REF!,$B15=$AH$4),($L15-$L16)*(1-$AL$3)*(E16-D16)*24*#REF!*$AL$4,0)</f>
        <v>#REF!</v>
      </c>
      <c r="U16" s="220">
        <f t="shared" si="6"/>
        <v>43346</v>
      </c>
      <c r="V16" s="221">
        <f t="shared" si="7"/>
        <v>0</v>
      </c>
      <c r="W16" s="237"/>
      <c r="X16" s="225"/>
      <c r="Y16" s="229"/>
      <c r="Z16" s="229"/>
      <c r="AA16" s="82"/>
      <c r="AB16" s="82" t="e">
        <f>AA16*(1-$AL$3)*#REF!*$AL$4*(E16-D16)*24</f>
        <v>#REF!</v>
      </c>
      <c r="AC16" s="231">
        <f t="shared" si="8"/>
        <v>0</v>
      </c>
      <c r="AD16" s="231">
        <f t="shared" si="9"/>
        <v>0</v>
      </c>
      <c r="AE16" s="231">
        <f t="shared" si="10"/>
        <v>0</v>
      </c>
      <c r="AF16" s="82" t="e">
        <f>IF(OR($V16=#REF!,$V16=$AH$4),($AA15-$AA16)*(1-$AL$3)*(E16-D16)*24*#REF!*$AL$4,0)</f>
        <v>#REF!</v>
      </c>
    </row>
    <row r="17" spans="1:32" ht="14.25">
      <c r="A17" s="226">
        <f t="shared" ref="A17:A80" si="11">A16</f>
        <v>43346</v>
      </c>
      <c r="B17" s="221">
        <v>0.33333333333333298</v>
      </c>
      <c r="C17" s="222" t="s">
        <v>39</v>
      </c>
      <c r="D17" s="223">
        <f t="shared" si="0"/>
        <v>43346.333333333336</v>
      </c>
      <c r="E17" s="223">
        <f t="shared" si="1"/>
        <v>43346.583333333336</v>
      </c>
      <c r="F17" s="224">
        <f>SUMPRODUCT(('6烧主抽电耗'!$A$3:$A$96=$A17)*('6烧主抽电耗'!$D$3:$D$96=$C17),'6烧主抽电耗'!$E$3:$E$96)</f>
        <v>2</v>
      </c>
      <c r="G17" s="223" t="str">
        <f t="shared" si="2"/>
        <v>乙班</v>
      </c>
      <c r="H17" s="225">
        <v>43639962</v>
      </c>
      <c r="I17" s="225">
        <v>35102657</v>
      </c>
      <c r="J17" s="225" t="str">
        <f>IF(_cuofeng5_month_day!A15="","",_cuofeng5_month_day!A15)</f>
        <v/>
      </c>
      <c r="K17" s="225" t="str">
        <f>IF(_cuofeng5_month_day!B15="","",_cuofeng5_month_day!B15)</f>
        <v/>
      </c>
      <c r="L17" s="224">
        <f>IFERROR(SUMPRODUCT((_5shaozhuchou_month_day!$A$3:$A$900&gt;=D17)*(_5shaozhuchou_month_day!$A$3:$A$900&lt;E17),_5shaozhuchou_month_day!$Y$3:$Y$900)/SUMPRODUCT((_5shaozhuchou_month_day!$A$3:$A$900&gt;=D17)*(_5shaozhuchou_month_day!$A$3:$A$900&lt;E17)),0)</f>
        <v>0</v>
      </c>
      <c r="M17" s="224" t="e">
        <f>L17*(1-$AL$3)*#REF!*$AL$4*(E17-D17)*24</f>
        <v>#REF!</v>
      </c>
      <c r="N17" s="231">
        <f t="shared" si="3"/>
        <v>0</v>
      </c>
      <c r="O17" s="231">
        <f t="shared" si="4"/>
        <v>59895</v>
      </c>
      <c r="P17" s="231">
        <f t="shared" si="5"/>
        <v>0</v>
      </c>
      <c r="Q17" s="82" t="e">
        <f>IF(OR($B17=#REF!,$B16=$AH$4),($L16-$L17)*(1-$AL$3)*(E17-D17)*24*#REF!*$AL$4,0)</f>
        <v>#REF!</v>
      </c>
      <c r="U17" s="226">
        <f t="shared" si="6"/>
        <v>43346</v>
      </c>
      <c r="V17" s="221">
        <f t="shared" si="7"/>
        <v>0.33333333333333298</v>
      </c>
      <c r="W17" s="237"/>
      <c r="X17" s="225"/>
      <c r="Y17" s="229"/>
      <c r="Z17" s="229"/>
      <c r="AA17" s="82"/>
      <c r="AB17" s="82" t="e">
        <f>AA17*(1-$AL$3)*#REF!*$AL$4*(E17-D17)*24</f>
        <v>#REF!</v>
      </c>
      <c r="AC17" s="231">
        <f t="shared" si="8"/>
        <v>0</v>
      </c>
      <c r="AD17" s="231">
        <f t="shared" si="9"/>
        <v>0</v>
      </c>
      <c r="AE17" s="231">
        <f t="shared" si="10"/>
        <v>0</v>
      </c>
      <c r="AF17" s="82" t="e">
        <f>IF(OR($V17=#REF!,$V17=$AH$4),($AA16-$AA17)*(1-$AL$3)*(E17-D17)*24*#REF!*$AL$4,0)</f>
        <v>#REF!</v>
      </c>
    </row>
    <row r="18" spans="1:32" ht="14.25">
      <c r="A18" s="226">
        <f t="shared" si="11"/>
        <v>43346</v>
      </c>
      <c r="B18" s="221">
        <v>0.58333333333333304</v>
      </c>
      <c r="C18" s="222" t="s">
        <v>39</v>
      </c>
      <c r="D18" s="223">
        <f t="shared" si="0"/>
        <v>43346.583333333336</v>
      </c>
      <c r="E18" s="223">
        <f t="shared" si="1"/>
        <v>43346.708333333336</v>
      </c>
      <c r="F18" s="224">
        <f>SUMPRODUCT(('6烧主抽电耗'!$A$3:$A$96=$A18)*('6烧主抽电耗'!$D$3:$D$96=$C18),'6烧主抽电耗'!$E$3:$E$96)</f>
        <v>2</v>
      </c>
      <c r="G18" s="223" t="str">
        <f t="shared" si="2"/>
        <v>乙班</v>
      </c>
      <c r="H18" s="225">
        <v>43650688</v>
      </c>
      <c r="I18" s="225">
        <v>35111896</v>
      </c>
      <c r="J18" s="225" t="str">
        <f>IF(_cuofeng5_month_day!A16="","",_cuofeng5_month_day!A16)</f>
        <v/>
      </c>
      <c r="K18" s="225" t="str">
        <f>IF(_cuofeng5_month_day!B16="","",_cuofeng5_month_day!B16)</f>
        <v/>
      </c>
      <c r="L18" s="224">
        <f>IFERROR(SUMPRODUCT((_5shaozhuchou_month_day!$A$3:$A$900&gt;=D18)*(_5shaozhuchou_month_day!$A$3:$A$900&lt;E18),_5shaozhuchou_month_day!$Y$3:$Y$900)/SUMPRODUCT((_5shaozhuchou_month_day!$A$3:$A$900&gt;=D18)*(_5shaozhuchou_month_day!$A$3:$A$900&lt;E18)),0)</f>
        <v>0</v>
      </c>
      <c r="M18" s="224" t="e">
        <f>L18*(1-$AL$3)*#REF!*$AL$4*(E18-D18)*24</f>
        <v>#REF!</v>
      </c>
      <c r="N18" s="231">
        <f t="shared" si="3"/>
        <v>33084</v>
      </c>
      <c r="O18" s="231">
        <f t="shared" si="4"/>
        <v>0</v>
      </c>
      <c r="P18" s="231">
        <f t="shared" si="5"/>
        <v>0</v>
      </c>
      <c r="Q18" s="82" t="e">
        <f>IF(OR($B18=#REF!,$B17=$AH$4),($L17-$L18)*(1-$AL$3)*(E18-D18)*24*#REF!*$AL$4,0)</f>
        <v>#REF!</v>
      </c>
      <c r="U18" s="226">
        <f t="shared" si="6"/>
        <v>43346</v>
      </c>
      <c r="V18" s="221">
        <f t="shared" si="7"/>
        <v>0.58333333333333304</v>
      </c>
      <c r="W18" s="229"/>
      <c r="X18" s="229"/>
      <c r="Y18" s="229"/>
      <c r="Z18" s="229"/>
      <c r="AA18" s="82"/>
      <c r="AB18" s="82" t="e">
        <f>AA18*(1-$AL$3)*#REF!*$AL$4*(E18-D18)*24</f>
        <v>#REF!</v>
      </c>
      <c r="AC18" s="231">
        <f t="shared" si="8"/>
        <v>0</v>
      </c>
      <c r="AD18" s="231">
        <f t="shared" si="9"/>
        <v>0</v>
      </c>
      <c r="AE18" s="231">
        <f t="shared" si="10"/>
        <v>0</v>
      </c>
      <c r="AF18" s="82" t="e">
        <f>IF(OR($V18=#REF!,$V18=$AH$4),($AA17-$AA18)*(1-$AL$3)*(E18-D18)*24*#REF!*$AL$4,0)</f>
        <v>#REF!</v>
      </c>
    </row>
    <row r="19" spans="1:32" ht="14.25">
      <c r="A19" s="226">
        <f t="shared" si="11"/>
        <v>43346</v>
      </c>
      <c r="B19" s="221">
        <v>0.70833333333333304</v>
      </c>
      <c r="C19" s="222" t="s">
        <v>41</v>
      </c>
      <c r="D19" s="223">
        <f t="shared" si="0"/>
        <v>43346.708333333336</v>
      </c>
      <c r="E19" s="223">
        <f t="shared" si="1"/>
        <v>43346.791666666664</v>
      </c>
      <c r="F19" s="224">
        <f>SUMPRODUCT(('6烧主抽电耗'!$A$3:$A$96=$A19)*('6烧主抽电耗'!$D$3:$D$96=$C19),'6烧主抽电耗'!$E$3:$E$96)</f>
        <v>3</v>
      </c>
      <c r="G19" s="223" t="str">
        <f t="shared" si="2"/>
        <v>丙班</v>
      </c>
      <c r="H19" s="225">
        <v>43656696</v>
      </c>
      <c r="I19" s="225">
        <v>35116916</v>
      </c>
      <c r="J19" s="225" t="str">
        <f>IF(_cuofeng5_month_day!A17="","",_cuofeng5_month_day!A17)</f>
        <v/>
      </c>
      <c r="K19" s="225" t="str">
        <f>IF(_cuofeng5_month_day!B17="","",_cuofeng5_month_day!B17)</f>
        <v/>
      </c>
      <c r="L19" s="224">
        <f>IFERROR(SUMPRODUCT((_5shaozhuchou_month_day!$A$3:$A$900&gt;=D19)*(_5shaozhuchou_month_day!$A$3:$A$900&lt;E19),_5shaozhuchou_month_day!$Y$3:$Y$900)/SUMPRODUCT((_5shaozhuchou_month_day!$A$3:$A$900&gt;=D19)*(_5shaozhuchou_month_day!$A$3:$A$900&lt;E19)),0)</f>
        <v>0</v>
      </c>
      <c r="M19" s="224" t="e">
        <f>L19*(1-$AL$3)*#REF!*$AL$4*(E19-D19)*24</f>
        <v>#REF!</v>
      </c>
      <c r="N19" s="231">
        <f t="shared" si="3"/>
        <v>0</v>
      </c>
      <c r="O19" s="231">
        <f t="shared" si="4"/>
        <v>22371</v>
      </c>
      <c r="P19" s="231">
        <f t="shared" si="5"/>
        <v>0</v>
      </c>
      <c r="Q19" s="82" t="e">
        <f>IF(OR($B19=#REF!,$B18=$AH$4),($L18-$L19)*(1-$AL$3)*(E19-D19)*24*#REF!*$AL$4,0)</f>
        <v>#REF!</v>
      </c>
      <c r="U19" s="226">
        <f t="shared" si="6"/>
        <v>43346</v>
      </c>
      <c r="V19" s="221">
        <f t="shared" si="7"/>
        <v>0.70833333333333304</v>
      </c>
      <c r="W19" s="229"/>
      <c r="X19" s="229"/>
      <c r="Y19" s="229"/>
      <c r="Z19" s="229"/>
      <c r="AA19" s="82"/>
      <c r="AB19" s="82" t="e">
        <f>AA19*(1-$AL$3)*#REF!*$AL$4*(E19-D19)*24</f>
        <v>#REF!</v>
      </c>
      <c r="AC19" s="231">
        <f t="shared" si="8"/>
        <v>0</v>
      </c>
      <c r="AD19" s="231">
        <f t="shared" si="9"/>
        <v>0</v>
      </c>
      <c r="AE19" s="231">
        <f t="shared" si="10"/>
        <v>0</v>
      </c>
      <c r="AF19" s="82" t="e">
        <f>IF(OR($V19=#REF!,$V19=$AH$4),($AA18-$AA19)*(1-$AL$3)*(E19-D19)*24*#REF!*$AL$4,0)</f>
        <v>#REF!</v>
      </c>
    </row>
    <row r="20" spans="1:32" ht="14.25">
      <c r="A20" s="226">
        <f t="shared" si="11"/>
        <v>43346</v>
      </c>
      <c r="B20" s="221">
        <v>0.79166666666666696</v>
      </c>
      <c r="C20" s="222" t="s">
        <v>41</v>
      </c>
      <c r="D20" s="223">
        <f t="shared" si="0"/>
        <v>43346.791666666664</v>
      </c>
      <c r="E20" s="223">
        <f t="shared" si="1"/>
        <v>43346.916666666664</v>
      </c>
      <c r="F20" s="224">
        <f>SUMPRODUCT(('6烧主抽电耗'!$A$3:$A$96=$A20)*('6烧主抽电耗'!$D$3:$D$96=$C20),'6烧主抽电耗'!$E$3:$E$96)</f>
        <v>3</v>
      </c>
      <c r="G20" s="223" t="str">
        <f t="shared" si="2"/>
        <v>丙班</v>
      </c>
      <c r="H20" s="225">
        <v>43660785</v>
      </c>
      <c r="I20" s="225">
        <v>35120284</v>
      </c>
      <c r="J20" s="225" t="str">
        <f>IF(_cuofeng5_month_day!A18="","",_cuofeng5_month_day!A18)</f>
        <v/>
      </c>
      <c r="K20" s="225" t="str">
        <f>IF(_cuofeng5_month_day!B18="","",_cuofeng5_month_day!B18)</f>
        <v/>
      </c>
      <c r="L20" s="224">
        <f>IFERROR(SUMPRODUCT((_5shaozhuchou_month_day!$A$3:$A$900&gt;=D20)*(_5shaozhuchou_month_day!$A$3:$A$900&lt;E20),_5shaozhuchou_month_day!$Y$3:$Y$900)/SUMPRODUCT((_5shaozhuchou_month_day!$A$3:$A$900&gt;=D20)*(_5shaozhuchou_month_day!$A$3:$A$900&lt;E20)),0)</f>
        <v>0</v>
      </c>
      <c r="M20" s="224" t="e">
        <f>L20*(1-$AL$3)*#REF!*$AL$4*(E20-D20)*24</f>
        <v>#REF!</v>
      </c>
      <c r="N20" s="231">
        <f t="shared" si="3"/>
        <v>25659</v>
      </c>
      <c r="O20" s="231">
        <f t="shared" si="4"/>
        <v>0</v>
      </c>
      <c r="P20" s="231">
        <f t="shared" si="5"/>
        <v>0</v>
      </c>
      <c r="Q20" s="82" t="e">
        <f>IF(OR($B20=#REF!,$B19=$AH$4),($L19-$L20)*(1-$AL$3)*(E20-D20)*24*#REF!*$AL$4,0)</f>
        <v>#REF!</v>
      </c>
      <c r="U20" s="226">
        <f t="shared" si="6"/>
        <v>43346</v>
      </c>
      <c r="V20" s="221">
        <f t="shared" si="7"/>
        <v>0.79166666666666696</v>
      </c>
      <c r="W20" s="229"/>
      <c r="X20" s="229"/>
      <c r="Y20" s="229"/>
      <c r="Z20" s="229"/>
      <c r="AA20" s="82"/>
      <c r="AB20" s="82" t="e">
        <f>AA20*(1-$AL$3)*#REF!*$AL$4*(E20-D20)*24</f>
        <v>#REF!</v>
      </c>
      <c r="AC20" s="231">
        <f t="shared" si="8"/>
        <v>0</v>
      </c>
      <c r="AD20" s="231">
        <f t="shared" si="9"/>
        <v>0</v>
      </c>
      <c r="AE20" s="231">
        <f t="shared" si="10"/>
        <v>0</v>
      </c>
      <c r="AF20" s="82" t="e">
        <f>IF(OR($V20=#REF!,$V20=$AH$4),($AA19-$AA20)*(1-$AL$3)*(E20-D20)*24*#REF!*$AL$4,0)</f>
        <v>#REF!</v>
      </c>
    </row>
    <row r="21" spans="1:32" ht="14.25">
      <c r="A21" s="228">
        <f t="shared" si="11"/>
        <v>43346</v>
      </c>
      <c r="B21" s="221">
        <v>0.91666666666666696</v>
      </c>
      <c r="C21" s="222" t="s">
        <v>41</v>
      </c>
      <c r="D21" s="223">
        <f t="shared" si="0"/>
        <v>43346.916666666664</v>
      </c>
      <c r="E21" s="223">
        <f t="shared" si="1"/>
        <v>43347</v>
      </c>
      <c r="F21" s="224">
        <f>SUMPRODUCT(('6烧主抽电耗'!$A$3:$A$96=$A21)*('6烧主抽电耗'!$D$3:$D$96=$C21),'6烧主抽电耗'!$E$3:$E$96)</f>
        <v>3</v>
      </c>
      <c r="G21" s="223" t="str">
        <f t="shared" si="2"/>
        <v>丙班</v>
      </c>
      <c r="H21" s="225">
        <v>43665286</v>
      </c>
      <c r="I21" s="225">
        <v>35124336</v>
      </c>
      <c r="J21" s="225" t="str">
        <f>IF(_cuofeng5_month_day!A19="","",_cuofeng5_month_day!A19)</f>
        <v/>
      </c>
      <c r="K21" s="225" t="str">
        <f>IF(_cuofeng5_month_day!B19="","",_cuofeng5_month_day!B19)</f>
        <v/>
      </c>
      <c r="L21" s="224">
        <f>IFERROR(SUMPRODUCT((_5shaozhuchou_month_day!$A$3:$A$900&gt;=D21)*(_5shaozhuchou_month_day!$A$3:$A$900&lt;E21),_5shaozhuchou_month_day!$Y$3:$Y$900)/SUMPRODUCT((_5shaozhuchou_month_day!$A$3:$A$900&gt;=D21)*(_5shaozhuchou_month_day!$A$3:$A$900&lt;E21)),0)</f>
        <v>0</v>
      </c>
      <c r="M21" s="224" t="e">
        <f>L21*(1-$AL$3)*#REF!*$AL$4*(E21-D21)*24</f>
        <v>#REF!</v>
      </c>
      <c r="N21" s="231">
        <f t="shared" si="3"/>
        <v>0</v>
      </c>
      <c r="O21" s="231">
        <f t="shared" si="4"/>
        <v>18246</v>
      </c>
      <c r="P21" s="231">
        <f t="shared" si="5"/>
        <v>0</v>
      </c>
      <c r="Q21" s="82" t="e">
        <f>IF(OR($B21=#REF!,$B20=$AH$4),($L20-$L21)*(1-$AL$3)*(E21-D21)*24*#REF!*$AL$4,0)</f>
        <v>#REF!</v>
      </c>
      <c r="U21" s="228">
        <f t="shared" si="6"/>
        <v>43346</v>
      </c>
      <c r="V21" s="221">
        <f t="shared" si="7"/>
        <v>0.91666666666666696</v>
      </c>
      <c r="W21" s="229"/>
      <c r="X21" s="229"/>
      <c r="Y21" s="229"/>
      <c r="Z21" s="229"/>
      <c r="AA21" s="82"/>
      <c r="AB21" s="82" t="e">
        <f>AA21*(1-$AL$3)*#REF!*$AL$4*(E21-D21)*24</f>
        <v>#REF!</v>
      </c>
      <c r="AC21" s="231">
        <f t="shared" si="8"/>
        <v>0</v>
      </c>
      <c r="AD21" s="231">
        <f t="shared" si="9"/>
        <v>0</v>
      </c>
      <c r="AE21" s="231">
        <f t="shared" si="10"/>
        <v>0</v>
      </c>
      <c r="AF21" s="82" t="e">
        <f>IF(OR($V21=#REF!,$V21=$AH$4),($AA20-$AA21)*(1-$AL$3)*(E21-D21)*24*#REF!*$AL$4,0)</f>
        <v>#REF!</v>
      </c>
    </row>
    <row r="22" spans="1:32" ht="14.25">
      <c r="A22" s="220">
        <f>A16+1</f>
        <v>43347</v>
      </c>
      <c r="B22" s="221">
        <v>0</v>
      </c>
      <c r="C22" s="222" t="s">
        <v>37</v>
      </c>
      <c r="D22" s="223">
        <f t="shared" si="0"/>
        <v>43347</v>
      </c>
      <c r="E22" s="223">
        <f t="shared" si="1"/>
        <v>43347.333333333336</v>
      </c>
      <c r="F22" s="224">
        <f>SUMPRODUCT(('6烧主抽电耗'!$A$3:$A$96=$A22)*('6烧主抽电耗'!$D$3:$D$96=$C22),'6烧主抽电耗'!$E$3:$E$96)</f>
        <v>4</v>
      </c>
      <c r="G22" s="223" t="str">
        <f t="shared" ref="G22:G68" si="12">IF(AND(F22=1),"甲班",IF(AND(F22=2),"乙班",IF(AND(F22=3),"丙班",IF(AND(F22=4),"丁班",))))</f>
        <v>丁班</v>
      </c>
      <c r="H22" s="225">
        <v>43668645</v>
      </c>
      <c r="I22" s="225">
        <v>35127059</v>
      </c>
      <c r="J22" s="225" t="str">
        <f>IF(_cuofeng5_month_day!A20="","",_cuofeng5_month_day!A20)</f>
        <v/>
      </c>
      <c r="K22" s="225" t="str">
        <f>IF(_cuofeng5_month_day!B20="","",_cuofeng5_month_day!B20)</f>
        <v/>
      </c>
      <c r="L22" s="224">
        <f>IFERROR(SUMPRODUCT((_5shaozhuchou_month_day!$A$3:$A$900&gt;=D22)*(_5shaozhuchou_month_day!$A$3:$A$900&lt;E22),_5shaozhuchou_month_day!$Y$3:$Y$900)/SUMPRODUCT((_5shaozhuchou_month_day!$A$3:$A$900&gt;=D22)*(_5shaozhuchou_month_day!$A$3:$A$900&lt;E22)),0)</f>
        <v>0</v>
      </c>
      <c r="M22" s="224" t="e">
        <f>L22*(1-$AL$3)*#REF!*$AL$4*(E22-D22)*24</f>
        <v>#REF!</v>
      </c>
      <c r="N22" s="231">
        <f t="shared" si="3"/>
        <v>0</v>
      </c>
      <c r="O22" s="231">
        <f t="shared" si="4"/>
        <v>0</v>
      </c>
      <c r="P22" s="231">
        <f t="shared" si="5"/>
        <v>76440</v>
      </c>
      <c r="Q22" s="82" t="e">
        <f>IF(OR($B22=#REF!,$B21=$AH$4),($L21-$L22)*(1-$AL$3)*(E22-D22)*24*#REF!*$AL$4,0)</f>
        <v>#REF!</v>
      </c>
      <c r="U22" s="220">
        <f t="shared" si="6"/>
        <v>43347</v>
      </c>
      <c r="V22" s="221">
        <f t="shared" si="7"/>
        <v>0</v>
      </c>
      <c r="W22" s="238"/>
      <c r="X22" s="239"/>
      <c r="Y22" s="229"/>
      <c r="Z22" s="229"/>
      <c r="AA22" s="82"/>
      <c r="AB22" s="82" t="e">
        <f>AA22*(1-$AL$3)*#REF!*$AL$4*(E22-D22)*24</f>
        <v>#REF!</v>
      </c>
      <c r="AC22" s="231">
        <f t="shared" si="8"/>
        <v>0</v>
      </c>
      <c r="AD22" s="231">
        <f t="shared" si="9"/>
        <v>0</v>
      </c>
      <c r="AE22" s="231">
        <f t="shared" si="10"/>
        <v>0</v>
      </c>
      <c r="AF22" s="82" t="e">
        <f>IF(OR($V22=#REF!,$V22=$AH$4),($AA21-$AA22)*(1-$AL$3)*(E22-D22)*24*#REF!*$AL$4,0)</f>
        <v>#REF!</v>
      </c>
    </row>
    <row r="23" spans="1:32" ht="14.25">
      <c r="A23" s="226">
        <f>A22</f>
        <v>43347</v>
      </c>
      <c r="B23" s="221">
        <v>0.33333333333333298</v>
      </c>
      <c r="C23" s="222" t="s">
        <v>39</v>
      </c>
      <c r="D23" s="223">
        <f t="shared" si="0"/>
        <v>43347.333333333336</v>
      </c>
      <c r="E23" s="223">
        <f t="shared" si="1"/>
        <v>43347.583333333336</v>
      </c>
      <c r="F23" s="224">
        <f>SUMPRODUCT(('6烧主抽电耗'!$A$3:$A$96=$A23)*('6烧主抽电耗'!$D$3:$D$96=$C23),'6烧主抽电耗'!$E$3:$E$96)</f>
        <v>1</v>
      </c>
      <c r="G23" s="223" t="str">
        <f t="shared" si="12"/>
        <v>甲班</v>
      </c>
      <c r="H23" s="225">
        <v>43682323</v>
      </c>
      <c r="I23" s="229">
        <v>35138861</v>
      </c>
      <c r="J23" s="225" t="str">
        <f>IF(_cuofeng5_month_day!A21="","",_cuofeng5_month_day!A21)</f>
        <v/>
      </c>
      <c r="K23" s="225" t="str">
        <f>IF(_cuofeng5_month_day!B21="","",_cuofeng5_month_day!B21)</f>
        <v/>
      </c>
      <c r="L23" s="224">
        <f>IFERROR(SUMPRODUCT((_5shaozhuchou_month_day!$A$3:$A$900&gt;=D23)*(_5shaozhuchou_month_day!$A$3:$A$900&lt;E23),_5shaozhuchou_month_day!$Y$3:$Y$900)/SUMPRODUCT((_5shaozhuchou_month_day!$A$3:$A$900&gt;=D23)*(_5shaozhuchou_month_day!$A$3:$A$900&lt;E23)),0)</f>
        <v>0</v>
      </c>
      <c r="M23" s="224" t="e">
        <f>L23*(1-$AL$3)*#REF!*$AL$4*(E23-D23)*24</f>
        <v>#REF!</v>
      </c>
      <c r="N23" s="231">
        <f t="shared" si="3"/>
        <v>0</v>
      </c>
      <c r="O23" s="231">
        <f t="shared" si="4"/>
        <v>61671</v>
      </c>
      <c r="P23" s="231">
        <f t="shared" si="5"/>
        <v>0</v>
      </c>
      <c r="Q23" s="82" t="e">
        <f>IF(OR($B23=#REF!,$B22=$AH$4),($L22-$L23)*(1-$AL$3)*(E23-D23)*24*#REF!*$AL$4,0)</f>
        <v>#REF!</v>
      </c>
      <c r="U23" s="226">
        <f t="shared" si="6"/>
        <v>43347</v>
      </c>
      <c r="V23" s="221">
        <f t="shared" si="7"/>
        <v>0.33333333333333298</v>
      </c>
      <c r="W23" s="237"/>
      <c r="X23" s="225"/>
      <c r="Y23" s="229"/>
      <c r="Z23" s="229"/>
      <c r="AA23" s="82"/>
      <c r="AB23" s="82" t="e">
        <f>AA23*(1-$AL$3)*#REF!*$AL$4*(E23-D23)*24</f>
        <v>#REF!</v>
      </c>
      <c r="AC23" s="231">
        <f t="shared" si="8"/>
        <v>0</v>
      </c>
      <c r="AD23" s="231">
        <f t="shared" si="9"/>
        <v>0</v>
      </c>
      <c r="AE23" s="231">
        <f t="shared" si="10"/>
        <v>0</v>
      </c>
      <c r="AF23" s="82" t="e">
        <f>IF(OR($V23=#REF!,$V23=$AH$4),($AA22-$AA23)*(1-$AL$3)*(E23-D23)*24*#REF!*$AL$4,0)</f>
        <v>#REF!</v>
      </c>
    </row>
    <row r="24" spans="1:32" ht="14.25">
      <c r="A24" s="226">
        <f t="shared" si="11"/>
        <v>43347</v>
      </c>
      <c r="B24" s="221">
        <v>0.58333333333333304</v>
      </c>
      <c r="C24" s="222" t="s">
        <v>39</v>
      </c>
      <c r="D24" s="223">
        <f t="shared" si="0"/>
        <v>43347.583333333336</v>
      </c>
      <c r="E24" s="223">
        <f t="shared" si="1"/>
        <v>43347.708333333336</v>
      </c>
      <c r="F24" s="224">
        <f>SUMPRODUCT(('6烧主抽电耗'!$A$3:$A$96=$A24)*('6烧主抽电耗'!$D$3:$D$96=$C24),'6烧主抽电耗'!$E$3:$E$96)</f>
        <v>1</v>
      </c>
      <c r="G24" s="223" t="str">
        <f t="shared" si="12"/>
        <v>甲班</v>
      </c>
      <c r="H24" s="225">
        <v>43693268</v>
      </c>
      <c r="I24" s="225">
        <v>35148473</v>
      </c>
      <c r="J24" s="225" t="str">
        <f>IF(_cuofeng5_month_day!A22="","",_cuofeng5_month_day!A22)</f>
        <v/>
      </c>
      <c r="K24" s="225" t="str">
        <f>IF(_cuofeng5_month_day!B22="","",_cuofeng5_month_day!B22)</f>
        <v/>
      </c>
      <c r="L24" s="224">
        <f>IFERROR(SUMPRODUCT((_5shaozhuchou_month_day!$A$3:$A$900&gt;=D24)*(_5shaozhuchou_month_day!$A$3:$A$900&lt;E24),_5shaozhuchou_month_day!$Y$3:$Y$900)/SUMPRODUCT((_5shaozhuchou_month_day!$A$3:$A$900&gt;=D24)*(_5shaozhuchou_month_day!$A$3:$A$900&lt;E24)),0)</f>
        <v>0</v>
      </c>
      <c r="M24" s="224" t="e">
        <f>L24*(1-$AL$3)*#REF!*$AL$4*(E24-D24)*24</f>
        <v>#REF!</v>
      </c>
      <c r="N24" s="231">
        <f t="shared" si="3"/>
        <v>26790</v>
      </c>
      <c r="O24" s="231">
        <f t="shared" si="4"/>
        <v>0</v>
      </c>
      <c r="P24" s="231">
        <f t="shared" si="5"/>
        <v>0</v>
      </c>
      <c r="Q24" s="82" t="e">
        <f>IF(OR($B24=#REF!,$B23=$AH$4),($L23-$L24)*(1-$AL$3)*(E24-D24)*24*#REF!*$AL$4,0)</f>
        <v>#REF!</v>
      </c>
      <c r="U24" s="226">
        <f t="shared" si="6"/>
        <v>43347</v>
      </c>
      <c r="V24" s="221">
        <f t="shared" si="7"/>
        <v>0.58333333333333304</v>
      </c>
      <c r="W24" s="229"/>
      <c r="X24" s="229"/>
      <c r="Y24" s="229"/>
      <c r="Z24" s="229"/>
      <c r="AA24" s="82"/>
      <c r="AB24" s="82" t="e">
        <f>AA24*(1-$AL$3)*#REF!*$AL$4*(E24-D24)*24</f>
        <v>#REF!</v>
      </c>
      <c r="AC24" s="231">
        <f t="shared" si="8"/>
        <v>0</v>
      </c>
      <c r="AD24" s="231">
        <f t="shared" si="9"/>
        <v>0</v>
      </c>
      <c r="AE24" s="231">
        <f t="shared" si="10"/>
        <v>0</v>
      </c>
      <c r="AF24" s="82" t="e">
        <f>IF(OR($V24=#REF!,$V24=$AH$4),($AA23-$AA24)*(1-$AL$3)*(E24-D24)*24*#REF!*$AL$4,0)</f>
        <v>#REF!</v>
      </c>
    </row>
    <row r="25" spans="1:32" ht="14.25">
      <c r="A25" s="226">
        <f t="shared" si="11"/>
        <v>43347</v>
      </c>
      <c r="B25" s="221">
        <v>0.70833333333333304</v>
      </c>
      <c r="C25" s="222" t="s">
        <v>41</v>
      </c>
      <c r="D25" s="223">
        <f t="shared" si="0"/>
        <v>43347.708333333336</v>
      </c>
      <c r="E25" s="223">
        <f t="shared" si="1"/>
        <v>43347.791666666664</v>
      </c>
      <c r="F25" s="224">
        <f>SUMPRODUCT(('6烧主抽电耗'!$A$3:$A$96=$A25)*('6烧主抽电耗'!$D$3:$D$96=$C25),'6烧主抽电耗'!$E$3:$E$96)</f>
        <v>2</v>
      </c>
      <c r="G25" s="223" t="str">
        <f t="shared" si="12"/>
        <v>乙班</v>
      </c>
      <c r="H25" s="225">
        <v>43698060</v>
      </c>
      <c r="I25" s="225">
        <v>35152611</v>
      </c>
      <c r="J25" s="225" t="str">
        <f>IF(_cuofeng5_month_day!A23="","",_cuofeng5_month_day!A23)</f>
        <v/>
      </c>
      <c r="K25" s="225" t="str">
        <f>IF(_cuofeng5_month_day!B23="","",_cuofeng5_month_day!B23)</f>
        <v/>
      </c>
      <c r="L25" s="224">
        <f>IFERROR(SUMPRODUCT((_5shaozhuchou_month_day!$A$3:$A$900&gt;=D25)*(_5shaozhuchou_month_day!$A$3:$A$900&lt;E25),_5shaozhuchou_month_day!$Y$3:$Y$900)/SUMPRODUCT((_5shaozhuchou_month_day!$A$3:$A$900&gt;=D25)*(_5shaozhuchou_month_day!$A$3:$A$900&lt;E25)),0)</f>
        <v>0</v>
      </c>
      <c r="M25" s="224" t="e">
        <f>L25*(1-$AL$3)*#REF!*$AL$4*(E25-D25)*24</f>
        <v>#REF!</v>
      </c>
      <c r="N25" s="231">
        <f t="shared" si="3"/>
        <v>0</v>
      </c>
      <c r="O25" s="231">
        <f t="shared" si="4"/>
        <v>18702</v>
      </c>
      <c r="P25" s="231">
        <f t="shared" si="5"/>
        <v>0</v>
      </c>
      <c r="Q25" s="82" t="e">
        <f>IF(OR($B25=#REF!,$B24=$AH$4),($L24-$L25)*(1-$AL$3)*(E25-D25)*24*#REF!*$AL$4,0)</f>
        <v>#REF!</v>
      </c>
      <c r="U25" s="226">
        <f t="shared" si="6"/>
        <v>43347</v>
      </c>
      <c r="V25" s="221">
        <f t="shared" si="7"/>
        <v>0.70833333333333304</v>
      </c>
      <c r="W25" s="237"/>
      <c r="X25" s="225"/>
      <c r="Y25" s="229"/>
      <c r="Z25" s="229"/>
      <c r="AA25" s="82"/>
      <c r="AB25" s="82" t="e">
        <f>AA25*(1-$AL$3)*#REF!*$AL$4*(E25-D25)*24</f>
        <v>#REF!</v>
      </c>
      <c r="AC25" s="231">
        <f t="shared" si="8"/>
        <v>0</v>
      </c>
      <c r="AD25" s="231">
        <f t="shared" si="9"/>
        <v>0</v>
      </c>
      <c r="AE25" s="231">
        <f t="shared" si="10"/>
        <v>0</v>
      </c>
      <c r="AF25" s="82" t="e">
        <f>IF(OR($V25=#REF!,$V25=$AH$4),($AA24-$AA25)*(1-$AL$3)*(E25-D25)*24*#REF!*$AL$4,0)</f>
        <v>#REF!</v>
      </c>
    </row>
    <row r="26" spans="1:32" ht="14.25">
      <c r="A26" s="226">
        <f t="shared" si="11"/>
        <v>43347</v>
      </c>
      <c r="B26" s="221">
        <v>0.79166666666666696</v>
      </c>
      <c r="C26" s="222" t="s">
        <v>41</v>
      </c>
      <c r="D26" s="223">
        <f t="shared" si="0"/>
        <v>43347.791666666664</v>
      </c>
      <c r="E26" s="223">
        <f t="shared" si="1"/>
        <v>43347.916666666664</v>
      </c>
      <c r="F26" s="224">
        <f>SUMPRODUCT(('6烧主抽电耗'!$A$3:$A$96=$A26)*('6烧主抽电耗'!$D$3:$D$96=$C26),'6烧主抽电耗'!$E$3:$E$96)</f>
        <v>2</v>
      </c>
      <c r="G26" s="223" t="str">
        <f t="shared" si="12"/>
        <v>乙班</v>
      </c>
      <c r="H26" s="225">
        <v>43701430</v>
      </c>
      <c r="I26" s="225">
        <v>35155475</v>
      </c>
      <c r="J26" s="225" t="str">
        <f>IF(_cuofeng5_month_day!A24="","",_cuofeng5_month_day!A24)</f>
        <v/>
      </c>
      <c r="K26" s="225" t="str">
        <f>IF(_cuofeng5_month_day!B24="","",_cuofeng5_month_day!B24)</f>
        <v/>
      </c>
      <c r="L26" s="224">
        <f>IFERROR(SUMPRODUCT((_5shaozhuchou_month_day!$A$3:$A$900&gt;=D26)*(_5shaozhuchou_month_day!$A$3:$A$900&lt;E26),_5shaozhuchou_month_day!$Y$3:$Y$900)/SUMPRODUCT((_5shaozhuchou_month_day!$A$3:$A$900&gt;=D26)*(_5shaozhuchou_month_day!$A$3:$A$900&lt;E26)),0)</f>
        <v>0</v>
      </c>
      <c r="M26" s="224" t="e">
        <f>L26*(1-$AL$3)*#REF!*$AL$4*(E26-D26)*24</f>
        <v>#REF!</v>
      </c>
      <c r="N26" s="231">
        <f t="shared" si="3"/>
        <v>28047</v>
      </c>
      <c r="O26" s="231">
        <f t="shared" si="4"/>
        <v>0</v>
      </c>
      <c r="P26" s="231">
        <f t="shared" si="5"/>
        <v>0</v>
      </c>
      <c r="Q26" s="82" t="e">
        <f>IF(OR($B26=#REF!,$B25=$AH$4),($L25-$L26)*(1-$AL$3)*(E26-D26)*24*#REF!*$AL$4,0)</f>
        <v>#REF!</v>
      </c>
      <c r="U26" s="226">
        <f t="shared" si="6"/>
        <v>43347</v>
      </c>
      <c r="V26" s="221">
        <f t="shared" si="7"/>
        <v>0.79166666666666696</v>
      </c>
      <c r="W26" s="237"/>
      <c r="X26" s="225"/>
      <c r="Y26" s="229"/>
      <c r="Z26" s="229"/>
      <c r="AA26" s="82"/>
      <c r="AB26" s="82" t="e">
        <f>AA26*(1-$AL$3)*#REF!*$AL$4*(E26-D26)*24</f>
        <v>#REF!</v>
      </c>
      <c r="AC26" s="231">
        <f t="shared" si="8"/>
        <v>0</v>
      </c>
      <c r="AD26" s="231">
        <f t="shared" si="9"/>
        <v>0</v>
      </c>
      <c r="AE26" s="231">
        <f t="shared" si="10"/>
        <v>0</v>
      </c>
      <c r="AF26" s="82" t="e">
        <f>IF(OR($V26=#REF!,$V26=$AH$4),($AA25-$AA26)*(1-$AL$3)*(E26-D26)*24*#REF!*$AL$4,0)</f>
        <v>#REF!</v>
      </c>
    </row>
    <row r="27" spans="1:32" ht="14.25">
      <c r="A27" s="228">
        <f t="shared" si="11"/>
        <v>43347</v>
      </c>
      <c r="B27" s="221">
        <v>0.91666666666666696</v>
      </c>
      <c r="C27" s="222" t="s">
        <v>41</v>
      </c>
      <c r="D27" s="223">
        <f t="shared" si="0"/>
        <v>43347.916666666664</v>
      </c>
      <c r="E27" s="223">
        <f t="shared" si="1"/>
        <v>43348</v>
      </c>
      <c r="F27" s="224">
        <f>SUMPRODUCT(('6烧主抽电耗'!$A$3:$A$96=$A27)*('6烧主抽电耗'!$D$3:$D$96=$C27),'6烧主抽电耗'!$E$3:$E$96)</f>
        <v>2</v>
      </c>
      <c r="G27" s="223" t="str">
        <f t="shared" si="12"/>
        <v>乙班</v>
      </c>
      <c r="H27" s="225">
        <v>43706483</v>
      </c>
      <c r="I27" s="225">
        <v>35159771</v>
      </c>
      <c r="J27" s="225" t="str">
        <f>IF(_cuofeng5_month_day!A25="","",_cuofeng5_month_day!A25)</f>
        <v/>
      </c>
      <c r="K27" s="225" t="str">
        <f>IF(_cuofeng5_month_day!B25="","",_cuofeng5_month_day!B25)</f>
        <v/>
      </c>
      <c r="L27" s="224">
        <f>IFERROR(SUMPRODUCT((_5shaozhuchou_month_day!$A$3:$A$900&gt;=D27)*(_5shaozhuchou_month_day!$A$3:$A$900&lt;E27),_5shaozhuchou_month_day!$Y$3:$Y$900)/SUMPRODUCT((_5shaozhuchou_month_day!$A$3:$A$900&gt;=D27)*(_5shaozhuchou_month_day!$A$3:$A$900&lt;E27)),0)</f>
        <v>0</v>
      </c>
      <c r="M27" s="224" t="e">
        <f>L27*(1-$AL$3)*#REF!*$AL$4*(E27-D27)*24</f>
        <v>#REF!</v>
      </c>
      <c r="N27" s="231">
        <f t="shared" si="3"/>
        <v>0</v>
      </c>
      <c r="O27" s="231">
        <f t="shared" si="4"/>
        <v>16284</v>
      </c>
      <c r="P27" s="231">
        <f t="shared" si="5"/>
        <v>0</v>
      </c>
      <c r="Q27" s="82" t="e">
        <f>IF(OR($B27=#REF!,$B26=$AH$4),($L26-$L27)*(1-$AL$3)*(E27-D27)*24*#REF!*$AL$4,0)</f>
        <v>#REF!</v>
      </c>
      <c r="U27" s="228">
        <f t="shared" si="6"/>
        <v>43347</v>
      </c>
      <c r="V27" s="221">
        <f t="shared" si="7"/>
        <v>0.91666666666666696</v>
      </c>
      <c r="W27" s="237"/>
      <c r="X27" s="225"/>
      <c r="Y27" s="229"/>
      <c r="Z27" s="229"/>
      <c r="AA27" s="82"/>
      <c r="AB27" s="82" t="e">
        <f>AA27*(1-$AL$3)*#REF!*$AL$4*(E27-D27)*24</f>
        <v>#REF!</v>
      </c>
      <c r="AC27" s="231">
        <f t="shared" si="8"/>
        <v>0</v>
      </c>
      <c r="AD27" s="231">
        <f t="shared" si="9"/>
        <v>0</v>
      </c>
      <c r="AE27" s="231">
        <f t="shared" si="10"/>
        <v>0</v>
      </c>
      <c r="AF27" s="82" t="e">
        <f>IF(OR($V27=#REF!,$V27=$AH$4),($AA26-$AA27)*(1-$AL$3)*(E27-D27)*24*#REF!*$AL$4,0)</f>
        <v>#REF!</v>
      </c>
    </row>
    <row r="28" spans="1:32" ht="14.25">
      <c r="A28" s="220">
        <f>A22+1</f>
        <v>43348</v>
      </c>
      <c r="B28" s="221">
        <v>0</v>
      </c>
      <c r="C28" s="222" t="s">
        <v>37</v>
      </c>
      <c r="D28" s="223">
        <f t="shared" si="0"/>
        <v>43348</v>
      </c>
      <c r="E28" s="223">
        <f t="shared" si="1"/>
        <v>43348.333333333336</v>
      </c>
      <c r="F28" s="224">
        <f>SUMPRODUCT(('6烧主抽电耗'!$A$3:$A$96=$A28)*('6烧主抽电耗'!$D$3:$D$96=$C28),'6烧主抽电耗'!$E$3:$E$96)</f>
        <v>4</v>
      </c>
      <c r="G28" s="223" t="str">
        <f t="shared" si="12"/>
        <v>丁班</v>
      </c>
      <c r="H28" s="225">
        <v>43709329</v>
      </c>
      <c r="I28" s="225">
        <v>35162353</v>
      </c>
      <c r="J28" s="225" t="str">
        <f>IF(_cuofeng5_month_day!A26="","",_cuofeng5_month_day!A26)</f>
        <v/>
      </c>
      <c r="K28" s="225" t="str">
        <f>IF(_cuofeng5_month_day!B26="","",_cuofeng5_month_day!B26)</f>
        <v/>
      </c>
      <c r="L28" s="224">
        <f>IFERROR(SUMPRODUCT((_5shaozhuchou_month_day!$A$3:$A$900&gt;=D28)*(_5shaozhuchou_month_day!$A$3:$A$900&lt;E28),_5shaozhuchou_month_day!$Y$3:$Y$900)/SUMPRODUCT((_5shaozhuchou_month_day!$A$3:$A$900&gt;=D28)*(_5shaozhuchou_month_day!$A$3:$A$900&lt;E28)),0)</f>
        <v>0</v>
      </c>
      <c r="M28" s="224" t="e">
        <f>L28*(1-$AL$3)*#REF!*$AL$4*(E28-D28)*24</f>
        <v>#REF!</v>
      </c>
      <c r="N28" s="231">
        <f t="shared" si="3"/>
        <v>0</v>
      </c>
      <c r="O28" s="231">
        <f t="shared" si="4"/>
        <v>0</v>
      </c>
      <c r="P28" s="231">
        <f t="shared" si="5"/>
        <v>75879</v>
      </c>
      <c r="Q28" s="82" t="e">
        <f>IF(OR($B28=#REF!,$B27=$AH$4),($L27-$L28)*(1-$AL$3)*(E28-D28)*24*#REF!*$AL$4,0)</f>
        <v>#REF!</v>
      </c>
      <c r="U28" s="220">
        <f t="shared" si="6"/>
        <v>43348</v>
      </c>
      <c r="V28" s="221">
        <f t="shared" si="7"/>
        <v>0</v>
      </c>
      <c r="W28" s="237"/>
      <c r="X28" s="225"/>
      <c r="Y28" s="229"/>
      <c r="Z28" s="229"/>
      <c r="AA28" s="82"/>
      <c r="AB28" s="82" t="e">
        <f>AA28*(1-$AL$3)*#REF!*$AL$4*(E28-D28)*24</f>
        <v>#REF!</v>
      </c>
      <c r="AC28" s="231">
        <f t="shared" si="8"/>
        <v>0</v>
      </c>
      <c r="AD28" s="231">
        <f t="shared" si="9"/>
        <v>0</v>
      </c>
      <c r="AE28" s="231">
        <f t="shared" si="10"/>
        <v>0</v>
      </c>
      <c r="AF28" s="82" t="e">
        <f>IF(OR($V28=#REF!,$V28=$AH$4),($AA27-$AA28)*(1-$AL$3)*(E28-D28)*24*#REF!*$AL$4,0)</f>
        <v>#REF!</v>
      </c>
    </row>
    <row r="29" spans="1:32" ht="14.25">
      <c r="A29" s="226">
        <f>A28</f>
        <v>43348</v>
      </c>
      <c r="B29" s="221">
        <v>0.33333333333333298</v>
      </c>
      <c r="C29" s="222" t="s">
        <v>37</v>
      </c>
      <c r="D29" s="223">
        <f t="shared" si="0"/>
        <v>43348.333333333336</v>
      </c>
      <c r="E29" s="223">
        <f t="shared" si="1"/>
        <v>43348.583333333336</v>
      </c>
      <c r="F29" s="224">
        <f>SUMPRODUCT(('6烧主抽电耗'!$A$3:$A$96=$A29)*('6烧主抽电耗'!$D$3:$D$96=$C29),'6烧主抽电耗'!$E$3:$E$96)</f>
        <v>4</v>
      </c>
      <c r="G29" s="223" t="str">
        <f t="shared" si="12"/>
        <v>丁班</v>
      </c>
      <c r="H29" s="225">
        <v>43722833</v>
      </c>
      <c r="I29" s="225">
        <v>35174142</v>
      </c>
      <c r="J29" s="225" t="str">
        <f>IF(_cuofeng5_month_day!A27="","",_cuofeng5_month_day!A27)</f>
        <v/>
      </c>
      <c r="K29" s="225" t="str">
        <f>IF(_cuofeng5_month_day!B27="","",_cuofeng5_month_day!B27)</f>
        <v/>
      </c>
      <c r="L29" s="224">
        <f>IFERROR(SUMPRODUCT((_5shaozhuchou_month_day!$A$3:$A$900&gt;=D29)*(_5shaozhuchou_month_day!$A$3:$A$900&lt;E29),_5shaozhuchou_month_day!$Y$3:$Y$900)/SUMPRODUCT((_5shaozhuchou_month_day!$A$3:$A$900&gt;=D29)*(_5shaozhuchou_month_day!$A$3:$A$900&lt;E29)),0)</f>
        <v>0</v>
      </c>
      <c r="M29" s="224" t="e">
        <f>L29*(1-$AL$3)*#REF!*$AL$4*(E29-D29)*24</f>
        <v>#REF!</v>
      </c>
      <c r="N29" s="231">
        <f t="shared" si="3"/>
        <v>0</v>
      </c>
      <c r="O29" s="231">
        <f t="shared" si="4"/>
        <v>58284</v>
      </c>
      <c r="P29" s="231">
        <f t="shared" si="5"/>
        <v>0</v>
      </c>
      <c r="Q29" s="82" t="e">
        <f>IF(OR($B29=#REF!,$B28=$AH$4),($L28-$L29)*(1-$AL$3)*(E29-D29)*24*#REF!*$AL$4,0)</f>
        <v>#REF!</v>
      </c>
      <c r="U29" s="226">
        <f t="shared" si="6"/>
        <v>43348</v>
      </c>
      <c r="V29" s="221">
        <f t="shared" si="7"/>
        <v>0.33333333333333298</v>
      </c>
      <c r="W29" s="237"/>
      <c r="X29" s="225"/>
      <c r="Y29" s="229"/>
      <c r="Z29" s="229"/>
      <c r="AA29" s="82"/>
      <c r="AB29" s="82" t="e">
        <f>AA29*(1-$AL$3)*#REF!*$AL$4*(E29-D29)*24</f>
        <v>#REF!</v>
      </c>
      <c r="AC29" s="231">
        <f t="shared" si="8"/>
        <v>0</v>
      </c>
      <c r="AD29" s="231">
        <f t="shared" si="9"/>
        <v>0</v>
      </c>
      <c r="AE29" s="231">
        <f t="shared" si="10"/>
        <v>0</v>
      </c>
      <c r="AF29" s="82" t="e">
        <f>IF(OR($V29=#REF!,$V29=$AH$4),($AA28-$AA29)*(1-$AL$3)*(E29-D29)*24*#REF!*$AL$4,0)</f>
        <v>#REF!</v>
      </c>
    </row>
    <row r="30" spans="1:32" ht="14.25">
      <c r="A30" s="226">
        <f t="shared" si="11"/>
        <v>43348</v>
      </c>
      <c r="B30" s="221">
        <v>0.58333333333333304</v>
      </c>
      <c r="C30" s="222" t="s">
        <v>39</v>
      </c>
      <c r="D30" s="223">
        <f t="shared" si="0"/>
        <v>43348.583333333336</v>
      </c>
      <c r="E30" s="223">
        <f t="shared" si="1"/>
        <v>43348.708333333336</v>
      </c>
      <c r="F30" s="224">
        <f>SUMPRODUCT(('6烧主抽电耗'!$A$3:$A$96=$A30)*('6烧主抽电耗'!$D$3:$D$96=$C30),'6烧主抽电耗'!$E$3:$E$96)</f>
        <v>1</v>
      </c>
      <c r="G30" s="223" t="str">
        <f t="shared" si="12"/>
        <v>甲班</v>
      </c>
      <c r="H30" s="225">
        <v>43733333</v>
      </c>
      <c r="I30" s="225">
        <v>35183070</v>
      </c>
      <c r="J30" s="225" t="str">
        <f>IF(_cuofeng5_month_day!A28="","",_cuofeng5_month_day!A28)</f>
        <v/>
      </c>
      <c r="K30" s="225" t="str">
        <f>IF(_cuofeng5_month_day!B28="","",_cuofeng5_month_day!B28)</f>
        <v/>
      </c>
      <c r="L30" s="224">
        <f>IFERROR(SUMPRODUCT((_5shaozhuchou_month_day!$A$3:$A$900&gt;=D30)*(_5shaozhuchou_month_day!$A$3:$A$900&lt;E30),_5shaozhuchou_month_day!$Y$3:$Y$900)/SUMPRODUCT((_5shaozhuchou_month_day!$A$3:$A$900&gt;=D30)*(_5shaozhuchou_month_day!$A$3:$A$900&lt;E30)),0)</f>
        <v>0</v>
      </c>
      <c r="M30" s="224" t="e">
        <f>L30*(1-$AL$3)*#REF!*$AL$4*(E30-D30)*24</f>
        <v>#REF!</v>
      </c>
      <c r="N30" s="231">
        <f t="shared" si="3"/>
        <v>25611</v>
      </c>
      <c r="O30" s="231">
        <f t="shared" si="4"/>
        <v>0</v>
      </c>
      <c r="P30" s="231">
        <f t="shared" si="5"/>
        <v>0</v>
      </c>
      <c r="Q30" s="82" t="e">
        <f>IF(OR($B30=#REF!,$B29=$AH$4),($L29-$L30)*(1-$AL$3)*(E30-D30)*24*#REF!*$AL$4,0)</f>
        <v>#REF!</v>
      </c>
      <c r="U30" s="226">
        <f t="shared" si="6"/>
        <v>43348</v>
      </c>
      <c r="V30" s="221">
        <f t="shared" si="7"/>
        <v>0.58333333333333304</v>
      </c>
      <c r="W30" s="229"/>
      <c r="X30" s="229"/>
      <c r="Y30" s="229"/>
      <c r="Z30" s="229"/>
      <c r="AA30" s="82"/>
      <c r="AB30" s="82" t="e">
        <f>AA30*(1-$AL$3)*#REF!*$AL$4*(E30-D30)*24</f>
        <v>#REF!</v>
      </c>
      <c r="AC30" s="231">
        <f t="shared" si="8"/>
        <v>0</v>
      </c>
      <c r="AD30" s="231">
        <f t="shared" si="9"/>
        <v>0</v>
      </c>
      <c r="AE30" s="231">
        <f t="shared" si="10"/>
        <v>0</v>
      </c>
      <c r="AF30" s="82" t="e">
        <f>IF(OR($V30=#REF!,$V30=$AH$4),($AA29-$AA30)*(1-$AL$3)*(E30-D30)*24*#REF!*$AL$4,0)</f>
        <v>#REF!</v>
      </c>
    </row>
    <row r="31" spans="1:32" ht="14.25">
      <c r="A31" s="226">
        <f t="shared" si="11"/>
        <v>43348</v>
      </c>
      <c r="B31" s="221">
        <v>0.70833333333333304</v>
      </c>
      <c r="C31" s="222" t="s">
        <v>41</v>
      </c>
      <c r="D31" s="223">
        <f t="shared" si="0"/>
        <v>43348.708333333336</v>
      </c>
      <c r="E31" s="223">
        <f t="shared" si="1"/>
        <v>43348.791666666664</v>
      </c>
      <c r="F31" s="224">
        <f>SUMPRODUCT(('6烧主抽电耗'!$A$3:$A$96=$A31)*('6烧主抽电耗'!$D$3:$D$96=$C31),'6烧主抽电耗'!$E$3:$E$96)</f>
        <v>2</v>
      </c>
      <c r="G31" s="223" t="str">
        <f t="shared" si="12"/>
        <v>乙班</v>
      </c>
      <c r="H31" s="225">
        <v>43737914</v>
      </c>
      <c r="I31" s="225">
        <v>35187026</v>
      </c>
      <c r="J31" s="225" t="str">
        <f>IF(_cuofeng5_month_day!A29="","",_cuofeng5_month_day!A29)</f>
        <v/>
      </c>
      <c r="K31" s="225" t="str">
        <f>IF(_cuofeng5_month_day!B29="","",_cuofeng5_month_day!B29)</f>
        <v/>
      </c>
      <c r="L31" s="224">
        <f>IFERROR(SUMPRODUCT((_5shaozhuchou_month_day!$A$3:$A$900&gt;=D31)*(_5shaozhuchou_month_day!$A$3:$A$900&lt;E31),_5shaozhuchou_month_day!$Y$3:$Y$900)/SUMPRODUCT((_5shaozhuchou_month_day!$A$3:$A$900&gt;=D31)*(_5shaozhuchou_month_day!$A$3:$A$900&lt;E31)),0)</f>
        <v>0</v>
      </c>
      <c r="M31" s="224" t="e">
        <f>L31*(1-$AL$3)*#REF!*$AL$4*(E31-D31)*24</f>
        <v>#REF!</v>
      </c>
      <c r="N31" s="231">
        <f t="shared" si="3"/>
        <v>0</v>
      </c>
      <c r="O31" s="231">
        <f t="shared" si="4"/>
        <v>18840</v>
      </c>
      <c r="P31" s="231">
        <f t="shared" si="5"/>
        <v>0</v>
      </c>
      <c r="Q31" s="82" t="e">
        <f>IF(OR($B31=#REF!,$B30=$AH$4),($L30-$L31)*(1-$AL$3)*(E31-D31)*24*#REF!*$AL$4,0)</f>
        <v>#REF!</v>
      </c>
      <c r="U31" s="226">
        <f t="shared" si="6"/>
        <v>43348</v>
      </c>
      <c r="V31" s="221">
        <f t="shared" si="7"/>
        <v>0.70833333333333304</v>
      </c>
      <c r="W31" s="229"/>
      <c r="X31" s="229"/>
      <c r="Y31" s="229"/>
      <c r="Z31" s="229"/>
      <c r="AA31" s="82"/>
      <c r="AB31" s="82" t="e">
        <f>AA31*(1-$AL$3)*#REF!*$AL$4*(E31-D31)*24</f>
        <v>#REF!</v>
      </c>
      <c r="AC31" s="231">
        <f t="shared" si="8"/>
        <v>0</v>
      </c>
      <c r="AD31" s="231">
        <f t="shared" si="9"/>
        <v>0</v>
      </c>
      <c r="AE31" s="231">
        <f t="shared" si="10"/>
        <v>0</v>
      </c>
      <c r="AF31" s="82" t="e">
        <f>IF(OR($V31=#REF!,$V31=$AH$4),($AA30-$AA31)*(1-$AL$3)*(E31-D31)*24*#REF!*$AL$4,0)</f>
        <v>#REF!</v>
      </c>
    </row>
    <row r="32" spans="1:32" ht="14.25">
      <c r="A32" s="226">
        <f t="shared" si="11"/>
        <v>43348</v>
      </c>
      <c r="B32" s="221">
        <v>0.79166666666666696</v>
      </c>
      <c r="C32" s="222" t="s">
        <v>41</v>
      </c>
      <c r="D32" s="223">
        <f t="shared" si="0"/>
        <v>43348.791666666664</v>
      </c>
      <c r="E32" s="223">
        <f t="shared" si="1"/>
        <v>43348.916666666664</v>
      </c>
      <c r="F32" s="224">
        <f>SUMPRODUCT(('6烧主抽电耗'!$A$3:$A$96=$A32)*('6烧主抽电耗'!$D$3:$D$96=$C32),'6烧主抽电耗'!$E$3:$E$96)</f>
        <v>2</v>
      </c>
      <c r="G32" s="223" t="str">
        <f t="shared" si="12"/>
        <v>乙班</v>
      </c>
      <c r="H32" s="225">
        <v>43741234</v>
      </c>
      <c r="I32" s="225">
        <v>35189986</v>
      </c>
      <c r="J32" s="225" t="str">
        <f>IF(_cuofeng5_month_day!A30="","",_cuofeng5_month_day!A30)</f>
        <v/>
      </c>
      <c r="K32" s="225" t="str">
        <f>IF(_cuofeng5_month_day!B30="","",_cuofeng5_month_day!B30)</f>
        <v/>
      </c>
      <c r="L32" s="224">
        <f>IFERROR(SUMPRODUCT((_5shaozhuchou_month_day!$A$3:$A$900&gt;=D32)*(_5shaozhuchou_month_day!$A$3:$A$900&lt;E32),_5shaozhuchou_month_day!$Y$3:$Y$900)/SUMPRODUCT((_5shaozhuchou_month_day!$A$3:$A$900&gt;=D32)*(_5shaozhuchou_month_day!$A$3:$A$900&lt;E32)),0)</f>
        <v>0</v>
      </c>
      <c r="M32" s="224" t="e">
        <f>L32*(1-$AL$3)*#REF!*$AL$4*(E32-D32)*24</f>
        <v>#REF!</v>
      </c>
      <c r="N32" s="231">
        <f t="shared" si="3"/>
        <v>25047</v>
      </c>
      <c r="O32" s="231">
        <f t="shared" si="4"/>
        <v>0</v>
      </c>
      <c r="P32" s="231">
        <f t="shared" si="5"/>
        <v>0</v>
      </c>
      <c r="Q32" s="82" t="e">
        <f>IF(OR($B32=#REF!,$B31=$AH$4),($L31-$L32)*(1-$AL$3)*(E32-D32)*24*#REF!*$AL$4,0)</f>
        <v>#REF!</v>
      </c>
      <c r="U32" s="226">
        <f t="shared" si="6"/>
        <v>43348</v>
      </c>
      <c r="V32" s="221">
        <f t="shared" si="7"/>
        <v>0.79166666666666696</v>
      </c>
      <c r="W32" s="229"/>
      <c r="X32" s="229"/>
      <c r="Y32" s="229"/>
      <c r="Z32" s="229"/>
      <c r="AA32" s="82"/>
      <c r="AB32" s="82" t="e">
        <f>AA32*(1-$AL$3)*#REF!*$AL$4*(E32-D32)*24</f>
        <v>#REF!</v>
      </c>
      <c r="AC32" s="231">
        <f t="shared" si="8"/>
        <v>0</v>
      </c>
      <c r="AD32" s="231">
        <f t="shared" si="9"/>
        <v>0</v>
      </c>
      <c r="AE32" s="231">
        <f t="shared" si="10"/>
        <v>0</v>
      </c>
      <c r="AF32" s="82" t="e">
        <f>IF(OR($V32=#REF!,$V32=$AH$4),($AA31-$AA32)*(1-$AL$3)*(E32-D32)*24*#REF!*$AL$4,0)</f>
        <v>#REF!</v>
      </c>
    </row>
    <row r="33" spans="1:32" ht="14.25">
      <c r="A33" s="228">
        <f t="shared" si="11"/>
        <v>43348</v>
      </c>
      <c r="B33" s="221">
        <v>0.91666666666666696</v>
      </c>
      <c r="C33" s="222" t="s">
        <v>41</v>
      </c>
      <c r="D33" s="223">
        <f t="shared" si="0"/>
        <v>43348.916666666664</v>
      </c>
      <c r="E33" s="223">
        <f t="shared" si="1"/>
        <v>43349</v>
      </c>
      <c r="F33" s="224">
        <f>SUMPRODUCT(('6烧主抽电耗'!$A$3:$A$96=$A33)*('6烧主抽电耗'!$D$3:$D$96=$C33),'6烧主抽电耗'!$E$3:$E$96)</f>
        <v>2</v>
      </c>
      <c r="G33" s="223" t="str">
        <f t="shared" si="12"/>
        <v>乙班</v>
      </c>
      <c r="H33" s="225">
        <v>43746287</v>
      </c>
      <c r="I33" s="225">
        <v>35193282</v>
      </c>
      <c r="J33" s="225" t="str">
        <f>IF(_cuofeng5_month_day!A31="","",_cuofeng5_month_day!A31)</f>
        <v/>
      </c>
      <c r="K33" s="225" t="str">
        <f>IF(_cuofeng5_month_day!B31="","",_cuofeng5_month_day!B31)</f>
        <v/>
      </c>
      <c r="L33" s="224">
        <f>IFERROR(SUMPRODUCT((_5shaozhuchou_month_day!$A$3:$A$900&gt;=D33)*(_5shaozhuchou_month_day!$A$3:$A$900&lt;E33),_5shaozhuchou_month_day!$Y$3:$Y$900)/SUMPRODUCT((_5shaozhuchou_month_day!$A$3:$A$900&gt;=D33)*(_5shaozhuchou_month_day!$A$3:$A$900&lt;E33)),0)</f>
        <v>0</v>
      </c>
      <c r="M33" s="224" t="e">
        <f>L33*(1-$AL$3)*#REF!*$AL$4*(E33-D33)*24</f>
        <v>#REF!</v>
      </c>
      <c r="N33" s="231">
        <f t="shared" si="3"/>
        <v>0</v>
      </c>
      <c r="O33" s="231">
        <f t="shared" si="4"/>
        <v>22218</v>
      </c>
      <c r="P33" s="231">
        <f t="shared" si="5"/>
        <v>0</v>
      </c>
      <c r="Q33" s="82" t="e">
        <f>IF(OR($B33=#REF!,$B32=$AH$4),($L32-$L33)*(1-$AL$3)*(E33-D33)*24*#REF!*$AL$4,0)</f>
        <v>#REF!</v>
      </c>
      <c r="U33" s="228">
        <f t="shared" si="6"/>
        <v>43348</v>
      </c>
      <c r="V33" s="221">
        <f t="shared" si="7"/>
        <v>0.91666666666666696</v>
      </c>
      <c r="W33" s="229"/>
      <c r="X33" s="229"/>
      <c r="Y33" s="229"/>
      <c r="Z33" s="229"/>
      <c r="AA33" s="82"/>
      <c r="AB33" s="82" t="e">
        <f>AA33*(1-$AL$3)*#REF!*$AL$4*(E33-D33)*24</f>
        <v>#REF!</v>
      </c>
      <c r="AC33" s="231">
        <f t="shared" si="8"/>
        <v>0</v>
      </c>
      <c r="AD33" s="231">
        <f t="shared" si="9"/>
        <v>0</v>
      </c>
      <c r="AE33" s="231">
        <f t="shared" si="10"/>
        <v>0</v>
      </c>
      <c r="AF33" s="82" t="e">
        <f>IF(OR($V33=#REF!,$V33=$AH$4),($AA32-$AA33)*(1-$AL$3)*(E33-D33)*24*#REF!*$AL$4,0)</f>
        <v>#REF!</v>
      </c>
    </row>
    <row r="34" spans="1:32" ht="14.25">
      <c r="A34" s="220">
        <f>A28+1</f>
        <v>43349</v>
      </c>
      <c r="B34" s="221">
        <v>0</v>
      </c>
      <c r="C34" s="222" t="s">
        <v>37</v>
      </c>
      <c r="D34" s="223">
        <f t="shared" si="0"/>
        <v>43349</v>
      </c>
      <c r="E34" s="223">
        <f t="shared" si="1"/>
        <v>43349.333333333336</v>
      </c>
      <c r="F34" s="224">
        <f>SUMPRODUCT(('6烧主抽电耗'!$A$3:$A$96=$A34)*('6烧主抽电耗'!$D$3:$D$96=$C34),'6烧主抽电耗'!$E$3:$E$96)</f>
        <v>3</v>
      </c>
      <c r="G34" s="223" t="str">
        <f t="shared" si="12"/>
        <v>丙班</v>
      </c>
      <c r="H34" s="225">
        <v>43749663</v>
      </c>
      <c r="I34" s="225">
        <v>35197312</v>
      </c>
      <c r="J34" s="225" t="str">
        <f>IF(_cuofeng5_month_day!A32="","",_cuofeng5_month_day!A32)</f>
        <v/>
      </c>
      <c r="K34" s="225" t="str">
        <f>IF(_cuofeng5_month_day!B32="","",_cuofeng5_month_day!B32)</f>
        <v/>
      </c>
      <c r="L34" s="224">
        <f>IFERROR(SUMPRODUCT((_5shaozhuchou_month_day!$A$3:$A$900&gt;=D34)*(_5shaozhuchou_month_day!$A$3:$A$900&lt;E34),_5shaozhuchou_month_day!$Y$3:$Y$900)/SUMPRODUCT((_5shaozhuchou_month_day!$A$3:$A$900&gt;=D34)*(_5shaozhuchou_month_day!$A$3:$A$900&lt;E34)),0)</f>
        <v>0</v>
      </c>
      <c r="M34" s="224" t="e">
        <f>L34*(1-$AL$3)*#REF!*$AL$4*(E34-D34)*24</f>
        <v>#REF!</v>
      </c>
      <c r="N34" s="231">
        <f t="shared" si="3"/>
        <v>0</v>
      </c>
      <c r="O34" s="231">
        <f t="shared" si="4"/>
        <v>0</v>
      </c>
      <c r="P34" s="231">
        <f t="shared" si="5"/>
        <v>73554</v>
      </c>
      <c r="Q34" s="82" t="e">
        <f>IF(OR($B34=#REF!,$B33=$AH$4),($L33-$L34)*(1-$AL$3)*(E34-D34)*24*#REF!*$AL$4,0)</f>
        <v>#REF!</v>
      </c>
      <c r="U34" s="220">
        <f t="shared" si="6"/>
        <v>43349</v>
      </c>
      <c r="V34" s="221">
        <f t="shared" si="7"/>
        <v>0</v>
      </c>
      <c r="W34" s="229"/>
      <c r="X34" s="229"/>
      <c r="Y34" s="229"/>
      <c r="Z34" s="229"/>
      <c r="AA34" s="82"/>
      <c r="AB34" s="82" t="e">
        <f>AA34*(1-$AL$3)*#REF!*$AL$4*(E34-D34)*24</f>
        <v>#REF!</v>
      </c>
      <c r="AC34" s="231">
        <f t="shared" si="8"/>
        <v>0</v>
      </c>
      <c r="AD34" s="231">
        <f t="shared" si="9"/>
        <v>0</v>
      </c>
      <c r="AE34" s="231">
        <f t="shared" si="10"/>
        <v>0</v>
      </c>
      <c r="AF34" s="82" t="e">
        <f>IF(OR($V34=#REF!,$V34=$AH$4),($AA33-$AA34)*(1-$AL$3)*(E34-D34)*24*#REF!*$AL$4,0)</f>
        <v>#REF!</v>
      </c>
    </row>
    <row r="35" spans="1:32" ht="14.25">
      <c r="A35" s="226">
        <f>A34</f>
        <v>43349</v>
      </c>
      <c r="B35" s="221">
        <v>0.33333333333333298</v>
      </c>
      <c r="C35" s="222" t="s">
        <v>37</v>
      </c>
      <c r="D35" s="223">
        <f t="shared" si="0"/>
        <v>43349.333333333336</v>
      </c>
      <c r="E35" s="223">
        <f t="shared" si="1"/>
        <v>43349.583333333336</v>
      </c>
      <c r="F35" s="224">
        <f>SUMPRODUCT(('6烧主抽电耗'!$A$3:$A$96=$A35)*('6烧主抽电耗'!$D$3:$D$96=$C35),'6烧主抽电耗'!$E$3:$E$96)</f>
        <v>3</v>
      </c>
      <c r="G35" s="223" t="str">
        <f t="shared" si="12"/>
        <v>丙班</v>
      </c>
      <c r="H35" s="225">
        <v>43762972</v>
      </c>
      <c r="I35" s="225">
        <v>35208521</v>
      </c>
      <c r="J35" s="225" t="str">
        <f>IF(_cuofeng5_month_day!A33="","",_cuofeng5_month_day!A33)</f>
        <v/>
      </c>
      <c r="K35" s="225" t="str">
        <f>IF(_cuofeng5_month_day!B33="","",_cuofeng5_month_day!B33)</f>
        <v/>
      </c>
      <c r="L35" s="224">
        <f>IFERROR(SUMPRODUCT((_5shaozhuchou_month_day!$A$3:$A$900&gt;=D35)*(_5shaozhuchou_month_day!$A$3:$A$900&lt;E35),_5shaozhuchou_month_day!$Y$3:$Y$900)/SUMPRODUCT((_5shaozhuchou_month_day!$A$3:$A$900&gt;=D35)*(_5shaozhuchou_month_day!$A$3:$A$900&lt;E35)),0)</f>
        <v>0</v>
      </c>
      <c r="M35" s="224" t="e">
        <f>L35*(1-$AL$3)*#REF!*$AL$4*(E35-D35)*24</f>
        <v>#REF!</v>
      </c>
      <c r="N35" s="231">
        <f t="shared" si="3"/>
        <v>0</v>
      </c>
      <c r="O35" s="231">
        <f t="shared" si="4"/>
        <v>60714</v>
      </c>
      <c r="P35" s="231">
        <f t="shared" si="5"/>
        <v>0</v>
      </c>
      <c r="Q35" s="82" t="e">
        <f>IF(OR($B35=#REF!,$B34=$AH$4),($L34-$L35)*(1-$AL$3)*(E35-D35)*24*#REF!*$AL$4,0)</f>
        <v>#REF!</v>
      </c>
      <c r="U35" s="226">
        <f t="shared" si="6"/>
        <v>43349</v>
      </c>
      <c r="V35" s="221">
        <f t="shared" si="7"/>
        <v>0.33333333333333298</v>
      </c>
      <c r="W35" s="240"/>
      <c r="X35" s="229"/>
      <c r="Y35" s="229"/>
      <c r="Z35" s="229"/>
      <c r="AA35" s="82"/>
      <c r="AB35" s="82" t="e">
        <f>AA35*(1-$AL$3)*#REF!*$AL$4*(E35-D35)*24</f>
        <v>#REF!</v>
      </c>
      <c r="AC35" s="231">
        <f t="shared" si="8"/>
        <v>0</v>
      </c>
      <c r="AD35" s="231">
        <f t="shared" si="9"/>
        <v>0</v>
      </c>
      <c r="AE35" s="231">
        <f t="shared" si="10"/>
        <v>0</v>
      </c>
      <c r="AF35" s="82" t="e">
        <f>IF(OR($V35=#REF!,$V35=$AH$4),($AA34-$AA35)*(1-$AL$3)*(E35-D35)*24*#REF!*$AL$4,0)</f>
        <v>#REF!</v>
      </c>
    </row>
    <row r="36" spans="1:32" ht="14.25">
      <c r="A36" s="226">
        <f t="shared" si="11"/>
        <v>43349</v>
      </c>
      <c r="B36" s="221">
        <v>0.58333333333333304</v>
      </c>
      <c r="C36" s="222" t="s">
        <v>39</v>
      </c>
      <c r="D36" s="223">
        <f t="shared" ref="D36:D67" si="13">A36+B36</f>
        <v>43349.583333333336</v>
      </c>
      <c r="E36" s="223">
        <f t="shared" ref="E36:E67" si="14">D37</f>
        <v>43349.708333333336</v>
      </c>
      <c r="F36" s="224">
        <f>SUMPRODUCT(('6烧主抽电耗'!$A$3:$A$96=$A36)*('6烧主抽电耗'!$D$3:$D$96=$C36),'6烧主抽电耗'!$E$3:$E$96)</f>
        <v>4</v>
      </c>
      <c r="G36" s="223" t="str">
        <f t="shared" si="12"/>
        <v>丁班</v>
      </c>
      <c r="H36" s="225">
        <v>43773761</v>
      </c>
      <c r="I36" s="225">
        <v>35217970</v>
      </c>
      <c r="J36" s="225" t="str">
        <f>IF(_cuofeng5_month_day!A34="","",_cuofeng5_month_day!A34)</f>
        <v/>
      </c>
      <c r="K36" s="225" t="str">
        <f>IF(_cuofeng5_month_day!B34="","",_cuofeng5_month_day!B34)</f>
        <v/>
      </c>
      <c r="L36" s="224">
        <f>IFERROR(SUMPRODUCT((_5shaozhuchou_month_day!$A$3:$A$900&gt;=D36)*(_5shaozhuchou_month_day!$A$3:$A$900&lt;E36),_5shaozhuchou_month_day!$Y$3:$Y$900)/SUMPRODUCT((_5shaozhuchou_month_day!$A$3:$A$900&gt;=D36)*(_5shaozhuchou_month_day!$A$3:$A$900&lt;E36)),0)</f>
        <v>0</v>
      </c>
      <c r="M36" s="224" t="e">
        <f>L36*(1-$AL$3)*#REF!*$AL$4*(E36-D36)*24</f>
        <v>#REF!</v>
      </c>
      <c r="N36" s="231">
        <f t="shared" si="3"/>
        <v>23382</v>
      </c>
      <c r="O36" s="231">
        <f t="shared" si="4"/>
        <v>0</v>
      </c>
      <c r="P36" s="231">
        <f t="shared" si="5"/>
        <v>0</v>
      </c>
      <c r="Q36" s="82" t="e">
        <f>IF(OR($B36=#REF!,$B35=$AH$4),($L35-$L36)*(1-$AL$3)*(E36-D36)*24*#REF!*$AL$4,0)</f>
        <v>#REF!</v>
      </c>
      <c r="U36" s="226">
        <f t="shared" si="6"/>
        <v>43349</v>
      </c>
      <c r="V36" s="221">
        <f t="shared" si="7"/>
        <v>0.58333333333333304</v>
      </c>
      <c r="W36" s="229"/>
      <c r="X36" s="229"/>
      <c r="Y36" s="229"/>
      <c r="Z36" s="229"/>
      <c r="AA36" s="82"/>
      <c r="AB36" s="82" t="e">
        <f>AA36*(1-$AL$3)*#REF!*$AL$4*(E36-D36)*24</f>
        <v>#REF!</v>
      </c>
      <c r="AC36" s="231">
        <f t="shared" si="8"/>
        <v>0</v>
      </c>
      <c r="AD36" s="231">
        <f t="shared" si="9"/>
        <v>0</v>
      </c>
      <c r="AE36" s="231">
        <f t="shared" si="10"/>
        <v>0</v>
      </c>
      <c r="AF36" s="82" t="e">
        <f>IF(OR($V36=#REF!,$V36=$AH$4),($AA35-$AA36)*(1-$AL$3)*(E36-D36)*24*#REF!*$AL$4,0)</f>
        <v>#REF!</v>
      </c>
    </row>
    <row r="37" spans="1:32" ht="14.25">
      <c r="A37" s="226">
        <f t="shared" si="11"/>
        <v>43349</v>
      </c>
      <c r="B37" s="221">
        <v>0.70833333333333304</v>
      </c>
      <c r="C37" s="222" t="s">
        <v>41</v>
      </c>
      <c r="D37" s="223">
        <f t="shared" si="13"/>
        <v>43349.708333333336</v>
      </c>
      <c r="E37" s="223">
        <f t="shared" si="14"/>
        <v>43349.791666666664</v>
      </c>
      <c r="F37" s="224">
        <f>SUMPRODUCT(('6烧主抽电耗'!$A$3:$A$96=$A37)*('6烧主抽电耗'!$D$3:$D$96=$C37),'6烧主抽电耗'!$E$3:$E$96)</f>
        <v>1</v>
      </c>
      <c r="G37" s="223" t="str">
        <f t="shared" si="12"/>
        <v>甲班</v>
      </c>
      <c r="H37" s="225">
        <v>43777946</v>
      </c>
      <c r="I37" s="225">
        <v>35221579</v>
      </c>
      <c r="J37" s="225" t="str">
        <f>IF(_cuofeng5_month_day!A35="","",_cuofeng5_month_day!A35)</f>
        <v/>
      </c>
      <c r="K37" s="225" t="str">
        <f>IF(_cuofeng5_month_day!B35="","",_cuofeng5_month_day!B35)</f>
        <v/>
      </c>
      <c r="L37" s="224">
        <f>IFERROR(SUMPRODUCT((_5shaozhuchou_month_day!$A$3:$A$900&gt;=D37)*(_5shaozhuchou_month_day!$A$3:$A$900&lt;E37),_5shaozhuchou_month_day!$Y$3:$Y$900)/SUMPRODUCT((_5shaozhuchou_month_day!$A$3:$A$900&gt;=D37)*(_5shaozhuchou_month_day!$A$3:$A$900&lt;E37)),0)</f>
        <v>0</v>
      </c>
      <c r="M37" s="224" t="e">
        <f>L37*(1-$AL$3)*#REF!*$AL$4*(E37-D37)*24</f>
        <v>#REF!</v>
      </c>
      <c r="N37" s="231">
        <f t="shared" ref="N37:N68" si="15">IF(OR($B37=$AH$4,$B37=$AH$5),(($H38-$H37)+($I38-$I37))*3,0)</f>
        <v>0</v>
      </c>
      <c r="O37" s="231">
        <f t="shared" si="4"/>
        <v>19587</v>
      </c>
      <c r="P37" s="231">
        <f t="shared" si="5"/>
        <v>0</v>
      </c>
      <c r="Q37" s="82" t="e">
        <f>IF(OR($B37=#REF!,$B36=$AH$4),($L36-$L37)*(1-$AL$3)*(E37-D37)*24*#REF!*$AL$4,0)</f>
        <v>#REF!</v>
      </c>
      <c r="U37" s="226">
        <f t="shared" ref="U37:U68" si="16">A37</f>
        <v>43349</v>
      </c>
      <c r="V37" s="221">
        <f t="shared" si="7"/>
        <v>0.70833333333333304</v>
      </c>
      <c r="W37" s="229"/>
      <c r="X37" s="229"/>
      <c r="Y37" s="229"/>
      <c r="Z37" s="229"/>
      <c r="AA37" s="82"/>
      <c r="AB37" s="82" t="e">
        <f>AA37*(1-$AL$3)*#REF!*$AL$4*(E37-D37)*24</f>
        <v>#REF!</v>
      </c>
      <c r="AC37" s="231">
        <f t="shared" si="8"/>
        <v>0</v>
      </c>
      <c r="AD37" s="231">
        <f t="shared" si="9"/>
        <v>0</v>
      </c>
      <c r="AE37" s="231">
        <f t="shared" si="10"/>
        <v>0</v>
      </c>
      <c r="AF37" s="82" t="e">
        <f>IF(OR($V37=#REF!,$V37=$AH$4),($AA36-$AA37)*(1-$AL$3)*(E37-D37)*24*#REF!*$AL$4,0)</f>
        <v>#REF!</v>
      </c>
    </row>
    <row r="38" spans="1:32" ht="14.25">
      <c r="A38" s="226">
        <f t="shared" si="11"/>
        <v>43349</v>
      </c>
      <c r="B38" s="221">
        <v>0.79166666666666696</v>
      </c>
      <c r="C38" s="222" t="s">
        <v>41</v>
      </c>
      <c r="D38" s="223">
        <f t="shared" si="13"/>
        <v>43349.791666666664</v>
      </c>
      <c r="E38" s="223">
        <f t="shared" si="14"/>
        <v>43349.916666666664</v>
      </c>
      <c r="F38" s="224">
        <f>SUMPRODUCT(('6烧主抽电耗'!$A$3:$A$96=$A38)*('6烧主抽电耗'!$D$3:$D$96=$C38),'6烧主抽电耗'!$E$3:$E$96)</f>
        <v>1</v>
      </c>
      <c r="G38" s="223" t="str">
        <f t="shared" si="12"/>
        <v>甲班</v>
      </c>
      <c r="H38" s="225">
        <v>43781445</v>
      </c>
      <c r="I38" s="225">
        <v>35224609</v>
      </c>
      <c r="J38" s="225" t="str">
        <f>IF(_cuofeng5_month_day!A36="","",_cuofeng5_month_day!A36)</f>
        <v/>
      </c>
      <c r="K38" s="225" t="str">
        <f>IF(_cuofeng5_month_day!B36="","",_cuofeng5_month_day!B36)</f>
        <v/>
      </c>
      <c r="L38" s="224">
        <f>IFERROR(SUMPRODUCT((_5shaozhuchou_month_day!$A$3:$A$900&gt;=D38)*(_5shaozhuchou_month_day!$A$3:$A$900&lt;E38),_5shaozhuchou_month_day!$Y$3:$Y$900)/SUMPRODUCT((_5shaozhuchou_month_day!$A$3:$A$900&gt;=D38)*(_5shaozhuchou_month_day!$A$3:$A$900&lt;E38)),0)</f>
        <v>0</v>
      </c>
      <c r="M38" s="224" t="e">
        <f>L38*(1-$AL$3)*#REF!*$AL$4*(E38-D38)*24</f>
        <v>#REF!</v>
      </c>
      <c r="N38" s="231">
        <f t="shared" si="15"/>
        <v>30996</v>
      </c>
      <c r="O38" s="231">
        <f t="shared" si="4"/>
        <v>0</v>
      </c>
      <c r="P38" s="231">
        <f t="shared" si="5"/>
        <v>0</v>
      </c>
      <c r="Q38" s="82" t="e">
        <f>IF(OR($B38=#REF!,$B37=$AH$4),($L37-$L38)*(1-$AL$3)*(E38-D38)*24*#REF!*$AL$4,0)</f>
        <v>#REF!</v>
      </c>
      <c r="U38" s="226">
        <f t="shared" si="16"/>
        <v>43349</v>
      </c>
      <c r="V38" s="221">
        <f t="shared" si="7"/>
        <v>0.79166666666666696</v>
      </c>
      <c r="W38" s="229"/>
      <c r="X38" s="229"/>
      <c r="Y38" s="229"/>
      <c r="Z38" s="229"/>
      <c r="AA38" s="82"/>
      <c r="AB38" s="82" t="e">
        <f>AA38*(1-$AL$3)*#REF!*$AL$4*(E38-D38)*24</f>
        <v>#REF!</v>
      </c>
      <c r="AC38" s="231">
        <f t="shared" si="8"/>
        <v>0</v>
      </c>
      <c r="AD38" s="231">
        <f t="shared" si="9"/>
        <v>0</v>
      </c>
      <c r="AE38" s="231">
        <f t="shared" si="10"/>
        <v>0</v>
      </c>
      <c r="AF38" s="82" t="e">
        <f>IF(OR($V38=#REF!,$V38=$AH$4),($AA37-$AA38)*(1-$AL$3)*(E38-D38)*24*#REF!*$AL$4,0)</f>
        <v>#REF!</v>
      </c>
    </row>
    <row r="39" spans="1:32" ht="14.25">
      <c r="A39" s="228">
        <f t="shared" si="11"/>
        <v>43349</v>
      </c>
      <c r="B39" s="221">
        <v>0.91666666666666696</v>
      </c>
      <c r="C39" s="222" t="s">
        <v>41</v>
      </c>
      <c r="D39" s="223">
        <f t="shared" si="13"/>
        <v>43349.916666666664</v>
      </c>
      <c r="E39" s="223">
        <f t="shared" si="14"/>
        <v>43350</v>
      </c>
      <c r="F39" s="224">
        <f>SUMPRODUCT(('6烧主抽电耗'!$A$3:$A$96=$A39)*('6烧主抽电耗'!$D$3:$D$96=$C39),'6烧主抽电耗'!$E$3:$E$96)</f>
        <v>1</v>
      </c>
      <c r="G39" s="223" t="str">
        <f t="shared" si="12"/>
        <v>甲班</v>
      </c>
      <c r="H39" s="225">
        <v>43786972</v>
      </c>
      <c r="I39" s="225">
        <v>35229414</v>
      </c>
      <c r="J39" s="225" t="str">
        <f>IF(_cuofeng5_month_day!A37="","",_cuofeng5_month_day!A37)</f>
        <v/>
      </c>
      <c r="K39" s="225" t="str">
        <f>IF(_cuofeng5_month_day!B37="","",_cuofeng5_month_day!B37)</f>
        <v/>
      </c>
      <c r="L39" s="224">
        <f>IFERROR(SUMPRODUCT((_5shaozhuchou_month_day!$A$3:$A$900&gt;=D39)*(_5shaozhuchou_month_day!$A$3:$A$900&lt;E39),_5shaozhuchou_month_day!$Y$3:$Y$900)/SUMPRODUCT((_5shaozhuchou_month_day!$A$3:$A$900&gt;=D39)*(_5shaozhuchou_month_day!$A$3:$A$900&lt;E39)),0)</f>
        <v>0</v>
      </c>
      <c r="M39" s="224" t="e">
        <f>L39*(1-$AL$3)*#REF!*$AL$4*(E39-D39)*24</f>
        <v>#REF!</v>
      </c>
      <c r="N39" s="231">
        <f t="shared" si="15"/>
        <v>0</v>
      </c>
      <c r="O39" s="231">
        <f t="shared" si="4"/>
        <v>21234</v>
      </c>
      <c r="P39" s="231">
        <f t="shared" si="5"/>
        <v>0</v>
      </c>
      <c r="Q39" s="82" t="e">
        <f>IF(OR($B39=#REF!,$B38=$AH$4),($L38-$L39)*(1-$AL$3)*(E39-D39)*24*#REF!*$AL$4,0)</f>
        <v>#REF!</v>
      </c>
      <c r="U39" s="228">
        <f t="shared" si="16"/>
        <v>43349</v>
      </c>
      <c r="V39" s="221">
        <f t="shared" si="7"/>
        <v>0.91666666666666696</v>
      </c>
      <c r="W39" s="229"/>
      <c r="X39" s="229"/>
      <c r="Y39" s="229"/>
      <c r="Z39" s="229"/>
      <c r="AA39" s="82"/>
      <c r="AB39" s="82" t="e">
        <f>AA39*(1-$AL$3)*#REF!*$AL$4*(E39-D39)*24</f>
        <v>#REF!</v>
      </c>
      <c r="AC39" s="231">
        <f t="shared" si="8"/>
        <v>0</v>
      </c>
      <c r="AD39" s="231">
        <f t="shared" si="9"/>
        <v>0</v>
      </c>
      <c r="AE39" s="231">
        <f t="shared" si="10"/>
        <v>0</v>
      </c>
      <c r="AF39" s="82" t="e">
        <f>IF(OR($V39=#REF!,$V39=$AH$4),($AA38-$AA39)*(1-$AL$3)*(E39-D39)*24*#REF!*$AL$4,0)</f>
        <v>#REF!</v>
      </c>
    </row>
    <row r="40" spans="1:32" ht="14.25">
      <c r="A40" s="220">
        <f>A34+1</f>
        <v>43350</v>
      </c>
      <c r="B40" s="221">
        <v>0</v>
      </c>
      <c r="C40" s="222" t="s">
        <v>37</v>
      </c>
      <c r="D40" s="223">
        <f t="shared" si="13"/>
        <v>43350</v>
      </c>
      <c r="E40" s="223">
        <f t="shared" si="14"/>
        <v>43350.333333333336</v>
      </c>
      <c r="F40" s="224">
        <f>SUMPRODUCT(('6烧主抽电耗'!$A$3:$A$96=$A40)*('6烧主抽电耗'!$D$3:$D$96=$C40),'6烧主抽电耗'!$E$3:$E$96)</f>
        <v>3</v>
      </c>
      <c r="G40" s="223" t="str">
        <f t="shared" si="12"/>
        <v>丙班</v>
      </c>
      <c r="H40" s="225">
        <v>43790815</v>
      </c>
      <c r="I40" s="225">
        <v>35232649</v>
      </c>
      <c r="J40" s="225" t="str">
        <f>IF(_cuofeng5_month_day!A38="","",_cuofeng5_month_day!A38)</f>
        <v/>
      </c>
      <c r="K40" s="225" t="str">
        <f>IF(_cuofeng5_month_day!B38="","",_cuofeng5_month_day!B38)</f>
        <v/>
      </c>
      <c r="L40" s="224">
        <f>IFERROR(SUMPRODUCT((_5shaozhuchou_month_day!$A$3:$A$900&gt;=D40)*(_5shaozhuchou_month_day!$A$3:$A$900&lt;E40),_5shaozhuchou_month_day!$Y$3:$Y$900)/SUMPRODUCT((_5shaozhuchou_month_day!$A$3:$A$900&gt;=D40)*(_5shaozhuchou_month_day!$A$3:$A$900&lt;E40)),0)</f>
        <v>0</v>
      </c>
      <c r="M40" s="224" t="e">
        <f>L40*(1-$AL$3)*#REF!*$AL$4*(E40-D40)*24</f>
        <v>#REF!</v>
      </c>
      <c r="N40" s="231">
        <f t="shared" si="15"/>
        <v>0</v>
      </c>
      <c r="O40" s="231">
        <f t="shared" si="4"/>
        <v>0</v>
      </c>
      <c r="P40" s="231">
        <f t="shared" si="5"/>
        <v>73779</v>
      </c>
      <c r="Q40" s="82" t="e">
        <f>IF(OR($B40=#REF!,$B39=$AH$4),($L39-$L40)*(1-$AL$3)*(E40-D40)*24*#REF!*$AL$4,0)</f>
        <v>#REF!</v>
      </c>
      <c r="U40" s="220">
        <f t="shared" si="16"/>
        <v>43350</v>
      </c>
      <c r="V40" s="221">
        <f t="shared" si="7"/>
        <v>0</v>
      </c>
      <c r="W40" s="237"/>
      <c r="X40" s="225"/>
      <c r="Y40" s="229"/>
      <c r="Z40" s="229"/>
      <c r="AA40" s="82"/>
      <c r="AB40" s="82" t="e">
        <f>AA40*(1-$AL$3)*#REF!*$AL$4*(E40-D40)*24</f>
        <v>#REF!</v>
      </c>
      <c r="AC40" s="231">
        <f t="shared" si="8"/>
        <v>0</v>
      </c>
      <c r="AD40" s="231">
        <f t="shared" si="9"/>
        <v>0</v>
      </c>
      <c r="AE40" s="231">
        <f t="shared" si="10"/>
        <v>0</v>
      </c>
      <c r="AF40" s="82" t="e">
        <f>IF(OR($V40=#REF!,$V40=$AH$4),($AA39-$AA40)*(1-$AL$3)*(E40-D40)*24*#REF!*$AL$4,0)</f>
        <v>#REF!</v>
      </c>
    </row>
    <row r="41" spans="1:32" ht="14.25">
      <c r="A41" s="226">
        <f>A40</f>
        <v>43350</v>
      </c>
      <c r="B41" s="221">
        <v>0.33333333333333298</v>
      </c>
      <c r="C41" s="222" t="s">
        <v>37</v>
      </c>
      <c r="D41" s="223">
        <f t="shared" si="13"/>
        <v>43350.333333333336</v>
      </c>
      <c r="E41" s="223">
        <f t="shared" si="14"/>
        <v>43350.583333333336</v>
      </c>
      <c r="F41" s="224">
        <f>SUMPRODUCT(('6烧主抽电耗'!$A$3:$A$96=$A41)*('6烧主抽电耗'!$D$3:$D$96=$C41),'6烧主抽电耗'!$E$3:$E$96)</f>
        <v>3</v>
      </c>
      <c r="G41" s="223" t="str">
        <f t="shared" si="12"/>
        <v>丙班</v>
      </c>
      <c r="H41" s="225">
        <v>43803978</v>
      </c>
      <c r="I41" s="225">
        <v>35244079</v>
      </c>
      <c r="J41" s="225" t="str">
        <f>IF(_cuofeng5_month_day!A39="","",_cuofeng5_month_day!A39)</f>
        <v/>
      </c>
      <c r="K41" s="225" t="str">
        <f>IF(_cuofeng5_month_day!B39="","",_cuofeng5_month_day!B39)</f>
        <v/>
      </c>
      <c r="L41" s="224">
        <f>IFERROR(SUMPRODUCT((_5shaozhuchou_month_day!$A$3:$A$900&gt;=D41)*(_5shaozhuchou_month_day!$A$3:$A$900&lt;E41),_5shaozhuchou_month_day!$Y$3:$Y$900)/SUMPRODUCT((_5shaozhuchou_month_day!$A$3:$A$900&gt;=D41)*(_5shaozhuchou_month_day!$A$3:$A$900&lt;E41)),0)</f>
        <v>0</v>
      </c>
      <c r="M41" s="224" t="e">
        <f>L41*(1-$AL$3)*#REF!*$AL$4*(E41-D41)*24</f>
        <v>#REF!</v>
      </c>
      <c r="N41" s="231">
        <f t="shared" si="15"/>
        <v>0</v>
      </c>
      <c r="O41" s="231">
        <f t="shared" si="4"/>
        <v>61203</v>
      </c>
      <c r="P41" s="231">
        <f t="shared" si="5"/>
        <v>0</v>
      </c>
      <c r="Q41" s="82" t="e">
        <f>IF(OR($B41=#REF!,$B40=$AH$4),($L40-$L41)*(1-$AL$3)*(E41-D41)*24*#REF!*$AL$4,0)</f>
        <v>#REF!</v>
      </c>
      <c r="U41" s="226">
        <f t="shared" si="16"/>
        <v>43350</v>
      </c>
      <c r="V41" s="221">
        <f t="shared" si="7"/>
        <v>0.33333333333333298</v>
      </c>
      <c r="W41" s="237"/>
      <c r="X41" s="225"/>
      <c r="Y41" s="229"/>
      <c r="Z41" s="229"/>
      <c r="AA41" s="82"/>
      <c r="AB41" s="82" t="e">
        <f>AA41*(1-$AL$3)*#REF!*$AL$4*(E41-D41)*24</f>
        <v>#REF!</v>
      </c>
      <c r="AC41" s="231">
        <f t="shared" si="8"/>
        <v>0</v>
      </c>
      <c r="AD41" s="231">
        <f t="shared" si="9"/>
        <v>0</v>
      </c>
      <c r="AE41" s="231">
        <f t="shared" si="10"/>
        <v>0</v>
      </c>
      <c r="AF41" s="82" t="e">
        <f>IF(OR($V41=#REF!,$V41=$AH$4),($AA40-$AA41)*(1-$AL$3)*(E41-D41)*24*#REF!*$AL$4,0)</f>
        <v>#REF!</v>
      </c>
    </row>
    <row r="42" spans="1:32" ht="14.25">
      <c r="A42" s="226">
        <f t="shared" si="11"/>
        <v>43350</v>
      </c>
      <c r="B42" s="221">
        <v>0.58333333333333304</v>
      </c>
      <c r="C42" s="222" t="s">
        <v>39</v>
      </c>
      <c r="D42" s="223">
        <f t="shared" si="13"/>
        <v>43350.583333333336</v>
      </c>
      <c r="E42" s="223">
        <f t="shared" si="14"/>
        <v>43350.708333333336</v>
      </c>
      <c r="F42" s="224">
        <f>SUMPRODUCT(('6烧主抽电耗'!$A$3:$A$96=$A42)*('6烧主抽电耗'!$D$3:$D$96=$C42),'6烧主抽电耗'!$E$3:$E$96)</f>
        <v>4</v>
      </c>
      <c r="G42" s="223" t="str">
        <f t="shared" si="12"/>
        <v>丁班</v>
      </c>
      <c r="H42" s="225">
        <v>43814880</v>
      </c>
      <c r="I42" s="225">
        <v>35253578</v>
      </c>
      <c r="J42" s="225" t="str">
        <f>IF(_cuofeng5_month_day!A40="","",_cuofeng5_month_day!A40)</f>
        <v/>
      </c>
      <c r="K42" s="225" t="str">
        <f>IF(_cuofeng5_month_day!B40="","",_cuofeng5_month_day!B40)</f>
        <v/>
      </c>
      <c r="L42" s="224">
        <f>IFERROR(SUMPRODUCT((_5shaozhuchou_month_day!$A$3:$A$900&gt;=D42)*(_5shaozhuchou_month_day!$A$3:$A$900&lt;E42),_5shaozhuchou_month_day!$Y$3:$Y$900)/SUMPRODUCT((_5shaozhuchou_month_day!$A$3:$A$900&gt;=D42)*(_5shaozhuchou_month_day!$A$3:$A$900&lt;E42)),0)</f>
        <v>0</v>
      </c>
      <c r="M42" s="224" t="e">
        <f>L42*(1-$AL$3)*#REF!*$AL$4*(E42-D42)*24</f>
        <v>#REF!</v>
      </c>
      <c r="N42" s="231">
        <f t="shared" si="15"/>
        <v>27336</v>
      </c>
      <c r="O42" s="231">
        <f t="shared" si="4"/>
        <v>0</v>
      </c>
      <c r="P42" s="231">
        <f t="shared" si="5"/>
        <v>0</v>
      </c>
      <c r="Q42" s="82" t="e">
        <f>IF(OR($B42=#REF!,$B41=$AH$4),($L41-$L42)*(1-$AL$3)*(E42-D42)*24*#REF!*$AL$4,0)</f>
        <v>#REF!</v>
      </c>
      <c r="U42" s="226">
        <f t="shared" si="16"/>
        <v>43350</v>
      </c>
      <c r="V42" s="221">
        <f t="shared" si="7"/>
        <v>0.58333333333333304</v>
      </c>
      <c r="W42" s="229"/>
      <c r="X42" s="229"/>
      <c r="Y42" s="229"/>
      <c r="Z42" s="229"/>
      <c r="AA42" s="82"/>
      <c r="AB42" s="82" t="e">
        <f>AA42*(1-$AL$3)*#REF!*$AL$4*(E42-D42)*24</f>
        <v>#REF!</v>
      </c>
      <c r="AC42" s="231">
        <f t="shared" si="8"/>
        <v>0</v>
      </c>
      <c r="AD42" s="231">
        <f t="shared" si="9"/>
        <v>0</v>
      </c>
      <c r="AE42" s="231">
        <f t="shared" si="10"/>
        <v>0</v>
      </c>
      <c r="AF42" s="82" t="e">
        <f>IF(OR($V42=#REF!,$V42=$AH$4),($AA41-$AA42)*(1-$AL$3)*(E42-D42)*24*#REF!*$AL$4,0)</f>
        <v>#REF!</v>
      </c>
    </row>
    <row r="43" spans="1:32" ht="14.25">
      <c r="A43" s="226">
        <f t="shared" si="11"/>
        <v>43350</v>
      </c>
      <c r="B43" s="221">
        <v>0.70833333333333304</v>
      </c>
      <c r="C43" s="222" t="s">
        <v>41</v>
      </c>
      <c r="D43" s="223">
        <f t="shared" si="13"/>
        <v>43350.708333333336</v>
      </c>
      <c r="E43" s="223">
        <f t="shared" si="14"/>
        <v>43350.791666666664</v>
      </c>
      <c r="F43" s="224">
        <f>SUMPRODUCT(('6烧主抽电耗'!$A$3:$A$96=$A43)*('6烧主抽电耗'!$D$3:$D$96=$C43),'6烧主抽电耗'!$E$3:$E$96)</f>
        <v>1</v>
      </c>
      <c r="G43" s="223" t="str">
        <f t="shared" si="12"/>
        <v>甲班</v>
      </c>
      <c r="H43" s="225">
        <v>43819732</v>
      </c>
      <c r="I43" s="225">
        <v>35257838</v>
      </c>
      <c r="J43" s="225" t="str">
        <f>IF(_cuofeng5_month_day!A41="","",_cuofeng5_month_day!A41)</f>
        <v/>
      </c>
      <c r="K43" s="225" t="str">
        <f>IF(_cuofeng5_month_day!B41="","",_cuofeng5_month_day!B41)</f>
        <v/>
      </c>
      <c r="L43" s="224">
        <f>IFERROR(SUMPRODUCT((_5shaozhuchou_month_day!$A$3:$A$900&gt;=D43)*(_5shaozhuchou_month_day!$A$3:$A$900&lt;E43),_5shaozhuchou_month_day!$Y$3:$Y$900)/SUMPRODUCT((_5shaozhuchou_month_day!$A$3:$A$900&gt;=D43)*(_5shaozhuchou_month_day!$A$3:$A$900&lt;E43)),0)</f>
        <v>0</v>
      </c>
      <c r="M43" s="224" t="e">
        <f>L43*(1-$AL$3)*#REF!*$AL$4*(E43-D43)*24</f>
        <v>#REF!</v>
      </c>
      <c r="N43" s="231">
        <f t="shared" si="15"/>
        <v>0</v>
      </c>
      <c r="O43" s="231">
        <f t="shared" si="4"/>
        <v>17982</v>
      </c>
      <c r="P43" s="231">
        <f t="shared" si="5"/>
        <v>0</v>
      </c>
      <c r="Q43" s="82" t="e">
        <f>IF(OR($B43=#REF!,$B42=$AH$4),($L42-$L43)*(1-$AL$3)*(E43-D43)*24*#REF!*$AL$4,0)</f>
        <v>#REF!</v>
      </c>
      <c r="U43" s="226">
        <f t="shared" si="16"/>
        <v>43350</v>
      </c>
      <c r="V43" s="221">
        <f t="shared" si="7"/>
        <v>0.70833333333333304</v>
      </c>
      <c r="W43" s="229"/>
      <c r="X43" s="229"/>
      <c r="Y43" s="229"/>
      <c r="Z43" s="229"/>
      <c r="AA43" s="82"/>
      <c r="AB43" s="82" t="e">
        <f>AA43*(1-$AL$3)*#REF!*$AL$4*(E43-D43)*24</f>
        <v>#REF!</v>
      </c>
      <c r="AC43" s="231">
        <f t="shared" si="8"/>
        <v>0</v>
      </c>
      <c r="AD43" s="231">
        <f t="shared" si="9"/>
        <v>0</v>
      </c>
      <c r="AE43" s="231">
        <f t="shared" si="10"/>
        <v>0</v>
      </c>
      <c r="AF43" s="82" t="e">
        <f>IF(OR($V43=#REF!,$V43=$AH$4),($AA42-$AA43)*(1-$AL$3)*(E43-D43)*24*#REF!*$AL$4,0)</f>
        <v>#REF!</v>
      </c>
    </row>
    <row r="44" spans="1:32" ht="14.25">
      <c r="A44" s="226">
        <f t="shared" si="11"/>
        <v>43350</v>
      </c>
      <c r="B44" s="221">
        <v>0.79166666666666696</v>
      </c>
      <c r="C44" s="222" t="s">
        <v>41</v>
      </c>
      <c r="D44" s="223">
        <f t="shared" si="13"/>
        <v>43350.791666666664</v>
      </c>
      <c r="E44" s="223">
        <f t="shared" si="14"/>
        <v>43350.916666666664</v>
      </c>
      <c r="F44" s="224">
        <f>SUMPRODUCT(('6烧主抽电耗'!$A$3:$A$96=$A44)*('6烧主抽电耗'!$D$3:$D$96=$C44),'6烧主抽电耗'!$E$3:$E$96)</f>
        <v>1</v>
      </c>
      <c r="G44" s="223" t="str">
        <f t="shared" si="12"/>
        <v>甲班</v>
      </c>
      <c r="H44" s="225">
        <v>43822877</v>
      </c>
      <c r="I44" s="225">
        <v>35260687</v>
      </c>
      <c r="J44" s="225" t="str">
        <f>IF(_cuofeng5_month_day!A42="","",_cuofeng5_month_day!A42)</f>
        <v/>
      </c>
      <c r="K44" s="225" t="str">
        <f>IF(_cuofeng5_month_day!B42="","",_cuofeng5_month_day!B42)</f>
        <v/>
      </c>
      <c r="L44" s="224">
        <f>IFERROR(SUMPRODUCT((_5shaozhuchou_month_day!$A$3:$A$900&gt;=D44)*(_5shaozhuchou_month_day!$A$3:$A$900&lt;E44),_5shaozhuchou_month_day!$Y$3:$Y$900)/SUMPRODUCT((_5shaozhuchou_month_day!$A$3:$A$900&gt;=D44)*(_5shaozhuchou_month_day!$A$3:$A$900&lt;E44)),0)</f>
        <v>0</v>
      </c>
      <c r="M44" s="224" t="e">
        <f>L44*(1-$AL$3)*#REF!*$AL$4*(E44-D44)*24</f>
        <v>#REF!</v>
      </c>
      <c r="N44" s="231">
        <f t="shared" si="15"/>
        <v>27978</v>
      </c>
      <c r="O44" s="231">
        <f t="shared" si="4"/>
        <v>0</v>
      </c>
      <c r="P44" s="231">
        <f t="shared" si="5"/>
        <v>0</v>
      </c>
      <c r="Q44" s="82" t="e">
        <f>IF(OR($B44=#REF!,$B43=$AH$4),($L43-$L44)*(1-$AL$3)*(E44-D44)*24*#REF!*$AL$4,0)</f>
        <v>#REF!</v>
      </c>
      <c r="U44" s="226">
        <f t="shared" si="16"/>
        <v>43350</v>
      </c>
      <c r="V44" s="221">
        <f t="shared" si="7"/>
        <v>0.79166666666666696</v>
      </c>
      <c r="W44" s="229"/>
      <c r="X44" s="229"/>
      <c r="Y44" s="229"/>
      <c r="Z44" s="229"/>
      <c r="AA44" s="82"/>
      <c r="AB44" s="82" t="e">
        <f>AA44*(1-$AL$3)*#REF!*$AL$4*(E44-D44)*24</f>
        <v>#REF!</v>
      </c>
      <c r="AC44" s="231">
        <f t="shared" si="8"/>
        <v>0</v>
      </c>
      <c r="AD44" s="231">
        <f t="shared" si="9"/>
        <v>0</v>
      </c>
      <c r="AE44" s="231">
        <f t="shared" si="10"/>
        <v>0</v>
      </c>
      <c r="AF44" s="82" t="e">
        <f>IF(OR($V44=#REF!,$V44=$AH$4),($AA43-$AA44)*(1-$AL$3)*(E44-D44)*24*#REF!*$AL$4,0)</f>
        <v>#REF!</v>
      </c>
    </row>
    <row r="45" spans="1:32" ht="14.25">
      <c r="A45" s="228">
        <f t="shared" si="11"/>
        <v>43350</v>
      </c>
      <c r="B45" s="221">
        <v>0.91666666666666696</v>
      </c>
      <c r="C45" s="222" t="s">
        <v>41</v>
      </c>
      <c r="D45" s="223">
        <f t="shared" si="13"/>
        <v>43350.916666666664</v>
      </c>
      <c r="E45" s="223">
        <f t="shared" si="14"/>
        <v>43351</v>
      </c>
      <c r="F45" s="224">
        <f>SUMPRODUCT(('6烧主抽电耗'!$A$3:$A$96=$A45)*('6烧主抽电耗'!$D$3:$D$96=$C45),'6烧主抽电耗'!$E$3:$E$96)</f>
        <v>1</v>
      </c>
      <c r="G45" s="223" t="str">
        <f t="shared" si="12"/>
        <v>甲班</v>
      </c>
      <c r="H45" s="225">
        <v>43827773</v>
      </c>
      <c r="I45" s="225">
        <v>35265117</v>
      </c>
      <c r="J45" s="225" t="str">
        <f>IF(_cuofeng5_month_day!A43="","",_cuofeng5_month_day!A43)</f>
        <v/>
      </c>
      <c r="K45" s="225" t="str">
        <f>IF(_cuofeng5_month_day!B43="","",_cuofeng5_month_day!B43)</f>
        <v/>
      </c>
      <c r="L45" s="224">
        <f>IFERROR(SUMPRODUCT((_5shaozhuchou_month_day!$A$3:$A$900&gt;=D45)*(_5shaozhuchou_month_day!$A$3:$A$900&lt;E45),_5shaozhuchou_month_day!$Y$3:$Y$900)/SUMPRODUCT((_5shaozhuchou_month_day!$A$3:$A$900&gt;=D45)*(_5shaozhuchou_month_day!$A$3:$A$900&lt;E45)),0)</f>
        <v>0</v>
      </c>
      <c r="M45" s="224" t="e">
        <f>L45*(1-$AL$3)*#REF!*$AL$4*(E45-D45)*24</f>
        <v>#REF!</v>
      </c>
      <c r="N45" s="231">
        <f t="shared" si="15"/>
        <v>0</v>
      </c>
      <c r="O45" s="231">
        <f t="shared" si="4"/>
        <v>21690</v>
      </c>
      <c r="P45" s="231">
        <f t="shared" si="5"/>
        <v>0</v>
      </c>
      <c r="Q45" s="82" t="e">
        <f>IF(OR($B45=#REF!,$B44=$AH$4),($L44-$L45)*(1-$AL$3)*(E45-D45)*24*#REF!*$AL$4,0)</f>
        <v>#REF!</v>
      </c>
      <c r="U45" s="228">
        <f t="shared" si="16"/>
        <v>43350</v>
      </c>
      <c r="V45" s="221">
        <f t="shared" si="7"/>
        <v>0.91666666666666696</v>
      </c>
      <c r="W45" s="229"/>
      <c r="X45" s="229"/>
      <c r="Y45" s="229"/>
      <c r="Z45" s="229"/>
      <c r="AA45" s="82"/>
      <c r="AB45" s="82" t="e">
        <f>AA45*(1-$AL$3)*#REF!*$AL$4*(E45-D45)*24</f>
        <v>#REF!</v>
      </c>
      <c r="AC45" s="231">
        <f t="shared" si="8"/>
        <v>0</v>
      </c>
      <c r="AD45" s="231">
        <f t="shared" si="9"/>
        <v>0</v>
      </c>
      <c r="AE45" s="231">
        <f t="shared" si="10"/>
        <v>0</v>
      </c>
      <c r="AF45" s="82" t="e">
        <f>IF(OR($V45=#REF!,$V45=$AH$4),($AA44-$AA45)*(1-$AL$3)*(E45-D45)*24*#REF!*$AL$4,0)</f>
        <v>#REF!</v>
      </c>
    </row>
    <row r="46" spans="1:32" ht="14.25">
      <c r="A46" s="220">
        <f>A40+1</f>
        <v>43351</v>
      </c>
      <c r="B46" s="221">
        <v>0</v>
      </c>
      <c r="C46" s="222" t="s">
        <v>37</v>
      </c>
      <c r="D46" s="223">
        <f t="shared" si="13"/>
        <v>43351</v>
      </c>
      <c r="E46" s="223">
        <f t="shared" si="14"/>
        <v>43351.333333333336</v>
      </c>
      <c r="F46" s="224">
        <f>SUMPRODUCT(('6烧主抽电耗'!$A$3:$A$96=$A46)*('6烧主抽电耗'!$D$3:$D$96=$C46),'6烧主抽电耗'!$E$3:$E$96)</f>
        <v>2</v>
      </c>
      <c r="G46" s="223" t="str">
        <f t="shared" si="12"/>
        <v>乙班</v>
      </c>
      <c r="H46" s="225">
        <v>43831621</v>
      </c>
      <c r="I46" s="225">
        <v>35268499</v>
      </c>
      <c r="J46" s="225" t="str">
        <f>IF(_cuofeng5_month_day!A44="","",_cuofeng5_month_day!A44)</f>
        <v/>
      </c>
      <c r="K46" s="225" t="str">
        <f>IF(_cuofeng5_month_day!B44="","",_cuofeng5_month_day!B44)</f>
        <v/>
      </c>
      <c r="L46" s="224">
        <f>IFERROR(SUMPRODUCT((_5shaozhuchou_month_day!$A$3:$A$900&gt;=D46)*(_5shaozhuchou_month_day!$A$3:$A$900&lt;E46),_5shaozhuchou_month_day!$Y$3:$Y$900)/SUMPRODUCT((_5shaozhuchou_month_day!$A$3:$A$900&gt;=D46)*(_5shaozhuchou_month_day!$A$3:$A$900&lt;E46)),0)</f>
        <v>0</v>
      </c>
      <c r="M46" s="224" t="e">
        <f>L46*(1-$AL$3)*#REF!*$AL$4*(E46-D46)*24</f>
        <v>#REF!</v>
      </c>
      <c r="N46" s="231">
        <f t="shared" si="15"/>
        <v>0</v>
      </c>
      <c r="O46" s="231">
        <f t="shared" si="4"/>
        <v>0</v>
      </c>
      <c r="P46" s="231">
        <f t="shared" si="5"/>
        <v>77274</v>
      </c>
      <c r="Q46" s="82" t="e">
        <f>IF(OR($B46=#REF!,$B45=$AH$4),($L45-$L46)*(1-$AL$3)*(E46-D46)*24*#REF!*$AL$4,0)</f>
        <v>#REF!</v>
      </c>
      <c r="U46" s="220">
        <f t="shared" si="16"/>
        <v>43351</v>
      </c>
      <c r="V46" s="221">
        <f t="shared" si="7"/>
        <v>0</v>
      </c>
      <c r="W46" s="229"/>
      <c r="X46" s="229"/>
      <c r="Y46" s="229"/>
      <c r="Z46" s="229"/>
      <c r="AA46" s="82"/>
      <c r="AB46" s="82" t="e">
        <f>AA46*(1-$AL$3)*#REF!*$AL$4*(E46-D46)*24</f>
        <v>#REF!</v>
      </c>
      <c r="AC46" s="231">
        <f t="shared" si="8"/>
        <v>0</v>
      </c>
      <c r="AD46" s="231">
        <f t="shared" si="9"/>
        <v>0</v>
      </c>
      <c r="AE46" s="231">
        <f t="shared" si="10"/>
        <v>0</v>
      </c>
      <c r="AF46" s="82" t="e">
        <f>IF(OR($V46=#REF!,$V46=$AH$4),($AA45-$AA46)*(1-$AL$3)*(E46-D46)*24*#REF!*$AL$4,0)</f>
        <v>#REF!</v>
      </c>
    </row>
    <row r="47" spans="1:32" ht="14.25">
      <c r="A47" s="226">
        <f>A46</f>
        <v>43351</v>
      </c>
      <c r="B47" s="221">
        <v>0.33333333333333298</v>
      </c>
      <c r="C47" s="222" t="s">
        <v>37</v>
      </c>
      <c r="D47" s="223">
        <f t="shared" si="13"/>
        <v>43351.333333333336</v>
      </c>
      <c r="E47" s="223">
        <f t="shared" si="14"/>
        <v>43351.583333333336</v>
      </c>
      <c r="F47" s="224">
        <f>SUMPRODUCT(('6烧主抽电耗'!$A$3:$A$96=$A47)*('6烧主抽电耗'!$D$3:$D$96=$C47),'6烧主抽电耗'!$E$3:$E$96)</f>
        <v>2</v>
      </c>
      <c r="G47" s="223" t="str">
        <f t="shared" si="12"/>
        <v>乙班</v>
      </c>
      <c r="H47" s="225">
        <v>43845233</v>
      </c>
      <c r="I47" s="225">
        <v>35280645</v>
      </c>
      <c r="J47" s="225" t="str">
        <f>IF(_cuofeng5_month_day!A45="","",_cuofeng5_month_day!A45)</f>
        <v/>
      </c>
      <c r="K47" s="225" t="str">
        <f>IF(_cuofeng5_month_day!B45="","",_cuofeng5_month_day!B45)</f>
        <v/>
      </c>
      <c r="L47" s="224">
        <f>IFERROR(SUMPRODUCT((_5shaozhuchou_month_day!$A$3:$A$900&gt;=D47)*(_5shaozhuchou_month_day!$A$3:$A$900&lt;E47),_5shaozhuchou_month_day!$Y$3:$Y$900)/SUMPRODUCT((_5shaozhuchou_month_day!$A$3:$A$900&gt;=D47)*(_5shaozhuchou_month_day!$A$3:$A$900&lt;E47)),0)</f>
        <v>0</v>
      </c>
      <c r="M47" s="224" t="e">
        <f>L47*(1-$AL$3)*#REF!*$AL$4*(E47-D47)*24</f>
        <v>#REF!</v>
      </c>
      <c r="N47" s="231">
        <f t="shared" si="15"/>
        <v>0</v>
      </c>
      <c r="O47" s="231">
        <f t="shared" si="4"/>
        <v>59979</v>
      </c>
      <c r="P47" s="231">
        <f t="shared" si="5"/>
        <v>0</v>
      </c>
      <c r="Q47" s="82" t="e">
        <f>IF(OR($B47=#REF!,$B46=$AH$4),($L46-$L47)*(1-$AL$3)*(E47-D47)*24*#REF!*$AL$4,0)</f>
        <v>#REF!</v>
      </c>
      <c r="U47" s="226">
        <f t="shared" si="16"/>
        <v>43351</v>
      </c>
      <c r="V47" s="221">
        <f t="shared" si="7"/>
        <v>0.33333333333333298</v>
      </c>
      <c r="W47" s="229"/>
      <c r="X47" s="229"/>
      <c r="Y47" s="229"/>
      <c r="Z47" s="229"/>
      <c r="AA47" s="82"/>
      <c r="AB47" s="82" t="e">
        <f>AA47*(1-$AL$3)*#REF!*$AL$4*(E47-D47)*24</f>
        <v>#REF!</v>
      </c>
      <c r="AC47" s="231">
        <f t="shared" si="8"/>
        <v>0</v>
      </c>
      <c r="AD47" s="231">
        <f t="shared" si="9"/>
        <v>0</v>
      </c>
      <c r="AE47" s="231">
        <f t="shared" si="10"/>
        <v>0</v>
      </c>
      <c r="AF47" s="82" t="e">
        <f>IF(OR($V47=#REF!,$V47=$AH$4),($AA46-$AA47)*(1-$AL$3)*(E47-D47)*24*#REF!*$AL$4,0)</f>
        <v>#REF!</v>
      </c>
    </row>
    <row r="48" spans="1:32" ht="14.25">
      <c r="A48" s="226">
        <f t="shared" si="11"/>
        <v>43351</v>
      </c>
      <c r="B48" s="221">
        <v>0.58333333333333304</v>
      </c>
      <c r="C48" s="222" t="s">
        <v>39</v>
      </c>
      <c r="D48" s="223">
        <f t="shared" si="13"/>
        <v>43351.583333333336</v>
      </c>
      <c r="E48" s="223">
        <f t="shared" si="14"/>
        <v>43351.708333333336</v>
      </c>
      <c r="F48" s="224">
        <f>SUMPRODUCT(('6烧主抽电耗'!$A$3:$A$96=$A48)*('6烧主抽电耗'!$D$3:$D$96=$C48),'6烧主抽电耗'!$E$3:$E$96)</f>
        <v>3</v>
      </c>
      <c r="G48" s="223" t="str">
        <f t="shared" si="12"/>
        <v>丙班</v>
      </c>
      <c r="H48" s="225">
        <v>43855783</v>
      </c>
      <c r="I48" s="225">
        <v>35290088</v>
      </c>
      <c r="J48" s="225" t="str">
        <f>IF(_cuofeng5_month_day!A46="","",_cuofeng5_month_day!A46)</f>
        <v/>
      </c>
      <c r="K48" s="225" t="str">
        <f>IF(_cuofeng5_month_day!B46="","",_cuofeng5_month_day!B46)</f>
        <v/>
      </c>
      <c r="L48" s="224">
        <f>IFERROR(SUMPRODUCT((_5shaozhuchou_month_day!$A$3:$A$900&gt;=D48)*(_5shaozhuchou_month_day!$A$3:$A$900&lt;E48),_5shaozhuchou_month_day!$Y$3:$Y$900)/SUMPRODUCT((_5shaozhuchou_month_day!$A$3:$A$900&gt;=D48)*(_5shaozhuchou_month_day!$A$3:$A$900&lt;E48)),0)</f>
        <v>0</v>
      </c>
      <c r="M48" s="224" t="e">
        <f>L48*(1-$AL$3)*#REF!*$AL$4*(E48-D48)*24</f>
        <v>#REF!</v>
      </c>
      <c r="N48" s="231">
        <f t="shared" si="15"/>
        <v>25587</v>
      </c>
      <c r="O48" s="231">
        <f t="shared" si="4"/>
        <v>0</v>
      </c>
      <c r="P48" s="231">
        <f t="shared" si="5"/>
        <v>0</v>
      </c>
      <c r="Q48" s="82" t="e">
        <f>IF(OR($B48=#REF!,$B47=$AH$4),($L47-$L48)*(1-$AL$3)*(E48-D48)*24*#REF!*$AL$4,0)</f>
        <v>#REF!</v>
      </c>
      <c r="U48" s="226">
        <f t="shared" si="16"/>
        <v>43351</v>
      </c>
      <c r="V48" s="221">
        <f t="shared" si="7"/>
        <v>0.58333333333333304</v>
      </c>
      <c r="W48" s="229"/>
      <c r="X48" s="229"/>
      <c r="Y48" s="229"/>
      <c r="Z48" s="229"/>
      <c r="AA48" s="82"/>
      <c r="AB48" s="82" t="e">
        <f>AA48*(1-$AL$3)*#REF!*$AL$4*(E48-D48)*24</f>
        <v>#REF!</v>
      </c>
      <c r="AC48" s="231">
        <f t="shared" si="8"/>
        <v>0</v>
      </c>
      <c r="AD48" s="231">
        <f t="shared" si="9"/>
        <v>0</v>
      </c>
      <c r="AE48" s="231">
        <f t="shared" si="10"/>
        <v>0</v>
      </c>
      <c r="AF48" s="82" t="e">
        <f>IF(OR($V48=#REF!,$V48=$AH$4),($AA47-$AA48)*(1-$AL$3)*(E48-D48)*24*#REF!*$AL$4,0)</f>
        <v>#REF!</v>
      </c>
    </row>
    <row r="49" spans="1:32" ht="14.25">
      <c r="A49" s="226">
        <f t="shared" si="11"/>
        <v>43351</v>
      </c>
      <c r="B49" s="221">
        <v>0.70833333333333304</v>
      </c>
      <c r="C49" s="222" t="s">
        <v>41</v>
      </c>
      <c r="D49" s="223">
        <f t="shared" si="13"/>
        <v>43351.708333333336</v>
      </c>
      <c r="E49" s="223">
        <f t="shared" si="14"/>
        <v>43351.791666666664</v>
      </c>
      <c r="F49" s="224">
        <f>SUMPRODUCT(('6烧主抽电耗'!$A$3:$A$96=$A49)*('6烧主抽电耗'!$D$3:$D$96=$C49),'6烧主抽电耗'!$E$3:$E$96)</f>
        <v>4</v>
      </c>
      <c r="G49" s="223" t="str">
        <f t="shared" si="12"/>
        <v>丁班</v>
      </c>
      <c r="H49" s="225">
        <v>43860289</v>
      </c>
      <c r="I49" s="225">
        <v>35294111</v>
      </c>
      <c r="J49" s="225" t="str">
        <f>IF(_cuofeng5_month_day!A47="","",_cuofeng5_month_day!A47)</f>
        <v/>
      </c>
      <c r="K49" s="225" t="str">
        <f>IF(_cuofeng5_month_day!B47="","",_cuofeng5_month_day!B47)</f>
        <v/>
      </c>
      <c r="L49" s="224">
        <f>IFERROR(SUMPRODUCT((_5shaozhuchou_month_day!$A$3:$A$900&gt;=D49)*(_5shaozhuchou_month_day!$A$3:$A$900&lt;E49),_5shaozhuchou_month_day!$Y$3:$Y$900)/SUMPRODUCT((_5shaozhuchou_month_day!$A$3:$A$900&gt;=D49)*(_5shaozhuchou_month_day!$A$3:$A$900&lt;E49)),0)</f>
        <v>0</v>
      </c>
      <c r="M49" s="224" t="e">
        <f>L49*(1-$AL$3)*#REF!*$AL$4*(E49-D49)*24</f>
        <v>#REF!</v>
      </c>
      <c r="N49" s="231">
        <f t="shared" si="15"/>
        <v>0</v>
      </c>
      <c r="O49" s="231">
        <f t="shared" si="4"/>
        <v>18198</v>
      </c>
      <c r="P49" s="231">
        <f t="shared" si="5"/>
        <v>0</v>
      </c>
      <c r="Q49" s="82" t="e">
        <f>IF(OR($B49=#REF!,$B48=$AH$4),($L48-$L49)*(1-$AL$3)*(E49-D49)*24*#REF!*$AL$4,0)</f>
        <v>#REF!</v>
      </c>
      <c r="U49" s="226">
        <f t="shared" si="16"/>
        <v>43351</v>
      </c>
      <c r="V49" s="221">
        <f t="shared" si="7"/>
        <v>0.70833333333333304</v>
      </c>
      <c r="W49" s="229"/>
      <c r="X49" s="229"/>
      <c r="Y49" s="229"/>
      <c r="Z49" s="229"/>
      <c r="AA49" s="82"/>
      <c r="AB49" s="82" t="e">
        <f>AA49*(1-$AL$3)*#REF!*$AL$4*(E49-D49)*24</f>
        <v>#REF!</v>
      </c>
      <c r="AC49" s="231">
        <f t="shared" si="8"/>
        <v>0</v>
      </c>
      <c r="AD49" s="231">
        <f t="shared" si="9"/>
        <v>0</v>
      </c>
      <c r="AE49" s="231">
        <f t="shared" si="10"/>
        <v>0</v>
      </c>
      <c r="AF49" s="82" t="e">
        <f>IF(OR($V49=#REF!,$V49=$AH$4),($AA48-$AA49)*(1-$AL$3)*(E49-D49)*24*#REF!*$AL$4,0)</f>
        <v>#REF!</v>
      </c>
    </row>
    <row r="50" spans="1:32" ht="14.25">
      <c r="A50" s="226">
        <f t="shared" si="11"/>
        <v>43351</v>
      </c>
      <c r="B50" s="221">
        <v>0.79166666666666696</v>
      </c>
      <c r="C50" s="222" t="s">
        <v>41</v>
      </c>
      <c r="D50" s="223">
        <f t="shared" si="13"/>
        <v>43351.791666666664</v>
      </c>
      <c r="E50" s="223">
        <f t="shared" si="14"/>
        <v>43351.916666666664</v>
      </c>
      <c r="F50" s="224">
        <f>SUMPRODUCT(('6烧主抽电耗'!$A$3:$A$96=$A50)*('6烧主抽电耗'!$D$3:$D$96=$C50),'6烧主抽电耗'!$E$3:$E$96)</f>
        <v>4</v>
      </c>
      <c r="G50" s="223" t="str">
        <f t="shared" si="12"/>
        <v>丁班</v>
      </c>
      <c r="H50" s="225">
        <v>43863534</v>
      </c>
      <c r="I50" s="225">
        <v>35296932</v>
      </c>
      <c r="J50" s="225" t="str">
        <f>IF(_cuofeng5_month_day!A48="","",_cuofeng5_month_day!A48)</f>
        <v/>
      </c>
      <c r="K50" s="225" t="str">
        <f>IF(_cuofeng5_month_day!B48="","",_cuofeng5_month_day!B48)</f>
        <v/>
      </c>
      <c r="L50" s="224">
        <f>IFERROR(SUMPRODUCT((_5shaozhuchou_month_day!$A$3:$A$900&gt;=D50)*(_5shaozhuchou_month_day!$A$3:$A$900&lt;E50),_5shaozhuchou_month_day!$Y$3:$Y$900)/SUMPRODUCT((_5shaozhuchou_month_day!$A$3:$A$900&gt;=D50)*(_5shaozhuchou_month_day!$A$3:$A$900&lt;E50)),0)</f>
        <v>0</v>
      </c>
      <c r="M50" s="224" t="e">
        <f>L50*(1-$AL$3)*#REF!*$AL$4*(E50-D50)*24</f>
        <v>#REF!</v>
      </c>
      <c r="N50" s="231">
        <f t="shared" si="15"/>
        <v>27108</v>
      </c>
      <c r="O50" s="231">
        <f t="shared" si="4"/>
        <v>0</v>
      </c>
      <c r="P50" s="231">
        <f t="shared" si="5"/>
        <v>0</v>
      </c>
      <c r="Q50" s="82" t="e">
        <f>IF(OR($B50=#REF!,$B49=$AH$4),($L49-$L50)*(1-$AL$3)*(E50-D50)*24*#REF!*$AL$4,0)</f>
        <v>#REF!</v>
      </c>
      <c r="U50" s="226">
        <f t="shared" si="16"/>
        <v>43351</v>
      </c>
      <c r="V50" s="221">
        <f t="shared" si="7"/>
        <v>0.79166666666666696</v>
      </c>
      <c r="W50" s="229"/>
      <c r="X50" s="229"/>
      <c r="Y50" s="229"/>
      <c r="Z50" s="229"/>
      <c r="AA50" s="82"/>
      <c r="AB50" s="82" t="e">
        <f>AA50*(1-$AL$3)*#REF!*$AL$4*(E50-D50)*24</f>
        <v>#REF!</v>
      </c>
      <c r="AC50" s="231">
        <f t="shared" si="8"/>
        <v>0</v>
      </c>
      <c r="AD50" s="231">
        <f t="shared" si="9"/>
        <v>0</v>
      </c>
      <c r="AE50" s="231">
        <f t="shared" si="10"/>
        <v>0</v>
      </c>
      <c r="AF50" s="82" t="e">
        <f>IF(OR($V50=#REF!,$V50=$AH$4),($AA49-$AA50)*(1-$AL$3)*(E50-D50)*24*#REF!*$AL$4,0)</f>
        <v>#REF!</v>
      </c>
    </row>
    <row r="51" spans="1:32" ht="14.25">
      <c r="A51" s="228">
        <f t="shared" si="11"/>
        <v>43351</v>
      </c>
      <c r="B51" s="221">
        <v>0.91666666666666696</v>
      </c>
      <c r="C51" s="222" t="s">
        <v>41</v>
      </c>
      <c r="D51" s="223">
        <f t="shared" si="13"/>
        <v>43351.916666666664</v>
      </c>
      <c r="E51" s="223">
        <f t="shared" si="14"/>
        <v>43352</v>
      </c>
      <c r="F51" s="224">
        <f>SUMPRODUCT(('6烧主抽电耗'!$A$3:$A$96=$A51)*('6烧主抽电耗'!$D$3:$D$96=$C51),'6烧主抽电耗'!$E$3:$E$96)</f>
        <v>4</v>
      </c>
      <c r="G51" s="223" t="str">
        <f t="shared" si="12"/>
        <v>丁班</v>
      </c>
      <c r="H51" s="225">
        <v>43868445</v>
      </c>
      <c r="I51" s="225">
        <v>35301057</v>
      </c>
      <c r="J51" s="225" t="str">
        <f>IF(_cuofeng5_month_day!A49="","",_cuofeng5_month_day!A49)</f>
        <v/>
      </c>
      <c r="K51" s="225" t="str">
        <f>IF(_cuofeng5_month_day!B49="","",_cuofeng5_month_day!B49)</f>
        <v/>
      </c>
      <c r="L51" s="224">
        <f>IFERROR(SUMPRODUCT((_5shaozhuchou_month_day!$A$3:$A$900&gt;=D51)*(_5shaozhuchou_month_day!$A$3:$A$900&lt;E51),_5shaozhuchou_month_day!$Y$3:$Y$900)/SUMPRODUCT((_5shaozhuchou_month_day!$A$3:$A$900&gt;=D51)*(_5shaozhuchou_month_day!$A$3:$A$900&lt;E51)),0)</f>
        <v>0</v>
      </c>
      <c r="M51" s="224" t="e">
        <f>L51*(1-$AL$3)*#REF!*$AL$4*(E51-D51)*24</f>
        <v>#REF!</v>
      </c>
      <c r="N51" s="231">
        <f t="shared" si="15"/>
        <v>0</v>
      </c>
      <c r="O51" s="231">
        <f t="shared" si="4"/>
        <v>23796</v>
      </c>
      <c r="P51" s="231">
        <f t="shared" si="5"/>
        <v>0</v>
      </c>
      <c r="Q51" s="82" t="e">
        <f>IF(OR($B51=#REF!,$B50=$AH$4),($L50-$L51)*(1-$AL$3)*(E51-D51)*24*#REF!*$AL$4,0)</f>
        <v>#REF!</v>
      </c>
      <c r="U51" s="228">
        <f t="shared" si="16"/>
        <v>43351</v>
      </c>
      <c r="V51" s="221">
        <f t="shared" si="7"/>
        <v>0.91666666666666696</v>
      </c>
      <c r="W51" s="229"/>
      <c r="X51" s="229"/>
      <c r="Y51" s="229"/>
      <c r="Z51" s="229"/>
      <c r="AA51" s="82"/>
      <c r="AB51" s="82" t="e">
        <f>AA51*(1-$AL$3)*#REF!*$AL$4*(E51-D51)*24</f>
        <v>#REF!</v>
      </c>
      <c r="AC51" s="231">
        <f t="shared" si="8"/>
        <v>0</v>
      </c>
      <c r="AD51" s="231">
        <f t="shared" si="9"/>
        <v>0</v>
      </c>
      <c r="AE51" s="231">
        <f t="shared" si="10"/>
        <v>0</v>
      </c>
      <c r="AF51" s="82" t="e">
        <f>IF(OR($V51=#REF!,$V51=$AH$4),($AA50-$AA51)*(1-$AL$3)*(E51-D51)*24*#REF!*$AL$4,0)</f>
        <v>#REF!</v>
      </c>
    </row>
    <row r="52" spans="1:32" ht="14.25">
      <c r="A52" s="220">
        <f>A46+1</f>
        <v>43352</v>
      </c>
      <c r="B52" s="221">
        <v>0</v>
      </c>
      <c r="C52" s="222" t="s">
        <v>37</v>
      </c>
      <c r="D52" s="223">
        <f t="shared" si="13"/>
        <v>43352</v>
      </c>
      <c r="E52" s="223">
        <f t="shared" si="14"/>
        <v>43352.333333333336</v>
      </c>
      <c r="F52" s="224">
        <f>SUMPRODUCT(('6烧主抽电耗'!$A$3:$A$96=$A52)*('6烧主抽电耗'!$D$3:$D$96=$C52),'6烧主抽电耗'!$E$3:$E$96)</f>
        <v>2</v>
      </c>
      <c r="G52" s="223" t="str">
        <f t="shared" si="12"/>
        <v>乙班</v>
      </c>
      <c r="H52" s="225">
        <v>43872578</v>
      </c>
      <c r="I52" s="225">
        <v>35304856</v>
      </c>
      <c r="J52" s="225" t="str">
        <f>IF(_cuofeng5_month_day!A50="","",_cuofeng5_month_day!A50)</f>
        <v/>
      </c>
      <c r="K52" s="225" t="str">
        <f>IF(_cuofeng5_month_day!B50="","",_cuofeng5_month_day!B50)</f>
        <v/>
      </c>
      <c r="L52" s="224">
        <f>IFERROR(SUMPRODUCT((_5shaozhuchou_month_day!$A$3:$A$900&gt;=D52)*(_5shaozhuchou_month_day!$A$3:$A$900&lt;E52),_5shaozhuchou_month_day!$Y$3:$Y$900)/SUMPRODUCT((_5shaozhuchou_month_day!$A$3:$A$900&gt;=D52)*(_5shaozhuchou_month_day!$A$3:$A$900&lt;E52)),0)</f>
        <v>0</v>
      </c>
      <c r="M52" s="224" t="e">
        <f>L52*(1-$AL$3)*#REF!*$AL$4*(E52-D52)*24</f>
        <v>#REF!</v>
      </c>
      <c r="N52" s="231">
        <f t="shared" si="15"/>
        <v>0</v>
      </c>
      <c r="O52" s="231">
        <f t="shared" si="4"/>
        <v>0</v>
      </c>
      <c r="P52" s="231">
        <f t="shared" si="5"/>
        <v>74226</v>
      </c>
      <c r="Q52" s="82" t="e">
        <f>IF(OR($B52=#REF!,$B51=$AH$4),($L51-$L52)*(1-$AL$3)*(E52-D52)*24*#REF!*$AL$4,0)</f>
        <v>#REF!</v>
      </c>
      <c r="U52" s="220">
        <f t="shared" si="16"/>
        <v>43352</v>
      </c>
      <c r="V52" s="221">
        <f t="shared" si="7"/>
        <v>0</v>
      </c>
      <c r="W52" s="229"/>
      <c r="X52" s="229"/>
      <c r="Y52" s="229"/>
      <c r="Z52" s="229"/>
      <c r="AA52" s="82"/>
      <c r="AB52" s="82" t="e">
        <f>AA52*(1-$AL$3)*#REF!*$AL$4*(E52-D52)*24</f>
        <v>#REF!</v>
      </c>
      <c r="AC52" s="231">
        <f t="shared" si="8"/>
        <v>0</v>
      </c>
      <c r="AD52" s="231">
        <f t="shared" si="9"/>
        <v>0</v>
      </c>
      <c r="AE52" s="231">
        <f t="shared" si="10"/>
        <v>0</v>
      </c>
      <c r="AF52" s="82" t="e">
        <f>IF(OR($V52=#REF!,$V52=$AH$4),($AA51-$AA52)*(1-$AL$3)*(E52-D52)*24*#REF!*$AL$4,0)</f>
        <v>#REF!</v>
      </c>
    </row>
    <row r="53" spans="1:32" ht="14.25">
      <c r="A53" s="226">
        <f>A52</f>
        <v>43352</v>
      </c>
      <c r="B53" s="221">
        <v>0.33333333333333298</v>
      </c>
      <c r="C53" s="222" t="s">
        <v>37</v>
      </c>
      <c r="D53" s="223">
        <f t="shared" si="13"/>
        <v>43352.333333333336</v>
      </c>
      <c r="E53" s="223">
        <f t="shared" si="14"/>
        <v>43352.583333333336</v>
      </c>
      <c r="F53" s="224">
        <f>SUMPRODUCT(('6烧主抽电耗'!$A$3:$A$96=$A53)*('6烧主抽电耗'!$D$3:$D$96=$C53),'6烧主抽电耗'!$E$3:$E$96)</f>
        <v>2</v>
      </c>
      <c r="G53" s="223" t="s">
        <v>63</v>
      </c>
      <c r="H53" s="225">
        <v>43885836</v>
      </c>
      <c r="I53" s="225">
        <v>35316340</v>
      </c>
      <c r="J53" s="225" t="str">
        <f>IF(_cuofeng5_month_day!A51="","",_cuofeng5_month_day!A51)</f>
        <v/>
      </c>
      <c r="K53" s="225" t="str">
        <f>IF(_cuofeng5_month_day!B51="","",_cuofeng5_month_day!B51)</f>
        <v/>
      </c>
      <c r="L53" s="224">
        <f>IFERROR(SUMPRODUCT((_5shaozhuchou_month_day!$A$3:$A$900&gt;=D53)*(_5shaozhuchou_month_day!$A$3:$A$900&lt;E53),_5shaozhuchou_month_day!$Y$3:$Y$900)/SUMPRODUCT((_5shaozhuchou_month_day!$A$3:$A$900&gt;=D53)*(_5shaozhuchou_month_day!$A$3:$A$900&lt;E53)),0)</f>
        <v>0</v>
      </c>
      <c r="M53" s="224" t="e">
        <f>L53*(1-$AL$3)*#REF!*$AL$4*(E53-D53)*24</f>
        <v>#REF!</v>
      </c>
      <c r="N53" s="231">
        <f t="shared" si="15"/>
        <v>0</v>
      </c>
      <c r="O53" s="231">
        <f t="shared" si="4"/>
        <v>58818</v>
      </c>
      <c r="P53" s="231">
        <f t="shared" si="5"/>
        <v>0</v>
      </c>
      <c r="Q53" s="82" t="e">
        <f>IF(OR($B53=#REF!,$B52=$AH$4),($L52-$L53)*(1-$AL$3)*(E53-D53)*24*#REF!*$AL$4,0)</f>
        <v>#REF!</v>
      </c>
      <c r="U53" s="226">
        <f t="shared" si="16"/>
        <v>43352</v>
      </c>
      <c r="V53" s="221">
        <f t="shared" si="7"/>
        <v>0.33333333333333298</v>
      </c>
      <c r="W53" s="237"/>
      <c r="X53" s="229"/>
      <c r="Y53" s="229"/>
      <c r="Z53" s="229"/>
      <c r="AA53" s="82"/>
      <c r="AB53" s="82" t="e">
        <f>AA53*(1-$AL$3)*#REF!*$AL$4*(E53-D53)*24</f>
        <v>#REF!</v>
      </c>
      <c r="AC53" s="231">
        <f t="shared" si="8"/>
        <v>0</v>
      </c>
      <c r="AD53" s="231">
        <f t="shared" si="9"/>
        <v>0</v>
      </c>
      <c r="AE53" s="231">
        <f t="shared" si="10"/>
        <v>0</v>
      </c>
      <c r="AF53" s="82" t="e">
        <f>IF(OR($V53=#REF!,$V53=$AH$4),($AA52-$AA53)*(1-$AL$3)*(E53-D53)*24*#REF!*$AL$4,0)</f>
        <v>#REF!</v>
      </c>
    </row>
    <row r="54" spans="1:32" ht="14.25">
      <c r="A54" s="226">
        <f t="shared" si="11"/>
        <v>43352</v>
      </c>
      <c r="B54" s="221">
        <v>0.58333333333333304</v>
      </c>
      <c r="C54" s="222" t="s">
        <v>39</v>
      </c>
      <c r="D54" s="223">
        <f t="shared" si="13"/>
        <v>43352.583333333336</v>
      </c>
      <c r="E54" s="223">
        <f t="shared" si="14"/>
        <v>43352.708333333336</v>
      </c>
      <c r="F54" s="224">
        <f>SUMPRODUCT(('6烧主抽电耗'!$A$3:$A$96=$A54)*('6烧主抽电耗'!$D$3:$D$96=$C54),'6烧主抽电耗'!$E$3:$E$96)</f>
        <v>3</v>
      </c>
      <c r="G54" s="223" t="str">
        <f t="shared" si="12"/>
        <v>丙班</v>
      </c>
      <c r="H54" s="225">
        <v>43896288</v>
      </c>
      <c r="I54" s="225">
        <v>35325494</v>
      </c>
      <c r="J54" s="225" t="str">
        <f>IF(_cuofeng5_month_day!A52="","",_cuofeng5_month_day!A52)</f>
        <v/>
      </c>
      <c r="K54" s="225" t="str">
        <f>IF(_cuofeng5_month_day!B52="","",_cuofeng5_month_day!B52)</f>
        <v/>
      </c>
      <c r="L54" s="224">
        <f>IFERROR(SUMPRODUCT((_5shaozhuchou_month_day!$A$3:$A$900&gt;=D54)*(_5shaozhuchou_month_day!$A$3:$A$900&lt;E54),_5shaozhuchou_month_day!$Y$3:$Y$900)/SUMPRODUCT((_5shaozhuchou_month_day!$A$3:$A$900&gt;=D54)*(_5shaozhuchou_month_day!$A$3:$A$900&lt;E54)),0)</f>
        <v>0</v>
      </c>
      <c r="M54" s="224" t="e">
        <f>L54*(1-$AL$3)*#REF!*$AL$4*(E54-D54)*24</f>
        <v>#REF!</v>
      </c>
      <c r="N54" s="231">
        <f t="shared" si="15"/>
        <v>30270</v>
      </c>
      <c r="O54" s="231">
        <f t="shared" si="4"/>
        <v>0</v>
      </c>
      <c r="P54" s="231">
        <f t="shared" si="5"/>
        <v>0</v>
      </c>
      <c r="Q54" s="82" t="e">
        <f>IF(OR($B54=#REF!,$B53=$AH$4),($L53-$L54)*(1-$AL$3)*(E54-D54)*24*#REF!*$AL$4,0)</f>
        <v>#REF!</v>
      </c>
      <c r="U54" s="226">
        <f t="shared" si="16"/>
        <v>43352</v>
      </c>
      <c r="V54" s="221">
        <f t="shared" si="7"/>
        <v>0.58333333333333304</v>
      </c>
      <c r="W54" s="229"/>
      <c r="X54" s="229"/>
      <c r="Y54" s="229"/>
      <c r="Z54" s="229"/>
      <c r="AA54" s="82"/>
      <c r="AB54" s="82" t="e">
        <f>AA54*(1-$AL$3)*#REF!*$AL$4*(E54-D54)*24</f>
        <v>#REF!</v>
      </c>
      <c r="AC54" s="231">
        <f t="shared" si="8"/>
        <v>0</v>
      </c>
      <c r="AD54" s="231">
        <f t="shared" si="9"/>
        <v>0</v>
      </c>
      <c r="AE54" s="231">
        <f t="shared" si="10"/>
        <v>0</v>
      </c>
      <c r="AF54" s="82" t="e">
        <f>IF(OR($V54=#REF!,$V54=$AH$4),($AA53-$AA54)*(1-$AL$3)*(E54-D54)*24*#REF!*$AL$4,0)</f>
        <v>#REF!</v>
      </c>
    </row>
    <row r="55" spans="1:32" ht="14.25">
      <c r="A55" s="226">
        <f t="shared" si="11"/>
        <v>43352</v>
      </c>
      <c r="B55" s="221">
        <v>0.70833333333333304</v>
      </c>
      <c r="C55" s="222" t="s">
        <v>41</v>
      </c>
      <c r="D55" s="223">
        <f t="shared" si="13"/>
        <v>43352.708333333336</v>
      </c>
      <c r="E55" s="223">
        <f t="shared" si="14"/>
        <v>43352.791666666664</v>
      </c>
      <c r="F55" s="224">
        <f>SUMPRODUCT(('6烧主抽电耗'!$A$3:$A$96=$A55)*('6烧主抽电耗'!$D$3:$D$96=$C55),'6烧主抽电耗'!$E$3:$E$96)</f>
        <v>4</v>
      </c>
      <c r="G55" s="223" t="str">
        <f t="shared" si="12"/>
        <v>丁班</v>
      </c>
      <c r="H55" s="225">
        <v>43901633</v>
      </c>
      <c r="I55" s="225">
        <v>35330239</v>
      </c>
      <c r="J55" s="225" t="str">
        <f>IF(_cuofeng5_month_day!A53="","",_cuofeng5_month_day!A53)</f>
        <v/>
      </c>
      <c r="K55" s="225" t="str">
        <f>IF(_cuofeng5_month_day!B53="","",_cuofeng5_month_day!B53)</f>
        <v/>
      </c>
      <c r="L55" s="224">
        <f>IFERROR(SUMPRODUCT((_5shaozhuchou_month_day!$A$3:$A$900&gt;=D55)*(_5shaozhuchou_month_day!$A$3:$A$900&lt;E55),_5shaozhuchou_month_day!$Y$3:$Y$900)/SUMPRODUCT((_5shaozhuchou_month_day!$A$3:$A$900&gt;=D55)*(_5shaozhuchou_month_day!$A$3:$A$900&lt;E55)),0)</f>
        <v>0</v>
      </c>
      <c r="M55" s="224" t="e">
        <f>L55*(1-$AL$3)*#REF!*$AL$4*(E55-D55)*24</f>
        <v>#REF!</v>
      </c>
      <c r="N55" s="231">
        <f t="shared" si="15"/>
        <v>0</v>
      </c>
      <c r="O55" s="231">
        <f t="shared" si="4"/>
        <v>18132</v>
      </c>
      <c r="P55" s="231">
        <f t="shared" si="5"/>
        <v>0</v>
      </c>
      <c r="Q55" s="82" t="e">
        <f>IF(OR($B55=#REF!,$B54=$AH$4),($L54-$L55)*(1-$AL$3)*(E55-D55)*24*#REF!*$AL$4,0)</f>
        <v>#REF!</v>
      </c>
      <c r="U55" s="226">
        <f t="shared" si="16"/>
        <v>43352</v>
      </c>
      <c r="V55" s="221">
        <f t="shared" si="7"/>
        <v>0.70833333333333304</v>
      </c>
      <c r="W55" s="229"/>
      <c r="X55" s="229"/>
      <c r="Y55" s="229"/>
      <c r="Z55" s="229"/>
      <c r="AA55" s="82"/>
      <c r="AB55" s="82" t="e">
        <f>AA55*(1-$AL$3)*#REF!*$AL$4*(E55-D55)*24</f>
        <v>#REF!</v>
      </c>
      <c r="AC55" s="231">
        <f t="shared" si="8"/>
        <v>0</v>
      </c>
      <c r="AD55" s="231">
        <f t="shared" si="9"/>
        <v>0</v>
      </c>
      <c r="AE55" s="231">
        <f t="shared" si="10"/>
        <v>0</v>
      </c>
      <c r="AF55" s="82" t="e">
        <f>IF(OR($V55=#REF!,$V55=$AH$4),($AA54-$AA55)*(1-$AL$3)*(E55-D55)*24*#REF!*$AL$4,0)</f>
        <v>#REF!</v>
      </c>
    </row>
    <row r="56" spans="1:32" ht="14.25">
      <c r="A56" s="226">
        <f t="shared" si="11"/>
        <v>43352</v>
      </c>
      <c r="B56" s="221">
        <v>0.79166666666666696</v>
      </c>
      <c r="C56" s="222" t="s">
        <v>41</v>
      </c>
      <c r="D56" s="223">
        <f t="shared" si="13"/>
        <v>43352.791666666664</v>
      </c>
      <c r="E56" s="223">
        <f t="shared" si="14"/>
        <v>43352.916666666664</v>
      </c>
      <c r="F56" s="224">
        <f>SUMPRODUCT(('6烧主抽电耗'!$A$3:$A$96=$A56)*('6烧主抽电耗'!$D$3:$D$96=$C56),'6烧主抽电耗'!$E$3:$E$96)</f>
        <v>4</v>
      </c>
      <c r="G56" s="223" t="str">
        <f t="shared" si="12"/>
        <v>丁班</v>
      </c>
      <c r="H56" s="225">
        <v>43904858</v>
      </c>
      <c r="I56" s="225">
        <v>35333058</v>
      </c>
      <c r="J56" s="225" t="str">
        <f>IF(_cuofeng5_month_day!A54="","",_cuofeng5_month_day!A54)</f>
        <v/>
      </c>
      <c r="K56" s="225" t="str">
        <f>IF(_cuofeng5_month_day!B54="","",_cuofeng5_month_day!B54)</f>
        <v/>
      </c>
      <c r="L56" s="224">
        <f>IFERROR(SUMPRODUCT((_5shaozhuchou_month_day!$A$3:$A$900&gt;=D56)*(_5shaozhuchou_month_day!$A$3:$A$900&lt;E56),_5shaozhuchou_month_day!$Y$3:$Y$900)/SUMPRODUCT((_5shaozhuchou_month_day!$A$3:$A$900&gt;=D56)*(_5shaozhuchou_month_day!$A$3:$A$900&lt;E56)),0)</f>
        <v>0</v>
      </c>
      <c r="M56" s="224" t="e">
        <f>L56*(1-$AL$3)*#REF!*$AL$4*(E56-D56)*24</f>
        <v>#REF!</v>
      </c>
      <c r="N56" s="231">
        <f t="shared" si="15"/>
        <v>27219</v>
      </c>
      <c r="O56" s="231">
        <f t="shared" si="4"/>
        <v>0</v>
      </c>
      <c r="P56" s="231">
        <f t="shared" si="5"/>
        <v>0</v>
      </c>
      <c r="Q56" s="82" t="e">
        <f>IF(OR($B56=#REF!,$B55=$AH$4),($L55-$L56)*(1-$AL$3)*(E56-D56)*24*#REF!*$AL$4,0)</f>
        <v>#REF!</v>
      </c>
      <c r="U56" s="226">
        <f t="shared" si="16"/>
        <v>43352</v>
      </c>
      <c r="V56" s="221">
        <f t="shared" si="7"/>
        <v>0.79166666666666696</v>
      </c>
      <c r="W56" s="229"/>
      <c r="X56" s="229"/>
      <c r="Y56" s="229"/>
      <c r="Z56" s="229"/>
      <c r="AA56" s="82"/>
      <c r="AB56" s="82" t="e">
        <f>AA56*(1-$AL$3)*#REF!*$AL$4*(E56-D56)*24</f>
        <v>#REF!</v>
      </c>
      <c r="AC56" s="231">
        <f t="shared" si="8"/>
        <v>0</v>
      </c>
      <c r="AD56" s="231">
        <f t="shared" si="9"/>
        <v>0</v>
      </c>
      <c r="AE56" s="231">
        <f t="shared" si="10"/>
        <v>0</v>
      </c>
      <c r="AF56" s="82" t="e">
        <f>IF(OR($V56=#REF!,$V56=$AH$4),($AA55-$AA56)*(1-$AL$3)*(E56-D56)*24*#REF!*$AL$4,0)</f>
        <v>#REF!</v>
      </c>
    </row>
    <row r="57" spans="1:32" ht="14.25">
      <c r="A57" s="228">
        <f t="shared" si="11"/>
        <v>43352</v>
      </c>
      <c r="B57" s="221">
        <v>0.91666666666666696</v>
      </c>
      <c r="C57" s="222" t="s">
        <v>41</v>
      </c>
      <c r="D57" s="223">
        <f t="shared" si="13"/>
        <v>43352.916666666664</v>
      </c>
      <c r="E57" s="223">
        <f t="shared" si="14"/>
        <v>43353</v>
      </c>
      <c r="F57" s="224">
        <f>SUMPRODUCT(('6烧主抽电耗'!$A$3:$A$96=$A57)*('6烧主抽电耗'!$D$3:$D$96=$C57),'6烧主抽电耗'!$E$3:$E$96)</f>
        <v>4</v>
      </c>
      <c r="G57" s="223" t="str">
        <f t="shared" si="12"/>
        <v>丁班</v>
      </c>
      <c r="H57" s="225">
        <v>43909784</v>
      </c>
      <c r="I57" s="225">
        <v>35337205</v>
      </c>
      <c r="J57" s="225" t="str">
        <f>IF(_cuofeng5_month_day!A55="","",_cuofeng5_month_day!A55)</f>
        <v/>
      </c>
      <c r="K57" s="225" t="str">
        <f>IF(_cuofeng5_month_day!B55="","",_cuofeng5_month_day!B55)</f>
        <v/>
      </c>
      <c r="L57" s="224">
        <f>IFERROR(SUMPRODUCT((_5shaozhuchou_month_day!$A$3:$A$900&gt;=D57)*(_5shaozhuchou_month_day!$A$3:$A$900&lt;E57),_5shaozhuchou_month_day!$Y$3:$Y$900)/SUMPRODUCT((_5shaozhuchou_month_day!$A$3:$A$900&gt;=D57)*(_5shaozhuchou_month_day!$A$3:$A$900&lt;E57)),0)</f>
        <v>0</v>
      </c>
      <c r="M57" s="224" t="e">
        <f>L57*(1-$AL$3)*#REF!*$AL$4*(E57-D57)*24</f>
        <v>#REF!</v>
      </c>
      <c r="N57" s="231">
        <f t="shared" si="15"/>
        <v>0</v>
      </c>
      <c r="O57" s="231">
        <f t="shared" si="4"/>
        <v>21021</v>
      </c>
      <c r="P57" s="231">
        <f t="shared" si="5"/>
        <v>0</v>
      </c>
      <c r="Q57" s="82" t="e">
        <f>IF(OR($B57=#REF!,$B56=$AH$4),($L56-$L57)*(1-$AL$3)*(E57-D57)*24*#REF!*$AL$4,0)</f>
        <v>#REF!</v>
      </c>
      <c r="U57" s="228">
        <f t="shared" si="16"/>
        <v>43352</v>
      </c>
      <c r="V57" s="221">
        <f t="shared" si="7"/>
        <v>0.91666666666666696</v>
      </c>
      <c r="W57" s="229"/>
      <c r="X57" s="229"/>
      <c r="Y57" s="229"/>
      <c r="Z57" s="229"/>
      <c r="AA57" s="82"/>
      <c r="AB57" s="82" t="e">
        <f>AA57*(1-$AL$3)*#REF!*$AL$4*(E57-D57)*24</f>
        <v>#REF!</v>
      </c>
      <c r="AC57" s="231">
        <f t="shared" si="8"/>
        <v>0</v>
      </c>
      <c r="AD57" s="231">
        <f t="shared" si="9"/>
        <v>0</v>
      </c>
      <c r="AE57" s="231">
        <f t="shared" si="10"/>
        <v>0</v>
      </c>
      <c r="AF57" s="82" t="e">
        <f>IF(OR($V57=#REF!,$V57=$AH$4),($AA56-$AA57)*(1-$AL$3)*(E57-D57)*24*#REF!*$AL$4,0)</f>
        <v>#REF!</v>
      </c>
    </row>
    <row r="58" spans="1:32" ht="14.25">
      <c r="A58" s="220">
        <f>A52+1</f>
        <v>43353</v>
      </c>
      <c r="B58" s="221">
        <v>0</v>
      </c>
      <c r="C58" s="222" t="s">
        <v>37</v>
      </c>
      <c r="D58" s="223">
        <f t="shared" si="13"/>
        <v>43353</v>
      </c>
      <c r="E58" s="223">
        <f t="shared" si="14"/>
        <v>43353.333333333336</v>
      </c>
      <c r="F58" s="224">
        <f>SUMPRODUCT(('6烧主抽电耗'!$A$3:$A$96=$A58)*('6烧主抽电耗'!$D$3:$D$96=$C58),'6烧主抽电耗'!$E$3:$E$96)</f>
        <v>1</v>
      </c>
      <c r="G58" s="223" t="str">
        <f t="shared" si="12"/>
        <v>甲班</v>
      </c>
      <c r="H58" s="225">
        <v>43913448</v>
      </c>
      <c r="I58" s="225">
        <v>35340548</v>
      </c>
      <c r="J58" s="225" t="str">
        <f>IF(_cuofeng5_month_day!A56="","",_cuofeng5_month_day!A56)</f>
        <v/>
      </c>
      <c r="K58" s="225" t="str">
        <f>IF(_cuofeng5_month_day!B56="","",_cuofeng5_month_day!B56)</f>
        <v/>
      </c>
      <c r="L58" s="224">
        <f>IFERROR(SUMPRODUCT((_5shaozhuchou_month_day!$A$3:$A$900&gt;=D58)*(_5shaozhuchou_month_day!$A$3:$A$900&lt;E58),_5shaozhuchou_month_day!$Y$3:$Y$900)/SUMPRODUCT((_5shaozhuchou_month_day!$A$3:$A$900&gt;=D58)*(_5shaozhuchou_month_day!$A$3:$A$900&lt;E58)),0)</f>
        <v>0</v>
      </c>
      <c r="M58" s="224" t="e">
        <f>L58*(1-$AL$3)*#REF!*$AL$4*(E58-D58)*24</f>
        <v>#REF!</v>
      </c>
      <c r="N58" s="231">
        <f t="shared" si="15"/>
        <v>0</v>
      </c>
      <c r="O58" s="231">
        <f t="shared" si="4"/>
        <v>0</v>
      </c>
      <c r="P58" s="231">
        <f t="shared" si="5"/>
        <v>76353</v>
      </c>
      <c r="Q58" s="82" t="e">
        <f>IF(OR($B58=#REF!,$B57=$AH$4),($L57-$L58)*(1-$AL$3)*(E58-D58)*24*#REF!*$AL$4,0)</f>
        <v>#REF!</v>
      </c>
      <c r="U58" s="220">
        <f t="shared" si="16"/>
        <v>43353</v>
      </c>
      <c r="V58" s="221">
        <f t="shared" si="7"/>
        <v>0</v>
      </c>
      <c r="W58" s="229"/>
      <c r="X58" s="229"/>
      <c r="Y58" s="229"/>
      <c r="Z58" s="229"/>
      <c r="AA58" s="82"/>
      <c r="AB58" s="82" t="e">
        <f>AA58*(1-$AL$3)*#REF!*$AL$4*(E58-D58)*24</f>
        <v>#REF!</v>
      </c>
      <c r="AC58" s="231">
        <f t="shared" si="8"/>
        <v>0</v>
      </c>
      <c r="AD58" s="231">
        <f t="shared" si="9"/>
        <v>0</v>
      </c>
      <c r="AE58" s="231">
        <f t="shared" si="10"/>
        <v>0</v>
      </c>
      <c r="AF58" s="82" t="e">
        <f>IF(OR($V58=#REF!,$V58=$AH$4),($AA57-$AA58)*(1-$AL$3)*(E58-D58)*24*#REF!*$AL$4,0)</f>
        <v>#REF!</v>
      </c>
    </row>
    <row r="59" spans="1:32" ht="14.25">
      <c r="A59" s="226">
        <f>A58</f>
        <v>43353</v>
      </c>
      <c r="B59" s="221">
        <v>0.33333333333333298</v>
      </c>
      <c r="C59" s="222" t="s">
        <v>37</v>
      </c>
      <c r="D59" s="223">
        <f t="shared" si="13"/>
        <v>43353.333333333336</v>
      </c>
      <c r="E59" s="223">
        <f t="shared" si="14"/>
        <v>43353.583333333336</v>
      </c>
      <c r="F59" s="224">
        <f>SUMPRODUCT(('6烧主抽电耗'!$A$3:$A$96=$A59)*('6烧主抽电耗'!$D$3:$D$96=$C59),'6烧主抽电耗'!$E$3:$E$96)</f>
        <v>1</v>
      </c>
      <c r="G59" s="223" t="str">
        <f t="shared" si="12"/>
        <v>甲班</v>
      </c>
      <c r="H59" s="225">
        <v>43927191</v>
      </c>
      <c r="I59" s="225">
        <v>35352256</v>
      </c>
      <c r="J59" s="225" t="str">
        <f>IF(_cuofeng5_month_day!A57="","",_cuofeng5_month_day!A57)</f>
        <v/>
      </c>
      <c r="K59" s="225" t="str">
        <f>IF(_cuofeng5_month_day!B57="","",_cuofeng5_month_day!B57)</f>
        <v/>
      </c>
      <c r="L59" s="224">
        <f>IFERROR(SUMPRODUCT((_5shaozhuchou_month_day!$A$3:$A$900&gt;=D59)*(_5shaozhuchou_month_day!$A$3:$A$900&lt;E59),_5shaozhuchou_month_day!$Y$3:$Y$900)/SUMPRODUCT((_5shaozhuchou_month_day!$A$3:$A$900&gt;=D59)*(_5shaozhuchou_month_day!$A$3:$A$900&lt;E59)),0)</f>
        <v>0</v>
      </c>
      <c r="M59" s="224" t="e">
        <f>L59*(1-$AL$3)*#REF!*$AL$4*(E59-D59)*24</f>
        <v>#REF!</v>
      </c>
      <c r="N59" s="231">
        <f t="shared" si="15"/>
        <v>0</v>
      </c>
      <c r="O59" s="231">
        <f t="shared" si="4"/>
        <v>58608</v>
      </c>
      <c r="P59" s="231">
        <f t="shared" si="5"/>
        <v>0</v>
      </c>
      <c r="Q59" s="82" t="e">
        <f>IF(OR($B59=#REF!,$B58=$AH$4),($L58-$L59)*(1-$AL$3)*(E59-D59)*24*#REF!*$AL$4,0)</f>
        <v>#REF!</v>
      </c>
      <c r="U59" s="226">
        <f t="shared" si="16"/>
        <v>43353</v>
      </c>
      <c r="V59" s="221">
        <f t="shared" si="7"/>
        <v>0.33333333333333298</v>
      </c>
      <c r="W59" s="229"/>
      <c r="X59" s="229"/>
      <c r="Y59" s="229"/>
      <c r="Z59" s="229"/>
      <c r="AA59" s="82"/>
      <c r="AB59" s="82" t="e">
        <f>AA59*(1-$AL$3)*#REF!*$AL$4*(E59-D59)*24</f>
        <v>#REF!</v>
      </c>
      <c r="AC59" s="231">
        <f t="shared" si="8"/>
        <v>0</v>
      </c>
      <c r="AD59" s="231">
        <f t="shared" si="9"/>
        <v>0</v>
      </c>
      <c r="AE59" s="231">
        <f t="shared" si="10"/>
        <v>0</v>
      </c>
      <c r="AF59" s="82" t="e">
        <f>IF(OR($V59=#REF!,$V59=$AH$4),($AA58-$AA59)*(1-$AL$3)*(E59-D59)*24*#REF!*$AL$4,0)</f>
        <v>#REF!</v>
      </c>
    </row>
    <row r="60" spans="1:32" ht="14.25">
      <c r="A60" s="226">
        <f t="shared" si="11"/>
        <v>43353</v>
      </c>
      <c r="B60" s="221">
        <v>0.58333333333333304</v>
      </c>
      <c r="C60" s="222" t="s">
        <v>39</v>
      </c>
      <c r="D60" s="223">
        <f t="shared" si="13"/>
        <v>43353.583333333336</v>
      </c>
      <c r="E60" s="223">
        <f t="shared" si="14"/>
        <v>43353.708333333336</v>
      </c>
      <c r="F60" s="224">
        <f>SUMPRODUCT(('6烧主抽电耗'!$A$3:$A$96=$A60)*('6烧主抽电耗'!$D$3:$D$96=$C60),'6烧主抽电耗'!$E$3:$E$96)</f>
        <v>2</v>
      </c>
      <c r="G60" s="223" t="str">
        <f t="shared" si="12"/>
        <v>乙班</v>
      </c>
      <c r="H60" s="225">
        <v>43937631</v>
      </c>
      <c r="I60" s="225">
        <v>35361352</v>
      </c>
      <c r="J60" s="225" t="str">
        <f>IF(_cuofeng5_month_day!A58="","",_cuofeng5_month_day!A58)</f>
        <v/>
      </c>
      <c r="K60" s="225" t="str">
        <f>IF(_cuofeng5_month_day!B58="","",_cuofeng5_month_day!B58)</f>
        <v/>
      </c>
      <c r="L60" s="224">
        <f>IFERROR(SUMPRODUCT((_5shaozhuchou_month_day!$A$3:$A$900&gt;=D60)*(_5shaozhuchou_month_day!$A$3:$A$900&lt;E60),_5shaozhuchou_month_day!$Y$3:$Y$900)/SUMPRODUCT((_5shaozhuchou_month_day!$A$3:$A$900&gt;=D60)*(_5shaozhuchou_month_day!$A$3:$A$900&lt;E60)),0)</f>
        <v>0</v>
      </c>
      <c r="M60" s="224" t="e">
        <f>L60*(1-$AL$3)*#REF!*$AL$4*(E60-D60)*24</f>
        <v>#REF!</v>
      </c>
      <c r="N60" s="231">
        <f t="shared" si="15"/>
        <v>33873</v>
      </c>
      <c r="O60" s="231">
        <f t="shared" si="4"/>
        <v>0</v>
      </c>
      <c r="P60" s="231">
        <f t="shared" si="5"/>
        <v>0</v>
      </c>
      <c r="Q60" s="82" t="e">
        <f>IF(OR($B60=#REF!,$B59=$AH$4),($L59-$L60)*(1-$AL$3)*(E60-D60)*24*#REF!*$AL$4,0)</f>
        <v>#REF!</v>
      </c>
      <c r="U60" s="226">
        <f t="shared" si="16"/>
        <v>43353</v>
      </c>
      <c r="V60" s="221">
        <f t="shared" si="7"/>
        <v>0.58333333333333304</v>
      </c>
      <c r="W60" s="229"/>
      <c r="X60" s="229"/>
      <c r="Y60" s="229"/>
      <c r="Z60" s="229"/>
      <c r="AA60" s="82"/>
      <c r="AB60" s="82" t="e">
        <f>AA60*(1-$AL$3)*#REF!*$AL$4*(E60-D60)*24</f>
        <v>#REF!</v>
      </c>
      <c r="AC60" s="231">
        <f t="shared" si="8"/>
        <v>0</v>
      </c>
      <c r="AD60" s="231">
        <f t="shared" si="9"/>
        <v>0</v>
      </c>
      <c r="AE60" s="231">
        <f t="shared" si="10"/>
        <v>0</v>
      </c>
      <c r="AF60" s="82" t="e">
        <f>IF(OR($V60=#REF!,$V60=$AH$4),($AA59-$AA60)*(1-$AL$3)*(E60-D60)*24*#REF!*$AL$4,0)</f>
        <v>#REF!</v>
      </c>
    </row>
    <row r="61" spans="1:32" ht="14.25">
      <c r="A61" s="226">
        <f t="shared" si="11"/>
        <v>43353</v>
      </c>
      <c r="B61" s="221">
        <v>0.70833333333333304</v>
      </c>
      <c r="C61" s="222" t="s">
        <v>41</v>
      </c>
      <c r="D61" s="223">
        <f t="shared" si="13"/>
        <v>43353.708333333336</v>
      </c>
      <c r="E61" s="223">
        <f t="shared" si="14"/>
        <v>43353.791666666664</v>
      </c>
      <c r="F61" s="224">
        <f>SUMPRODUCT(('6烧主抽电耗'!$A$3:$A$96=$A61)*('6烧主抽电耗'!$D$3:$D$96=$C61),'6烧主抽电耗'!$E$3:$E$96)</f>
        <v>3</v>
      </c>
      <c r="G61" s="223" t="str">
        <f t="shared" si="12"/>
        <v>丙班</v>
      </c>
      <c r="H61" s="225">
        <v>43943681</v>
      </c>
      <c r="I61" s="225">
        <v>35366593</v>
      </c>
      <c r="J61" s="225" t="str">
        <f>IF(_cuofeng5_month_day!A59="","",_cuofeng5_month_day!A59)</f>
        <v/>
      </c>
      <c r="K61" s="225" t="str">
        <f>IF(_cuofeng5_month_day!B59="","",_cuofeng5_month_day!B59)</f>
        <v/>
      </c>
      <c r="L61" s="224">
        <f>IFERROR(SUMPRODUCT((_5shaozhuchou_month_day!$A$3:$A$900&gt;=D61)*(_5shaozhuchou_month_day!$A$3:$A$900&lt;E61),_5shaozhuchou_month_day!$Y$3:$Y$900)/SUMPRODUCT((_5shaozhuchou_month_day!$A$3:$A$900&gt;=D61)*(_5shaozhuchou_month_day!$A$3:$A$900&lt;E61)),0)</f>
        <v>0</v>
      </c>
      <c r="M61" s="224" t="e">
        <f>L61*(1-$AL$3)*#REF!*$AL$4*(E61-D61)*24</f>
        <v>#REF!</v>
      </c>
      <c r="N61" s="231">
        <f t="shared" si="15"/>
        <v>0</v>
      </c>
      <c r="O61" s="231">
        <f t="shared" si="4"/>
        <v>20184</v>
      </c>
      <c r="P61" s="231">
        <f t="shared" si="5"/>
        <v>0</v>
      </c>
      <c r="Q61" s="82" t="e">
        <f>IF(OR($B61=#REF!,$B60=$AH$4),($L60-$L61)*(1-$AL$3)*(E61-D61)*24*#REF!*$AL$4,0)</f>
        <v>#REF!</v>
      </c>
      <c r="U61" s="226">
        <f t="shared" si="16"/>
        <v>43353</v>
      </c>
      <c r="V61" s="221">
        <f t="shared" si="7"/>
        <v>0.70833333333333304</v>
      </c>
      <c r="W61" s="229"/>
      <c r="X61" s="229"/>
      <c r="Y61" s="229"/>
      <c r="Z61" s="229"/>
      <c r="AA61" s="82"/>
      <c r="AB61" s="82" t="e">
        <f>AA61*(1-$AL$3)*#REF!*$AL$4*(E61-D61)*24</f>
        <v>#REF!</v>
      </c>
      <c r="AC61" s="231">
        <f t="shared" si="8"/>
        <v>0</v>
      </c>
      <c r="AD61" s="231">
        <f t="shared" si="9"/>
        <v>0</v>
      </c>
      <c r="AE61" s="231">
        <f t="shared" si="10"/>
        <v>0</v>
      </c>
      <c r="AF61" s="82" t="e">
        <f>IF(OR($V61=#REF!,$V61=$AH$4),($AA60-$AA61)*(1-$AL$3)*(E61-D61)*24*#REF!*$AL$4,0)</f>
        <v>#REF!</v>
      </c>
    </row>
    <row r="62" spans="1:32" ht="14.25">
      <c r="A62" s="226">
        <f t="shared" si="11"/>
        <v>43353</v>
      </c>
      <c r="B62" s="221">
        <v>0.79166666666666696</v>
      </c>
      <c r="C62" s="222" t="s">
        <v>41</v>
      </c>
      <c r="D62" s="223">
        <f t="shared" si="13"/>
        <v>43353.791666666664</v>
      </c>
      <c r="E62" s="223">
        <f t="shared" si="14"/>
        <v>43353.916666666664</v>
      </c>
      <c r="F62" s="224">
        <f>SUMPRODUCT(('6烧主抽电耗'!$A$3:$A$96=$A62)*('6烧主抽电耗'!$D$3:$D$96=$C62),'6烧主抽电耗'!$E$3:$E$96)</f>
        <v>3</v>
      </c>
      <c r="G62" s="223" t="str">
        <f t="shared" si="12"/>
        <v>丙班</v>
      </c>
      <c r="H62" s="225">
        <v>43947312</v>
      </c>
      <c r="I62" s="225">
        <v>35369690</v>
      </c>
      <c r="J62" s="225" t="str">
        <f>IF(_cuofeng5_month_day!A60="","",_cuofeng5_month_day!A60)</f>
        <v/>
      </c>
      <c r="K62" s="225" t="str">
        <f>IF(_cuofeng5_month_day!B60="","",_cuofeng5_month_day!B60)</f>
        <v/>
      </c>
      <c r="L62" s="224">
        <f>IFERROR(SUMPRODUCT((_5shaozhuchou_month_day!$A$3:$A$900&gt;=D62)*(_5shaozhuchou_month_day!$A$3:$A$900&lt;E62),_5shaozhuchou_month_day!$Y$3:$Y$900)/SUMPRODUCT((_5shaozhuchou_month_day!$A$3:$A$900&gt;=D62)*(_5shaozhuchou_month_day!$A$3:$A$900&lt;E62)),0)</f>
        <v>0</v>
      </c>
      <c r="M62" s="224" t="e">
        <f>L62*(1-$AL$3)*#REF!*$AL$4*(E62-D62)*24</f>
        <v>#REF!</v>
      </c>
      <c r="N62" s="231">
        <f t="shared" si="15"/>
        <v>29580</v>
      </c>
      <c r="O62" s="231">
        <f t="shared" si="4"/>
        <v>0</v>
      </c>
      <c r="P62" s="231">
        <f t="shared" si="5"/>
        <v>0</v>
      </c>
      <c r="Q62" s="82" t="e">
        <f>IF(OR($B62=#REF!,$B61=$AH$4),($L61-$L62)*(1-$AL$3)*(E62-D62)*24*#REF!*$AL$4,0)</f>
        <v>#REF!</v>
      </c>
      <c r="U62" s="226">
        <f t="shared" si="16"/>
        <v>43353</v>
      </c>
      <c r="V62" s="221">
        <f t="shared" si="7"/>
        <v>0.79166666666666696</v>
      </c>
      <c r="W62" s="229"/>
      <c r="X62" s="229"/>
      <c r="Y62" s="229"/>
      <c r="Z62" s="229"/>
      <c r="AA62" s="82"/>
      <c r="AB62" s="82" t="e">
        <f>AA62*(1-$AL$3)*#REF!*$AL$4*(E62-D62)*24</f>
        <v>#REF!</v>
      </c>
      <c r="AC62" s="231">
        <f t="shared" si="8"/>
        <v>0</v>
      </c>
      <c r="AD62" s="231">
        <f t="shared" si="9"/>
        <v>0</v>
      </c>
      <c r="AE62" s="231">
        <f t="shared" si="10"/>
        <v>0</v>
      </c>
      <c r="AF62" s="82" t="e">
        <f>IF(OR($V62=#REF!,$V62=$AH$4),($AA61-$AA62)*(1-$AL$3)*(E62-D62)*24*#REF!*$AL$4,0)</f>
        <v>#REF!</v>
      </c>
    </row>
    <row r="63" spans="1:32" ht="14.25">
      <c r="A63" s="228">
        <f t="shared" si="11"/>
        <v>43353</v>
      </c>
      <c r="B63" s="221">
        <v>0.91666666666666696</v>
      </c>
      <c r="C63" s="222" t="s">
        <v>41</v>
      </c>
      <c r="D63" s="223">
        <f t="shared" si="13"/>
        <v>43353.916666666664</v>
      </c>
      <c r="E63" s="223">
        <f t="shared" si="14"/>
        <v>43354</v>
      </c>
      <c r="F63" s="224">
        <f>SUMPRODUCT(('6烧主抽电耗'!$A$3:$A$96=$A63)*('6烧主抽电耗'!$D$3:$D$96=$C63),'6烧主抽电耗'!$E$3:$E$96)</f>
        <v>3</v>
      </c>
      <c r="G63" s="223" t="str">
        <f t="shared" si="12"/>
        <v>丙班</v>
      </c>
      <c r="H63" s="225">
        <v>43952662</v>
      </c>
      <c r="I63" s="225">
        <v>35374200</v>
      </c>
      <c r="J63" s="225" t="str">
        <f>IF(_cuofeng5_month_day!A61="","",_cuofeng5_month_day!A61)</f>
        <v/>
      </c>
      <c r="K63" s="225" t="str">
        <f>IF(_cuofeng5_month_day!B61="","",_cuofeng5_month_day!B61)</f>
        <v/>
      </c>
      <c r="L63" s="224">
        <f>IFERROR(SUMPRODUCT((_5shaozhuchou_month_day!$A$3:$A$900&gt;=D63)*(_5shaozhuchou_month_day!$A$3:$A$900&lt;E63),_5shaozhuchou_month_day!$Y$3:$Y$900)/SUMPRODUCT((_5shaozhuchou_month_day!$A$3:$A$900&gt;=D63)*(_5shaozhuchou_month_day!$A$3:$A$900&lt;E63)),0)</f>
        <v>0</v>
      </c>
      <c r="M63" s="224" t="e">
        <f>L63*(1-$AL$3)*#REF!*$AL$4*(E63-D63)*24</f>
        <v>#REF!</v>
      </c>
      <c r="N63" s="231">
        <f t="shared" si="15"/>
        <v>0</v>
      </c>
      <c r="O63" s="231">
        <f t="shared" si="4"/>
        <v>17859</v>
      </c>
      <c r="P63" s="231">
        <f t="shared" si="5"/>
        <v>0</v>
      </c>
      <c r="Q63" s="82" t="e">
        <f>IF(OR($B63=#REF!,$B62=$AH$4),($L62-$L63)*(1-$AL$3)*(E63-D63)*24*#REF!*$AL$4,0)</f>
        <v>#REF!</v>
      </c>
      <c r="U63" s="228">
        <f t="shared" si="16"/>
        <v>43353</v>
      </c>
      <c r="V63" s="221">
        <f t="shared" si="7"/>
        <v>0.91666666666666696</v>
      </c>
      <c r="W63" s="229"/>
      <c r="X63" s="229"/>
      <c r="Y63" s="229"/>
      <c r="Z63" s="229"/>
      <c r="AA63" s="82"/>
      <c r="AB63" s="82" t="e">
        <f>AA63*(1-$AL$3)*#REF!*$AL$4*(E63-D63)*24</f>
        <v>#REF!</v>
      </c>
      <c r="AC63" s="231">
        <f t="shared" si="8"/>
        <v>0</v>
      </c>
      <c r="AD63" s="231">
        <f t="shared" si="9"/>
        <v>0</v>
      </c>
      <c r="AE63" s="231">
        <f t="shared" si="10"/>
        <v>0</v>
      </c>
      <c r="AF63" s="82" t="e">
        <f>IF(OR($V63=#REF!,$V63=$AH$4),($AA62-$AA63)*(1-$AL$3)*(E63-D63)*24*#REF!*$AL$4,0)</f>
        <v>#REF!</v>
      </c>
    </row>
    <row r="64" spans="1:32" ht="14.25">
      <c r="A64" s="220">
        <f>A58+1</f>
        <v>43354</v>
      </c>
      <c r="B64" s="221">
        <v>0</v>
      </c>
      <c r="C64" s="222" t="s">
        <v>37</v>
      </c>
      <c r="D64" s="223">
        <f t="shared" si="13"/>
        <v>43354</v>
      </c>
      <c r="E64" s="223">
        <f t="shared" si="14"/>
        <v>43354.333333333336</v>
      </c>
      <c r="F64" s="224">
        <f>SUMPRODUCT(('6烧主抽电耗'!$A$3:$A$96=$A64)*('6烧主抽电耗'!$D$3:$D$96=$C64),'6烧主抽电耗'!$E$3:$E$96)</f>
        <v>1</v>
      </c>
      <c r="G64" s="223" t="str">
        <f t="shared" si="12"/>
        <v>甲班</v>
      </c>
      <c r="H64" s="225">
        <v>43955866</v>
      </c>
      <c r="I64" s="225">
        <v>35376949</v>
      </c>
      <c r="J64" s="225" t="str">
        <f>IF(_cuofeng5_month_day!A62="","",_cuofeng5_month_day!A62)</f>
        <v/>
      </c>
      <c r="K64" s="225" t="str">
        <f>IF(_cuofeng5_month_day!B62="","",_cuofeng5_month_day!B62)</f>
        <v/>
      </c>
      <c r="L64" s="224">
        <f>IFERROR(SUMPRODUCT((_5shaozhuchou_month_day!$A$3:$A$900&gt;=D64)*(_5shaozhuchou_month_day!$A$3:$A$900&lt;E64),_5shaozhuchou_month_day!$Y$3:$Y$900)/SUMPRODUCT((_5shaozhuchou_month_day!$A$3:$A$900&gt;=D64)*(_5shaozhuchou_month_day!$A$3:$A$900&lt;E64)),0)</f>
        <v>0</v>
      </c>
      <c r="M64" s="224" t="e">
        <f>L64*(1-$AL$3)*#REF!*$AL$4*(E64-D64)*24</f>
        <v>#REF!</v>
      </c>
      <c r="N64" s="231">
        <f t="shared" si="15"/>
        <v>0</v>
      </c>
      <c r="O64" s="231">
        <f t="shared" si="4"/>
        <v>0</v>
      </c>
      <c r="P64" s="231">
        <f t="shared" si="5"/>
        <v>77619</v>
      </c>
      <c r="Q64" s="82" t="e">
        <f>IF(OR($B64=#REF!,$B63=$AH$4),($L63-$L64)*(1-$AL$3)*(E64-D64)*24*#REF!*$AL$4,0)</f>
        <v>#REF!</v>
      </c>
      <c r="U64" s="220">
        <f t="shared" si="16"/>
        <v>43354</v>
      </c>
      <c r="V64" s="221">
        <f t="shared" si="7"/>
        <v>0</v>
      </c>
      <c r="W64" s="229"/>
      <c r="X64" s="229"/>
      <c r="Y64" s="229"/>
      <c r="Z64" s="229"/>
      <c r="AA64" s="82"/>
      <c r="AB64" s="82" t="e">
        <f>AA64*(1-$AL$3)*#REF!*$AL$4*(E64-D64)*24</f>
        <v>#REF!</v>
      </c>
      <c r="AC64" s="231">
        <f t="shared" si="8"/>
        <v>0</v>
      </c>
      <c r="AD64" s="231">
        <f t="shared" si="9"/>
        <v>0</v>
      </c>
      <c r="AE64" s="231">
        <f t="shared" si="10"/>
        <v>0</v>
      </c>
      <c r="AF64" s="82" t="e">
        <f>IF(OR($V64=#REF!,$V64=$AH$4),($AA63-$AA64)*(1-$AL$3)*(E64-D64)*24*#REF!*$AL$4,0)</f>
        <v>#REF!</v>
      </c>
    </row>
    <row r="65" spans="1:32" ht="14.25">
      <c r="A65" s="226">
        <f>A64</f>
        <v>43354</v>
      </c>
      <c r="B65" s="221">
        <v>0.33333333333333298</v>
      </c>
      <c r="C65" s="222" t="s">
        <v>39</v>
      </c>
      <c r="D65" s="223">
        <f t="shared" si="13"/>
        <v>43354.333333333336</v>
      </c>
      <c r="E65" s="223">
        <f t="shared" si="14"/>
        <v>43354.583333333336</v>
      </c>
      <c r="F65" s="224">
        <f>SUMPRODUCT(('6烧主抽电耗'!$A$3:$A$96=$A65)*('6烧主抽电耗'!$D$3:$D$96=$C65),'6烧主抽电耗'!$E$3:$E$96)</f>
        <v>2</v>
      </c>
      <c r="G65" s="223" t="s">
        <v>64</v>
      </c>
      <c r="H65" s="225">
        <v>43969736</v>
      </c>
      <c r="I65" s="225">
        <v>35388952</v>
      </c>
      <c r="J65" s="225" t="str">
        <f>IF(_cuofeng5_month_day!A63="","",_cuofeng5_month_day!A63)</f>
        <v/>
      </c>
      <c r="K65" s="225" t="str">
        <f>IF(_cuofeng5_month_day!B63="","",_cuofeng5_month_day!B63)</f>
        <v/>
      </c>
      <c r="L65" s="224">
        <f>IFERROR(SUMPRODUCT((_5shaozhuchou_month_day!$A$3:$A$900&gt;=D65)*(_5shaozhuchou_month_day!$A$3:$A$900&lt;E65),_5shaozhuchou_month_day!$Y$3:$Y$900)/SUMPRODUCT((_5shaozhuchou_month_day!$A$3:$A$900&gt;=D65)*(_5shaozhuchou_month_day!$A$3:$A$900&lt;E65)),0)</f>
        <v>0</v>
      </c>
      <c r="M65" s="224" t="e">
        <f>L65*(1-$AL$3)*#REF!*$AL$4*(E65-D65)*24</f>
        <v>#REF!</v>
      </c>
      <c r="N65" s="231">
        <f t="shared" si="15"/>
        <v>0</v>
      </c>
      <c r="O65" s="231">
        <f t="shared" si="4"/>
        <v>57525</v>
      </c>
      <c r="P65" s="231">
        <f t="shared" si="5"/>
        <v>0</v>
      </c>
      <c r="Q65" s="82" t="e">
        <f>IF(OR($B65=#REF!,$B64=$AH$4),($L64-$L65)*(1-$AL$3)*(E65-D65)*24*#REF!*$AL$4,0)</f>
        <v>#REF!</v>
      </c>
      <c r="U65" s="226">
        <f t="shared" si="16"/>
        <v>43354</v>
      </c>
      <c r="V65" s="221">
        <f t="shared" si="7"/>
        <v>0.33333333333333298</v>
      </c>
      <c r="W65" s="229"/>
      <c r="X65" s="229"/>
      <c r="Y65" s="229"/>
      <c r="Z65" s="229"/>
      <c r="AA65" s="82"/>
      <c r="AB65" s="82" t="e">
        <f>AA65*(1-$AL$3)*#REF!*$AL$4*(E65-D65)*24</f>
        <v>#REF!</v>
      </c>
      <c r="AC65" s="231">
        <f t="shared" si="8"/>
        <v>0</v>
      </c>
      <c r="AD65" s="231">
        <f t="shared" si="9"/>
        <v>0</v>
      </c>
      <c r="AE65" s="231">
        <f t="shared" si="10"/>
        <v>0</v>
      </c>
      <c r="AF65" s="82" t="e">
        <f>IF(OR($V65=#REF!,$V65=$AH$4),($AA64-$AA65)*(1-$AL$3)*(E65-D65)*24*#REF!*$AL$4,0)</f>
        <v>#REF!</v>
      </c>
    </row>
    <row r="66" spans="1:32" ht="14.25">
      <c r="A66" s="226">
        <f t="shared" si="11"/>
        <v>43354</v>
      </c>
      <c r="B66" s="221">
        <v>0.58333333333333304</v>
      </c>
      <c r="C66" s="222" t="s">
        <v>39</v>
      </c>
      <c r="D66" s="223">
        <f t="shared" si="13"/>
        <v>43354.583333333336</v>
      </c>
      <c r="E66" s="223">
        <f t="shared" si="14"/>
        <v>43354.708333333336</v>
      </c>
      <c r="F66" s="224">
        <f>SUMPRODUCT(('6烧主抽电耗'!$A$3:$A$96=$A66)*('6烧主抽电耗'!$D$3:$D$96=$C66),'6烧主抽电耗'!$E$3:$E$96)</f>
        <v>2</v>
      </c>
      <c r="G66" s="223" t="str">
        <f t="shared" si="12"/>
        <v>乙班</v>
      </c>
      <c r="H66" s="225">
        <v>43979992</v>
      </c>
      <c r="I66" s="225">
        <v>35397871</v>
      </c>
      <c r="J66" s="225" t="str">
        <f>IF(_cuofeng5_month_day!A64="","",_cuofeng5_month_day!A64)</f>
        <v/>
      </c>
      <c r="K66" s="225" t="str">
        <f>IF(_cuofeng5_month_day!B64="","",_cuofeng5_month_day!B64)</f>
        <v/>
      </c>
      <c r="L66" s="224">
        <f>IFERROR(SUMPRODUCT((_5shaozhuchou_month_day!$A$3:$A$900&gt;=D66)*(_5shaozhuchou_month_day!$A$3:$A$900&lt;E66),_5shaozhuchou_month_day!$Y$3:$Y$900)/SUMPRODUCT((_5shaozhuchou_month_day!$A$3:$A$900&gt;=D66)*(_5shaozhuchou_month_day!$A$3:$A$900&lt;E66)),0)</f>
        <v>0</v>
      </c>
      <c r="M66" s="224" t="e">
        <f>L66*(1-$AL$3)*#REF!*$AL$4*(E66-D66)*24</f>
        <v>#REF!</v>
      </c>
      <c r="N66" s="231">
        <f t="shared" si="15"/>
        <v>34026</v>
      </c>
      <c r="O66" s="231">
        <f t="shared" si="4"/>
        <v>0</v>
      </c>
      <c r="P66" s="231">
        <f t="shared" si="5"/>
        <v>0</v>
      </c>
      <c r="Q66" s="82" t="e">
        <f>IF(OR($B66=#REF!,$B65=$AH$4),($L65-$L66)*(1-$AL$3)*(E66-D66)*24*#REF!*$AL$4,0)</f>
        <v>#REF!</v>
      </c>
      <c r="U66" s="226">
        <f t="shared" si="16"/>
        <v>43354</v>
      </c>
      <c r="V66" s="221">
        <f t="shared" si="7"/>
        <v>0.58333333333333304</v>
      </c>
      <c r="W66" s="229"/>
      <c r="X66" s="229"/>
      <c r="Y66" s="229"/>
      <c r="Z66" s="229"/>
      <c r="AA66" s="82"/>
      <c r="AB66" s="82" t="e">
        <f>AA66*(1-$AL$3)*#REF!*$AL$4*(E66-D66)*24</f>
        <v>#REF!</v>
      </c>
      <c r="AC66" s="231">
        <f t="shared" si="8"/>
        <v>0</v>
      </c>
      <c r="AD66" s="231">
        <f t="shared" si="9"/>
        <v>0</v>
      </c>
      <c r="AE66" s="231">
        <f t="shared" si="10"/>
        <v>0</v>
      </c>
      <c r="AF66" s="82" t="e">
        <f>IF(OR($V66=#REF!,$V66=$AH$4),($AA65-$AA66)*(1-$AL$3)*(E66-D66)*24*#REF!*$AL$4,0)</f>
        <v>#REF!</v>
      </c>
    </row>
    <row r="67" spans="1:32" ht="14.25">
      <c r="A67" s="226">
        <f t="shared" si="11"/>
        <v>43354</v>
      </c>
      <c r="B67" s="221">
        <v>0.70833333333333304</v>
      </c>
      <c r="C67" s="222" t="s">
        <v>41</v>
      </c>
      <c r="D67" s="223">
        <f t="shared" si="13"/>
        <v>43354.708333333336</v>
      </c>
      <c r="E67" s="223">
        <f t="shared" si="14"/>
        <v>43354.791666666664</v>
      </c>
      <c r="F67" s="224">
        <f>SUMPRODUCT(('6烧主抽电耗'!$A$3:$A$96=$A67)*('6烧主抽电耗'!$D$3:$D$96=$C67),'6烧主抽电耗'!$E$3:$E$96)</f>
        <v>3</v>
      </c>
      <c r="G67" s="223" t="str">
        <f t="shared" si="12"/>
        <v>丙班</v>
      </c>
      <c r="H67" s="225">
        <v>43986013</v>
      </c>
      <c r="I67" s="225">
        <v>35403192</v>
      </c>
      <c r="J67" s="225" t="str">
        <f>IF(_cuofeng5_month_day!A65="","",_cuofeng5_month_day!A65)</f>
        <v/>
      </c>
      <c r="K67" s="225" t="str">
        <f>IF(_cuofeng5_month_day!B65="","",_cuofeng5_month_day!B65)</f>
        <v/>
      </c>
      <c r="L67" s="224">
        <f>IFERROR(SUMPRODUCT((_5shaozhuchou_month_day!$A$3:$A$900&gt;=D67)*(_5shaozhuchou_month_day!$A$3:$A$900&lt;E67),_5shaozhuchou_month_day!$Y$3:$Y$900)/SUMPRODUCT((_5shaozhuchou_month_day!$A$3:$A$900&gt;=D67)*(_5shaozhuchou_month_day!$A$3:$A$900&lt;E67)),0)</f>
        <v>0</v>
      </c>
      <c r="M67" s="224" t="e">
        <f>L67*(1-$AL$3)*#REF!*$AL$4*(E67-D67)*24</f>
        <v>#REF!</v>
      </c>
      <c r="N67" s="231">
        <f t="shared" si="15"/>
        <v>0</v>
      </c>
      <c r="O67" s="231">
        <f t="shared" si="4"/>
        <v>18357</v>
      </c>
      <c r="P67" s="231">
        <f t="shared" si="5"/>
        <v>0</v>
      </c>
      <c r="Q67" s="82" t="e">
        <f>IF(OR($B67=#REF!,$B66=$AH$4),($L66-$L67)*(1-$AL$3)*(E67-D67)*24*#REF!*$AL$4,0)</f>
        <v>#REF!</v>
      </c>
      <c r="U67" s="226">
        <f t="shared" si="16"/>
        <v>43354</v>
      </c>
      <c r="V67" s="221">
        <f t="shared" si="7"/>
        <v>0.70833333333333304</v>
      </c>
      <c r="W67" s="229"/>
      <c r="X67" s="229"/>
      <c r="Y67" s="229"/>
      <c r="Z67" s="229"/>
      <c r="AA67" s="82"/>
      <c r="AB67" s="82" t="e">
        <f>AA67*(1-$AL$3)*#REF!*$AL$4*(E67-D67)*24</f>
        <v>#REF!</v>
      </c>
      <c r="AC67" s="231">
        <f t="shared" si="8"/>
        <v>0</v>
      </c>
      <c r="AD67" s="231">
        <f t="shared" si="9"/>
        <v>0</v>
      </c>
      <c r="AE67" s="231">
        <f t="shared" si="10"/>
        <v>0</v>
      </c>
      <c r="AF67" s="82" t="e">
        <f>IF(OR($V67=#REF!,$V67=$AH$4),($AA66-$AA67)*(1-$AL$3)*(E67-D67)*24*#REF!*$AL$4,0)</f>
        <v>#REF!</v>
      </c>
    </row>
    <row r="68" spans="1:32" ht="14.25">
      <c r="A68" s="226">
        <f t="shared" si="11"/>
        <v>43354</v>
      </c>
      <c r="B68" s="221">
        <v>0.79166666666666696</v>
      </c>
      <c r="C68" s="222" t="s">
        <v>41</v>
      </c>
      <c r="D68" s="223">
        <f t="shared" ref="D68:D99" si="17">A68+B68</f>
        <v>43354.791666666664</v>
      </c>
      <c r="E68" s="223">
        <f t="shared" ref="E68:E99" si="18">D69</f>
        <v>43354.916666666664</v>
      </c>
      <c r="F68" s="224">
        <f>SUMPRODUCT(('6烧主抽电耗'!$A$3:$A$96=$A68)*('6烧主抽电耗'!$D$3:$D$96=$C68),'6烧主抽电耗'!$E$3:$E$96)</f>
        <v>3</v>
      </c>
      <c r="G68" s="223" t="str">
        <f t="shared" si="12"/>
        <v>丙班</v>
      </c>
      <c r="H68" s="225">
        <v>43989325</v>
      </c>
      <c r="I68" s="225">
        <v>35405999</v>
      </c>
      <c r="J68" s="225" t="str">
        <f>IF(_cuofeng5_month_day!A66="","",_cuofeng5_month_day!A66)</f>
        <v/>
      </c>
      <c r="K68" s="225" t="str">
        <f>IF(_cuofeng5_month_day!B66="","",_cuofeng5_month_day!B66)</f>
        <v/>
      </c>
      <c r="L68" s="224">
        <f>IFERROR(SUMPRODUCT((_5shaozhuchou_month_day!$A$3:$A$900&gt;=D68)*(_5shaozhuchou_month_day!$A$3:$A$900&lt;E68),_5shaozhuchou_month_day!$Y$3:$Y$900)/SUMPRODUCT((_5shaozhuchou_month_day!$A$3:$A$900&gt;=D68)*(_5shaozhuchou_month_day!$A$3:$A$900&lt;E68)),0)</f>
        <v>0</v>
      </c>
      <c r="M68" s="224" t="e">
        <f>L68*(1-$AL$3)*#REF!*$AL$4*(E68-D68)*24</f>
        <v>#REF!</v>
      </c>
      <c r="N68" s="231">
        <f t="shared" si="15"/>
        <v>31863</v>
      </c>
      <c r="O68" s="231">
        <f t="shared" si="4"/>
        <v>0</v>
      </c>
      <c r="P68" s="231">
        <f t="shared" si="5"/>
        <v>0</v>
      </c>
      <c r="Q68" s="82" t="e">
        <f>IF(OR($B68=#REF!,$B67=$AH$4),($L67-$L68)*(1-$AL$3)*(E68-D68)*24*#REF!*$AL$4,0)</f>
        <v>#REF!</v>
      </c>
      <c r="U68" s="226">
        <f t="shared" si="16"/>
        <v>43354</v>
      </c>
      <c r="V68" s="221">
        <f t="shared" si="7"/>
        <v>0.79166666666666696</v>
      </c>
      <c r="W68" s="229"/>
      <c r="X68" s="229"/>
      <c r="Y68" s="229"/>
      <c r="Z68" s="229"/>
      <c r="AA68" s="82"/>
      <c r="AB68" s="82" t="e">
        <f>AA68*(1-$AL$3)*#REF!*$AL$4*(E68-D68)*24</f>
        <v>#REF!</v>
      </c>
      <c r="AC68" s="231">
        <f t="shared" si="8"/>
        <v>0</v>
      </c>
      <c r="AD68" s="231">
        <f t="shared" si="9"/>
        <v>0</v>
      </c>
      <c r="AE68" s="231">
        <f t="shared" si="10"/>
        <v>0</v>
      </c>
      <c r="AF68" s="82" t="e">
        <f>IF(OR($V68=#REF!,$V68=$AH$4),($AA67-$AA68)*(1-$AL$3)*(E68-D68)*24*#REF!*$AL$4,0)</f>
        <v>#REF!</v>
      </c>
    </row>
    <row r="69" spans="1:32" ht="14.25">
      <c r="A69" s="228">
        <f t="shared" si="11"/>
        <v>43354</v>
      </c>
      <c r="B69" s="221">
        <v>0.91666666666666696</v>
      </c>
      <c r="C69" s="222" t="s">
        <v>41</v>
      </c>
      <c r="D69" s="223">
        <f t="shared" si="17"/>
        <v>43354.916666666664</v>
      </c>
      <c r="E69" s="223">
        <f t="shared" si="18"/>
        <v>43355</v>
      </c>
      <c r="F69" s="224">
        <f>SUMPRODUCT(('6烧主抽电耗'!$A$3:$A$96=$A69)*('6烧主抽电耗'!$D$3:$D$96=$C69),'6烧主抽电耗'!$E$3:$E$96)</f>
        <v>3</v>
      </c>
      <c r="G69" s="223" t="str">
        <f t="shared" ref="G69:G132" si="19">IF(AND(F69=1),"甲班",IF(AND(F69=2),"乙班",IF(AND(F69=3),"丙班",IF(AND(F69=4),"丁班",))))</f>
        <v>丙班</v>
      </c>
      <c r="H69" s="225">
        <v>43995068</v>
      </c>
      <c r="I69" s="225">
        <v>35410877</v>
      </c>
      <c r="J69" s="225" t="str">
        <f>IF(_cuofeng5_month_day!A67="","",_cuofeng5_month_day!A67)</f>
        <v/>
      </c>
      <c r="K69" s="225" t="str">
        <f>IF(_cuofeng5_month_day!B67="","",_cuofeng5_month_day!B67)</f>
        <v/>
      </c>
      <c r="L69" s="224">
        <f>IFERROR(SUMPRODUCT((_5shaozhuchou_month_day!$A$3:$A$900&gt;=D69)*(_5shaozhuchou_month_day!$A$3:$A$900&lt;E69),_5shaozhuchou_month_day!$Y$3:$Y$900)/SUMPRODUCT((_5shaozhuchou_month_day!$A$3:$A$900&gt;=D69)*(_5shaozhuchou_month_day!$A$3:$A$900&lt;E69)),0)</f>
        <v>0</v>
      </c>
      <c r="M69" s="224" t="e">
        <f>L69*(1-$AL$3)*#REF!*$AL$4*(E69-D69)*24</f>
        <v>#REF!</v>
      </c>
      <c r="N69" s="231">
        <f t="shared" ref="N69:N100" si="20">IF(OR($B69=$AH$4,$B69=$AH$5),(($H70-$H69)+($I70-$I69))*3,0)</f>
        <v>0</v>
      </c>
      <c r="O69" s="231">
        <f t="shared" ref="O69:O105" si="21">IF(OR($B69=$AI$4,$B69=$AI$5,$B69=$AI$6),(($H70-$H69)+($I70-$I69))*3,0)</f>
        <v>15447</v>
      </c>
      <c r="P69" s="231">
        <f t="shared" ref="P69:P100" si="22">IF(OR($B69=$AJ$4),(($H70-$H69)+($I70-$I69))*3,0)</f>
        <v>0</v>
      </c>
      <c r="Q69" s="82" t="e">
        <f>IF(OR($B69=#REF!,$B68=$AH$4),($L68-$L69)*(1-$AL$3)*(E69-D69)*24*#REF!*$AL$4,0)</f>
        <v>#REF!</v>
      </c>
      <c r="U69" s="228">
        <f t="shared" ref="U69:U132" si="23">A69</f>
        <v>43354</v>
      </c>
      <c r="V69" s="221">
        <f t="shared" ref="V69:V132" si="24">B69</f>
        <v>0.91666666666666696</v>
      </c>
      <c r="W69" s="229"/>
      <c r="X69" s="229"/>
      <c r="Y69" s="229"/>
      <c r="Z69" s="229"/>
      <c r="AA69" s="82"/>
      <c r="AB69" s="82" t="e">
        <f>AA69*(1-$AL$3)*#REF!*$AL$4*(E69-D69)*24</f>
        <v>#REF!</v>
      </c>
      <c r="AC69" s="231">
        <f t="shared" ref="AC69:AC104" si="25">IF(OR($V69=$AH$4,$V69=$AH$5),(($W70-$W69)+($X70-$X69))*3,0)</f>
        <v>0</v>
      </c>
      <c r="AD69" s="231">
        <f t="shared" ref="AD69:AD105" si="26">IF(OR($V69=$AI$4,$V69=$AI$5,$V69=$AI$6),(($W70-$W69)+($X70-$X69))*3,0)</f>
        <v>0</v>
      </c>
      <c r="AE69" s="231">
        <f t="shared" ref="AE69:AE100" si="27">IF(OR($V69=$AJ$4),(($W70-$W69)+($X70-$X69))*3,0)</f>
        <v>0</v>
      </c>
      <c r="AF69" s="82" t="e">
        <f>IF(OR($V69=#REF!,$V69=$AH$4),($AA68-$AA69)*(1-$AL$3)*(E69-D69)*24*#REF!*$AL$4,0)</f>
        <v>#REF!</v>
      </c>
    </row>
    <row r="70" spans="1:32" ht="14.25">
      <c r="A70" s="220">
        <f>A64+1</f>
        <v>43355</v>
      </c>
      <c r="B70" s="221">
        <v>0</v>
      </c>
      <c r="C70" s="222" t="s">
        <v>37</v>
      </c>
      <c r="D70" s="223">
        <f t="shared" si="17"/>
        <v>43355</v>
      </c>
      <c r="E70" s="223">
        <f t="shared" si="18"/>
        <v>43355.333333333336</v>
      </c>
      <c r="F70" s="224">
        <f>SUMPRODUCT(('6烧主抽电耗'!$A$3:$A$96=$A70)*('6烧主抽电耗'!$D$3:$D$96=$C70),'6烧主抽电耗'!$E$3:$E$96)</f>
        <v>4</v>
      </c>
      <c r="G70" s="223" t="str">
        <f t="shared" si="19"/>
        <v>丁班</v>
      </c>
      <c r="H70" s="225">
        <v>43997859</v>
      </c>
      <c r="I70" s="225">
        <v>35413235</v>
      </c>
      <c r="J70" s="225" t="str">
        <f>IF(_cuofeng5_month_day!A68="","",_cuofeng5_month_day!A68)</f>
        <v/>
      </c>
      <c r="K70" s="225" t="str">
        <f>IF(_cuofeng5_month_day!B68="","",_cuofeng5_month_day!B68)</f>
        <v/>
      </c>
      <c r="L70" s="224">
        <f>IFERROR(SUMPRODUCT((_5shaozhuchou_month_day!$A$3:$A$900&gt;=D70)*(_5shaozhuchou_month_day!$A$3:$A$900&lt;E70),_5shaozhuchou_month_day!$Y$3:$Y$900)/SUMPRODUCT((_5shaozhuchou_month_day!$A$3:$A$900&gt;=D70)*(_5shaozhuchou_month_day!$A$3:$A$900&lt;E70)),0)</f>
        <v>0</v>
      </c>
      <c r="M70" s="224" t="e">
        <f>L70*(1-$AL$3)*#REF!*$AL$4*(E70-D70)*24</f>
        <v>#REF!</v>
      </c>
      <c r="N70" s="231">
        <f t="shared" si="20"/>
        <v>0</v>
      </c>
      <c r="O70" s="231">
        <f t="shared" si="21"/>
        <v>0</v>
      </c>
      <c r="P70" s="231">
        <f t="shared" si="22"/>
        <v>80490</v>
      </c>
      <c r="Q70" s="82" t="e">
        <f>IF(OR($B70=#REF!,$B69=$AH$4),($L69-$L70)*(1-$AL$3)*(E70-D70)*24*#REF!*$AL$4,0)</f>
        <v>#REF!</v>
      </c>
      <c r="U70" s="220">
        <f t="shared" si="23"/>
        <v>43355</v>
      </c>
      <c r="V70" s="221">
        <f t="shared" si="24"/>
        <v>0</v>
      </c>
      <c r="W70" s="229"/>
      <c r="X70" s="229"/>
      <c r="Y70" s="229"/>
      <c r="Z70" s="229"/>
      <c r="AA70" s="82"/>
      <c r="AB70" s="82" t="e">
        <f>AA70*(1-$AL$3)*#REF!*$AL$4*(E70-D70)*24</f>
        <v>#REF!</v>
      </c>
      <c r="AC70" s="231">
        <f t="shared" si="25"/>
        <v>0</v>
      </c>
      <c r="AD70" s="231">
        <f t="shared" si="26"/>
        <v>0</v>
      </c>
      <c r="AE70" s="231">
        <f t="shared" si="27"/>
        <v>0</v>
      </c>
      <c r="AF70" s="82" t="e">
        <f>IF(OR($V70=#REF!,$V70=$AH$4),($AA69-$AA70)*(1-$AL$3)*(E70-D70)*24*#REF!*$AL$4,0)</f>
        <v>#REF!</v>
      </c>
    </row>
    <row r="71" spans="1:32" ht="14.25">
      <c r="A71" s="226">
        <f>A70</f>
        <v>43355</v>
      </c>
      <c r="B71" s="221">
        <v>0.33333333333333298</v>
      </c>
      <c r="C71" s="222" t="s">
        <v>39</v>
      </c>
      <c r="D71" s="223">
        <f t="shared" si="17"/>
        <v>43355.333333333336</v>
      </c>
      <c r="E71" s="223">
        <f t="shared" si="18"/>
        <v>43355.583333333336</v>
      </c>
      <c r="F71" s="224">
        <f>SUMPRODUCT(('6烧主抽电耗'!$A$3:$A$96=$A71)*('6烧主抽电耗'!$D$3:$D$96=$C71),'6烧主抽电耗'!$E$3:$E$96)</f>
        <v>1</v>
      </c>
      <c r="G71" s="223" t="str">
        <f t="shared" si="19"/>
        <v>甲班</v>
      </c>
      <c r="H71" s="225">
        <v>44012445</v>
      </c>
      <c r="I71" s="225">
        <v>35425479</v>
      </c>
      <c r="J71" s="225" t="str">
        <f>IF(_cuofeng5_month_day!A69="","",_cuofeng5_month_day!A69)</f>
        <v/>
      </c>
      <c r="K71" s="248" t="str">
        <f>IF(_cuofeng5_month_day!B69="","",_cuofeng5_month_day!B69)</f>
        <v/>
      </c>
      <c r="L71" s="224">
        <f>IFERROR(SUMPRODUCT((_5shaozhuchou_month_day!$A$3:$A$900&gt;=D71)*(_5shaozhuchou_month_day!$A$3:$A$900&lt;E71),_5shaozhuchou_month_day!$Y$3:$Y$900)/SUMPRODUCT((_5shaozhuchou_month_day!$A$3:$A$900&gt;=D71)*(_5shaozhuchou_month_day!$A$3:$A$900&lt;E71)),0)</f>
        <v>0</v>
      </c>
      <c r="M71" s="224" t="e">
        <f>L71*(1-$AL$3)*#REF!*$AL$4*(E71-D71)*24</f>
        <v>#REF!</v>
      </c>
      <c r="N71" s="231">
        <f t="shared" si="20"/>
        <v>0</v>
      </c>
      <c r="O71" s="231">
        <f t="shared" si="21"/>
        <v>64557</v>
      </c>
      <c r="P71" s="231">
        <f t="shared" si="22"/>
        <v>0</v>
      </c>
      <c r="Q71" s="82" t="e">
        <f>IF(OR($B71=#REF!,$B70=$AH$4),($L70-$L71)*(1-$AL$3)*(E71-D71)*24*#REF!*$AL$4,0)</f>
        <v>#REF!</v>
      </c>
      <c r="U71" s="226">
        <f t="shared" si="23"/>
        <v>43355</v>
      </c>
      <c r="V71" s="221">
        <f t="shared" si="24"/>
        <v>0.33333333333333298</v>
      </c>
      <c r="W71" s="237"/>
      <c r="X71" s="225"/>
      <c r="Y71" s="229"/>
      <c r="Z71" s="229"/>
      <c r="AA71" s="82"/>
      <c r="AB71" s="82" t="e">
        <f>AA71*(1-$AL$3)*#REF!*$AL$4*(E71-D71)*24</f>
        <v>#REF!</v>
      </c>
      <c r="AC71" s="231">
        <f t="shared" si="25"/>
        <v>0</v>
      </c>
      <c r="AD71" s="231">
        <f t="shared" si="26"/>
        <v>0</v>
      </c>
      <c r="AE71" s="231">
        <f t="shared" si="27"/>
        <v>0</v>
      </c>
      <c r="AF71" s="82" t="e">
        <f>IF(OR($V71=#REF!,$V71=$AH$4),($AA70-$AA71)*(1-$AL$3)*(E71-D71)*24*#REF!*$AL$4,0)</f>
        <v>#REF!</v>
      </c>
    </row>
    <row r="72" spans="1:32" ht="14.25">
      <c r="A72" s="226">
        <f t="shared" si="11"/>
        <v>43355</v>
      </c>
      <c r="B72" s="221">
        <v>0.58333333333333304</v>
      </c>
      <c r="C72" s="222" t="s">
        <v>39</v>
      </c>
      <c r="D72" s="223">
        <f t="shared" si="17"/>
        <v>43355.583333333336</v>
      </c>
      <c r="E72" s="223">
        <f t="shared" si="18"/>
        <v>43355.708333333336</v>
      </c>
      <c r="F72" s="224">
        <f>SUMPRODUCT(('6烧主抽电耗'!$A$3:$A$96=$A72)*('6烧主抽电耗'!$D$3:$D$96=$C72),'6烧主抽电耗'!$E$3:$E$96)</f>
        <v>1</v>
      </c>
      <c r="G72" s="223" t="str">
        <f t="shared" si="19"/>
        <v>甲班</v>
      </c>
      <c r="H72" s="225">
        <v>44024060</v>
      </c>
      <c r="I72" s="225">
        <v>35435383</v>
      </c>
      <c r="J72" s="225" t="str">
        <f>IF(_cuofeng5_month_day!A70="","",_cuofeng5_month_day!A70)</f>
        <v/>
      </c>
      <c r="K72" s="225" t="str">
        <f>IF(_cuofeng5_month_day!B70="","",_cuofeng5_month_day!B70)</f>
        <v/>
      </c>
      <c r="L72" s="224">
        <f>IFERROR(SUMPRODUCT((_5shaozhuchou_month_day!$A$3:$A$900&gt;=D72)*(_5shaozhuchou_month_day!$A$3:$A$900&lt;E72),_5shaozhuchou_month_day!$Y$3:$Y$900)/SUMPRODUCT((_5shaozhuchou_month_day!$A$3:$A$900&gt;=D72)*(_5shaozhuchou_month_day!$A$3:$A$900&lt;E72)),0)</f>
        <v>0</v>
      </c>
      <c r="M72" s="224" t="e">
        <f>L72*(1-$AL$3)*#REF!*$AL$4*(E72-D72)*24</f>
        <v>#REF!</v>
      </c>
      <c r="N72" s="231">
        <f t="shared" si="20"/>
        <v>24828</v>
      </c>
      <c r="O72" s="231">
        <f t="shared" si="21"/>
        <v>0</v>
      </c>
      <c r="P72" s="231">
        <f t="shared" si="22"/>
        <v>0</v>
      </c>
      <c r="Q72" s="82" t="e">
        <f>IF(OR($B72=#REF!,$B71=$AH$4),($L71-$L72)*(1-$AL$3)*(E72-D72)*24*#REF!*$AL$4,0)</f>
        <v>#REF!</v>
      </c>
      <c r="U72" s="226">
        <f t="shared" si="23"/>
        <v>43355</v>
      </c>
      <c r="V72" s="221">
        <f t="shared" si="24"/>
        <v>0.58333333333333304</v>
      </c>
      <c r="W72" s="229"/>
      <c r="X72" s="229"/>
      <c r="Y72" s="229"/>
      <c r="Z72" s="229"/>
      <c r="AA72" s="82"/>
      <c r="AB72" s="82" t="e">
        <f>AA72*(1-$AL$3)*#REF!*$AL$4*(E72-D72)*24</f>
        <v>#REF!</v>
      </c>
      <c r="AC72" s="231">
        <f t="shared" si="25"/>
        <v>0</v>
      </c>
      <c r="AD72" s="231">
        <f t="shared" si="26"/>
        <v>0</v>
      </c>
      <c r="AE72" s="231">
        <f t="shared" si="27"/>
        <v>0</v>
      </c>
      <c r="AF72" s="82" t="e">
        <f>IF(OR($V72=#REF!,$V72=$AH$4),($AA71-$AA72)*(1-$AL$3)*(E72-D72)*24*#REF!*$AL$4,0)</f>
        <v>#REF!</v>
      </c>
    </row>
    <row r="73" spans="1:32" ht="14.25">
      <c r="A73" s="226">
        <f t="shared" si="11"/>
        <v>43355</v>
      </c>
      <c r="B73" s="221">
        <v>0.70833333333333304</v>
      </c>
      <c r="C73" s="222" t="s">
        <v>41</v>
      </c>
      <c r="D73" s="223">
        <f t="shared" si="17"/>
        <v>43355.708333333336</v>
      </c>
      <c r="E73" s="223">
        <f t="shared" si="18"/>
        <v>43355.791666666664</v>
      </c>
      <c r="F73" s="224">
        <f>SUMPRODUCT(('6烧主抽电耗'!$A$3:$A$96=$A73)*('6烧主抽电耗'!$D$3:$D$96=$C73),'6烧主抽电耗'!$E$3:$E$96)</f>
        <v>2</v>
      </c>
      <c r="G73" s="223" t="str">
        <f t="shared" si="19"/>
        <v>乙班</v>
      </c>
      <c r="H73" s="225">
        <v>44028414</v>
      </c>
      <c r="I73" s="225">
        <v>35439305</v>
      </c>
      <c r="J73" s="225" t="str">
        <f>IF(_cuofeng5_month_day!A71="","",_cuofeng5_month_day!A71)</f>
        <v/>
      </c>
      <c r="K73" s="225" t="str">
        <f>IF(_cuofeng5_month_day!B71="","",_cuofeng5_month_day!B71)</f>
        <v/>
      </c>
      <c r="L73" s="224">
        <f>IFERROR(SUMPRODUCT((_5shaozhuchou_month_day!$A$3:$A$900&gt;=D73)*(_5shaozhuchou_month_day!$A$3:$A$900&lt;E73),_5shaozhuchou_month_day!$Y$3:$Y$900)/SUMPRODUCT((_5shaozhuchou_month_day!$A$3:$A$900&gt;=D73)*(_5shaozhuchou_month_day!$A$3:$A$900&lt;E73)),0)</f>
        <v>0</v>
      </c>
      <c r="M73" s="224" t="e">
        <f>L73*(1-$AL$3)*#REF!*$AL$4*(E73-D73)*24</f>
        <v>#REF!</v>
      </c>
      <c r="N73" s="231">
        <f t="shared" si="20"/>
        <v>0</v>
      </c>
      <c r="O73" s="231">
        <f t="shared" si="21"/>
        <v>19947</v>
      </c>
      <c r="P73" s="231">
        <f t="shared" si="22"/>
        <v>0</v>
      </c>
      <c r="Q73" s="82" t="e">
        <f>IF(OR($B73=#REF!,$B72=$AH$4),($L72-$L73)*(1-$AL$3)*(E73-D73)*24*#REF!*$AL$4,0)</f>
        <v>#REF!</v>
      </c>
      <c r="U73" s="226">
        <f t="shared" si="23"/>
        <v>43355</v>
      </c>
      <c r="V73" s="221">
        <f t="shared" si="24"/>
        <v>0.70833333333333304</v>
      </c>
      <c r="W73" s="237"/>
      <c r="X73" s="225"/>
      <c r="Y73" s="229"/>
      <c r="Z73" s="229"/>
      <c r="AA73" s="82"/>
      <c r="AB73" s="82" t="e">
        <f>AA73*(1-$AL$3)*#REF!*$AL$4*(E73-D73)*24</f>
        <v>#REF!</v>
      </c>
      <c r="AC73" s="231">
        <f t="shared" si="25"/>
        <v>0</v>
      </c>
      <c r="AD73" s="231">
        <f t="shared" si="26"/>
        <v>0</v>
      </c>
      <c r="AE73" s="231">
        <f t="shared" si="27"/>
        <v>0</v>
      </c>
      <c r="AF73" s="82" t="e">
        <f>IF(OR($V73=#REF!,$V73=$AH$4),($AA72-$AA73)*(1-$AL$3)*(E73-D73)*24*#REF!*$AL$4,0)</f>
        <v>#REF!</v>
      </c>
    </row>
    <row r="74" spans="1:32" ht="14.25">
      <c r="A74" s="226">
        <f t="shared" si="11"/>
        <v>43355</v>
      </c>
      <c r="B74" s="221">
        <v>0.79166666666666696</v>
      </c>
      <c r="C74" s="222" t="s">
        <v>41</v>
      </c>
      <c r="D74" s="223">
        <f t="shared" si="17"/>
        <v>43355.791666666664</v>
      </c>
      <c r="E74" s="223">
        <f t="shared" si="18"/>
        <v>43355.916666666664</v>
      </c>
      <c r="F74" s="224">
        <f>SUMPRODUCT(('6烧主抽电耗'!$A$3:$A$96=$A74)*('6烧主抽电耗'!$D$3:$D$96=$C74),'6烧主抽电耗'!$E$3:$E$96)</f>
        <v>2</v>
      </c>
      <c r="G74" s="223" t="str">
        <f t="shared" si="19"/>
        <v>乙班</v>
      </c>
      <c r="H74" s="225">
        <v>44031783</v>
      </c>
      <c r="I74" s="225">
        <v>35442585</v>
      </c>
      <c r="J74" s="225" t="str">
        <f>IF(_cuofeng5_month_day!A72="","",_cuofeng5_month_day!A72)</f>
        <v/>
      </c>
      <c r="K74" s="225" t="str">
        <f>IF(_cuofeng5_month_day!B72="","",_cuofeng5_month_day!B72)</f>
        <v/>
      </c>
      <c r="L74" s="224">
        <f>IFERROR(SUMPRODUCT((_5shaozhuchou_month_day!$A$3:$A$900&gt;=D74)*(_5shaozhuchou_month_day!$A$3:$A$900&lt;E74),_5shaozhuchou_month_day!$Y$3:$Y$900)/SUMPRODUCT((_5shaozhuchou_month_day!$A$3:$A$900&gt;=D74)*(_5shaozhuchou_month_day!$A$3:$A$900&lt;E74)),0)</f>
        <v>0</v>
      </c>
      <c r="M74" s="224" t="e">
        <f>L74*(1-$AL$3)*#REF!*$AL$4*(E74-D74)*24</f>
        <v>#REF!</v>
      </c>
      <c r="N74" s="231">
        <f t="shared" si="20"/>
        <v>25581</v>
      </c>
      <c r="O74" s="231">
        <f t="shared" si="21"/>
        <v>0</v>
      </c>
      <c r="P74" s="231">
        <f t="shared" si="22"/>
        <v>0</v>
      </c>
      <c r="Q74" s="82" t="e">
        <f>IF(OR($B74=#REF!,$B73=$AH$4),($L73-$L74)*(1-$AL$3)*(E74-D74)*24*#REF!*$AL$4,0)</f>
        <v>#REF!</v>
      </c>
      <c r="U74" s="226">
        <f t="shared" si="23"/>
        <v>43355</v>
      </c>
      <c r="V74" s="221">
        <f t="shared" si="24"/>
        <v>0.79166666666666696</v>
      </c>
      <c r="W74" s="229"/>
      <c r="X74" s="229"/>
      <c r="Y74" s="229"/>
      <c r="Z74" s="229"/>
      <c r="AA74" s="82"/>
      <c r="AB74" s="82" t="e">
        <f>AA74*(1-$AL$3)*#REF!*$AL$4*(E74-D74)*24</f>
        <v>#REF!</v>
      </c>
      <c r="AC74" s="231">
        <f t="shared" si="25"/>
        <v>0</v>
      </c>
      <c r="AD74" s="231">
        <f t="shared" si="26"/>
        <v>0</v>
      </c>
      <c r="AE74" s="231">
        <f t="shared" si="27"/>
        <v>0</v>
      </c>
      <c r="AF74" s="82" t="e">
        <f>IF(OR($V74=#REF!,$V74=$AH$4),($AA73-$AA74)*(1-$AL$3)*(E74-D74)*24*#REF!*$AL$4,0)</f>
        <v>#REF!</v>
      </c>
    </row>
    <row r="75" spans="1:32" ht="14.25">
      <c r="A75" s="228">
        <f t="shared" si="11"/>
        <v>43355</v>
      </c>
      <c r="B75" s="221">
        <v>0.91666666666666696</v>
      </c>
      <c r="C75" s="222" t="s">
        <v>41</v>
      </c>
      <c r="D75" s="223">
        <f t="shared" si="17"/>
        <v>43355.916666666664</v>
      </c>
      <c r="E75" s="223">
        <f t="shared" si="18"/>
        <v>43356</v>
      </c>
      <c r="F75" s="224">
        <f>SUMPRODUCT(('6烧主抽电耗'!$A$3:$A$96=$A75)*('6烧主抽电耗'!$D$3:$D$96=$C75),'6烧主抽电耗'!$E$3:$E$96)</f>
        <v>2</v>
      </c>
      <c r="G75" s="223" t="str">
        <f t="shared" si="19"/>
        <v>乙班</v>
      </c>
      <c r="H75" s="225">
        <v>44036227</v>
      </c>
      <c r="I75" s="225">
        <v>35446668</v>
      </c>
      <c r="J75" s="225" t="str">
        <f>IF(_cuofeng5_month_day!A73="","",_cuofeng5_month_day!A73)</f>
        <v/>
      </c>
      <c r="K75" s="225" t="str">
        <f>IF(_cuofeng5_month_day!B73="","",_cuofeng5_month_day!B73)</f>
        <v/>
      </c>
      <c r="L75" s="224">
        <f>IFERROR(SUMPRODUCT((_5shaozhuchou_month_day!$A$3:$A$900&gt;=D75)*(_5shaozhuchou_month_day!$A$3:$A$900&lt;E75),_5shaozhuchou_month_day!$Y$3:$Y$900)/SUMPRODUCT((_5shaozhuchou_month_day!$A$3:$A$900&gt;=D75)*(_5shaozhuchou_month_day!$A$3:$A$900&lt;E75)),0)</f>
        <v>0</v>
      </c>
      <c r="M75" s="224" t="e">
        <f>L75*(1-$AL$3)*#REF!*$AL$4*(E75-D75)*24</f>
        <v>#REF!</v>
      </c>
      <c r="N75" s="231">
        <f t="shared" si="20"/>
        <v>0</v>
      </c>
      <c r="O75" s="231">
        <f t="shared" si="21"/>
        <v>17181</v>
      </c>
      <c r="P75" s="231">
        <f t="shared" si="22"/>
        <v>0</v>
      </c>
      <c r="Q75" s="82" t="e">
        <f>IF(OR($B75=#REF!,$B74=$AH$4),($L74-$L75)*(1-$AL$3)*(E75-D75)*24*#REF!*$AL$4,0)</f>
        <v>#REF!</v>
      </c>
      <c r="U75" s="228">
        <f t="shared" si="23"/>
        <v>43355</v>
      </c>
      <c r="V75" s="221">
        <f t="shared" si="24"/>
        <v>0.91666666666666696</v>
      </c>
      <c r="W75" s="229"/>
      <c r="X75" s="229"/>
      <c r="Y75" s="229"/>
      <c r="Z75" s="229"/>
      <c r="AA75" s="82"/>
      <c r="AB75" s="82" t="e">
        <f>AA75*(1-$AL$3)*#REF!*$AL$4*(E75-D75)*24</f>
        <v>#REF!</v>
      </c>
      <c r="AC75" s="231">
        <f t="shared" si="25"/>
        <v>0</v>
      </c>
      <c r="AD75" s="231">
        <f t="shared" si="26"/>
        <v>0</v>
      </c>
      <c r="AE75" s="231">
        <f t="shared" si="27"/>
        <v>0</v>
      </c>
      <c r="AF75" s="82" t="e">
        <f>IF(OR($V75=#REF!,$V75=$AH$4),($AA74-$AA75)*(1-$AL$3)*(E75-D75)*24*#REF!*$AL$4,0)</f>
        <v>#REF!</v>
      </c>
    </row>
    <row r="76" spans="1:32" ht="14.25">
      <c r="A76" s="220">
        <f>A70+1</f>
        <v>43356</v>
      </c>
      <c r="B76" s="221">
        <v>0</v>
      </c>
      <c r="C76" s="222" t="s">
        <v>37</v>
      </c>
      <c r="D76" s="223">
        <f t="shared" si="17"/>
        <v>43356</v>
      </c>
      <c r="E76" s="223">
        <f t="shared" si="18"/>
        <v>43356.333333333336</v>
      </c>
      <c r="F76" s="224">
        <f>SUMPRODUCT(('6烧主抽电耗'!$A$3:$A$96=$A76)*('6烧主抽电耗'!$D$3:$D$96=$C76),'6烧主抽电耗'!$E$3:$E$96)</f>
        <v>4</v>
      </c>
      <c r="G76" s="223" t="str">
        <f t="shared" si="19"/>
        <v>丁班</v>
      </c>
      <c r="H76" s="225">
        <v>44039248</v>
      </c>
      <c r="I76" s="225">
        <v>35449374</v>
      </c>
      <c r="J76" s="225" t="str">
        <f>IF(_cuofeng5_month_day!A74="","",_cuofeng5_month_day!A74)</f>
        <v/>
      </c>
      <c r="K76" s="225" t="str">
        <f>IF(_cuofeng5_month_day!B74="","",_cuofeng5_month_day!B74)</f>
        <v/>
      </c>
      <c r="L76" s="224">
        <f>IFERROR(SUMPRODUCT((_5shaozhuchou_month_day!$A$3:$A$900&gt;=D76)*(_5shaozhuchou_month_day!$A$3:$A$900&lt;E76),_5shaozhuchou_month_day!$Y$3:$Y$900)/SUMPRODUCT((_5shaozhuchou_month_day!$A$3:$A$900&gt;=D76)*(_5shaozhuchou_month_day!$A$3:$A$900&lt;E76)),0)</f>
        <v>0</v>
      </c>
      <c r="M76" s="224" t="e">
        <f>L76*(1-$AL$3)*#REF!*$AL$4*(E76-D76)*24</f>
        <v>#REF!</v>
      </c>
      <c r="N76" s="231">
        <f t="shared" si="20"/>
        <v>0</v>
      </c>
      <c r="O76" s="231">
        <f t="shared" si="21"/>
        <v>0</v>
      </c>
      <c r="P76" s="231">
        <f t="shared" si="22"/>
        <v>76446</v>
      </c>
      <c r="Q76" s="82" t="e">
        <f>IF(OR($B76=#REF!,$B75=$AH$4),($L75-$L76)*(1-$AL$3)*(E76-D76)*24*#REF!*$AL$4,0)</f>
        <v>#REF!</v>
      </c>
      <c r="U76" s="220">
        <f t="shared" si="23"/>
        <v>43356</v>
      </c>
      <c r="V76" s="221">
        <f t="shared" si="24"/>
        <v>0</v>
      </c>
      <c r="W76" s="237"/>
      <c r="X76" s="225"/>
      <c r="Y76" s="229"/>
      <c r="Z76" s="229"/>
      <c r="AA76" s="82"/>
      <c r="AB76" s="82" t="e">
        <f>AA76*(1-$AL$3)*#REF!*$AL$4*(E76-D76)*24</f>
        <v>#REF!</v>
      </c>
      <c r="AC76" s="231">
        <f t="shared" si="25"/>
        <v>0</v>
      </c>
      <c r="AD76" s="231">
        <f t="shared" si="26"/>
        <v>0</v>
      </c>
      <c r="AE76" s="231">
        <f t="shared" si="27"/>
        <v>0</v>
      </c>
      <c r="AF76" s="82" t="e">
        <f>IF(OR($V76=#REF!,$V76=$AH$4),($AA75-$AA76)*(1-$AL$3)*(E76-D76)*24*#REF!*$AL$4,0)</f>
        <v>#REF!</v>
      </c>
    </row>
    <row r="77" spans="1:32" ht="14.25">
      <c r="A77" s="226">
        <f>A76</f>
        <v>43356</v>
      </c>
      <c r="B77" s="221">
        <v>0.33333333333333298</v>
      </c>
      <c r="C77" s="222" t="s">
        <v>37</v>
      </c>
      <c r="D77" s="223">
        <f t="shared" si="17"/>
        <v>43356.333333333336</v>
      </c>
      <c r="E77" s="223">
        <f t="shared" si="18"/>
        <v>43356.583333333336</v>
      </c>
      <c r="F77" s="224">
        <f>SUMPRODUCT(('6烧主抽电耗'!$A$3:$A$96=$A77)*('6烧主抽电耗'!$D$3:$D$96=$C77),'6烧主抽电耗'!$E$3:$E$96)</f>
        <v>4</v>
      </c>
      <c r="G77" s="223" t="str">
        <f t="shared" si="19"/>
        <v>丁班</v>
      </c>
      <c r="H77" s="225">
        <v>44052764</v>
      </c>
      <c r="I77" s="225">
        <v>35461340</v>
      </c>
      <c r="J77" s="225" t="str">
        <f>IF(_cuofeng5_month_day!A75="","",_cuofeng5_month_day!A75)</f>
        <v/>
      </c>
      <c r="K77" s="225" t="str">
        <f>IF(_cuofeng5_month_day!B75="","",_cuofeng5_month_day!B75)</f>
        <v/>
      </c>
      <c r="L77" s="224">
        <f>IFERROR(SUMPRODUCT((_5shaozhuchou_month_day!$A$3:$A$900&gt;=D77)*(_5shaozhuchou_month_day!$A$3:$A$900&lt;E77),_5shaozhuchou_month_day!$Y$3:$Y$900)/SUMPRODUCT((_5shaozhuchou_month_day!$A$3:$A$900&gt;=D77)*(_5shaozhuchou_month_day!$A$3:$A$900&lt;E77)),0)</f>
        <v>0</v>
      </c>
      <c r="M77" s="224" t="e">
        <f>L77*(1-$AL$3)*#REF!*$AL$4*(E77-D77)*24</f>
        <v>#REF!</v>
      </c>
      <c r="N77" s="231">
        <f t="shared" si="20"/>
        <v>0</v>
      </c>
      <c r="O77" s="231">
        <f t="shared" si="21"/>
        <v>64734</v>
      </c>
      <c r="P77" s="231">
        <f t="shared" si="22"/>
        <v>0</v>
      </c>
      <c r="Q77" s="82" t="e">
        <f>IF(OR($B77=#REF!,$B76=$AH$4),($L76-$L77)*(1-$AL$3)*(E77-D77)*24*#REF!*$AL$4,0)</f>
        <v>#REF!</v>
      </c>
      <c r="U77" s="226">
        <f t="shared" si="23"/>
        <v>43356</v>
      </c>
      <c r="V77" s="221">
        <f t="shared" si="24"/>
        <v>0.33333333333333298</v>
      </c>
      <c r="W77" s="237"/>
      <c r="X77" s="225"/>
      <c r="Y77" s="229"/>
      <c r="Z77" s="229"/>
      <c r="AA77" s="82"/>
      <c r="AB77" s="82" t="e">
        <f>AA77*(1-$AL$3)*#REF!*$AL$4*(E77-D77)*24</f>
        <v>#REF!</v>
      </c>
      <c r="AC77" s="231">
        <f t="shared" si="25"/>
        <v>0</v>
      </c>
      <c r="AD77" s="231">
        <f t="shared" si="26"/>
        <v>0</v>
      </c>
      <c r="AE77" s="231">
        <f t="shared" si="27"/>
        <v>0</v>
      </c>
      <c r="AF77" s="82" t="e">
        <f>IF(OR($V77=#REF!,$V77=$AH$4),($AA76-$AA77)*(1-$AL$3)*(E77-D77)*24*#REF!*$AL$4,0)</f>
        <v>#REF!</v>
      </c>
    </row>
    <row r="78" spans="1:32" ht="14.25">
      <c r="A78" s="226">
        <f t="shared" si="11"/>
        <v>43356</v>
      </c>
      <c r="B78" s="221">
        <v>0.58333333333333304</v>
      </c>
      <c r="C78" s="222" t="s">
        <v>39</v>
      </c>
      <c r="D78" s="223">
        <f t="shared" si="17"/>
        <v>43356.583333333336</v>
      </c>
      <c r="E78" s="223">
        <f t="shared" si="18"/>
        <v>43356.708333333336</v>
      </c>
      <c r="F78" s="224">
        <f>SUMPRODUCT(('6烧主抽电耗'!$A$3:$A$96=$A78)*('6烧主抽电耗'!$D$3:$D$96=$C78),'6烧主抽电耗'!$E$3:$E$96)</f>
        <v>1</v>
      </c>
      <c r="G78" s="223" t="str">
        <f t="shared" si="19"/>
        <v>甲班</v>
      </c>
      <c r="H78" s="225">
        <v>44064360</v>
      </c>
      <c r="I78" s="225">
        <v>35471322</v>
      </c>
      <c r="J78" s="225" t="str">
        <f>IF(_cuofeng5_month_day!A76="","",_cuofeng5_month_day!A76)</f>
        <v/>
      </c>
      <c r="K78" s="225" t="str">
        <f>IF(_cuofeng5_month_day!B76="","",_cuofeng5_month_day!B76)</f>
        <v/>
      </c>
      <c r="L78" s="224">
        <f>IFERROR(SUMPRODUCT((_5shaozhuchou_month_day!$A$3:$A$900&gt;=D78)*(_5shaozhuchou_month_day!$A$3:$A$900&lt;E78),_5shaozhuchou_month_day!$Y$3:$Y$900)/SUMPRODUCT((_5shaozhuchou_month_day!$A$3:$A$900&gt;=D78)*(_5shaozhuchou_month_day!$A$3:$A$900&lt;E78)),0)</f>
        <v>0</v>
      </c>
      <c r="M78" s="224" t="e">
        <f>L78*(1-$AL$3)*#REF!*$AL$4*(E78-D78)*24</f>
        <v>#REF!</v>
      </c>
      <c r="N78" s="231">
        <f t="shared" si="20"/>
        <v>27309</v>
      </c>
      <c r="O78" s="231">
        <f t="shared" si="21"/>
        <v>0</v>
      </c>
      <c r="P78" s="231">
        <f t="shared" si="22"/>
        <v>0</v>
      </c>
      <c r="Q78" s="82" t="e">
        <f>IF(OR($B78=#REF!,$B77=$AH$4),($L77-$L78)*(1-$AL$3)*(E78-D78)*24*#REF!*$AL$4,0)</f>
        <v>#REF!</v>
      </c>
      <c r="U78" s="226">
        <f t="shared" si="23"/>
        <v>43356</v>
      </c>
      <c r="V78" s="221">
        <f t="shared" si="24"/>
        <v>0.58333333333333304</v>
      </c>
      <c r="W78" s="229"/>
      <c r="X78" s="229"/>
      <c r="Y78" s="229"/>
      <c r="Z78" s="229"/>
      <c r="AA78" s="82"/>
      <c r="AB78" s="82" t="e">
        <f>AA78*(1-$AL$3)*#REF!*$AL$4*(E78-D78)*24</f>
        <v>#REF!</v>
      </c>
      <c r="AC78" s="231">
        <f t="shared" si="25"/>
        <v>0</v>
      </c>
      <c r="AD78" s="231">
        <f t="shared" si="26"/>
        <v>0</v>
      </c>
      <c r="AE78" s="231">
        <f t="shared" si="27"/>
        <v>0</v>
      </c>
      <c r="AF78" s="82" t="e">
        <f>IF(OR($V78=#REF!,$V78=$AH$4),($AA77-$AA78)*(1-$AL$3)*(E78-D78)*24*#REF!*$AL$4,0)</f>
        <v>#REF!</v>
      </c>
    </row>
    <row r="79" spans="1:32" ht="14.25">
      <c r="A79" s="226">
        <f t="shared" si="11"/>
        <v>43356</v>
      </c>
      <c r="B79" s="221">
        <v>0.70833333333333304</v>
      </c>
      <c r="C79" s="222" t="s">
        <v>41</v>
      </c>
      <c r="D79" s="223">
        <f t="shared" si="17"/>
        <v>43356.708333333336</v>
      </c>
      <c r="E79" s="223">
        <f t="shared" si="18"/>
        <v>43356.791666666664</v>
      </c>
      <c r="F79" s="224">
        <f>SUMPRODUCT(('6烧主抽电耗'!$A$3:$A$96=$A79)*('6烧主抽电耗'!$D$3:$D$96=$C79),'6烧主抽电耗'!$E$3:$E$96)</f>
        <v>2</v>
      </c>
      <c r="G79" s="223" t="str">
        <f t="shared" si="19"/>
        <v>乙班</v>
      </c>
      <c r="H79" s="225">
        <v>44069272</v>
      </c>
      <c r="I79" s="225">
        <v>35475513</v>
      </c>
      <c r="J79" s="225" t="str">
        <f>IF(_cuofeng5_month_day!A77="","",_cuofeng5_month_day!A77)</f>
        <v/>
      </c>
      <c r="K79" s="225" t="str">
        <f>IF(_cuofeng5_month_day!B77="","",_cuofeng5_month_day!B77)</f>
        <v/>
      </c>
      <c r="L79" s="224">
        <f>IFERROR(SUMPRODUCT((_5shaozhuchou_month_day!$A$3:$A$900&gt;=D79)*(_5shaozhuchou_month_day!$A$3:$A$900&lt;E79),_5shaozhuchou_month_day!$Y$3:$Y$900)/SUMPRODUCT((_5shaozhuchou_month_day!$A$3:$A$900&gt;=D79)*(_5shaozhuchou_month_day!$A$3:$A$900&lt;E79)),0)</f>
        <v>0</v>
      </c>
      <c r="M79" s="224" t="e">
        <f>L79*(1-$AL$3)*#REF!*$AL$4*(E79-D79)*24</f>
        <v>#REF!</v>
      </c>
      <c r="N79" s="231">
        <f t="shared" si="20"/>
        <v>0</v>
      </c>
      <c r="O79" s="231">
        <f t="shared" si="21"/>
        <v>19206</v>
      </c>
      <c r="P79" s="231">
        <f t="shared" si="22"/>
        <v>0</v>
      </c>
      <c r="Q79" s="82" t="e">
        <f>IF(OR($B79=#REF!,$B78=$AH$4),($L78-$L79)*(1-$AL$3)*(E79-D79)*24*#REF!*$AL$4,0)</f>
        <v>#REF!</v>
      </c>
      <c r="U79" s="226">
        <f t="shared" si="23"/>
        <v>43356</v>
      </c>
      <c r="V79" s="221">
        <f t="shared" si="24"/>
        <v>0.70833333333333304</v>
      </c>
      <c r="W79" s="229"/>
      <c r="X79" s="229"/>
      <c r="Y79" s="229"/>
      <c r="Z79" s="229"/>
      <c r="AA79" s="82"/>
      <c r="AB79" s="82" t="e">
        <f>AA79*(1-$AL$3)*#REF!*$AL$4*(E79-D79)*24</f>
        <v>#REF!</v>
      </c>
      <c r="AC79" s="231">
        <f t="shared" si="25"/>
        <v>0</v>
      </c>
      <c r="AD79" s="231">
        <f t="shared" si="26"/>
        <v>0</v>
      </c>
      <c r="AE79" s="231">
        <f t="shared" si="27"/>
        <v>0</v>
      </c>
      <c r="AF79" s="82" t="e">
        <f>IF(OR($V79=#REF!,$V79=$AH$4),($AA78-$AA79)*(1-$AL$3)*(E79-D79)*24*#REF!*$AL$4,0)</f>
        <v>#REF!</v>
      </c>
    </row>
    <row r="80" spans="1:32" ht="14.25">
      <c r="A80" s="226">
        <f t="shared" si="11"/>
        <v>43356</v>
      </c>
      <c r="B80" s="221">
        <v>0.79166666666666696</v>
      </c>
      <c r="C80" s="222" t="s">
        <v>41</v>
      </c>
      <c r="D80" s="223">
        <f t="shared" si="17"/>
        <v>43356.791666666664</v>
      </c>
      <c r="E80" s="223">
        <f t="shared" si="18"/>
        <v>43356.916666666664</v>
      </c>
      <c r="F80" s="224">
        <f>SUMPRODUCT(('6烧主抽电耗'!$A$3:$A$96=$A80)*('6烧主抽电耗'!$D$3:$D$96=$C80),'6烧主抽电耗'!$E$3:$E$96)</f>
        <v>2</v>
      </c>
      <c r="G80" s="223" t="str">
        <f t="shared" si="19"/>
        <v>乙班</v>
      </c>
      <c r="H80" s="225">
        <v>44072747</v>
      </c>
      <c r="I80" s="225">
        <v>35478440</v>
      </c>
      <c r="J80" s="225" t="str">
        <f>IF(_cuofeng5_month_day!A78="","",_cuofeng5_month_day!A78)</f>
        <v/>
      </c>
      <c r="K80" s="225" t="str">
        <f>IF(_cuofeng5_month_day!B78="","",_cuofeng5_month_day!B78)</f>
        <v/>
      </c>
      <c r="L80" s="224">
        <f>IFERROR(SUMPRODUCT((_5shaozhuchou_month_day!$A$3:$A$900&gt;=D80)*(_5shaozhuchou_month_day!$A$3:$A$900&lt;E80),_5shaozhuchou_month_day!$Y$3:$Y$900)/SUMPRODUCT((_5shaozhuchou_month_day!$A$3:$A$900&gt;=D80)*(_5shaozhuchou_month_day!$A$3:$A$900&lt;E80)),0)</f>
        <v>0</v>
      </c>
      <c r="M80" s="224" t="e">
        <f>L80*(1-$AL$3)*#REF!*$AL$4*(E80-D80)*24</f>
        <v>#REF!</v>
      </c>
      <c r="N80" s="231">
        <f t="shared" si="20"/>
        <v>28803</v>
      </c>
      <c r="O80" s="231">
        <f t="shared" si="21"/>
        <v>0</v>
      </c>
      <c r="P80" s="231">
        <f t="shared" si="22"/>
        <v>0</v>
      </c>
      <c r="Q80" s="82" t="e">
        <f>IF(OR($B80=#REF!,$B79=$AH$4),($L79-$L80)*(1-$AL$3)*(E80-D80)*24*#REF!*$AL$4,0)</f>
        <v>#REF!</v>
      </c>
      <c r="U80" s="226">
        <f t="shared" si="23"/>
        <v>43356</v>
      </c>
      <c r="V80" s="221">
        <f t="shared" si="24"/>
        <v>0.79166666666666696</v>
      </c>
      <c r="W80" s="229"/>
      <c r="X80" s="229"/>
      <c r="Y80" s="229"/>
      <c r="Z80" s="229"/>
      <c r="AA80" s="82"/>
      <c r="AB80" s="82" t="e">
        <f>AA80*(1-$AL$3)*#REF!*$AL$4*(E80-D80)*24</f>
        <v>#REF!</v>
      </c>
      <c r="AC80" s="231">
        <f t="shared" si="25"/>
        <v>0</v>
      </c>
      <c r="AD80" s="231">
        <f t="shared" si="26"/>
        <v>0</v>
      </c>
      <c r="AE80" s="231">
        <f t="shared" si="27"/>
        <v>0</v>
      </c>
      <c r="AF80" s="82" t="e">
        <f>IF(OR($V80=#REF!,$V80=$AH$4),($AA79-$AA80)*(1-$AL$3)*(E80-D80)*24*#REF!*$AL$4,0)</f>
        <v>#REF!</v>
      </c>
    </row>
    <row r="81" spans="1:32" ht="14.25">
      <c r="A81" s="228">
        <f t="shared" ref="A81:A144" si="28">A80</f>
        <v>43356</v>
      </c>
      <c r="B81" s="221">
        <v>0.91666666666666696</v>
      </c>
      <c r="C81" s="222" t="s">
        <v>41</v>
      </c>
      <c r="D81" s="223">
        <f t="shared" si="17"/>
        <v>43356.916666666664</v>
      </c>
      <c r="E81" s="223">
        <f t="shared" si="18"/>
        <v>43357</v>
      </c>
      <c r="F81" s="224">
        <f>SUMPRODUCT(('6烧主抽电耗'!$A$3:$A$96=$A81)*('6烧主抽电耗'!$D$3:$D$96=$C81),'6烧主抽电耗'!$E$3:$E$96)</f>
        <v>2</v>
      </c>
      <c r="G81" s="223" t="str">
        <f t="shared" si="19"/>
        <v>乙班</v>
      </c>
      <c r="H81" s="225">
        <v>44077958</v>
      </c>
      <c r="I81" s="225">
        <v>35482830</v>
      </c>
      <c r="J81" s="225" t="str">
        <f>IF(_cuofeng5_month_day!A79="","",_cuofeng5_month_day!A79)</f>
        <v/>
      </c>
      <c r="K81" s="225" t="str">
        <f>IF(_cuofeng5_month_day!B79="","",_cuofeng5_month_day!B79)</f>
        <v/>
      </c>
      <c r="L81" s="224">
        <f>IFERROR(SUMPRODUCT((_5shaozhuchou_month_day!$A$3:$A$900&gt;=D81)*(_5shaozhuchou_month_day!$A$3:$A$900&lt;E81),_5shaozhuchou_month_day!$Y$3:$Y$900)/SUMPRODUCT((_5shaozhuchou_month_day!$A$3:$A$900&gt;=D81)*(_5shaozhuchou_month_day!$A$3:$A$900&lt;E81)),0)</f>
        <v>0</v>
      </c>
      <c r="M81" s="224" t="e">
        <f>L81*(1-$AL$3)*#REF!*$AL$4*(E81-D81)*24</f>
        <v>#REF!</v>
      </c>
      <c r="N81" s="231">
        <f t="shared" si="20"/>
        <v>0</v>
      </c>
      <c r="O81" s="231">
        <f t="shared" si="21"/>
        <v>20661</v>
      </c>
      <c r="P81" s="231">
        <f t="shared" si="22"/>
        <v>0</v>
      </c>
      <c r="Q81" s="82" t="e">
        <f>IF(OR($B81=#REF!,$B80=$AH$4),($L80-$L81)*(1-$AL$3)*(E81-D81)*24*#REF!*$AL$4,0)</f>
        <v>#REF!</v>
      </c>
      <c r="U81" s="228">
        <f t="shared" si="23"/>
        <v>43356</v>
      </c>
      <c r="V81" s="221">
        <f t="shared" si="24"/>
        <v>0.91666666666666696</v>
      </c>
      <c r="W81" s="229"/>
      <c r="X81" s="229"/>
      <c r="Y81" s="229"/>
      <c r="Z81" s="229"/>
      <c r="AA81" s="82"/>
      <c r="AB81" s="82" t="e">
        <f>AA81*(1-$AL$3)*#REF!*$AL$4*(E81-D81)*24</f>
        <v>#REF!</v>
      </c>
      <c r="AC81" s="231">
        <f t="shared" si="25"/>
        <v>0</v>
      </c>
      <c r="AD81" s="231">
        <f t="shared" si="26"/>
        <v>0</v>
      </c>
      <c r="AE81" s="231">
        <f t="shared" si="27"/>
        <v>0</v>
      </c>
      <c r="AF81" s="82" t="e">
        <f>IF(OR($V81=#REF!,$V81=$AH$4),($AA80-$AA81)*(1-$AL$3)*(E81-D81)*24*#REF!*$AL$4,0)</f>
        <v>#REF!</v>
      </c>
    </row>
    <row r="82" spans="1:32" ht="14.25">
      <c r="A82" s="220">
        <f>A76+1</f>
        <v>43357</v>
      </c>
      <c r="B82" s="221">
        <v>0</v>
      </c>
      <c r="C82" s="222" t="s">
        <v>37</v>
      </c>
      <c r="D82" s="223">
        <f t="shared" si="17"/>
        <v>43357</v>
      </c>
      <c r="E82" s="223">
        <f t="shared" si="18"/>
        <v>43357.333333333336</v>
      </c>
      <c r="F82" s="224">
        <f>SUMPRODUCT(('6烧主抽电耗'!$A$3:$A$96=$A82)*('6烧主抽电耗'!$D$3:$D$96=$C82),'6烧主抽电耗'!$E$3:$E$96)</f>
        <v>3</v>
      </c>
      <c r="G82" s="223" t="str">
        <f t="shared" si="19"/>
        <v>丙班</v>
      </c>
      <c r="H82" s="225">
        <v>44081678</v>
      </c>
      <c r="I82" s="225">
        <v>35485997</v>
      </c>
      <c r="J82" s="225" t="str">
        <f>IF(_cuofeng5_month_day!A80="","",_cuofeng5_month_day!A80)</f>
        <v/>
      </c>
      <c r="K82" s="225" t="str">
        <f>IF(_cuofeng5_month_day!B80="","",_cuofeng5_month_day!B80)</f>
        <v/>
      </c>
      <c r="L82" s="224">
        <f>IFERROR(SUMPRODUCT((_5shaozhuchou_month_day!$A$3:$A$900&gt;=D82)*(_5shaozhuchou_month_day!$A$3:$A$900&lt;E82),_5shaozhuchou_month_day!$Y$3:$Y$900)/SUMPRODUCT((_5shaozhuchou_month_day!$A$3:$A$900&gt;=D82)*(_5shaozhuchou_month_day!$A$3:$A$900&lt;E82)),0)</f>
        <v>0</v>
      </c>
      <c r="M82" s="224" t="e">
        <f>L82*(1-$AL$3)*#REF!*$AL$4*(E82-D82)*24</f>
        <v>#REF!</v>
      </c>
      <c r="N82" s="231">
        <f t="shared" si="20"/>
        <v>0</v>
      </c>
      <c r="O82" s="231">
        <f t="shared" si="21"/>
        <v>0</v>
      </c>
      <c r="P82" s="231">
        <f t="shared" si="22"/>
        <v>74490</v>
      </c>
      <c r="Q82" s="82" t="e">
        <f>IF(OR($B82=#REF!,$B81=$AH$4),($L81-$L82)*(1-$AL$3)*(E82-D82)*24*#REF!*$AL$4,0)</f>
        <v>#REF!</v>
      </c>
      <c r="U82" s="220">
        <f t="shared" si="23"/>
        <v>43357</v>
      </c>
      <c r="V82" s="221">
        <f t="shared" si="24"/>
        <v>0</v>
      </c>
      <c r="W82" s="229"/>
      <c r="X82" s="229"/>
      <c r="Y82" s="229"/>
      <c r="Z82" s="229"/>
      <c r="AA82" s="82"/>
      <c r="AB82" s="82" t="e">
        <f>AA82*(1-$AL$3)*#REF!*$AL$4*(E82-D82)*24</f>
        <v>#REF!</v>
      </c>
      <c r="AC82" s="231">
        <f t="shared" si="25"/>
        <v>0</v>
      </c>
      <c r="AD82" s="231">
        <f t="shared" si="26"/>
        <v>0</v>
      </c>
      <c r="AE82" s="231">
        <f t="shared" si="27"/>
        <v>0</v>
      </c>
      <c r="AF82" s="82" t="e">
        <f>IF(OR($V82=#REF!,$V82=$AH$4),($AA81-$AA82)*(1-$AL$3)*(E82-D82)*24*#REF!*$AL$4,0)</f>
        <v>#REF!</v>
      </c>
    </row>
    <row r="83" spans="1:32" ht="14.25">
      <c r="A83" s="226">
        <f>A82</f>
        <v>43357</v>
      </c>
      <c r="B83" s="221">
        <v>0.33333333333333298</v>
      </c>
      <c r="C83" s="222" t="s">
        <v>37</v>
      </c>
      <c r="D83" s="223">
        <f t="shared" si="17"/>
        <v>43357.333333333336</v>
      </c>
      <c r="E83" s="223">
        <f t="shared" si="18"/>
        <v>43357.583333333336</v>
      </c>
      <c r="F83" s="224">
        <f>SUMPRODUCT(('6烧主抽电耗'!$A$3:$A$96=$A83)*('6烧主抽电耗'!$D$3:$D$96=$C83),'6烧主抽电耗'!$E$3:$E$96)</f>
        <v>3</v>
      </c>
      <c r="G83" s="223" t="str">
        <f t="shared" si="19"/>
        <v>丙班</v>
      </c>
      <c r="H83" s="225">
        <v>44095199</v>
      </c>
      <c r="I83" s="225">
        <v>35497306</v>
      </c>
      <c r="J83" s="225" t="str">
        <f>IF(_cuofeng5_month_day!A81="","",_cuofeng5_month_day!A81)</f>
        <v/>
      </c>
      <c r="K83" s="225" t="str">
        <f>IF(_cuofeng5_month_day!B81="","",_cuofeng5_month_day!B81)</f>
        <v/>
      </c>
      <c r="L83" s="224">
        <f>IFERROR(SUMPRODUCT((_5shaozhuchou_month_day!$A$3:$A$900&gt;=D83)*(_5shaozhuchou_month_day!$A$3:$A$900&lt;E83),_5shaozhuchou_month_day!$Y$3:$Y$900)/SUMPRODUCT((_5shaozhuchou_month_day!$A$3:$A$900&gt;=D83)*(_5shaozhuchou_month_day!$A$3:$A$900&lt;E83)),0)</f>
        <v>0</v>
      </c>
      <c r="M83" s="224" t="e">
        <f>L83*(1-$AL$3)*#REF!*$AL$4*(E83-D83)*24</f>
        <v>#REF!</v>
      </c>
      <c r="N83" s="231">
        <f t="shared" si="20"/>
        <v>0</v>
      </c>
      <c r="O83" s="231">
        <f t="shared" si="21"/>
        <v>-238777515</v>
      </c>
      <c r="P83" s="231">
        <f t="shared" si="22"/>
        <v>0</v>
      </c>
      <c r="Q83" s="82" t="e">
        <f>IF(OR($B83=#REF!,$B82=$AH$4),($L82-$L83)*(1-$AL$3)*(E83-D83)*24*#REF!*$AL$4,0)</f>
        <v>#REF!</v>
      </c>
      <c r="U83" s="226">
        <f t="shared" si="23"/>
        <v>43357</v>
      </c>
      <c r="V83" s="221">
        <f t="shared" si="24"/>
        <v>0.33333333333333298</v>
      </c>
      <c r="W83" s="237"/>
      <c r="X83" s="225"/>
      <c r="Y83" s="229"/>
      <c r="Z83" s="229"/>
      <c r="AA83" s="82"/>
      <c r="AB83" s="82" t="e">
        <f>AA83*(1-$AL$3)*#REF!*$AL$4*(E83-D83)*24</f>
        <v>#REF!</v>
      </c>
      <c r="AC83" s="231">
        <f t="shared" si="25"/>
        <v>0</v>
      </c>
      <c r="AD83" s="231">
        <f t="shared" si="26"/>
        <v>0</v>
      </c>
      <c r="AE83" s="231">
        <f t="shared" si="27"/>
        <v>0</v>
      </c>
      <c r="AF83" s="82" t="e">
        <f>IF(OR($V83=#REF!,$V83=$AH$4),($AA82-$AA83)*(1-$AL$3)*(E83-D83)*24*#REF!*$AL$4,0)</f>
        <v>#REF!</v>
      </c>
    </row>
    <row r="84" spans="1:32" ht="14.25">
      <c r="A84" s="226">
        <f t="shared" si="28"/>
        <v>43357</v>
      </c>
      <c r="B84" s="221">
        <v>0.58333333333333304</v>
      </c>
      <c r="C84" s="222" t="s">
        <v>39</v>
      </c>
      <c r="D84" s="223">
        <f t="shared" si="17"/>
        <v>43357.583333333336</v>
      </c>
      <c r="E84" s="223">
        <f t="shared" si="18"/>
        <v>43357.708333333336</v>
      </c>
      <c r="F84" s="224">
        <f>SUMPRODUCT(('6烧主抽电耗'!$A$3:$A$96=$A84)*('6烧主抽电耗'!$D$3:$D$96=$C84),'6烧主抽电耗'!$E$3:$E$96)</f>
        <v>4</v>
      </c>
      <c r="G84" s="223" t="str">
        <f t="shared" si="19"/>
        <v>丁班</v>
      </c>
      <c r="H84" s="225"/>
      <c r="I84" s="225"/>
      <c r="J84" s="225" t="str">
        <f>IF(_cuofeng5_month_day!A82="","",_cuofeng5_month_day!A82)</f>
        <v/>
      </c>
      <c r="K84" s="225" t="str">
        <f>IF(_cuofeng5_month_day!B82="","",_cuofeng5_month_day!B82)</f>
        <v/>
      </c>
      <c r="L84" s="224">
        <f>IFERROR(SUMPRODUCT((_5shaozhuchou_month_day!$A$3:$A$900&gt;=D84)*(_5shaozhuchou_month_day!$A$3:$A$900&lt;E84),_5shaozhuchou_month_day!$Y$3:$Y$900)/SUMPRODUCT((_5shaozhuchou_month_day!$A$3:$A$900&gt;=D84)*(_5shaozhuchou_month_day!$A$3:$A$900&lt;E84)),0)</f>
        <v>0</v>
      </c>
      <c r="M84" s="224" t="e">
        <f>L84*(1-$AL$3)*#REF!*$AL$4*(E84-D84)*24</f>
        <v>#REF!</v>
      </c>
      <c r="N84" s="231">
        <f t="shared" si="20"/>
        <v>0</v>
      </c>
      <c r="O84" s="231">
        <f t="shared" si="21"/>
        <v>0</v>
      </c>
      <c r="P84" s="231">
        <f t="shared" si="22"/>
        <v>0</v>
      </c>
      <c r="Q84" s="82" t="e">
        <f>IF(OR($B84=#REF!,$B83=$AH$4),($L83-$L84)*(1-$AL$3)*(E84-D84)*24*#REF!*$AL$4,0)</f>
        <v>#REF!</v>
      </c>
      <c r="U84" s="226">
        <f t="shared" si="23"/>
        <v>43357</v>
      </c>
      <c r="V84" s="221">
        <f t="shared" si="24"/>
        <v>0.58333333333333304</v>
      </c>
      <c r="W84" s="229"/>
      <c r="X84" s="229"/>
      <c r="Y84" s="229"/>
      <c r="Z84" s="229"/>
      <c r="AA84" s="82"/>
      <c r="AB84" s="82" t="e">
        <f>AA84*(1-$AL$3)*#REF!*$AL$4*(E84-D84)*24</f>
        <v>#REF!</v>
      </c>
      <c r="AC84" s="231">
        <f t="shared" si="25"/>
        <v>0</v>
      </c>
      <c r="AD84" s="231">
        <f t="shared" si="26"/>
        <v>0</v>
      </c>
      <c r="AE84" s="231">
        <f t="shared" si="27"/>
        <v>0</v>
      </c>
      <c r="AF84" s="82" t="e">
        <f>IF(OR($V84=#REF!,$V84=$AH$4),($AA83-$AA84)*(1-$AL$3)*(E84-D84)*24*#REF!*$AL$4,0)</f>
        <v>#REF!</v>
      </c>
    </row>
    <row r="85" spans="1:32" ht="14.25">
      <c r="A85" s="226">
        <f t="shared" si="28"/>
        <v>43357</v>
      </c>
      <c r="B85" s="221">
        <v>0.70833333333333304</v>
      </c>
      <c r="C85" s="222" t="s">
        <v>41</v>
      </c>
      <c r="D85" s="223">
        <f t="shared" si="17"/>
        <v>43357.708333333336</v>
      </c>
      <c r="E85" s="223">
        <f t="shared" si="18"/>
        <v>43357.791666666664</v>
      </c>
      <c r="F85" s="224">
        <f>SUMPRODUCT(('6烧主抽电耗'!$A$3:$A$96=$A85)*('6烧主抽电耗'!$D$3:$D$96=$C85),'6烧主抽电耗'!$E$3:$E$96)</f>
        <v>1</v>
      </c>
      <c r="G85" s="223" t="str">
        <f t="shared" si="19"/>
        <v>甲班</v>
      </c>
      <c r="H85" s="225"/>
      <c r="I85" s="225"/>
      <c r="J85" s="225" t="str">
        <f>IF(_cuofeng5_month_day!A83="","",_cuofeng5_month_day!A83)</f>
        <v/>
      </c>
      <c r="K85" s="225" t="str">
        <f>IF(_cuofeng5_month_day!B83="","",_cuofeng5_month_day!B83)</f>
        <v/>
      </c>
      <c r="L85" s="224">
        <f>IFERROR(SUMPRODUCT((_5shaozhuchou_month_day!$A$3:$A$900&gt;=D85)*(_5shaozhuchou_month_day!$A$3:$A$900&lt;E85),_5shaozhuchou_month_day!$Y$3:$Y$900)/SUMPRODUCT((_5shaozhuchou_month_day!$A$3:$A$900&gt;=D85)*(_5shaozhuchou_month_day!$A$3:$A$900&lt;E85)),0)</f>
        <v>0</v>
      </c>
      <c r="M85" s="224" t="e">
        <f>L85*(1-$AL$3)*#REF!*$AL$4*(E85-D85)*24</f>
        <v>#REF!</v>
      </c>
      <c r="N85" s="231">
        <f t="shared" si="20"/>
        <v>0</v>
      </c>
      <c r="O85" s="231">
        <f t="shared" si="21"/>
        <v>0</v>
      </c>
      <c r="P85" s="231">
        <f t="shared" si="22"/>
        <v>0</v>
      </c>
      <c r="Q85" s="82" t="e">
        <f>IF(OR($B85=#REF!,$B84=$AH$4),($L84-$L85)*(1-$AL$3)*(E85-D85)*24*#REF!*$AL$4,0)</f>
        <v>#REF!</v>
      </c>
      <c r="U85" s="226">
        <f t="shared" si="23"/>
        <v>43357</v>
      </c>
      <c r="V85" s="221">
        <f t="shared" si="24"/>
        <v>0.70833333333333304</v>
      </c>
      <c r="W85" s="229"/>
      <c r="X85" s="229"/>
      <c r="Y85" s="229"/>
      <c r="Z85" s="229"/>
      <c r="AA85" s="82"/>
      <c r="AB85" s="82" t="e">
        <f>AA85*(1-$AL$3)*#REF!*$AL$4*(E85-D85)*24</f>
        <v>#REF!</v>
      </c>
      <c r="AC85" s="231">
        <f t="shared" si="25"/>
        <v>0</v>
      </c>
      <c r="AD85" s="231">
        <f t="shared" si="26"/>
        <v>0</v>
      </c>
      <c r="AE85" s="231">
        <f t="shared" si="27"/>
        <v>0</v>
      </c>
      <c r="AF85" s="82" t="e">
        <f>IF(OR($V85=#REF!,$V85=$AH$4),($AA84-$AA85)*(1-$AL$3)*(E85-D85)*24*#REF!*$AL$4,0)</f>
        <v>#REF!</v>
      </c>
    </row>
    <row r="86" spans="1:32" ht="14.25">
      <c r="A86" s="226">
        <f t="shared" si="28"/>
        <v>43357</v>
      </c>
      <c r="B86" s="221">
        <v>0.79166666666666696</v>
      </c>
      <c r="C86" s="222" t="s">
        <v>41</v>
      </c>
      <c r="D86" s="223">
        <f t="shared" si="17"/>
        <v>43357.791666666664</v>
      </c>
      <c r="E86" s="223">
        <f t="shared" si="18"/>
        <v>43357.916666666664</v>
      </c>
      <c r="F86" s="224">
        <f>SUMPRODUCT(('6烧主抽电耗'!$A$3:$A$96=$A86)*('6烧主抽电耗'!$D$3:$D$96=$C86),'6烧主抽电耗'!$E$3:$E$96)</f>
        <v>1</v>
      </c>
      <c r="G86" s="223" t="str">
        <f t="shared" si="19"/>
        <v>甲班</v>
      </c>
      <c r="H86" s="225"/>
      <c r="I86" s="225"/>
      <c r="J86" s="225" t="str">
        <f>IF(_cuofeng5_month_day!A84="","",_cuofeng5_month_day!A84)</f>
        <v/>
      </c>
      <c r="K86" s="225" t="str">
        <f>IF(_cuofeng5_month_day!B84="","",_cuofeng5_month_day!B84)</f>
        <v/>
      </c>
      <c r="L86" s="224">
        <f>IFERROR(SUMPRODUCT((_5shaozhuchou_month_day!$A$3:$A$900&gt;=D86)*(_5shaozhuchou_month_day!$A$3:$A$900&lt;E86),_5shaozhuchou_month_day!$Y$3:$Y$900)/SUMPRODUCT((_5shaozhuchou_month_day!$A$3:$A$900&gt;=D86)*(_5shaozhuchou_month_day!$A$3:$A$900&lt;E86)),0)</f>
        <v>0</v>
      </c>
      <c r="M86" s="224" t="e">
        <f>L86*(1-$AL$3)*#REF!*$AL$4*(E86-D86)*24</f>
        <v>#REF!</v>
      </c>
      <c r="N86" s="231">
        <f t="shared" si="20"/>
        <v>0</v>
      </c>
      <c r="O86" s="231">
        <f t="shared" si="21"/>
        <v>0</v>
      </c>
      <c r="P86" s="231">
        <f t="shared" si="22"/>
        <v>0</v>
      </c>
      <c r="Q86" s="82" t="e">
        <f>IF(OR($B86=#REF!,$B85=$AH$4),($L85-$L86)*(1-$AL$3)*(E86-D86)*24*#REF!*$AL$4,0)</f>
        <v>#REF!</v>
      </c>
      <c r="U86" s="226">
        <f t="shared" si="23"/>
        <v>43357</v>
      </c>
      <c r="V86" s="221">
        <f t="shared" si="24"/>
        <v>0.79166666666666696</v>
      </c>
      <c r="W86" s="229"/>
      <c r="X86" s="229"/>
      <c r="Y86" s="229"/>
      <c r="Z86" s="229"/>
      <c r="AA86" s="82"/>
      <c r="AB86" s="82" t="e">
        <f>AA86*(1-$AL$3)*#REF!*$AL$4*(E86-D86)*24</f>
        <v>#REF!</v>
      </c>
      <c r="AC86" s="231">
        <f t="shared" si="25"/>
        <v>0</v>
      </c>
      <c r="AD86" s="231">
        <f t="shared" si="26"/>
        <v>0</v>
      </c>
      <c r="AE86" s="231">
        <f t="shared" si="27"/>
        <v>0</v>
      </c>
      <c r="AF86" s="82" t="e">
        <f>IF(OR($V86=#REF!,$V86=$AH$4),($AA85-$AA86)*(1-$AL$3)*(E86-D86)*24*#REF!*$AL$4,0)</f>
        <v>#REF!</v>
      </c>
    </row>
    <row r="87" spans="1:32" ht="14.25">
      <c r="A87" s="228">
        <f t="shared" si="28"/>
        <v>43357</v>
      </c>
      <c r="B87" s="221">
        <v>0.91666666666666696</v>
      </c>
      <c r="C87" s="222" t="s">
        <v>41</v>
      </c>
      <c r="D87" s="223">
        <f t="shared" si="17"/>
        <v>43357.916666666664</v>
      </c>
      <c r="E87" s="223">
        <f t="shared" si="18"/>
        <v>43358</v>
      </c>
      <c r="F87" s="224">
        <f>SUMPRODUCT(('6烧主抽电耗'!$A$3:$A$96=$A87)*('6烧主抽电耗'!$D$3:$D$96=$C87),'6烧主抽电耗'!$E$3:$E$96)</f>
        <v>1</v>
      </c>
      <c r="G87" s="223" t="str">
        <f t="shared" si="19"/>
        <v>甲班</v>
      </c>
      <c r="H87" s="225"/>
      <c r="I87" s="225"/>
      <c r="J87" s="225" t="str">
        <f>IF(_cuofeng5_month_day!A85="","",_cuofeng5_month_day!A85)</f>
        <v/>
      </c>
      <c r="K87" s="225" t="str">
        <f>IF(_cuofeng5_month_day!B85="","",_cuofeng5_month_day!B85)</f>
        <v/>
      </c>
      <c r="L87" s="224">
        <f>IFERROR(SUMPRODUCT((_5shaozhuchou_month_day!$A$3:$A$900&gt;=D87)*(_5shaozhuchou_month_day!$A$3:$A$900&lt;E87),_5shaozhuchou_month_day!$Y$3:$Y$900)/SUMPRODUCT((_5shaozhuchou_month_day!$A$3:$A$900&gt;=D87)*(_5shaozhuchou_month_day!$A$3:$A$900&lt;E87)),0)</f>
        <v>0</v>
      </c>
      <c r="M87" s="224" t="e">
        <f>L87*(1-$AL$3)*#REF!*$AL$4*(E87-D87)*24</f>
        <v>#REF!</v>
      </c>
      <c r="N87" s="231">
        <f t="shared" si="20"/>
        <v>0</v>
      </c>
      <c r="O87" s="231">
        <f t="shared" si="21"/>
        <v>0</v>
      </c>
      <c r="P87" s="231">
        <f t="shared" si="22"/>
        <v>0</v>
      </c>
      <c r="Q87" s="82" t="e">
        <f>IF(OR($B87=#REF!,$B86=$AH$4),($L86-$L87)*(1-$AL$3)*(E87-D87)*24*#REF!*$AL$4,0)</f>
        <v>#REF!</v>
      </c>
      <c r="U87" s="228">
        <f t="shared" si="23"/>
        <v>43357</v>
      </c>
      <c r="V87" s="221">
        <f t="shared" si="24"/>
        <v>0.91666666666666696</v>
      </c>
      <c r="W87" s="229"/>
      <c r="X87" s="229"/>
      <c r="Y87" s="229"/>
      <c r="Z87" s="229"/>
      <c r="AA87" s="82"/>
      <c r="AB87" s="82" t="e">
        <f>AA87*(1-$AL$3)*#REF!*$AL$4*(E87-D87)*24</f>
        <v>#REF!</v>
      </c>
      <c r="AC87" s="231">
        <f t="shared" si="25"/>
        <v>0</v>
      </c>
      <c r="AD87" s="231">
        <f t="shared" si="26"/>
        <v>0</v>
      </c>
      <c r="AE87" s="231">
        <f t="shared" si="27"/>
        <v>0</v>
      </c>
      <c r="AF87" s="82" t="e">
        <f>IF(OR($V87=#REF!,$V87=$AH$4),($AA86-$AA87)*(1-$AL$3)*(E87-D87)*24*#REF!*$AL$4,0)</f>
        <v>#REF!</v>
      </c>
    </row>
    <row r="88" spans="1:32" ht="14.25">
      <c r="A88" s="220">
        <f>A82+1</f>
        <v>43358</v>
      </c>
      <c r="B88" s="221">
        <v>0</v>
      </c>
      <c r="C88" s="222" t="s">
        <v>37</v>
      </c>
      <c r="D88" s="223">
        <f t="shared" si="17"/>
        <v>43358</v>
      </c>
      <c r="E88" s="223">
        <f t="shared" si="18"/>
        <v>43358.333333333336</v>
      </c>
      <c r="F88" s="224">
        <f>SUMPRODUCT(('6烧主抽电耗'!$A$3:$A$96=$A88)*('6烧主抽电耗'!$D$3:$D$96=$C88),'6烧主抽电耗'!$E$3:$E$96)</f>
        <v>3</v>
      </c>
      <c r="G88" s="223" t="str">
        <f t="shared" si="19"/>
        <v>丙班</v>
      </c>
      <c r="H88" s="225"/>
      <c r="I88" s="225"/>
      <c r="J88" s="225" t="str">
        <f>IF(_cuofeng5_month_day!A86="","",_cuofeng5_month_day!A86)</f>
        <v/>
      </c>
      <c r="K88" s="225" t="str">
        <f>IF(_cuofeng5_month_day!B86="","",_cuofeng5_month_day!B86)</f>
        <v/>
      </c>
      <c r="L88" s="224">
        <f>IFERROR(SUMPRODUCT((_5shaozhuchou_month_day!$A$3:$A$900&gt;=D88)*(_5shaozhuchou_month_day!$A$3:$A$900&lt;E88),_5shaozhuchou_month_day!$Y$3:$Y$900)/SUMPRODUCT((_5shaozhuchou_month_day!$A$3:$A$900&gt;=D88)*(_5shaozhuchou_month_day!$A$3:$A$900&lt;E88)),0)</f>
        <v>0</v>
      </c>
      <c r="M88" s="224" t="e">
        <f>L88*(1-$AL$3)*#REF!*$AL$4*(E88-D88)*24</f>
        <v>#REF!</v>
      </c>
      <c r="N88" s="231">
        <f t="shared" si="20"/>
        <v>0</v>
      </c>
      <c r="O88" s="231">
        <f t="shared" si="21"/>
        <v>0</v>
      </c>
      <c r="P88" s="231">
        <f t="shared" si="22"/>
        <v>0</v>
      </c>
      <c r="Q88" s="82" t="e">
        <f>IF(OR($B88=#REF!,$B87=$AH$4),($L87-$L88)*(1-$AL$3)*(E88-D88)*24*#REF!*$AL$4,0)</f>
        <v>#REF!</v>
      </c>
      <c r="U88" s="220">
        <f t="shared" si="23"/>
        <v>43358</v>
      </c>
      <c r="V88" s="221">
        <f t="shared" si="24"/>
        <v>0</v>
      </c>
      <c r="W88" s="229"/>
      <c r="X88" s="229"/>
      <c r="Y88" s="229"/>
      <c r="Z88" s="229"/>
      <c r="AA88" s="82"/>
      <c r="AB88" s="82" t="e">
        <f>AA88*(1-$AL$3)*#REF!*$AL$4*(E88-D88)*24</f>
        <v>#REF!</v>
      </c>
      <c r="AC88" s="231">
        <f t="shared" si="25"/>
        <v>0</v>
      </c>
      <c r="AD88" s="231">
        <f t="shared" si="26"/>
        <v>0</v>
      </c>
      <c r="AE88" s="231">
        <f t="shared" si="27"/>
        <v>0</v>
      </c>
      <c r="AF88" s="82" t="e">
        <f>IF(OR($V88=#REF!,$V88=$AH$4),($AA87-$AA88)*(1-$AL$3)*(E88-D88)*24*#REF!*$AL$4,0)</f>
        <v>#REF!</v>
      </c>
    </row>
    <row r="89" spans="1:32" ht="14.25">
      <c r="A89" s="226">
        <f>A88</f>
        <v>43358</v>
      </c>
      <c r="B89" s="221">
        <v>0.33333333333333298</v>
      </c>
      <c r="C89" s="222" t="s">
        <v>37</v>
      </c>
      <c r="D89" s="223">
        <f t="shared" si="17"/>
        <v>43358.333333333336</v>
      </c>
      <c r="E89" s="223">
        <f t="shared" si="18"/>
        <v>43358.583333333336</v>
      </c>
      <c r="F89" s="224">
        <f>SUMPRODUCT(('6烧主抽电耗'!$A$3:$A$96=$A89)*('6烧主抽电耗'!$D$3:$D$96=$C89),'6烧主抽电耗'!$E$3:$E$96)</f>
        <v>3</v>
      </c>
      <c r="G89" s="223" t="str">
        <f t="shared" si="19"/>
        <v>丙班</v>
      </c>
      <c r="H89" s="225"/>
      <c r="I89" s="225"/>
      <c r="J89" s="225" t="str">
        <f>IF(_cuofeng5_month_day!A87="","",_cuofeng5_month_day!A87)</f>
        <v/>
      </c>
      <c r="K89" s="225" t="str">
        <f>IF(_cuofeng5_month_day!B87="","",_cuofeng5_month_day!B87)</f>
        <v/>
      </c>
      <c r="L89" s="224">
        <f>IFERROR(SUMPRODUCT((_5shaozhuchou_month_day!$A$3:$A$900&gt;=D89)*(_5shaozhuchou_month_day!$A$3:$A$900&lt;E89),_5shaozhuchou_month_day!$Y$3:$Y$900)/SUMPRODUCT((_5shaozhuchou_month_day!$A$3:$A$900&gt;=D89)*(_5shaozhuchou_month_day!$A$3:$A$900&lt;E89)),0)</f>
        <v>0</v>
      </c>
      <c r="M89" s="224" t="e">
        <f>L89*(1-$AL$3)*#REF!*$AL$4*(E89-D89)*24</f>
        <v>#REF!</v>
      </c>
      <c r="N89" s="231">
        <f t="shared" si="20"/>
        <v>0</v>
      </c>
      <c r="O89" s="231">
        <f t="shared" si="21"/>
        <v>0</v>
      </c>
      <c r="P89" s="231">
        <f t="shared" si="22"/>
        <v>0</v>
      </c>
      <c r="Q89" s="82" t="e">
        <f>IF(OR($B89=#REF!,$B88=$AH$4),($L88-$L89)*(1-$AL$3)*(E89-D89)*24*#REF!*$AL$4,0)</f>
        <v>#REF!</v>
      </c>
      <c r="U89" s="226">
        <f t="shared" si="23"/>
        <v>43358</v>
      </c>
      <c r="V89" s="221">
        <f t="shared" si="24"/>
        <v>0.33333333333333298</v>
      </c>
      <c r="W89" s="237"/>
      <c r="X89" s="225"/>
      <c r="Y89" s="225"/>
      <c r="Z89" s="225"/>
      <c r="AA89" s="82"/>
      <c r="AB89" s="82" t="e">
        <f>AA89*(1-$AL$3)*#REF!*$AL$4*(E89-D89)*24</f>
        <v>#REF!</v>
      </c>
      <c r="AC89" s="231">
        <f t="shared" si="25"/>
        <v>0</v>
      </c>
      <c r="AD89" s="231">
        <f t="shared" si="26"/>
        <v>0</v>
      </c>
      <c r="AE89" s="231">
        <f t="shared" si="27"/>
        <v>0</v>
      </c>
      <c r="AF89" s="82" t="e">
        <f>IF(OR($V89=#REF!,$V89=$AH$4),($AA88-$AA89)*(1-$AL$3)*(E89-D89)*24*#REF!*$AL$4,0)</f>
        <v>#REF!</v>
      </c>
    </row>
    <row r="90" spans="1:32" ht="14.25">
      <c r="A90" s="226">
        <f t="shared" si="28"/>
        <v>43358</v>
      </c>
      <c r="B90" s="221">
        <v>0.58333333333333304</v>
      </c>
      <c r="C90" s="222" t="s">
        <v>39</v>
      </c>
      <c r="D90" s="223">
        <f t="shared" si="17"/>
        <v>43358.583333333336</v>
      </c>
      <c r="E90" s="223">
        <f t="shared" si="18"/>
        <v>43358.708333333336</v>
      </c>
      <c r="F90" s="224">
        <f>SUMPRODUCT(('6烧主抽电耗'!$A$3:$A$96=$A90)*('6烧主抽电耗'!$D$3:$D$96=$C90),'6烧主抽电耗'!$E$3:$E$96)</f>
        <v>4</v>
      </c>
      <c r="G90" s="223" t="str">
        <f t="shared" si="19"/>
        <v>丁班</v>
      </c>
      <c r="H90" s="225"/>
      <c r="I90" s="225"/>
      <c r="J90" s="225" t="str">
        <f>IF(_cuofeng5_month_day!A88="","",_cuofeng5_month_day!A88)</f>
        <v/>
      </c>
      <c r="K90" s="225" t="str">
        <f>IF(_cuofeng5_month_day!B88="","",_cuofeng5_month_day!B88)</f>
        <v/>
      </c>
      <c r="L90" s="224">
        <f>IFERROR(SUMPRODUCT((_5shaozhuchou_month_day!$A$3:$A$900&gt;=D90)*(_5shaozhuchou_month_day!$A$3:$A$900&lt;E90),_5shaozhuchou_month_day!$Y$3:$Y$900)/SUMPRODUCT((_5shaozhuchou_month_day!$A$3:$A$900&gt;=D90)*(_5shaozhuchou_month_day!$A$3:$A$900&lt;E90)),0)</f>
        <v>0</v>
      </c>
      <c r="M90" s="224" t="e">
        <f>L90*(1-$AL$3)*#REF!*$AL$4*(E90-D90)*24</f>
        <v>#REF!</v>
      </c>
      <c r="N90" s="231">
        <f t="shared" si="20"/>
        <v>0</v>
      </c>
      <c r="O90" s="231">
        <f t="shared" si="21"/>
        <v>0</v>
      </c>
      <c r="P90" s="231">
        <f t="shared" si="22"/>
        <v>0</v>
      </c>
      <c r="Q90" s="82" t="e">
        <f>IF(OR($B90=#REF!,$B89=$AH$4),($L89-$L90)*(1-$AL$3)*(E90-D90)*24*#REF!*$AL$4,0)</f>
        <v>#REF!</v>
      </c>
      <c r="U90" s="226">
        <f t="shared" si="23"/>
        <v>43358</v>
      </c>
      <c r="V90" s="221">
        <f t="shared" si="24"/>
        <v>0.58333333333333304</v>
      </c>
      <c r="W90" s="229"/>
      <c r="X90" s="229"/>
      <c r="Y90" s="225"/>
      <c r="Z90" s="225"/>
      <c r="AA90" s="82"/>
      <c r="AB90" s="82" t="e">
        <f>AA90*(1-$AL$3)*#REF!*$AL$4*(E90-D90)*24</f>
        <v>#REF!</v>
      </c>
      <c r="AC90" s="231">
        <f t="shared" si="25"/>
        <v>0</v>
      </c>
      <c r="AD90" s="231">
        <f t="shared" si="26"/>
        <v>0</v>
      </c>
      <c r="AE90" s="231">
        <f t="shared" si="27"/>
        <v>0</v>
      </c>
      <c r="AF90" s="82" t="e">
        <f>IF(OR($V90=#REF!,$V90=$AH$4),($AA89-$AA90)*(1-$AL$3)*(E90-D90)*24*#REF!*$AL$4,0)</f>
        <v>#REF!</v>
      </c>
    </row>
    <row r="91" spans="1:32" ht="14.25">
      <c r="A91" s="226">
        <f t="shared" si="28"/>
        <v>43358</v>
      </c>
      <c r="B91" s="221">
        <v>0.70833333333333304</v>
      </c>
      <c r="C91" s="222" t="s">
        <v>41</v>
      </c>
      <c r="D91" s="223">
        <f t="shared" si="17"/>
        <v>43358.708333333336</v>
      </c>
      <c r="E91" s="223">
        <f t="shared" si="18"/>
        <v>43358.791666666664</v>
      </c>
      <c r="F91" s="224">
        <f>SUMPRODUCT(('6烧主抽电耗'!$A$3:$A$96=$A91)*('6烧主抽电耗'!$D$3:$D$96=$C91),'6烧主抽电耗'!$E$3:$E$96)</f>
        <v>1</v>
      </c>
      <c r="G91" s="223" t="str">
        <f t="shared" si="19"/>
        <v>甲班</v>
      </c>
      <c r="H91" s="225"/>
      <c r="I91" s="225"/>
      <c r="J91" s="225" t="str">
        <f>IF(_cuofeng5_month_day!A89="","",_cuofeng5_month_day!A89)</f>
        <v/>
      </c>
      <c r="K91" s="225" t="str">
        <f>IF(_cuofeng5_month_day!B89="","",_cuofeng5_month_day!B89)</f>
        <v/>
      </c>
      <c r="L91" s="224">
        <f>IFERROR(SUMPRODUCT((_5shaozhuchou_month_day!$A$3:$A$900&gt;=D91)*(_5shaozhuchou_month_day!$A$3:$A$900&lt;E91),_5shaozhuchou_month_day!$Y$3:$Y$900)/SUMPRODUCT((_5shaozhuchou_month_day!$A$3:$A$900&gt;=D91)*(_5shaozhuchou_month_day!$A$3:$A$900&lt;E91)),0)</f>
        <v>0</v>
      </c>
      <c r="M91" s="224" t="e">
        <f>L91*(1-$AL$3)*#REF!*$AL$4*(E91-D91)*24</f>
        <v>#REF!</v>
      </c>
      <c r="N91" s="231">
        <f t="shared" si="20"/>
        <v>0</v>
      </c>
      <c r="O91" s="231">
        <f t="shared" si="21"/>
        <v>0</v>
      </c>
      <c r="P91" s="231">
        <f t="shared" si="22"/>
        <v>0</v>
      </c>
      <c r="Q91" s="82" t="e">
        <f>IF(OR($B91=#REF!,$B90=$AH$4),($L90-$L91)*(1-$AL$3)*(E91-D91)*24*#REF!*$AL$4,0)</f>
        <v>#REF!</v>
      </c>
      <c r="U91" s="226">
        <f t="shared" si="23"/>
        <v>43358</v>
      </c>
      <c r="V91" s="221">
        <f t="shared" si="24"/>
        <v>0.70833333333333304</v>
      </c>
      <c r="W91" s="229"/>
      <c r="X91" s="229"/>
      <c r="Y91" s="225"/>
      <c r="Z91" s="225"/>
      <c r="AA91" s="82"/>
      <c r="AB91" s="82" t="e">
        <f>AA91*(1-$AL$3)*#REF!*$AL$4*(E91-D91)*24</f>
        <v>#REF!</v>
      </c>
      <c r="AC91" s="231">
        <f t="shared" si="25"/>
        <v>0</v>
      </c>
      <c r="AD91" s="231">
        <f t="shared" si="26"/>
        <v>0</v>
      </c>
      <c r="AE91" s="231">
        <f t="shared" si="27"/>
        <v>0</v>
      </c>
      <c r="AF91" s="82" t="e">
        <f>IF(OR($V91=#REF!,$V91=$AH$4),($AA90-$AA91)*(1-$AL$3)*(E91-D91)*24*#REF!*$AL$4,0)</f>
        <v>#REF!</v>
      </c>
    </row>
    <row r="92" spans="1:32" ht="14.25">
      <c r="A92" s="226">
        <f t="shared" si="28"/>
        <v>43358</v>
      </c>
      <c r="B92" s="221">
        <v>0.79166666666666696</v>
      </c>
      <c r="C92" s="222" t="s">
        <v>41</v>
      </c>
      <c r="D92" s="223">
        <f t="shared" si="17"/>
        <v>43358.791666666664</v>
      </c>
      <c r="E92" s="223">
        <f t="shared" si="18"/>
        <v>43358.916666666664</v>
      </c>
      <c r="F92" s="224">
        <f>SUMPRODUCT(('6烧主抽电耗'!$A$3:$A$96=$A92)*('6烧主抽电耗'!$D$3:$D$96=$C92),'6烧主抽电耗'!$E$3:$E$96)</f>
        <v>1</v>
      </c>
      <c r="G92" s="223" t="str">
        <f t="shared" si="19"/>
        <v>甲班</v>
      </c>
      <c r="H92" s="225"/>
      <c r="I92" s="225"/>
      <c r="J92" s="225" t="str">
        <f>IF(_cuofeng5_month_day!A90="","",_cuofeng5_month_day!A90)</f>
        <v/>
      </c>
      <c r="K92" s="225" t="str">
        <f>IF(_cuofeng5_month_day!B90="","",_cuofeng5_month_day!B90)</f>
        <v/>
      </c>
      <c r="L92" s="224">
        <f>IFERROR(SUMPRODUCT((_5shaozhuchou_month_day!$A$3:$A$900&gt;=D92)*(_5shaozhuchou_month_day!$A$3:$A$900&lt;E92),_5shaozhuchou_month_day!$Y$3:$Y$900)/SUMPRODUCT((_5shaozhuchou_month_day!$A$3:$A$900&gt;=D92)*(_5shaozhuchou_month_day!$A$3:$A$900&lt;E92)),0)</f>
        <v>0</v>
      </c>
      <c r="M92" s="224" t="e">
        <f>L92*(1-$AL$3)*#REF!*$AL$4*(E92-D92)*24</f>
        <v>#REF!</v>
      </c>
      <c r="N92" s="231">
        <f t="shared" si="20"/>
        <v>0</v>
      </c>
      <c r="O92" s="231">
        <f t="shared" si="21"/>
        <v>0</v>
      </c>
      <c r="P92" s="231">
        <f t="shared" si="22"/>
        <v>0</v>
      </c>
      <c r="Q92" s="82" t="e">
        <f>IF(OR($B92=#REF!,$B91=$AH$4),($L91-$L92)*(1-$AL$3)*(E92-D92)*24*#REF!*$AL$4,0)</f>
        <v>#REF!</v>
      </c>
      <c r="U92" s="226">
        <f t="shared" si="23"/>
        <v>43358</v>
      </c>
      <c r="V92" s="221">
        <f t="shared" si="24"/>
        <v>0.79166666666666696</v>
      </c>
      <c r="W92" s="229"/>
      <c r="X92" s="229"/>
      <c r="Y92" s="225"/>
      <c r="Z92" s="225"/>
      <c r="AA92" s="82"/>
      <c r="AB92" s="82" t="e">
        <f>AA92*(1-$AL$3)*#REF!*$AL$4*(E92-D92)*24</f>
        <v>#REF!</v>
      </c>
      <c r="AC92" s="231">
        <f t="shared" si="25"/>
        <v>0</v>
      </c>
      <c r="AD92" s="231">
        <f t="shared" si="26"/>
        <v>0</v>
      </c>
      <c r="AE92" s="231">
        <f t="shared" si="27"/>
        <v>0</v>
      </c>
      <c r="AF92" s="82" t="e">
        <f>IF(OR($V92=#REF!,$V92=$AH$4),($AA91-$AA92)*(1-$AL$3)*(E92-D92)*24*#REF!*$AL$4,0)</f>
        <v>#REF!</v>
      </c>
    </row>
    <row r="93" spans="1:32" ht="14.25">
      <c r="A93" s="228">
        <f t="shared" si="28"/>
        <v>43358</v>
      </c>
      <c r="B93" s="221">
        <v>0.91666666666666696</v>
      </c>
      <c r="C93" s="222" t="s">
        <v>41</v>
      </c>
      <c r="D93" s="223">
        <f t="shared" si="17"/>
        <v>43358.916666666664</v>
      </c>
      <c r="E93" s="223">
        <f t="shared" si="18"/>
        <v>43359</v>
      </c>
      <c r="F93" s="224">
        <f>SUMPRODUCT(('6烧主抽电耗'!$A$3:$A$96=$A93)*('6烧主抽电耗'!$D$3:$D$96=$C93),'6烧主抽电耗'!$E$3:$E$96)</f>
        <v>1</v>
      </c>
      <c r="G93" s="223" t="str">
        <f t="shared" si="19"/>
        <v>甲班</v>
      </c>
      <c r="H93" s="225"/>
      <c r="I93" s="225"/>
      <c r="J93" s="225" t="str">
        <f>IF(_cuofeng5_month_day!A91="","",_cuofeng5_month_day!A91)</f>
        <v/>
      </c>
      <c r="K93" s="225" t="str">
        <f>IF(_cuofeng5_month_day!B91="","",_cuofeng5_month_day!B91)</f>
        <v/>
      </c>
      <c r="L93" s="224">
        <f>IFERROR(SUMPRODUCT((_5shaozhuchou_month_day!$A$3:$A$900&gt;=D93)*(_5shaozhuchou_month_day!$A$3:$A$900&lt;E93),_5shaozhuchou_month_day!$Y$3:$Y$900)/SUMPRODUCT((_5shaozhuchou_month_day!$A$3:$A$900&gt;=D93)*(_5shaozhuchou_month_day!$A$3:$A$900&lt;E93)),0)</f>
        <v>0</v>
      </c>
      <c r="M93" s="224" t="e">
        <f>L93*(1-$AL$3)*#REF!*$AL$4*(E93-D93)*24</f>
        <v>#REF!</v>
      </c>
      <c r="N93" s="231">
        <f t="shared" si="20"/>
        <v>0</v>
      </c>
      <c r="O93" s="231">
        <f t="shared" si="21"/>
        <v>0</v>
      </c>
      <c r="P93" s="231">
        <f t="shared" si="22"/>
        <v>0</v>
      </c>
      <c r="Q93" s="82" t="e">
        <f>IF(OR($B93=#REF!,$B92=$AH$4),($L92-$L93)*(1-$AL$3)*(E93-D93)*24*#REF!*$AL$4,0)</f>
        <v>#REF!</v>
      </c>
      <c r="U93" s="228">
        <f t="shared" si="23"/>
        <v>43358</v>
      </c>
      <c r="V93" s="221">
        <f t="shared" si="24"/>
        <v>0.91666666666666696</v>
      </c>
      <c r="W93" s="229"/>
      <c r="X93" s="229"/>
      <c r="Y93" s="225"/>
      <c r="Z93" s="225"/>
      <c r="AA93" s="82"/>
      <c r="AB93" s="82" t="e">
        <f>AA93*(1-$AL$3)*#REF!*$AL$4*(E93-D93)*24</f>
        <v>#REF!</v>
      </c>
      <c r="AC93" s="231">
        <f t="shared" si="25"/>
        <v>0</v>
      </c>
      <c r="AD93" s="231">
        <f t="shared" si="26"/>
        <v>0</v>
      </c>
      <c r="AE93" s="231">
        <f t="shared" si="27"/>
        <v>0</v>
      </c>
      <c r="AF93" s="82" t="e">
        <f>IF(OR($V93=#REF!,$V93=$AH$4),($AA92-$AA93)*(1-$AL$3)*(E93-D93)*24*#REF!*$AL$4,0)</f>
        <v>#REF!</v>
      </c>
    </row>
    <row r="94" spans="1:32" ht="14.25">
      <c r="A94" s="220">
        <f>A88+1</f>
        <v>43359</v>
      </c>
      <c r="B94" s="221">
        <v>0</v>
      </c>
      <c r="C94" s="222" t="s">
        <v>37</v>
      </c>
      <c r="D94" s="223">
        <f t="shared" si="17"/>
        <v>43359</v>
      </c>
      <c r="E94" s="223">
        <f t="shared" si="18"/>
        <v>43359.333333333336</v>
      </c>
      <c r="F94" s="224">
        <f>SUMPRODUCT(('6烧主抽电耗'!$A$3:$A$96=$A94)*('6烧主抽电耗'!$D$3:$D$96=$C94),'6烧主抽电耗'!$E$3:$E$96)</f>
        <v>2</v>
      </c>
      <c r="G94" s="223" t="str">
        <f t="shared" si="19"/>
        <v>乙班</v>
      </c>
      <c r="H94" s="225"/>
      <c r="I94" s="225"/>
      <c r="J94" s="225" t="str">
        <f>IF(_cuofeng5_month_day!A92="","",_cuofeng5_month_day!A92)</f>
        <v/>
      </c>
      <c r="K94" s="225" t="str">
        <f>IF(_cuofeng5_month_day!B92="","",_cuofeng5_month_day!B92)</f>
        <v/>
      </c>
      <c r="L94" s="224">
        <f>IFERROR(SUMPRODUCT((_5shaozhuchou_month_day!$A$3:$A$900&gt;=D94)*(_5shaozhuchou_month_day!$A$3:$A$900&lt;E94),_5shaozhuchou_month_day!$Y$3:$Y$900)/SUMPRODUCT((_5shaozhuchou_month_day!$A$3:$A$900&gt;=D94)*(_5shaozhuchou_month_day!$A$3:$A$900&lt;E94)),0)</f>
        <v>0</v>
      </c>
      <c r="M94" s="224" t="e">
        <f>L94*(1-$AL$3)*#REF!*$AL$4*(E94-D94)*24</f>
        <v>#REF!</v>
      </c>
      <c r="N94" s="231">
        <f t="shared" si="20"/>
        <v>0</v>
      </c>
      <c r="O94" s="231">
        <f t="shared" si="21"/>
        <v>0</v>
      </c>
      <c r="P94" s="231">
        <f t="shared" si="22"/>
        <v>0</v>
      </c>
      <c r="Q94" s="82" t="e">
        <f>IF(OR($B94=#REF!,$B93=$AH$4),($L93-$L94)*(1-$AL$3)*(E94-D94)*24*#REF!*$AL$4,0)</f>
        <v>#REF!</v>
      </c>
      <c r="U94" s="220">
        <f t="shared" si="23"/>
        <v>43359</v>
      </c>
      <c r="V94" s="221">
        <f t="shared" si="24"/>
        <v>0</v>
      </c>
      <c r="W94" s="229"/>
      <c r="X94" s="229"/>
      <c r="Y94" s="229"/>
      <c r="Z94" s="229"/>
      <c r="AA94" s="82"/>
      <c r="AB94" s="82" t="e">
        <f>AA94*(1-$AL$3)*#REF!*$AL$4*(E94-D94)*24</f>
        <v>#REF!</v>
      </c>
      <c r="AC94" s="231">
        <f t="shared" si="25"/>
        <v>0</v>
      </c>
      <c r="AD94" s="231">
        <f t="shared" si="26"/>
        <v>0</v>
      </c>
      <c r="AE94" s="231">
        <f t="shared" si="27"/>
        <v>0</v>
      </c>
      <c r="AF94" s="82" t="e">
        <f>IF(OR($V94=#REF!,$V94=$AH$4),($AA93-$AA94)*(1-$AL$3)*(E94-D94)*24*#REF!*$AL$4,0)</f>
        <v>#REF!</v>
      </c>
    </row>
    <row r="95" spans="1:32" ht="14.25">
      <c r="A95" s="226">
        <f>A94</f>
        <v>43359</v>
      </c>
      <c r="B95" s="221">
        <v>0.33333333333333298</v>
      </c>
      <c r="C95" s="222" t="s">
        <v>37</v>
      </c>
      <c r="D95" s="223">
        <f t="shared" si="17"/>
        <v>43359.333333333336</v>
      </c>
      <c r="E95" s="223">
        <f t="shared" si="18"/>
        <v>43359.583333333336</v>
      </c>
      <c r="F95" s="224">
        <f>SUMPRODUCT(('6烧主抽电耗'!$A$3:$A$96=$A95)*('6烧主抽电耗'!$D$3:$D$96=$C95),'6烧主抽电耗'!$E$3:$E$96)</f>
        <v>2</v>
      </c>
      <c r="G95" s="223" t="str">
        <f t="shared" si="19"/>
        <v>乙班</v>
      </c>
      <c r="H95" s="225"/>
      <c r="I95" s="225"/>
      <c r="J95" s="225" t="str">
        <f>IF(_cuofeng5_month_day!A93="","",_cuofeng5_month_day!A93)</f>
        <v/>
      </c>
      <c r="K95" s="225" t="str">
        <f>IF(_cuofeng5_month_day!B93="","",_cuofeng5_month_day!B93)</f>
        <v/>
      </c>
      <c r="L95" s="224">
        <f>IFERROR(SUMPRODUCT((_5shaozhuchou_month_day!$A$3:$A$900&gt;=D95)*(_5shaozhuchou_month_day!$A$3:$A$900&lt;E95),_5shaozhuchou_month_day!$Y$3:$Y$900)/SUMPRODUCT((_5shaozhuchou_month_day!$A$3:$A$900&gt;=D95)*(_5shaozhuchou_month_day!$A$3:$A$900&lt;E95)),0)</f>
        <v>0</v>
      </c>
      <c r="M95" s="224" t="e">
        <f>L95*(1-$AL$3)*#REF!*$AL$4*(E95-D95)*24</f>
        <v>#REF!</v>
      </c>
      <c r="N95" s="231">
        <f t="shared" si="20"/>
        <v>0</v>
      </c>
      <c r="O95" s="231">
        <f t="shared" si="21"/>
        <v>0</v>
      </c>
      <c r="P95" s="231">
        <f t="shared" si="22"/>
        <v>0</v>
      </c>
      <c r="Q95" s="82" t="e">
        <f>IF(OR($B95=#REF!,$B94=$AH$4),($L94-$L95)*(1-$AL$3)*(E95-D95)*24*#REF!*$AL$4,0)</f>
        <v>#REF!</v>
      </c>
      <c r="U95" s="226">
        <f t="shared" si="23"/>
        <v>43359</v>
      </c>
      <c r="V95" s="221">
        <f t="shared" si="24"/>
        <v>0.33333333333333298</v>
      </c>
      <c r="W95" s="237"/>
      <c r="X95" s="225"/>
      <c r="Y95" s="229"/>
      <c r="Z95" s="229"/>
      <c r="AA95" s="82"/>
      <c r="AB95" s="82" t="e">
        <f>AA95*(1-$AL$3)*#REF!*$AL$4*(E95-D95)*24</f>
        <v>#REF!</v>
      </c>
      <c r="AC95" s="231">
        <f t="shared" si="25"/>
        <v>0</v>
      </c>
      <c r="AD95" s="231">
        <f t="shared" si="26"/>
        <v>0</v>
      </c>
      <c r="AE95" s="231">
        <f t="shared" si="27"/>
        <v>0</v>
      </c>
      <c r="AF95" s="82" t="e">
        <f>IF(OR($V95=#REF!,$V95=$AH$4),($AA94-$AA95)*(1-$AL$3)*(E95-D95)*24*#REF!*$AL$4,0)</f>
        <v>#REF!</v>
      </c>
    </row>
    <row r="96" spans="1:32" ht="14.25">
      <c r="A96" s="226">
        <f t="shared" si="28"/>
        <v>43359</v>
      </c>
      <c r="B96" s="221">
        <v>0.58333333333333304</v>
      </c>
      <c r="C96" s="222" t="s">
        <v>39</v>
      </c>
      <c r="D96" s="223">
        <f t="shared" si="17"/>
        <v>43359.583333333336</v>
      </c>
      <c r="E96" s="223">
        <f t="shared" si="18"/>
        <v>43359.708333333336</v>
      </c>
      <c r="F96" s="224">
        <f>SUMPRODUCT(('6烧主抽电耗'!$A$3:$A$96=$A96)*('6烧主抽电耗'!$D$3:$D$96=$C96),'6烧主抽电耗'!$E$3:$E$96)</f>
        <v>3</v>
      </c>
      <c r="G96" s="223" t="str">
        <f t="shared" si="19"/>
        <v>丙班</v>
      </c>
      <c r="H96" s="225"/>
      <c r="I96" s="225"/>
      <c r="J96" s="225" t="str">
        <f>IF(_cuofeng5_month_day!A94="","",_cuofeng5_month_day!A94)</f>
        <v/>
      </c>
      <c r="K96" s="225" t="str">
        <f>IF(_cuofeng5_month_day!B94="","",_cuofeng5_month_day!B94)</f>
        <v/>
      </c>
      <c r="L96" s="224">
        <f>IFERROR(SUMPRODUCT((_5shaozhuchou_month_day!$A$3:$A$900&gt;=D96)*(_5shaozhuchou_month_day!$A$3:$A$900&lt;E96),_5shaozhuchou_month_day!$Y$3:$Y$900)/SUMPRODUCT((_5shaozhuchou_month_day!$A$3:$A$900&gt;=D96)*(_5shaozhuchou_month_day!$A$3:$A$900&lt;E96)),0)</f>
        <v>0</v>
      </c>
      <c r="M96" s="224" t="e">
        <f>L96*(1-$AL$3)*#REF!*$AL$4*(E96-D96)*24</f>
        <v>#REF!</v>
      </c>
      <c r="N96" s="231">
        <f t="shared" si="20"/>
        <v>0</v>
      </c>
      <c r="O96" s="231">
        <f t="shared" si="21"/>
        <v>0</v>
      </c>
      <c r="P96" s="231">
        <f t="shared" si="22"/>
        <v>0</v>
      </c>
      <c r="Q96" s="82" t="e">
        <f>IF(OR($B96=#REF!,$B95=$AH$4),($L95-$L96)*(1-$AL$3)*(E96-D96)*24*#REF!*$AL$4,0)</f>
        <v>#REF!</v>
      </c>
      <c r="U96" s="226">
        <f t="shared" si="23"/>
        <v>43359</v>
      </c>
      <c r="V96" s="221">
        <f t="shared" si="24"/>
        <v>0.58333333333333304</v>
      </c>
      <c r="W96" s="229"/>
      <c r="X96" s="229"/>
      <c r="Y96" s="229"/>
      <c r="Z96" s="229"/>
      <c r="AA96" s="82"/>
      <c r="AB96" s="82" t="e">
        <f>AA96*(1-$AL$3)*#REF!*$AL$4*(E96-D96)*24</f>
        <v>#REF!</v>
      </c>
      <c r="AC96" s="231">
        <f t="shared" si="25"/>
        <v>0</v>
      </c>
      <c r="AD96" s="231">
        <f t="shared" si="26"/>
        <v>0</v>
      </c>
      <c r="AE96" s="231">
        <f t="shared" si="27"/>
        <v>0</v>
      </c>
      <c r="AF96" s="82" t="e">
        <f>IF(OR($V96=#REF!,$V96=$AH$4),($AA95-$AA96)*(1-$AL$3)*(E96-D96)*24*#REF!*$AL$4,0)</f>
        <v>#REF!</v>
      </c>
    </row>
    <row r="97" spans="1:32" ht="14.25">
      <c r="A97" s="226">
        <f t="shared" si="28"/>
        <v>43359</v>
      </c>
      <c r="B97" s="221">
        <v>0.70833333333333304</v>
      </c>
      <c r="C97" s="222" t="s">
        <v>41</v>
      </c>
      <c r="D97" s="223">
        <f t="shared" si="17"/>
        <v>43359.708333333336</v>
      </c>
      <c r="E97" s="223">
        <f t="shared" si="18"/>
        <v>43359.791666666664</v>
      </c>
      <c r="F97" s="224">
        <f>SUMPRODUCT(('6烧主抽电耗'!$A$3:$A$96=$A97)*('6烧主抽电耗'!$D$3:$D$96=$C97),'6烧主抽电耗'!$E$3:$E$96)</f>
        <v>4</v>
      </c>
      <c r="G97" s="223" t="str">
        <f t="shared" si="19"/>
        <v>丁班</v>
      </c>
      <c r="H97" s="225"/>
      <c r="I97" s="225"/>
      <c r="J97" s="225" t="str">
        <f>IF(_cuofeng5_month_day!A95="","",_cuofeng5_month_day!A95)</f>
        <v/>
      </c>
      <c r="K97" s="225" t="str">
        <f>IF(_cuofeng5_month_day!B95="","",_cuofeng5_month_day!B95)</f>
        <v/>
      </c>
      <c r="L97" s="224">
        <f>IFERROR(SUMPRODUCT((_5shaozhuchou_month_day!$A$3:$A$900&gt;=D97)*(_5shaozhuchou_month_day!$A$3:$A$900&lt;E97),_5shaozhuchou_month_day!$Y$3:$Y$900)/SUMPRODUCT((_5shaozhuchou_month_day!$A$3:$A$900&gt;=D97)*(_5shaozhuchou_month_day!$A$3:$A$900&lt;E97)),0)</f>
        <v>0</v>
      </c>
      <c r="M97" s="224" t="e">
        <f>L97*(1-$AL$3)*#REF!*$AL$4*(E97-D97)*24</f>
        <v>#REF!</v>
      </c>
      <c r="N97" s="231">
        <f t="shared" si="20"/>
        <v>0</v>
      </c>
      <c r="O97" s="231">
        <f t="shared" si="21"/>
        <v>0</v>
      </c>
      <c r="P97" s="231">
        <f t="shared" si="22"/>
        <v>0</v>
      </c>
      <c r="Q97" s="82" t="e">
        <f>IF(OR($B97=#REF!,$B96=$AH$4),($L96-$L97)*(1-$AL$3)*(E97-D97)*24*#REF!*$AL$4,0)</f>
        <v>#REF!</v>
      </c>
      <c r="U97" s="226">
        <f t="shared" si="23"/>
        <v>43359</v>
      </c>
      <c r="V97" s="221">
        <f t="shared" si="24"/>
        <v>0.70833333333333304</v>
      </c>
      <c r="W97" s="229"/>
      <c r="X97" s="229"/>
      <c r="Y97" s="229"/>
      <c r="Z97" s="229"/>
      <c r="AA97" s="82"/>
      <c r="AB97" s="82" t="e">
        <f>AA97*(1-$AL$3)*#REF!*$AL$4*(E97-D97)*24</f>
        <v>#REF!</v>
      </c>
      <c r="AC97" s="231">
        <f t="shared" si="25"/>
        <v>0</v>
      </c>
      <c r="AD97" s="231">
        <f t="shared" si="26"/>
        <v>0</v>
      </c>
      <c r="AE97" s="231">
        <f t="shared" si="27"/>
        <v>0</v>
      </c>
      <c r="AF97" s="82" t="e">
        <f>IF(OR($V97=#REF!,$V97=$AH$4),($AA96-$AA97)*(1-$AL$3)*(E97-D97)*24*#REF!*$AL$4,0)</f>
        <v>#REF!</v>
      </c>
    </row>
    <row r="98" spans="1:32" ht="14.25">
      <c r="A98" s="226">
        <f t="shared" si="28"/>
        <v>43359</v>
      </c>
      <c r="B98" s="221">
        <v>0.79166666666666696</v>
      </c>
      <c r="C98" s="222" t="s">
        <v>41</v>
      </c>
      <c r="D98" s="223">
        <f t="shared" si="17"/>
        <v>43359.791666666664</v>
      </c>
      <c r="E98" s="223">
        <f t="shared" si="18"/>
        <v>43359.916666666664</v>
      </c>
      <c r="F98" s="224">
        <f>SUMPRODUCT(('6烧主抽电耗'!$A$3:$A$96=$A98)*('6烧主抽电耗'!$D$3:$D$96=$C98),'6烧主抽电耗'!$E$3:$E$96)</f>
        <v>4</v>
      </c>
      <c r="G98" s="223" t="str">
        <f t="shared" si="19"/>
        <v>丁班</v>
      </c>
      <c r="H98" s="225"/>
      <c r="I98" s="225"/>
      <c r="J98" s="225" t="str">
        <f>IF(_cuofeng5_month_day!A96="","",_cuofeng5_month_day!A96)</f>
        <v/>
      </c>
      <c r="K98" s="225" t="str">
        <f>IF(_cuofeng5_month_day!B96="","",_cuofeng5_month_day!B96)</f>
        <v/>
      </c>
      <c r="L98" s="224">
        <f>IFERROR(SUMPRODUCT((_5shaozhuchou_month_day!$A$3:$A$900&gt;=D98)*(_5shaozhuchou_month_day!$A$3:$A$900&lt;E98),_5shaozhuchou_month_day!$Y$3:$Y$900)/SUMPRODUCT((_5shaozhuchou_month_day!$A$3:$A$900&gt;=D98)*(_5shaozhuchou_month_day!$A$3:$A$900&lt;E98)),0)</f>
        <v>0</v>
      </c>
      <c r="M98" s="224" t="e">
        <f>L98*(1-$AL$3)*#REF!*$AL$4*(E98-D98)*24</f>
        <v>#REF!</v>
      </c>
      <c r="N98" s="231">
        <f t="shared" si="20"/>
        <v>0</v>
      </c>
      <c r="O98" s="231">
        <f t="shared" si="21"/>
        <v>0</v>
      </c>
      <c r="P98" s="231">
        <f t="shared" si="22"/>
        <v>0</v>
      </c>
      <c r="Q98" s="82" t="e">
        <f>IF(OR($B98=#REF!,$B97=$AH$4),($L97-$L98)*(1-$AL$3)*(E98-D98)*24*#REF!*$AL$4,0)</f>
        <v>#REF!</v>
      </c>
      <c r="U98" s="226">
        <f t="shared" si="23"/>
        <v>43359</v>
      </c>
      <c r="V98" s="221">
        <f t="shared" si="24"/>
        <v>0.79166666666666696</v>
      </c>
      <c r="W98" s="229"/>
      <c r="X98" s="229"/>
      <c r="Y98" s="229"/>
      <c r="Z98" s="229"/>
      <c r="AA98" s="82"/>
      <c r="AB98" s="82" t="e">
        <f>AA98*(1-$AL$3)*#REF!*$AL$4*(E98-D98)*24</f>
        <v>#REF!</v>
      </c>
      <c r="AC98" s="231">
        <f t="shared" si="25"/>
        <v>0</v>
      </c>
      <c r="AD98" s="231">
        <f t="shared" si="26"/>
        <v>0</v>
      </c>
      <c r="AE98" s="231">
        <f t="shared" si="27"/>
        <v>0</v>
      </c>
      <c r="AF98" s="82" t="e">
        <f>IF(OR($V98=#REF!,$V98=$AH$4),($AA97-$AA98)*(1-$AL$3)*(E98-D98)*24*#REF!*$AL$4,0)</f>
        <v>#REF!</v>
      </c>
    </row>
    <row r="99" spans="1:32" ht="14.25">
      <c r="A99" s="228">
        <f t="shared" si="28"/>
        <v>43359</v>
      </c>
      <c r="B99" s="221">
        <v>0.91666666666666696</v>
      </c>
      <c r="C99" s="222" t="s">
        <v>41</v>
      </c>
      <c r="D99" s="223">
        <f t="shared" si="17"/>
        <v>43359.916666666664</v>
      </c>
      <c r="E99" s="223">
        <f t="shared" si="18"/>
        <v>43360</v>
      </c>
      <c r="F99" s="224">
        <f>SUMPRODUCT(('6烧主抽电耗'!$A$3:$A$96=$A99)*('6烧主抽电耗'!$D$3:$D$96=$C99),'6烧主抽电耗'!$E$3:$E$96)</f>
        <v>4</v>
      </c>
      <c r="G99" s="223" t="str">
        <f t="shared" si="19"/>
        <v>丁班</v>
      </c>
      <c r="H99" s="225"/>
      <c r="I99" s="225"/>
      <c r="J99" s="225" t="str">
        <f>IF(_cuofeng5_month_day!A97="","",_cuofeng5_month_day!A97)</f>
        <v/>
      </c>
      <c r="K99" s="225" t="str">
        <f>IF(_cuofeng5_month_day!B97="","",_cuofeng5_month_day!B97)</f>
        <v/>
      </c>
      <c r="L99" s="224">
        <f>IFERROR(SUMPRODUCT((_5shaozhuchou_month_day!$A$3:$A$900&gt;=D99)*(_5shaozhuchou_month_day!$A$3:$A$900&lt;E99),_5shaozhuchou_month_day!$Y$3:$Y$900)/SUMPRODUCT((_5shaozhuchou_month_day!$A$3:$A$900&gt;=D99)*(_5shaozhuchou_month_day!$A$3:$A$900&lt;E99)),0)</f>
        <v>0</v>
      </c>
      <c r="M99" s="224" t="e">
        <f>L99*(1-$AL$3)*#REF!*$AL$4*(E99-D99)*24</f>
        <v>#REF!</v>
      </c>
      <c r="N99" s="231">
        <f t="shared" si="20"/>
        <v>0</v>
      </c>
      <c r="O99" s="231">
        <f t="shared" si="21"/>
        <v>0</v>
      </c>
      <c r="P99" s="231">
        <f t="shared" si="22"/>
        <v>0</v>
      </c>
      <c r="Q99" s="82" t="e">
        <f>IF(OR($B99=#REF!,$B98=$AH$4),($L98-$L99)*(1-$AL$3)*(E99-D99)*24*#REF!*$AL$4,0)</f>
        <v>#REF!</v>
      </c>
      <c r="U99" s="228">
        <f t="shared" si="23"/>
        <v>43359</v>
      </c>
      <c r="V99" s="221">
        <f t="shared" si="24"/>
        <v>0.91666666666666696</v>
      </c>
      <c r="W99" s="229"/>
      <c r="X99" s="229"/>
      <c r="Y99" s="229"/>
      <c r="Z99" s="229"/>
      <c r="AA99" s="82"/>
      <c r="AB99" s="82" t="e">
        <f>AA99*(1-$AL$3)*#REF!*$AL$4*(E99-D99)*24</f>
        <v>#REF!</v>
      </c>
      <c r="AC99" s="231">
        <f t="shared" si="25"/>
        <v>0</v>
      </c>
      <c r="AD99" s="231">
        <f t="shared" si="26"/>
        <v>0</v>
      </c>
      <c r="AE99" s="231">
        <f t="shared" si="27"/>
        <v>0</v>
      </c>
      <c r="AF99" s="82" t="e">
        <f>IF(OR($V99=#REF!,$V99=$AH$4),($AA98-$AA99)*(1-$AL$3)*(E99-D99)*24*#REF!*$AL$4,0)</f>
        <v>#REF!</v>
      </c>
    </row>
    <row r="100" spans="1:32" ht="14.25">
      <c r="A100" s="220">
        <f>A94+1</f>
        <v>43360</v>
      </c>
      <c r="B100" s="221">
        <v>0</v>
      </c>
      <c r="C100" s="222" t="s">
        <v>37</v>
      </c>
      <c r="D100" s="223">
        <f t="shared" ref="D100:D131" si="29">A100+B100</f>
        <v>43360</v>
      </c>
      <c r="E100" s="223">
        <f t="shared" ref="E100:E131" si="30">D101</f>
        <v>43360.333333333336</v>
      </c>
      <c r="F100" s="224">
        <f>SUMPRODUCT(('6烧主抽电耗'!$A$3:$A$96=$A100)*('6烧主抽电耗'!$D$3:$D$96=$C100),'6烧主抽电耗'!$E$3:$E$96)</f>
        <v>2</v>
      </c>
      <c r="G100" s="223" t="str">
        <f t="shared" si="19"/>
        <v>乙班</v>
      </c>
      <c r="H100" s="225"/>
      <c r="I100" s="225"/>
      <c r="J100" s="225" t="str">
        <f>IF(_cuofeng5_month_day!A98="","",_cuofeng5_month_day!A98)</f>
        <v/>
      </c>
      <c r="K100" s="225" t="str">
        <f>IF(_cuofeng5_month_day!B98="","",_cuofeng5_month_day!B98)</f>
        <v/>
      </c>
      <c r="L100" s="224">
        <f>IFERROR(SUMPRODUCT((_5shaozhuchou_month_day!$A$3:$A$900&gt;=D100)*(_5shaozhuchou_month_day!$A$3:$A$900&lt;E100),_5shaozhuchou_month_day!$Y$3:$Y$900)/SUMPRODUCT((_5shaozhuchou_month_day!$A$3:$A$900&gt;=D100)*(_5shaozhuchou_month_day!$A$3:$A$900&lt;E100)),0)</f>
        <v>0</v>
      </c>
      <c r="M100" s="224" t="e">
        <f>L100*(1-$AL$3)*#REF!*$AL$4*(E100-D100)*24</f>
        <v>#REF!</v>
      </c>
      <c r="N100" s="231">
        <f t="shared" si="20"/>
        <v>0</v>
      </c>
      <c r="O100" s="231">
        <f t="shared" si="21"/>
        <v>0</v>
      </c>
      <c r="P100" s="231">
        <f t="shared" si="22"/>
        <v>0</v>
      </c>
      <c r="Q100" s="82" t="e">
        <f>IF(OR($B100=#REF!,$B99=$AH$4),($L99-$L100)*(1-$AL$3)*(E100-D100)*24*#REF!*$AL$4,0)</f>
        <v>#REF!</v>
      </c>
      <c r="U100" s="220">
        <f t="shared" si="23"/>
        <v>43360</v>
      </c>
      <c r="V100" s="221">
        <f t="shared" si="24"/>
        <v>0</v>
      </c>
      <c r="W100" s="229"/>
      <c r="X100" s="229"/>
      <c r="Y100" s="229"/>
      <c r="Z100" s="229"/>
      <c r="AA100" s="82"/>
      <c r="AB100" s="82" t="e">
        <f>AA100*(1-$AL$3)*#REF!*$AL$4*(E100-D100)*24</f>
        <v>#REF!</v>
      </c>
      <c r="AC100" s="231">
        <f t="shared" si="25"/>
        <v>0</v>
      </c>
      <c r="AD100" s="231">
        <f t="shared" si="26"/>
        <v>0</v>
      </c>
      <c r="AE100" s="231">
        <f t="shared" si="27"/>
        <v>0</v>
      </c>
      <c r="AF100" s="82" t="e">
        <f>IF(OR($V100=#REF!,$V100=$AH$4),($AA99-$AA100)*(1-$AL$3)*(E100-D100)*24*#REF!*$AL$4,0)</f>
        <v>#REF!</v>
      </c>
    </row>
    <row r="101" spans="1:32" ht="14.25">
      <c r="A101" s="226">
        <f>A100</f>
        <v>43360</v>
      </c>
      <c r="B101" s="221">
        <v>0.33333333333333298</v>
      </c>
      <c r="C101" s="222" t="s">
        <v>37</v>
      </c>
      <c r="D101" s="223">
        <f t="shared" si="29"/>
        <v>43360.333333333336</v>
      </c>
      <c r="E101" s="223">
        <f t="shared" si="30"/>
        <v>43360.583333333336</v>
      </c>
      <c r="F101" s="224">
        <f>SUMPRODUCT(('6烧主抽电耗'!$A$3:$A$96=$A101)*('6烧主抽电耗'!$D$3:$D$96=$C101),'6烧主抽电耗'!$E$3:$E$96)</f>
        <v>2</v>
      </c>
      <c r="G101" s="223" t="str">
        <f t="shared" si="19"/>
        <v>乙班</v>
      </c>
      <c r="H101" s="225"/>
      <c r="I101" s="225"/>
      <c r="J101" s="225" t="str">
        <f>IF(_cuofeng5_month_day!A99="","",_cuofeng5_month_day!A99)</f>
        <v/>
      </c>
      <c r="K101" s="225" t="str">
        <f>IF(_cuofeng5_month_day!B99="","",_cuofeng5_month_day!B99)</f>
        <v/>
      </c>
      <c r="L101" s="224">
        <f>IFERROR(SUMPRODUCT((_5shaozhuchou_month_day!$A$3:$A$900&gt;=D101)*(_5shaozhuchou_month_day!$A$3:$A$900&lt;E101),_5shaozhuchou_month_day!$Y$3:$Y$900)/SUMPRODUCT((_5shaozhuchou_month_day!$A$3:$A$900&gt;=D101)*(_5shaozhuchou_month_day!$A$3:$A$900&lt;E101)),0)</f>
        <v>0</v>
      </c>
      <c r="M101" s="224" t="e">
        <f>L101*(1-$AL$3)*#REF!*$AL$4*(E101-D101)*24</f>
        <v>#REF!</v>
      </c>
      <c r="N101" s="231">
        <f t="shared" ref="N101:N132" si="31">IF(OR($B101=$AH$4,$B101=$AH$5),(($H102-$H101)+($I102-$I101))*3,0)</f>
        <v>0</v>
      </c>
      <c r="O101" s="231">
        <f t="shared" si="21"/>
        <v>0</v>
      </c>
      <c r="P101" s="231">
        <f t="shared" ref="P101:P132" si="32">IF(OR($B101=$AJ$4),(($H102-$H101)+($I102-$I101))*3,0)</f>
        <v>0</v>
      </c>
      <c r="Q101" s="82" t="e">
        <f>IF(OR($B101=#REF!,$B100=$AH$4),($L100-$L101)*(1-$AL$3)*(E101-D101)*24*#REF!*$AL$4,0)</f>
        <v>#REF!</v>
      </c>
      <c r="U101" s="226">
        <f t="shared" si="23"/>
        <v>43360</v>
      </c>
      <c r="V101" s="221">
        <f t="shared" si="24"/>
        <v>0.33333333333333298</v>
      </c>
      <c r="W101" s="237"/>
      <c r="X101" s="225"/>
      <c r="Y101" s="229"/>
      <c r="Z101" s="229"/>
      <c r="AA101" s="82"/>
      <c r="AB101" s="82" t="e">
        <f>AA101*(1-$AL$3)*#REF!*$AL$4*(E101-D101)*24</f>
        <v>#REF!</v>
      </c>
      <c r="AC101" s="231">
        <f t="shared" si="25"/>
        <v>0</v>
      </c>
      <c r="AD101" s="231">
        <f t="shared" si="26"/>
        <v>0</v>
      </c>
      <c r="AE101" s="231">
        <f t="shared" ref="AE101:AE118" si="33">IF(OR($V101=$AJ$4),(($W102-$W101)+($X102-$X101))*3,0)</f>
        <v>0</v>
      </c>
      <c r="AF101" s="82" t="e">
        <f>IF(OR($V101=#REF!,$V101=$AH$4),($AA100-$AA101)*(1-$AL$3)*(E101-D101)*24*#REF!*$AL$4,0)</f>
        <v>#REF!</v>
      </c>
    </row>
    <row r="102" spans="1:32" ht="14.25">
      <c r="A102" s="226">
        <f t="shared" si="28"/>
        <v>43360</v>
      </c>
      <c r="B102" s="221">
        <v>0.58333333333333304</v>
      </c>
      <c r="C102" s="222" t="s">
        <v>39</v>
      </c>
      <c r="D102" s="223">
        <f t="shared" si="29"/>
        <v>43360.583333333336</v>
      </c>
      <c r="E102" s="223">
        <f t="shared" si="30"/>
        <v>43360.708333333336</v>
      </c>
      <c r="F102" s="224">
        <f>SUMPRODUCT(('6烧主抽电耗'!$A$3:$A$96=$A102)*('6烧主抽电耗'!$D$3:$D$96=$C102),'6烧主抽电耗'!$E$3:$E$96)</f>
        <v>3</v>
      </c>
      <c r="G102" s="223" t="str">
        <f t="shared" si="19"/>
        <v>丙班</v>
      </c>
      <c r="H102" s="225"/>
      <c r="I102" s="225"/>
      <c r="J102" s="225" t="str">
        <f>IF(_cuofeng5_month_day!A100="","",_cuofeng5_month_day!A100)</f>
        <v/>
      </c>
      <c r="K102" s="225" t="str">
        <f>IF(_cuofeng5_month_day!B100="","",_cuofeng5_month_day!B100)</f>
        <v/>
      </c>
      <c r="L102" s="224">
        <f>IFERROR(SUMPRODUCT((_5shaozhuchou_month_day!$A$3:$A$900&gt;=D102)*(_5shaozhuchou_month_day!$A$3:$A$900&lt;E102),_5shaozhuchou_month_day!$Y$3:$Y$900)/SUMPRODUCT((_5shaozhuchou_month_day!$A$3:$A$900&gt;=D102)*(_5shaozhuchou_month_day!$A$3:$A$900&lt;E102)),0)</f>
        <v>0</v>
      </c>
      <c r="M102" s="224" t="e">
        <f>L102*(1-$AL$3)*#REF!*$AL$4*(E102-D102)*24</f>
        <v>#REF!</v>
      </c>
      <c r="N102" s="231">
        <f t="shared" si="31"/>
        <v>0</v>
      </c>
      <c r="O102" s="231">
        <f t="shared" si="21"/>
        <v>0</v>
      </c>
      <c r="P102" s="231">
        <f t="shared" si="32"/>
        <v>0</v>
      </c>
      <c r="Q102" s="82" t="e">
        <f>IF(OR($B102=#REF!,$B101=$AH$4),($L101-$L102)*(1-$AL$3)*(E102-D102)*24*#REF!*$AL$4,0)</f>
        <v>#REF!</v>
      </c>
      <c r="U102" s="226">
        <f t="shared" si="23"/>
        <v>43360</v>
      </c>
      <c r="V102" s="221">
        <f t="shared" si="24"/>
        <v>0.58333333333333304</v>
      </c>
      <c r="W102" s="229"/>
      <c r="X102" s="229"/>
      <c r="Y102" s="229"/>
      <c r="Z102" s="229"/>
      <c r="AA102" s="82"/>
      <c r="AB102" s="82" t="e">
        <f>AA102*(1-$AL$3)*#REF!*$AL$4*(E102-D102)*24</f>
        <v>#REF!</v>
      </c>
      <c r="AC102" s="231">
        <f t="shared" si="25"/>
        <v>0</v>
      </c>
      <c r="AD102" s="231">
        <f t="shared" si="26"/>
        <v>0</v>
      </c>
      <c r="AE102" s="231">
        <f t="shared" si="33"/>
        <v>0</v>
      </c>
      <c r="AF102" s="82" t="e">
        <f>IF(OR($V102=#REF!,$V102=$AH$4),($AA101-$AA102)*(1-$AL$3)*(E102-D102)*24*#REF!*$AL$4,0)</f>
        <v>#REF!</v>
      </c>
    </row>
    <row r="103" spans="1:32" ht="14.25">
      <c r="A103" s="226">
        <f t="shared" si="28"/>
        <v>43360</v>
      </c>
      <c r="B103" s="221">
        <v>0.70833333333333304</v>
      </c>
      <c r="C103" s="222" t="s">
        <v>41</v>
      </c>
      <c r="D103" s="223">
        <f t="shared" si="29"/>
        <v>43360.708333333336</v>
      </c>
      <c r="E103" s="223">
        <f t="shared" si="30"/>
        <v>43360.791666666664</v>
      </c>
      <c r="F103" s="224">
        <f>SUMPRODUCT(('6烧主抽电耗'!$A$3:$A$96=$A103)*('6烧主抽电耗'!$D$3:$D$96=$C103),'6烧主抽电耗'!$E$3:$E$96)</f>
        <v>4</v>
      </c>
      <c r="G103" s="223" t="str">
        <f t="shared" si="19"/>
        <v>丁班</v>
      </c>
      <c r="H103" s="225"/>
      <c r="I103" s="225"/>
      <c r="J103" s="225" t="str">
        <f>IF(_cuofeng5_month_day!A101="","",_cuofeng5_month_day!A101)</f>
        <v/>
      </c>
      <c r="K103" s="225" t="str">
        <f>IF(_cuofeng5_month_day!B101="","",_cuofeng5_month_day!B101)</f>
        <v/>
      </c>
      <c r="L103" s="224">
        <f>IFERROR(SUMPRODUCT((_5shaozhuchou_month_day!$A$3:$A$900&gt;=D103)*(_5shaozhuchou_month_day!$A$3:$A$900&lt;E103),_5shaozhuchou_month_day!$Y$3:$Y$900)/SUMPRODUCT((_5shaozhuchou_month_day!$A$3:$A$900&gt;=D103)*(_5shaozhuchou_month_day!$A$3:$A$900&lt;E103)),0)</f>
        <v>0</v>
      </c>
      <c r="M103" s="224" t="e">
        <f>L103*(1-$AL$3)*#REF!*$AL$4*(E103-D103)*24</f>
        <v>#REF!</v>
      </c>
      <c r="N103" s="231">
        <f t="shared" si="31"/>
        <v>0</v>
      </c>
      <c r="O103" s="231">
        <f t="shared" si="21"/>
        <v>0</v>
      </c>
      <c r="P103" s="231">
        <f t="shared" si="32"/>
        <v>0</v>
      </c>
      <c r="Q103" s="82" t="e">
        <f>IF(OR($B103=#REF!,$B102=$AH$4),($L102-$L103)*(1-$AL$3)*(E103-D103)*24*#REF!*$AL$4,0)</f>
        <v>#REF!</v>
      </c>
      <c r="U103" s="226">
        <f t="shared" si="23"/>
        <v>43360</v>
      </c>
      <c r="V103" s="221">
        <f t="shared" si="24"/>
        <v>0.70833333333333304</v>
      </c>
      <c r="W103" s="229"/>
      <c r="X103" s="229"/>
      <c r="Y103" s="229"/>
      <c r="Z103" s="229"/>
      <c r="AA103" s="82"/>
      <c r="AB103" s="82" t="e">
        <f>AA103*(1-$AL$3)*#REF!*$AL$4*(E103-D103)*24</f>
        <v>#REF!</v>
      </c>
      <c r="AC103" s="231">
        <f t="shared" si="25"/>
        <v>0</v>
      </c>
      <c r="AD103" s="231">
        <f t="shared" si="26"/>
        <v>0</v>
      </c>
      <c r="AE103" s="231">
        <f t="shared" si="33"/>
        <v>0</v>
      </c>
      <c r="AF103" s="82" t="e">
        <f>IF(OR($V103=#REF!,$V103=$AH$4),($AA102-$AA103)*(1-$AL$3)*(E103-D103)*24*#REF!*$AL$4,0)</f>
        <v>#REF!</v>
      </c>
    </row>
    <row r="104" spans="1:32" ht="14.25">
      <c r="A104" s="226">
        <f t="shared" si="28"/>
        <v>43360</v>
      </c>
      <c r="B104" s="221">
        <v>0.79166666666666696</v>
      </c>
      <c r="C104" s="222" t="s">
        <v>41</v>
      </c>
      <c r="D104" s="223">
        <f t="shared" si="29"/>
        <v>43360.791666666664</v>
      </c>
      <c r="E104" s="223">
        <f t="shared" si="30"/>
        <v>43360.916666666664</v>
      </c>
      <c r="F104" s="224">
        <f>SUMPRODUCT(('6烧主抽电耗'!$A$3:$A$96=$A104)*('6烧主抽电耗'!$D$3:$D$96=$C104),'6烧主抽电耗'!$E$3:$E$96)</f>
        <v>4</v>
      </c>
      <c r="G104" s="223" t="str">
        <f t="shared" si="19"/>
        <v>丁班</v>
      </c>
      <c r="H104" s="225"/>
      <c r="I104" s="225"/>
      <c r="J104" s="225" t="str">
        <f>IF(_cuofeng5_month_day!A102="","",_cuofeng5_month_day!A102)</f>
        <v/>
      </c>
      <c r="K104" s="225" t="str">
        <f>IF(_cuofeng5_month_day!B102="","",_cuofeng5_month_day!B102)</f>
        <v/>
      </c>
      <c r="L104" s="224">
        <f>IFERROR(SUMPRODUCT((_5shaozhuchou_month_day!$A$3:$A$900&gt;=D104)*(_5shaozhuchou_month_day!$A$3:$A$900&lt;E104),_5shaozhuchou_month_day!$Y$3:$Y$900)/SUMPRODUCT((_5shaozhuchou_month_day!$A$3:$A$900&gt;=D104)*(_5shaozhuchou_month_day!$A$3:$A$900&lt;E104)),0)</f>
        <v>0</v>
      </c>
      <c r="M104" s="224" t="e">
        <f>L104*(1-$AL$3)*#REF!*$AL$4*(E104-D104)*24</f>
        <v>#REF!</v>
      </c>
      <c r="N104" s="231">
        <f t="shared" si="31"/>
        <v>0</v>
      </c>
      <c r="O104" s="231">
        <f t="shared" si="21"/>
        <v>0</v>
      </c>
      <c r="P104" s="231">
        <f t="shared" si="32"/>
        <v>0</v>
      </c>
      <c r="Q104" s="82" t="e">
        <f>IF(OR($B104=#REF!,$B103=$AH$4),($L103-$L104)*(1-$AL$3)*(E104-D104)*24*#REF!*$AL$4,0)</f>
        <v>#REF!</v>
      </c>
      <c r="U104" s="226">
        <f t="shared" si="23"/>
        <v>43360</v>
      </c>
      <c r="V104" s="221">
        <f t="shared" si="24"/>
        <v>0.79166666666666696</v>
      </c>
      <c r="W104" s="229"/>
      <c r="X104" s="229"/>
      <c r="Y104" s="229"/>
      <c r="Z104" s="229"/>
      <c r="AA104" s="82"/>
      <c r="AB104" s="82" t="e">
        <f>AA104*(1-$AL$3)*#REF!*$AL$4*(E104-D104)*24</f>
        <v>#REF!</v>
      </c>
      <c r="AC104" s="231">
        <f t="shared" si="25"/>
        <v>0</v>
      </c>
      <c r="AD104" s="231">
        <f t="shared" si="26"/>
        <v>0</v>
      </c>
      <c r="AE104" s="231">
        <f t="shared" si="33"/>
        <v>0</v>
      </c>
      <c r="AF104" s="82" t="e">
        <f>IF(OR($V104=#REF!,$V104=$AH$4),($AA103-$AA104)*(1-$AL$3)*(E104-D104)*24*#REF!*$AL$4,0)</f>
        <v>#REF!</v>
      </c>
    </row>
    <row r="105" spans="1:32" ht="14.25">
      <c r="A105" s="228">
        <f t="shared" si="28"/>
        <v>43360</v>
      </c>
      <c r="B105" s="221">
        <v>0.91666666666666696</v>
      </c>
      <c r="C105" s="222" t="s">
        <v>41</v>
      </c>
      <c r="D105" s="223">
        <f t="shared" si="29"/>
        <v>43360.916666666664</v>
      </c>
      <c r="E105" s="223">
        <f t="shared" si="30"/>
        <v>43361</v>
      </c>
      <c r="F105" s="224">
        <f>SUMPRODUCT(('6烧主抽电耗'!$A$3:$A$96=$A105)*('6烧主抽电耗'!$D$3:$D$96=$C105),'6烧主抽电耗'!$E$3:$E$96)</f>
        <v>4</v>
      </c>
      <c r="G105" s="223" t="str">
        <f t="shared" si="19"/>
        <v>丁班</v>
      </c>
      <c r="H105" s="225"/>
      <c r="I105" s="225"/>
      <c r="J105" s="225" t="str">
        <f>IF(_cuofeng5_month_day!A103="","",_cuofeng5_month_day!A103)</f>
        <v/>
      </c>
      <c r="K105" s="225" t="str">
        <f>IF(_cuofeng5_month_day!B103="","",_cuofeng5_month_day!B103)</f>
        <v/>
      </c>
      <c r="L105" s="224">
        <f>IFERROR(SUMPRODUCT((_5shaozhuchou_month_day!$A$3:$A$900&gt;=D105)*(_5shaozhuchou_month_day!$A$3:$A$900&lt;E105),_5shaozhuchou_month_day!$Y$3:$Y$900)/SUMPRODUCT((_5shaozhuchou_month_day!$A$3:$A$900&gt;=D105)*(_5shaozhuchou_month_day!$A$3:$A$900&lt;E105)),0)</f>
        <v>0</v>
      </c>
      <c r="M105" s="224" t="e">
        <f>L105*(1-$AL$3)*#REF!*$AL$4*(E105-D105)*24</f>
        <v>#REF!</v>
      </c>
      <c r="N105" s="231">
        <f t="shared" si="31"/>
        <v>0</v>
      </c>
      <c r="O105" s="231">
        <f t="shared" si="21"/>
        <v>0</v>
      </c>
      <c r="P105" s="231">
        <f t="shared" si="32"/>
        <v>0</v>
      </c>
      <c r="Q105" s="82" t="e">
        <f>IF(OR($B105=#REF!,$B104=$AH$4),($L104-$L105)*(1-$AL$3)*(E105-D105)*24*#REF!*$AL$4,0)</f>
        <v>#REF!</v>
      </c>
      <c r="U105" s="228">
        <f t="shared" si="23"/>
        <v>43360</v>
      </c>
      <c r="V105" s="221">
        <f t="shared" si="24"/>
        <v>0.91666666666666696</v>
      </c>
      <c r="W105" s="229"/>
      <c r="X105" s="229"/>
      <c r="Y105" s="229"/>
      <c r="Z105" s="229"/>
      <c r="AA105" s="82"/>
      <c r="AB105" s="82" t="e">
        <f>AA105*(1-$AL$3)*#REF!*$AL$4*(E105-D105)*24</f>
        <v>#REF!</v>
      </c>
      <c r="AC105" s="231">
        <f t="shared" ref="AC105:AC136" si="34">IF(OR($V105=$AH$4,$V105=$AH$5),(($W106-$W105)+($X106-$X105))*3,0)</f>
        <v>0</v>
      </c>
      <c r="AD105" s="231">
        <f t="shared" si="26"/>
        <v>0</v>
      </c>
      <c r="AE105" s="231">
        <f t="shared" si="33"/>
        <v>0</v>
      </c>
      <c r="AF105" s="82" t="e">
        <f>IF(OR($V105=#REF!,$V105=$AH$4),($AA104-$AA105)*(1-$AL$3)*(E105-D105)*24*#REF!*$AL$4,0)</f>
        <v>#REF!</v>
      </c>
    </row>
    <row r="106" spans="1:32" ht="14.25">
      <c r="A106" s="220">
        <f>A100+1</f>
        <v>43361</v>
      </c>
      <c r="B106" s="221">
        <v>0</v>
      </c>
      <c r="C106" s="222" t="s">
        <v>37</v>
      </c>
      <c r="D106" s="223">
        <f t="shared" si="29"/>
        <v>43361</v>
      </c>
      <c r="E106" s="223">
        <f t="shared" si="30"/>
        <v>43361.333333333336</v>
      </c>
      <c r="F106" s="224">
        <f>SUMPRODUCT(('6烧主抽电耗'!$A$3:$A$96=$A106)*('6烧主抽电耗'!$D$3:$D$96=$C106),'6烧主抽电耗'!$E$3:$E$96)</f>
        <v>1</v>
      </c>
      <c r="G106" s="223" t="str">
        <f t="shared" si="19"/>
        <v>甲班</v>
      </c>
      <c r="H106" s="225"/>
      <c r="I106" s="225"/>
      <c r="J106" s="225" t="str">
        <f>IF(_cuofeng5_month_day!A104="","",_cuofeng5_month_day!A104)</f>
        <v/>
      </c>
      <c r="K106" s="225" t="str">
        <f>IF(_cuofeng5_month_day!B104="","",_cuofeng5_month_day!B104)</f>
        <v/>
      </c>
      <c r="L106" s="224">
        <f>IFERROR(SUMPRODUCT((_5shaozhuchou_month_day!$A$3:$A$900&gt;=D106)*(_5shaozhuchou_month_day!$A$3:$A$900&lt;E106),_5shaozhuchou_month_day!$Y$3:$Y$900)/SUMPRODUCT((_5shaozhuchou_month_day!$A$3:$A$900&gt;=D106)*(_5shaozhuchou_month_day!$A$3:$A$900&lt;E106)),0)</f>
        <v>0</v>
      </c>
      <c r="M106" s="224" t="e">
        <f>L106*(1-$AL$3)*#REF!*$AL$4*(E106-D106)*24</f>
        <v>#REF!</v>
      </c>
      <c r="N106" s="231">
        <f t="shared" si="31"/>
        <v>0</v>
      </c>
      <c r="O106" s="231">
        <f>IF(OR($B106=$AI$4,$B106=$AI$5,$B106=$AI$6),(($W107-$H106)+($X107-$I106))*3,0)</f>
        <v>0</v>
      </c>
      <c r="P106" s="231">
        <f t="shared" si="32"/>
        <v>0</v>
      </c>
      <c r="Q106" s="82" t="e">
        <f>IF(OR($B106=#REF!,$B105=$AH$4),($L105-$L106)*(1-$AL$3)*(E106-D106)*24*#REF!*$AL$4,0)</f>
        <v>#REF!</v>
      </c>
      <c r="U106" s="220">
        <f t="shared" si="23"/>
        <v>43361</v>
      </c>
      <c r="V106" s="221">
        <f t="shared" si="24"/>
        <v>0</v>
      </c>
      <c r="W106" s="237"/>
      <c r="X106" s="225"/>
      <c r="Y106" s="229"/>
      <c r="Z106" s="229"/>
      <c r="AA106" s="82"/>
      <c r="AB106" s="82" t="e">
        <f>AA106*(1-$AL$3)*#REF!*$AL$4*(E106-D106)*24</f>
        <v>#REF!</v>
      </c>
      <c r="AC106" s="231">
        <f t="shared" si="34"/>
        <v>0</v>
      </c>
      <c r="AD106" s="231">
        <f t="shared" ref="AD106:AD122" si="35">IF(OR($V106=$AI$4,$V106=$AI$5,$V106=$AI$6),(($W107-$W106)+($X107-$X106))*3,0)</f>
        <v>0</v>
      </c>
      <c r="AE106" s="231">
        <f t="shared" si="33"/>
        <v>0</v>
      </c>
      <c r="AF106" s="82" t="e">
        <f>IF(OR($V106=#REF!,$V106=$AH$4),($AA105-$AA106)*(1-$AL$3)*(E106-D106)*24*#REF!*$AL$4,0)</f>
        <v>#REF!</v>
      </c>
    </row>
    <row r="107" spans="1:32" ht="14.25">
      <c r="A107" s="226">
        <f>A106</f>
        <v>43361</v>
      </c>
      <c r="B107" s="221">
        <v>0.33333333333333298</v>
      </c>
      <c r="C107" s="222" t="s">
        <v>37</v>
      </c>
      <c r="D107" s="223">
        <f t="shared" si="29"/>
        <v>43361.333333333336</v>
      </c>
      <c r="E107" s="223">
        <f t="shared" si="30"/>
        <v>43361.583333333336</v>
      </c>
      <c r="F107" s="224">
        <f>SUMPRODUCT(('6烧主抽电耗'!$A$3:$A$96=$A107)*('6烧主抽电耗'!$D$3:$D$96=$C107),'6烧主抽电耗'!$E$3:$E$96)</f>
        <v>1</v>
      </c>
      <c r="G107" s="223" t="str">
        <f t="shared" si="19"/>
        <v>甲班</v>
      </c>
      <c r="H107" s="225"/>
      <c r="I107" s="225"/>
      <c r="J107" s="225" t="str">
        <f>IF(_cuofeng5_month_day!A105="","",_cuofeng5_month_day!A105)</f>
        <v/>
      </c>
      <c r="K107" s="225" t="str">
        <f>IF(_cuofeng5_month_day!B105="","",_cuofeng5_month_day!B105)</f>
        <v/>
      </c>
      <c r="L107" s="224">
        <f>IFERROR(SUMPRODUCT((_5shaozhuchou_month_day!$A$3:$A$900&gt;=D107)*(_5shaozhuchou_month_day!$A$3:$A$900&lt;E107),_5shaozhuchou_month_day!$Y$3:$Y$900)/SUMPRODUCT((_5shaozhuchou_month_day!$A$3:$A$900&gt;=D107)*(_5shaozhuchou_month_day!$A$3:$A$900&lt;E107)),0)</f>
        <v>0</v>
      </c>
      <c r="M107" s="224" t="e">
        <f>L107*(1-$AL$3)*#REF!*$AL$4*(E107-D107)*24</f>
        <v>#REF!</v>
      </c>
      <c r="N107" s="231">
        <f t="shared" si="31"/>
        <v>0</v>
      </c>
      <c r="O107" s="231">
        <f t="shared" ref="O107:O121" si="36">IF(OR($B107=$AI$4,$B107=$AI$5,$B107=$AI$6),(($W108-$W107)+($X108-$X107))*3,0)</f>
        <v>0</v>
      </c>
      <c r="P107" s="231">
        <f t="shared" si="32"/>
        <v>0</v>
      </c>
      <c r="Q107" s="82" t="e">
        <f>IF(OR($B107=#REF!,$B106=$AH$4),($L106-$L107)*(1-$AL$3)*(E107-D107)*24*#REF!*$AL$4,0)</f>
        <v>#REF!</v>
      </c>
      <c r="U107" s="226">
        <f t="shared" si="23"/>
        <v>43361</v>
      </c>
      <c r="V107" s="221">
        <f t="shared" si="24"/>
        <v>0.33333333333333298</v>
      </c>
      <c r="W107" s="229"/>
      <c r="X107" s="229"/>
      <c r="Y107" s="229"/>
      <c r="Z107" s="229"/>
      <c r="AA107" s="82"/>
      <c r="AB107" s="82" t="e">
        <f>AA107*(1-$AL$3)*#REF!*$AL$4*(E107-D107)*24</f>
        <v>#REF!</v>
      </c>
      <c r="AC107" s="231">
        <f t="shared" si="34"/>
        <v>0</v>
      </c>
      <c r="AD107" s="231">
        <f t="shared" si="35"/>
        <v>0</v>
      </c>
      <c r="AE107" s="231">
        <f t="shared" si="33"/>
        <v>0</v>
      </c>
      <c r="AF107" s="82" t="e">
        <f>IF(OR($V107=#REF!,$V107=$AH$4),($AA106-$AA107)*(1-$AL$3)*(E107-D107)*24*#REF!*$AL$4,0)</f>
        <v>#REF!</v>
      </c>
    </row>
    <row r="108" spans="1:32" ht="14.25">
      <c r="A108" s="226">
        <f t="shared" si="28"/>
        <v>43361</v>
      </c>
      <c r="B108" s="221">
        <v>0.58333333333333304</v>
      </c>
      <c r="C108" s="222" t="s">
        <v>39</v>
      </c>
      <c r="D108" s="223">
        <f t="shared" si="29"/>
        <v>43361.583333333336</v>
      </c>
      <c r="E108" s="223">
        <f t="shared" si="30"/>
        <v>43361.708333333336</v>
      </c>
      <c r="F108" s="224">
        <f>SUMPRODUCT(('6烧主抽电耗'!$A$3:$A$96=$A108)*('6烧主抽电耗'!$D$3:$D$96=$C108),'6烧主抽电耗'!$E$3:$E$96)</f>
        <v>2</v>
      </c>
      <c r="G108" s="223" t="str">
        <f t="shared" si="19"/>
        <v>乙班</v>
      </c>
      <c r="H108" s="225"/>
      <c r="I108" s="225"/>
      <c r="J108" s="225" t="str">
        <f>IF(_cuofeng5_month_day!A106="","",_cuofeng5_month_day!A106)</f>
        <v/>
      </c>
      <c r="K108" s="225" t="str">
        <f>IF(_cuofeng5_month_day!B106="","",_cuofeng5_month_day!B106)</f>
        <v/>
      </c>
      <c r="L108" s="224">
        <f>IFERROR(SUMPRODUCT((_5shaozhuchou_month_day!$A$3:$A$900&gt;=D108)*(_5shaozhuchou_month_day!$A$3:$A$900&lt;E108),_5shaozhuchou_month_day!$Y$3:$Y$900)/SUMPRODUCT((_5shaozhuchou_month_day!$A$3:$A$900&gt;=D108)*(_5shaozhuchou_month_day!$A$3:$A$900&lt;E108)),0)</f>
        <v>0</v>
      </c>
      <c r="M108" s="224" t="e">
        <f>L108*(1-$AL$3)*#REF!*$AL$4*(E108-D108)*24</f>
        <v>#REF!</v>
      </c>
      <c r="N108" s="231">
        <f t="shared" si="31"/>
        <v>0</v>
      </c>
      <c r="O108" s="231">
        <f t="shared" si="36"/>
        <v>0</v>
      </c>
      <c r="P108" s="231">
        <f t="shared" si="32"/>
        <v>0</v>
      </c>
      <c r="Q108" s="82" t="e">
        <f>IF(OR($B108=#REF!,$B107=$AH$4),($L107-$L108)*(1-$AL$3)*(E108-D108)*24*#REF!*$AL$4,0)</f>
        <v>#REF!</v>
      </c>
      <c r="U108" s="226">
        <f t="shared" si="23"/>
        <v>43361</v>
      </c>
      <c r="V108" s="221">
        <f t="shared" si="24"/>
        <v>0.58333333333333304</v>
      </c>
      <c r="W108" s="229"/>
      <c r="X108" s="229"/>
      <c r="Y108" s="229"/>
      <c r="Z108" s="229"/>
      <c r="AA108" s="82"/>
      <c r="AB108" s="82" t="e">
        <f>AA108*(1-$AL$3)*#REF!*$AL$4*(E108-D108)*24</f>
        <v>#REF!</v>
      </c>
      <c r="AC108" s="231">
        <f t="shared" si="34"/>
        <v>0</v>
      </c>
      <c r="AD108" s="231">
        <f t="shared" si="35"/>
        <v>0</v>
      </c>
      <c r="AE108" s="231">
        <f t="shared" si="33"/>
        <v>0</v>
      </c>
      <c r="AF108" s="82" t="e">
        <f>IF(OR($V108=#REF!,$V108=$AH$4),($AA107-$AA108)*(1-$AL$3)*(E108-D108)*24*#REF!*$AL$4,0)</f>
        <v>#REF!</v>
      </c>
    </row>
    <row r="109" spans="1:32" ht="14.25">
      <c r="A109" s="226">
        <f t="shared" si="28"/>
        <v>43361</v>
      </c>
      <c r="B109" s="221">
        <v>0.70833333333333304</v>
      </c>
      <c r="C109" s="222" t="s">
        <v>41</v>
      </c>
      <c r="D109" s="223">
        <f t="shared" si="29"/>
        <v>43361.708333333336</v>
      </c>
      <c r="E109" s="223">
        <f t="shared" si="30"/>
        <v>43361.791666666664</v>
      </c>
      <c r="F109" s="224">
        <f>SUMPRODUCT(('6烧主抽电耗'!$A$3:$A$96=$A109)*('6烧主抽电耗'!$D$3:$D$96=$C109),'6烧主抽电耗'!$E$3:$E$96)</f>
        <v>3</v>
      </c>
      <c r="G109" s="223" t="str">
        <f t="shared" si="19"/>
        <v>丙班</v>
      </c>
      <c r="H109" s="225"/>
      <c r="I109" s="225"/>
      <c r="J109" s="225" t="str">
        <f>IF(_cuofeng5_month_day!A107="","",_cuofeng5_month_day!A107)</f>
        <v/>
      </c>
      <c r="K109" s="225" t="str">
        <f>IF(_cuofeng5_month_day!B107="","",_cuofeng5_month_day!B107)</f>
        <v/>
      </c>
      <c r="L109" s="224">
        <f>IFERROR(SUMPRODUCT((_5shaozhuchou_month_day!$A$3:$A$900&gt;=D109)*(_5shaozhuchou_month_day!$A$3:$A$900&lt;E109),_5shaozhuchou_month_day!$Y$3:$Y$900)/SUMPRODUCT((_5shaozhuchou_month_day!$A$3:$A$900&gt;=D109)*(_5shaozhuchou_month_day!$A$3:$A$900&lt;E109)),0)</f>
        <v>0</v>
      </c>
      <c r="M109" s="224" t="e">
        <f>L109*(1-$AL$3)*#REF!*$AL$4*(E109-D109)*24</f>
        <v>#REF!</v>
      </c>
      <c r="N109" s="231">
        <f t="shared" si="31"/>
        <v>0</v>
      </c>
      <c r="O109" s="231">
        <f t="shared" si="36"/>
        <v>0</v>
      </c>
      <c r="P109" s="231">
        <f t="shared" si="32"/>
        <v>0</v>
      </c>
      <c r="Q109" s="82" t="e">
        <f>IF(OR($B109=#REF!,$B108=$AH$4),($L108-$L109)*(1-$AL$3)*(E109-D109)*24*#REF!*$AL$4,0)</f>
        <v>#REF!</v>
      </c>
      <c r="U109" s="226">
        <f t="shared" si="23"/>
        <v>43361</v>
      </c>
      <c r="V109" s="221">
        <f t="shared" si="24"/>
        <v>0.70833333333333304</v>
      </c>
      <c r="W109" s="229"/>
      <c r="X109" s="229"/>
      <c r="Y109" s="229"/>
      <c r="Z109" s="229"/>
      <c r="AA109" s="82"/>
      <c r="AB109" s="82" t="e">
        <f>AA109*(1-$AL$3)*#REF!*$AL$4*(E109-D109)*24</f>
        <v>#REF!</v>
      </c>
      <c r="AC109" s="231">
        <f t="shared" si="34"/>
        <v>0</v>
      </c>
      <c r="AD109" s="231">
        <f t="shared" si="35"/>
        <v>0</v>
      </c>
      <c r="AE109" s="231">
        <f t="shared" si="33"/>
        <v>0</v>
      </c>
      <c r="AF109" s="82" t="e">
        <f>IF(OR($V109=#REF!,$V109=$AH$4),($AA108-$AA109)*(1-$AL$3)*(E109-D109)*24*#REF!*$AL$4,0)</f>
        <v>#REF!</v>
      </c>
    </row>
    <row r="110" spans="1:32" ht="14.25">
      <c r="A110" s="226">
        <f t="shared" si="28"/>
        <v>43361</v>
      </c>
      <c r="B110" s="221">
        <v>0.79166666666666696</v>
      </c>
      <c r="C110" s="222" t="s">
        <v>41</v>
      </c>
      <c r="D110" s="223">
        <f t="shared" si="29"/>
        <v>43361.791666666664</v>
      </c>
      <c r="E110" s="223">
        <f t="shared" si="30"/>
        <v>43361.916666666664</v>
      </c>
      <c r="F110" s="224">
        <f>SUMPRODUCT(('6烧主抽电耗'!$A$3:$A$96=$A110)*('6烧主抽电耗'!$D$3:$D$96=$C110),'6烧主抽电耗'!$E$3:$E$96)</f>
        <v>3</v>
      </c>
      <c r="G110" s="223" t="str">
        <f t="shared" si="19"/>
        <v>丙班</v>
      </c>
      <c r="H110" s="225"/>
      <c r="I110" s="225"/>
      <c r="J110" s="225" t="str">
        <f>IF(_cuofeng5_month_day!A108="","",_cuofeng5_month_day!A108)</f>
        <v/>
      </c>
      <c r="K110" s="225" t="str">
        <f>IF(_cuofeng5_month_day!B108="","",_cuofeng5_month_day!B108)</f>
        <v/>
      </c>
      <c r="L110" s="224">
        <f>IFERROR(SUMPRODUCT((_5shaozhuchou_month_day!$A$3:$A$900&gt;=D110)*(_5shaozhuchou_month_day!$A$3:$A$900&lt;E110),_5shaozhuchou_month_day!$Y$3:$Y$900)/SUMPRODUCT((_5shaozhuchou_month_day!$A$3:$A$900&gt;=D110)*(_5shaozhuchou_month_day!$A$3:$A$900&lt;E110)),0)</f>
        <v>0</v>
      </c>
      <c r="M110" s="224" t="e">
        <f>L110*(1-$AL$3)*#REF!*$AL$4*(E110-D110)*24</f>
        <v>#REF!</v>
      </c>
      <c r="N110" s="231">
        <f t="shared" si="31"/>
        <v>0</v>
      </c>
      <c r="O110" s="231">
        <f t="shared" si="36"/>
        <v>0</v>
      </c>
      <c r="P110" s="231">
        <f t="shared" si="32"/>
        <v>0</v>
      </c>
      <c r="Q110" s="82" t="e">
        <f>IF(OR($B110=#REF!,$B109=$AH$4),($L109-$L110)*(1-$AL$3)*(E110-D110)*24*#REF!*$AL$4,0)</f>
        <v>#REF!</v>
      </c>
      <c r="U110" s="226">
        <f t="shared" si="23"/>
        <v>43361</v>
      </c>
      <c r="V110" s="221">
        <f t="shared" si="24"/>
        <v>0.79166666666666696</v>
      </c>
      <c r="W110" s="229"/>
      <c r="X110" s="229"/>
      <c r="Y110" s="229"/>
      <c r="Z110" s="229"/>
      <c r="AA110" s="82"/>
      <c r="AB110" s="82" t="e">
        <f>AA110*(1-$AL$3)*#REF!*$AL$4*(E110-D110)*24</f>
        <v>#REF!</v>
      </c>
      <c r="AC110" s="231">
        <f t="shared" si="34"/>
        <v>0</v>
      </c>
      <c r="AD110" s="231">
        <f t="shared" si="35"/>
        <v>0</v>
      </c>
      <c r="AE110" s="231">
        <f t="shared" si="33"/>
        <v>0</v>
      </c>
      <c r="AF110" s="82" t="e">
        <f>IF(OR($V110=#REF!,$V110=$AH$4),($AA109-$AA110)*(1-$AL$3)*(E110-D110)*24*#REF!*$AL$4,0)</f>
        <v>#REF!</v>
      </c>
    </row>
    <row r="111" spans="1:32" ht="14.25">
      <c r="A111" s="228">
        <f t="shared" si="28"/>
        <v>43361</v>
      </c>
      <c r="B111" s="221">
        <v>0.91666666666666696</v>
      </c>
      <c r="C111" s="222" t="s">
        <v>41</v>
      </c>
      <c r="D111" s="223">
        <f t="shared" si="29"/>
        <v>43361.916666666664</v>
      </c>
      <c r="E111" s="223">
        <f t="shared" si="30"/>
        <v>43362</v>
      </c>
      <c r="F111" s="224">
        <f>SUMPRODUCT(('6烧主抽电耗'!$A$3:$A$96=$A111)*('6烧主抽电耗'!$D$3:$D$96=$C111),'6烧主抽电耗'!$E$3:$E$96)</f>
        <v>3</v>
      </c>
      <c r="G111" s="223" t="str">
        <f t="shared" si="19"/>
        <v>丙班</v>
      </c>
      <c r="H111" s="225"/>
      <c r="I111" s="225"/>
      <c r="J111" s="225" t="str">
        <f>IF(_cuofeng5_month_day!A109="","",_cuofeng5_month_day!A109)</f>
        <v/>
      </c>
      <c r="K111" s="225" t="str">
        <f>IF(_cuofeng5_month_day!B109="","",_cuofeng5_month_day!B109)</f>
        <v/>
      </c>
      <c r="L111" s="224">
        <f>IFERROR(SUMPRODUCT((_5shaozhuchou_month_day!$A$3:$A$900&gt;=D111)*(_5shaozhuchou_month_day!$A$3:$A$900&lt;E111),_5shaozhuchou_month_day!$Y$3:$Y$900)/SUMPRODUCT((_5shaozhuchou_month_day!$A$3:$A$900&gt;=D111)*(_5shaozhuchou_month_day!$A$3:$A$900&lt;E111)),0)</f>
        <v>0</v>
      </c>
      <c r="M111" s="224" t="e">
        <f>L111*(1-$AL$3)*#REF!*$AL$4*(E111-D111)*24</f>
        <v>#REF!</v>
      </c>
      <c r="N111" s="231">
        <f t="shared" si="31"/>
        <v>0</v>
      </c>
      <c r="O111" s="231">
        <f t="shared" si="36"/>
        <v>0</v>
      </c>
      <c r="P111" s="231">
        <f t="shared" si="32"/>
        <v>0</v>
      </c>
      <c r="Q111" s="82" t="e">
        <f>IF(OR($B111=#REF!,$B110=$AH$4),($L110-$L111)*(1-$AL$3)*(E111-D111)*24*#REF!*$AL$4,0)</f>
        <v>#REF!</v>
      </c>
      <c r="U111" s="228">
        <f t="shared" si="23"/>
        <v>43361</v>
      </c>
      <c r="V111" s="221">
        <f t="shared" si="24"/>
        <v>0.91666666666666696</v>
      </c>
      <c r="W111" s="229"/>
      <c r="X111" s="229"/>
      <c r="Y111" s="229"/>
      <c r="Z111" s="229"/>
      <c r="AA111" s="82"/>
      <c r="AB111" s="82" t="e">
        <f>AA111*(1-$AL$3)*#REF!*$AL$4*(E111-D111)*24</f>
        <v>#REF!</v>
      </c>
      <c r="AC111" s="231">
        <f t="shared" si="34"/>
        <v>0</v>
      </c>
      <c r="AD111" s="231">
        <f t="shared" si="35"/>
        <v>0</v>
      </c>
      <c r="AE111" s="231">
        <f t="shared" si="33"/>
        <v>0</v>
      </c>
      <c r="AF111" s="82" t="e">
        <f>IF(OR($V111=#REF!,$V111=$AH$4),($AA110-$AA111)*(1-$AL$3)*(E111-D111)*24*#REF!*$AL$4,0)</f>
        <v>#REF!</v>
      </c>
    </row>
    <row r="112" spans="1:32" ht="14.25">
      <c r="A112" s="220">
        <f>A106+1</f>
        <v>43362</v>
      </c>
      <c r="B112" s="221">
        <v>0</v>
      </c>
      <c r="C112" s="222" t="s">
        <v>37</v>
      </c>
      <c r="D112" s="223">
        <f t="shared" si="29"/>
        <v>43362</v>
      </c>
      <c r="E112" s="223">
        <f t="shared" si="30"/>
        <v>43362.333333333336</v>
      </c>
      <c r="F112" s="224">
        <f>SUMPRODUCT(('6烧主抽电耗'!$A$3:$A$96=$A112)*('6烧主抽电耗'!$D$3:$D$96=$C112),'6烧主抽电耗'!$E$3:$E$96)</f>
        <v>1</v>
      </c>
      <c r="G112" s="223" t="str">
        <f t="shared" si="19"/>
        <v>甲班</v>
      </c>
      <c r="H112" s="225"/>
      <c r="I112" s="225"/>
      <c r="J112" s="225" t="str">
        <f>IF(_cuofeng5_month_day!A110="","",_cuofeng5_month_day!A110)</f>
        <v/>
      </c>
      <c r="K112" s="225" t="str">
        <f>IF(_cuofeng5_month_day!B110="","",_cuofeng5_month_day!B110)</f>
        <v/>
      </c>
      <c r="L112" s="224">
        <f>IFERROR(SUMPRODUCT((_5shaozhuchou_month_day!$A$3:$A$900&gt;=D112)*(_5shaozhuchou_month_day!$A$3:$A$900&lt;E112),_5shaozhuchou_month_day!$Y$3:$Y$900)/SUMPRODUCT((_5shaozhuchou_month_day!$A$3:$A$900&gt;=D112)*(_5shaozhuchou_month_day!$A$3:$A$900&lt;E112)),0)</f>
        <v>0</v>
      </c>
      <c r="M112" s="224" t="e">
        <f>L112*(1-$AL$3)*#REF!*$AL$4*(E112-D112)*24</f>
        <v>#REF!</v>
      </c>
      <c r="N112" s="231">
        <f t="shared" si="31"/>
        <v>0</v>
      </c>
      <c r="O112" s="231">
        <f t="shared" si="36"/>
        <v>0</v>
      </c>
      <c r="P112" s="231">
        <f t="shared" si="32"/>
        <v>0</v>
      </c>
      <c r="Q112" s="82" t="e">
        <f>IF(OR($B112=#REF!,$B111=$AH$4),($L111-$L112)*(1-$AL$3)*(E112-D112)*24*#REF!*$AL$4,0)</f>
        <v>#REF!</v>
      </c>
      <c r="U112" s="220">
        <f t="shared" si="23"/>
        <v>43362</v>
      </c>
      <c r="V112" s="221">
        <f t="shared" si="24"/>
        <v>0</v>
      </c>
      <c r="W112" s="237"/>
      <c r="X112" s="225"/>
      <c r="Y112" s="229"/>
      <c r="Z112" s="229"/>
      <c r="AA112" s="82"/>
      <c r="AB112" s="82" t="e">
        <f>AA112*(1-$AL$3)*#REF!*$AL$4*(E112-D112)*24</f>
        <v>#REF!</v>
      </c>
      <c r="AC112" s="231">
        <f t="shared" si="34"/>
        <v>0</v>
      </c>
      <c r="AD112" s="231">
        <f t="shared" si="35"/>
        <v>0</v>
      </c>
      <c r="AE112" s="231">
        <f t="shared" si="33"/>
        <v>0</v>
      </c>
      <c r="AF112" s="82" t="e">
        <f>IF(OR($V112=#REF!,$V112=$AH$4),($AA111-$AA112)*(1-$AL$3)*(E112-D112)*24*#REF!*$AL$4,0)</f>
        <v>#REF!</v>
      </c>
    </row>
    <row r="113" spans="1:32" ht="14.25">
      <c r="A113" s="226">
        <f>A112</f>
        <v>43362</v>
      </c>
      <c r="B113" s="221">
        <v>0.33333333333333298</v>
      </c>
      <c r="C113" s="222" t="s">
        <v>37</v>
      </c>
      <c r="D113" s="223">
        <f t="shared" si="29"/>
        <v>43362.333333333336</v>
      </c>
      <c r="E113" s="223">
        <f t="shared" si="30"/>
        <v>43362.583333333336</v>
      </c>
      <c r="F113" s="224">
        <f>SUMPRODUCT(('6烧主抽电耗'!$A$3:$A$96=$A113)*('6烧主抽电耗'!$D$3:$D$96=$C113),'6烧主抽电耗'!$E$3:$E$96)</f>
        <v>1</v>
      </c>
      <c r="G113" s="223" t="str">
        <f t="shared" si="19"/>
        <v>甲班</v>
      </c>
      <c r="H113" s="225"/>
      <c r="I113" s="225"/>
      <c r="J113" s="225" t="str">
        <f>IF(_cuofeng5_month_day!A111="","",_cuofeng5_month_day!A111)</f>
        <v/>
      </c>
      <c r="K113" s="225" t="str">
        <f>IF(_cuofeng5_month_day!B111="","",_cuofeng5_month_day!B111)</f>
        <v/>
      </c>
      <c r="L113" s="224">
        <f>IFERROR(SUMPRODUCT((_5shaozhuchou_month_day!$A$3:$A$900&gt;=D113)*(_5shaozhuchou_month_day!$A$3:$A$900&lt;E113),_5shaozhuchou_month_day!$Y$3:$Y$900)/SUMPRODUCT((_5shaozhuchou_month_day!$A$3:$A$900&gt;=D113)*(_5shaozhuchou_month_day!$A$3:$A$900&lt;E113)),0)</f>
        <v>0</v>
      </c>
      <c r="M113" s="224" t="e">
        <f>L113*(1-$AL$3)*#REF!*$AL$4*(E113-D113)*24</f>
        <v>#REF!</v>
      </c>
      <c r="N113" s="231">
        <f t="shared" si="31"/>
        <v>0</v>
      </c>
      <c r="O113" s="231">
        <f t="shared" si="36"/>
        <v>0</v>
      </c>
      <c r="P113" s="231">
        <f t="shared" si="32"/>
        <v>0</v>
      </c>
      <c r="Q113" s="82" t="e">
        <f>IF(OR($B113=#REF!,$B112=$AH$4),($L112-$L113)*(1-$AL$3)*(E113-D113)*24*#REF!*$AL$4,0)</f>
        <v>#REF!</v>
      </c>
      <c r="U113" s="226">
        <f t="shared" si="23"/>
        <v>43362</v>
      </c>
      <c r="V113" s="221">
        <f t="shared" si="24"/>
        <v>0.33333333333333298</v>
      </c>
      <c r="W113" s="237"/>
      <c r="X113" s="225"/>
      <c r="Y113" s="229"/>
      <c r="Z113" s="229"/>
      <c r="AA113" s="82"/>
      <c r="AB113" s="82" t="e">
        <f>AA113*(1-$AL$3)*#REF!*$AL$4*(E113-D113)*24</f>
        <v>#REF!</v>
      </c>
      <c r="AC113" s="231">
        <f t="shared" si="34"/>
        <v>0</v>
      </c>
      <c r="AD113" s="231">
        <f t="shared" si="35"/>
        <v>0</v>
      </c>
      <c r="AE113" s="231">
        <f t="shared" si="33"/>
        <v>0</v>
      </c>
      <c r="AF113" s="82" t="e">
        <f>IF(OR($V113=#REF!,$V113=$AH$4),($AA112-$AA113)*(1-$AL$3)*(E113-D113)*24*#REF!*$AL$4,0)</f>
        <v>#REF!</v>
      </c>
    </row>
    <row r="114" spans="1:32" ht="14.25">
      <c r="A114" s="226">
        <f t="shared" si="28"/>
        <v>43362</v>
      </c>
      <c r="B114" s="221">
        <v>0.58333333333333304</v>
      </c>
      <c r="C114" s="222" t="s">
        <v>39</v>
      </c>
      <c r="D114" s="223">
        <f t="shared" si="29"/>
        <v>43362.583333333336</v>
      </c>
      <c r="E114" s="223">
        <f t="shared" si="30"/>
        <v>43362.708333333336</v>
      </c>
      <c r="F114" s="224">
        <f>SUMPRODUCT(('6烧主抽电耗'!$A$3:$A$96=$A114)*('6烧主抽电耗'!$D$3:$D$96=$C114),'6烧主抽电耗'!$E$3:$E$96)</f>
        <v>2</v>
      </c>
      <c r="G114" s="223" t="str">
        <f t="shared" si="19"/>
        <v>乙班</v>
      </c>
      <c r="H114" s="225"/>
      <c r="I114" s="225"/>
      <c r="J114" s="225" t="str">
        <f>IF(_cuofeng5_month_day!A112="","",_cuofeng5_month_day!A112)</f>
        <v/>
      </c>
      <c r="K114" s="225" t="str">
        <f>IF(_cuofeng5_month_day!B112="","",_cuofeng5_month_day!B112)</f>
        <v/>
      </c>
      <c r="L114" s="224">
        <f>IFERROR(SUMPRODUCT((_5shaozhuchou_month_day!$A$3:$A$900&gt;=D114)*(_5shaozhuchou_month_day!$A$3:$A$900&lt;E114),_5shaozhuchou_month_day!$Y$3:$Y$900)/SUMPRODUCT((_5shaozhuchou_month_day!$A$3:$A$900&gt;=D114)*(_5shaozhuchou_month_day!$A$3:$A$900&lt;E114)),0)</f>
        <v>0</v>
      </c>
      <c r="M114" s="224" t="e">
        <f>L114*(1-$AL$3)*#REF!*$AL$4*(E114-D114)*24</f>
        <v>#REF!</v>
      </c>
      <c r="N114" s="231">
        <f t="shared" si="31"/>
        <v>0</v>
      </c>
      <c r="O114" s="231">
        <f t="shared" si="36"/>
        <v>0</v>
      </c>
      <c r="P114" s="231">
        <f t="shared" si="32"/>
        <v>0</v>
      </c>
      <c r="Q114" s="82" t="e">
        <f>IF(OR($B114=#REF!,$B113=$AH$4),($L113-$L114)*(1-$AL$3)*(E114-D114)*24*#REF!*$AL$4,0)</f>
        <v>#REF!</v>
      </c>
      <c r="U114" s="226">
        <f t="shared" si="23"/>
        <v>43362</v>
      </c>
      <c r="V114" s="221">
        <f t="shared" si="24"/>
        <v>0.58333333333333304</v>
      </c>
      <c r="W114" s="229"/>
      <c r="X114" s="229"/>
      <c r="Y114" s="229"/>
      <c r="Z114" s="229"/>
      <c r="AA114" s="82"/>
      <c r="AB114" s="82" t="e">
        <f>AA114*(1-$AL$3)*#REF!*$AL$4*(E114-D114)*24</f>
        <v>#REF!</v>
      </c>
      <c r="AC114" s="231">
        <f t="shared" si="34"/>
        <v>0</v>
      </c>
      <c r="AD114" s="231">
        <f t="shared" si="35"/>
        <v>0</v>
      </c>
      <c r="AE114" s="231">
        <f t="shared" si="33"/>
        <v>0</v>
      </c>
      <c r="AF114" s="82" t="e">
        <f>IF(OR($V114=#REF!,$V114=$AH$4),($AA113-$AA114)*(1-$AL$3)*(E114-D114)*24*#REF!*$AL$4,0)</f>
        <v>#REF!</v>
      </c>
    </row>
    <row r="115" spans="1:32" ht="14.25">
      <c r="A115" s="226">
        <f t="shared" si="28"/>
        <v>43362</v>
      </c>
      <c r="B115" s="221">
        <v>0.70833333333333304</v>
      </c>
      <c r="C115" s="222" t="s">
        <v>41</v>
      </c>
      <c r="D115" s="223">
        <f t="shared" si="29"/>
        <v>43362.708333333336</v>
      </c>
      <c r="E115" s="223">
        <f t="shared" si="30"/>
        <v>43362.791666666664</v>
      </c>
      <c r="F115" s="224">
        <f>SUMPRODUCT(('6烧主抽电耗'!$A$3:$A$96=$A115)*('6烧主抽电耗'!$D$3:$D$96=$C115),'6烧主抽电耗'!$E$3:$E$96)</f>
        <v>3</v>
      </c>
      <c r="G115" s="223" t="str">
        <f t="shared" si="19"/>
        <v>丙班</v>
      </c>
      <c r="H115" s="225"/>
      <c r="I115" s="225"/>
      <c r="J115" s="225" t="str">
        <f>IF(_cuofeng5_month_day!A113="","",_cuofeng5_month_day!A113)</f>
        <v/>
      </c>
      <c r="K115" s="225" t="str">
        <f>IF(_cuofeng5_month_day!B113="","",_cuofeng5_month_day!B113)</f>
        <v/>
      </c>
      <c r="L115" s="224">
        <f>IFERROR(SUMPRODUCT((_5shaozhuchou_month_day!$A$3:$A$900&gt;=D115)*(_5shaozhuchou_month_day!$A$3:$A$900&lt;E115),_5shaozhuchou_month_day!$Y$3:$Y$900)/SUMPRODUCT((_5shaozhuchou_month_day!$A$3:$A$900&gt;=D115)*(_5shaozhuchou_month_day!$A$3:$A$900&lt;E115)),0)</f>
        <v>0</v>
      </c>
      <c r="M115" s="224" t="e">
        <f>L115*(1-$AL$3)*#REF!*$AL$4*(E115-D115)*24</f>
        <v>#REF!</v>
      </c>
      <c r="N115" s="231">
        <f t="shared" si="31"/>
        <v>0</v>
      </c>
      <c r="O115" s="231">
        <f t="shared" si="36"/>
        <v>0</v>
      </c>
      <c r="P115" s="231">
        <f t="shared" si="32"/>
        <v>0</v>
      </c>
      <c r="Q115" s="82" t="e">
        <f>IF(OR($B115=#REF!,$B114=$AH$4),($L114-$L115)*(1-$AL$3)*(E115-D115)*24*#REF!*$AL$4,0)</f>
        <v>#REF!</v>
      </c>
      <c r="U115" s="226">
        <f t="shared" si="23"/>
        <v>43362</v>
      </c>
      <c r="V115" s="221">
        <f t="shared" si="24"/>
        <v>0.70833333333333304</v>
      </c>
      <c r="W115" s="237"/>
      <c r="X115" s="225"/>
      <c r="Y115" s="229"/>
      <c r="Z115" s="229"/>
      <c r="AA115" s="82"/>
      <c r="AB115" s="82" t="e">
        <f>AA115*(1-$AL$3)*#REF!*$AL$4*(E115-D115)*24</f>
        <v>#REF!</v>
      </c>
      <c r="AC115" s="231">
        <f t="shared" si="34"/>
        <v>0</v>
      </c>
      <c r="AD115" s="231">
        <f t="shared" si="35"/>
        <v>0</v>
      </c>
      <c r="AE115" s="231">
        <f t="shared" si="33"/>
        <v>0</v>
      </c>
      <c r="AF115" s="82" t="e">
        <f>IF(OR($V115=#REF!,$V115=$AH$4),($AA114-$AA115)*(1-$AL$3)*(E115-D115)*24*#REF!*$AL$4,0)</f>
        <v>#REF!</v>
      </c>
    </row>
    <row r="116" spans="1:32" ht="14.25">
      <c r="A116" s="226">
        <f t="shared" si="28"/>
        <v>43362</v>
      </c>
      <c r="B116" s="221">
        <v>0.79166666666666696</v>
      </c>
      <c r="C116" s="222" t="s">
        <v>41</v>
      </c>
      <c r="D116" s="223">
        <f t="shared" si="29"/>
        <v>43362.791666666664</v>
      </c>
      <c r="E116" s="223">
        <f t="shared" si="30"/>
        <v>43362.916666666664</v>
      </c>
      <c r="F116" s="224">
        <f>SUMPRODUCT(('6烧主抽电耗'!$A$3:$A$96=$A116)*('6烧主抽电耗'!$D$3:$D$96=$C116),'6烧主抽电耗'!$E$3:$E$96)</f>
        <v>3</v>
      </c>
      <c r="G116" s="223" t="str">
        <f t="shared" si="19"/>
        <v>丙班</v>
      </c>
      <c r="H116" s="225"/>
      <c r="I116" s="225"/>
      <c r="J116" s="225" t="str">
        <f>IF(_cuofeng5_month_day!A114="","",_cuofeng5_month_day!A114)</f>
        <v/>
      </c>
      <c r="K116" s="225" t="str">
        <f>IF(_cuofeng5_month_day!B114="","",_cuofeng5_month_day!B114)</f>
        <v/>
      </c>
      <c r="L116" s="224">
        <f>IFERROR(SUMPRODUCT((_5shaozhuchou_month_day!$A$3:$A$900&gt;=D116)*(_5shaozhuchou_month_day!$A$3:$A$900&lt;E116),_5shaozhuchou_month_day!$Y$3:$Y$900)/SUMPRODUCT((_5shaozhuchou_month_day!$A$3:$A$900&gt;=D116)*(_5shaozhuchou_month_day!$A$3:$A$900&lt;E116)),0)</f>
        <v>0</v>
      </c>
      <c r="M116" s="224" t="e">
        <f>L116*(1-$AL$3)*#REF!*$AL$4*(E116-D116)*24</f>
        <v>#REF!</v>
      </c>
      <c r="N116" s="231">
        <f t="shared" si="31"/>
        <v>0</v>
      </c>
      <c r="O116" s="231">
        <f t="shared" si="36"/>
        <v>0</v>
      </c>
      <c r="P116" s="231">
        <f t="shared" si="32"/>
        <v>0</v>
      </c>
      <c r="Q116" s="82" t="e">
        <f>IF(OR($B116=#REF!,$B115=$AH$4),($L115-$L116)*(1-$AL$3)*(E116-D116)*24*#REF!*$AL$4,0)</f>
        <v>#REF!</v>
      </c>
      <c r="U116" s="226">
        <f t="shared" si="23"/>
        <v>43362</v>
      </c>
      <c r="V116" s="221">
        <f t="shared" si="24"/>
        <v>0.79166666666666696</v>
      </c>
      <c r="W116" s="229"/>
      <c r="X116" s="229"/>
      <c r="Y116" s="229"/>
      <c r="Z116" s="229"/>
      <c r="AA116" s="82"/>
      <c r="AB116" s="82" t="e">
        <f>AA116*(1-$AL$3)*#REF!*$AL$4*(E116-D116)*24</f>
        <v>#REF!</v>
      </c>
      <c r="AC116" s="231">
        <f t="shared" si="34"/>
        <v>0</v>
      </c>
      <c r="AD116" s="231">
        <f t="shared" si="35"/>
        <v>0</v>
      </c>
      <c r="AE116" s="231">
        <f t="shared" si="33"/>
        <v>0</v>
      </c>
      <c r="AF116" s="82" t="e">
        <f>IF(OR($V116=#REF!,$V116=$AH$4),($AA115-$AA116)*(1-$AL$3)*(E116-D116)*24*#REF!*$AL$4,0)</f>
        <v>#REF!</v>
      </c>
    </row>
    <row r="117" spans="1:32" ht="14.25">
      <c r="A117" s="228">
        <f t="shared" si="28"/>
        <v>43362</v>
      </c>
      <c r="B117" s="221">
        <v>0.91666666666666696</v>
      </c>
      <c r="C117" s="222" t="s">
        <v>41</v>
      </c>
      <c r="D117" s="223">
        <f t="shared" si="29"/>
        <v>43362.916666666664</v>
      </c>
      <c r="E117" s="223">
        <f t="shared" si="30"/>
        <v>43363</v>
      </c>
      <c r="F117" s="224">
        <f>SUMPRODUCT(('6烧主抽电耗'!$A$3:$A$96=$A117)*('6烧主抽电耗'!$D$3:$D$96=$C117),'6烧主抽电耗'!$E$3:$E$96)</f>
        <v>3</v>
      </c>
      <c r="G117" s="223" t="str">
        <f t="shared" si="19"/>
        <v>丙班</v>
      </c>
      <c r="H117" s="225"/>
      <c r="I117" s="225"/>
      <c r="J117" s="225" t="str">
        <f>IF(_cuofeng5_month_day!A115="","",_cuofeng5_month_day!A115)</f>
        <v/>
      </c>
      <c r="K117" s="225" t="str">
        <f>IF(_cuofeng5_month_day!B115="","",_cuofeng5_month_day!B115)</f>
        <v/>
      </c>
      <c r="L117" s="224">
        <f>IFERROR(SUMPRODUCT((_5shaozhuchou_month_day!$A$3:$A$900&gt;=D117)*(_5shaozhuchou_month_day!$A$3:$A$900&lt;E117),_5shaozhuchou_month_day!$Y$3:$Y$900)/SUMPRODUCT((_5shaozhuchou_month_day!$A$3:$A$900&gt;=D117)*(_5shaozhuchou_month_day!$A$3:$A$900&lt;E117)),0)</f>
        <v>0</v>
      </c>
      <c r="M117" s="224" t="e">
        <f>L117*(1-$AL$3)*#REF!*$AL$4*(E117-D117)*24</f>
        <v>#REF!</v>
      </c>
      <c r="N117" s="231">
        <f t="shared" si="31"/>
        <v>0</v>
      </c>
      <c r="O117" s="231">
        <f t="shared" si="36"/>
        <v>0</v>
      </c>
      <c r="P117" s="231">
        <f t="shared" si="32"/>
        <v>0</v>
      </c>
      <c r="Q117" s="82" t="e">
        <f>IF(OR($B117=#REF!,$B116=$AH$4),($L116-$L117)*(1-$AL$3)*(E117-D117)*24*#REF!*$AL$4,0)</f>
        <v>#REF!</v>
      </c>
      <c r="U117" s="228">
        <f t="shared" si="23"/>
        <v>43362</v>
      </c>
      <c r="V117" s="221">
        <f t="shared" si="24"/>
        <v>0.91666666666666696</v>
      </c>
      <c r="W117" s="229"/>
      <c r="X117" s="229"/>
      <c r="Y117" s="229"/>
      <c r="Z117" s="229"/>
      <c r="AA117" s="82"/>
      <c r="AB117" s="82" t="e">
        <f>AA117*(1-$AL$3)*#REF!*$AL$4*(E117-D117)*24</f>
        <v>#REF!</v>
      </c>
      <c r="AC117" s="231">
        <f t="shared" si="34"/>
        <v>0</v>
      </c>
      <c r="AD117" s="231">
        <f t="shared" si="35"/>
        <v>0</v>
      </c>
      <c r="AE117" s="231">
        <f t="shared" si="33"/>
        <v>0</v>
      </c>
      <c r="AF117" s="82" t="e">
        <f>IF(OR($V117=#REF!,$V117=$AH$4),($AA116-$AA117)*(1-$AL$3)*(E117-D117)*24*#REF!*$AL$4,0)</f>
        <v>#REF!</v>
      </c>
    </row>
    <row r="118" spans="1:32" ht="14.25">
      <c r="A118" s="220">
        <f>A112+1</f>
        <v>43363</v>
      </c>
      <c r="B118" s="221">
        <v>0</v>
      </c>
      <c r="C118" s="222" t="s">
        <v>37</v>
      </c>
      <c r="D118" s="223">
        <f t="shared" si="29"/>
        <v>43363</v>
      </c>
      <c r="E118" s="223">
        <f t="shared" si="30"/>
        <v>43363.333333333336</v>
      </c>
      <c r="F118" s="224">
        <f>SUMPRODUCT(('6烧主抽电耗'!$A$3:$A$96=$A118)*('6烧主抽电耗'!$D$3:$D$96=$C118),'6烧主抽电耗'!$E$3:$E$96)</f>
        <v>4</v>
      </c>
      <c r="G118" s="223" t="str">
        <f t="shared" si="19"/>
        <v>丁班</v>
      </c>
      <c r="H118" s="225"/>
      <c r="I118" s="225"/>
      <c r="J118" s="225" t="str">
        <f>IF(_cuofeng5_month_day!A116="","",_cuofeng5_month_day!A116)</f>
        <v/>
      </c>
      <c r="K118" s="225" t="str">
        <f>IF(_cuofeng5_month_day!B116="","",_cuofeng5_month_day!B116)</f>
        <v/>
      </c>
      <c r="L118" s="224">
        <f>IFERROR(SUMPRODUCT((_5shaozhuchou_month_day!$A$3:$A$900&gt;=D118)*(_5shaozhuchou_month_day!$A$3:$A$900&lt;E118),_5shaozhuchou_month_day!$Y$3:$Y$900)/SUMPRODUCT((_5shaozhuchou_month_day!$A$3:$A$900&gt;=D118)*(_5shaozhuchou_month_day!$A$3:$A$900&lt;E118)),0)</f>
        <v>0</v>
      </c>
      <c r="M118" s="224" t="e">
        <f>L118*(1-$AL$3)*#REF!*$AL$4*(E118-D118)*24</f>
        <v>#REF!</v>
      </c>
      <c r="N118" s="231">
        <f t="shared" si="31"/>
        <v>0</v>
      </c>
      <c r="O118" s="231">
        <f t="shared" si="36"/>
        <v>0</v>
      </c>
      <c r="P118" s="231">
        <f t="shared" si="32"/>
        <v>0</v>
      </c>
      <c r="Q118" s="82" t="e">
        <f>IF(OR($B118=#REF!,$B117=$AH$4),($L117-$L118)*(1-$AL$3)*(E118-D118)*24*#REF!*$AL$4,0)</f>
        <v>#REF!</v>
      </c>
      <c r="U118" s="220">
        <f t="shared" si="23"/>
        <v>43363</v>
      </c>
      <c r="V118" s="221">
        <f t="shared" si="24"/>
        <v>0</v>
      </c>
      <c r="W118" s="237"/>
      <c r="X118" s="225"/>
      <c r="Y118" s="229"/>
      <c r="Z118" s="229"/>
      <c r="AA118" s="82"/>
      <c r="AB118" s="82" t="e">
        <f>AA118*(1-$AL$3)*#REF!*$AL$4*(E118-D118)*24</f>
        <v>#REF!</v>
      </c>
      <c r="AC118" s="231">
        <f t="shared" si="34"/>
        <v>0</v>
      </c>
      <c r="AD118" s="231">
        <f t="shared" si="35"/>
        <v>0</v>
      </c>
      <c r="AE118" s="231">
        <f t="shared" si="33"/>
        <v>0</v>
      </c>
      <c r="AF118" s="82" t="e">
        <f>IF(OR($V118=#REF!,$V118=$AH$4),($AA117-$AA118)*(1-$AL$3)*(E118-D118)*24*#REF!*$AL$4,0)</f>
        <v>#REF!</v>
      </c>
    </row>
    <row r="119" spans="1:32" ht="14.25">
      <c r="A119" s="226">
        <f>A118</f>
        <v>43363</v>
      </c>
      <c r="B119" s="221">
        <v>0.33333333333333298</v>
      </c>
      <c r="C119" s="222" t="s">
        <v>37</v>
      </c>
      <c r="D119" s="223">
        <f t="shared" si="29"/>
        <v>43363.333333333336</v>
      </c>
      <c r="E119" s="223">
        <f t="shared" si="30"/>
        <v>43363.583333333336</v>
      </c>
      <c r="F119" s="224">
        <f>SUMPRODUCT(('6烧主抽电耗'!$A$3:$A$96=$A119)*('6烧主抽电耗'!$D$3:$D$96=$C119),'6烧主抽电耗'!$E$3:$E$96)</f>
        <v>4</v>
      </c>
      <c r="G119" s="223" t="str">
        <f t="shared" si="19"/>
        <v>丁班</v>
      </c>
      <c r="H119" s="225"/>
      <c r="I119" s="225"/>
      <c r="J119" s="225" t="str">
        <f>IF(_cuofeng5_month_day!A117="","",_cuofeng5_month_day!A117)</f>
        <v/>
      </c>
      <c r="K119" s="225" t="str">
        <f>IF(_cuofeng5_month_day!B117="","",_cuofeng5_month_day!B117)</f>
        <v/>
      </c>
      <c r="L119" s="224">
        <f>IFERROR(SUMPRODUCT((_5shaozhuchou_month_day!$A$3:$A$900&gt;=D119)*(_5shaozhuchou_month_day!$A$3:$A$900&lt;E119),_5shaozhuchou_month_day!$Y$3:$Y$900)/SUMPRODUCT((_5shaozhuchou_month_day!$A$3:$A$900&gt;=D119)*(_5shaozhuchou_month_day!$A$3:$A$900&lt;E119)),0)</f>
        <v>0</v>
      </c>
      <c r="M119" s="224" t="e">
        <f>L119*(1-$AL$3)*#REF!*$AL$4*(E119-D119)*24</f>
        <v>#REF!</v>
      </c>
      <c r="N119" s="231">
        <f t="shared" si="31"/>
        <v>0</v>
      </c>
      <c r="O119" s="231">
        <f t="shared" si="36"/>
        <v>0</v>
      </c>
      <c r="P119" s="231">
        <f t="shared" si="32"/>
        <v>0</v>
      </c>
      <c r="Q119" s="82" t="e">
        <f>IF(OR($B119=#REF!,$B118=$AH$4),($L118-$L119)*(1-$AL$3)*(E119-D119)*24*#REF!*$AL$4,0)</f>
        <v>#REF!</v>
      </c>
      <c r="U119" s="226">
        <f t="shared" si="23"/>
        <v>43363</v>
      </c>
      <c r="V119" s="221">
        <f t="shared" si="24"/>
        <v>0.33333333333333298</v>
      </c>
      <c r="W119" s="237"/>
      <c r="X119" s="225"/>
      <c r="Y119" s="229"/>
      <c r="Z119" s="229"/>
      <c r="AA119" s="82"/>
      <c r="AB119" s="82" t="e">
        <f>AA119*(1-$AL$3)*#REF!*$AL$4*(E119-D119)*24</f>
        <v>#REF!</v>
      </c>
      <c r="AC119" s="231">
        <f t="shared" si="34"/>
        <v>0</v>
      </c>
      <c r="AD119" s="231">
        <f t="shared" si="35"/>
        <v>0</v>
      </c>
      <c r="AE119" s="231">
        <f t="shared" ref="AE119:AE150" si="37">IF(OR($V119=$AJ$4),(($W120-$W119)+($X120-$X119))*3,0)</f>
        <v>0</v>
      </c>
      <c r="AF119" s="82" t="e">
        <f>IF(OR($V119=#REF!,$V119=$AH$4),($AA118-$AA119)*(1-$AL$3)*(E119-D119)*24*#REF!*$AL$4,0)</f>
        <v>#REF!</v>
      </c>
    </row>
    <row r="120" spans="1:32" ht="14.25">
      <c r="A120" s="226">
        <f t="shared" si="28"/>
        <v>43363</v>
      </c>
      <c r="B120" s="221">
        <v>0.58333333333333304</v>
      </c>
      <c r="C120" s="222" t="s">
        <v>39</v>
      </c>
      <c r="D120" s="223">
        <f t="shared" si="29"/>
        <v>43363.583333333336</v>
      </c>
      <c r="E120" s="223">
        <f t="shared" si="30"/>
        <v>43363.708333333336</v>
      </c>
      <c r="F120" s="224">
        <f>SUMPRODUCT(('6烧主抽电耗'!$A$3:$A$96=$A120)*('6烧主抽电耗'!$D$3:$D$96=$C120),'6烧主抽电耗'!$E$3:$E$96)</f>
        <v>1</v>
      </c>
      <c r="G120" s="223" t="str">
        <f t="shared" si="19"/>
        <v>甲班</v>
      </c>
      <c r="H120" s="225"/>
      <c r="I120" s="225"/>
      <c r="J120" s="225" t="str">
        <f>IF(_cuofeng5_month_day!A118="","",_cuofeng5_month_day!A118)</f>
        <v/>
      </c>
      <c r="K120" s="225" t="str">
        <f>IF(_cuofeng5_month_day!B118="","",_cuofeng5_month_day!B118)</f>
        <v/>
      </c>
      <c r="L120" s="224">
        <f>IFERROR(SUMPRODUCT((_5shaozhuchou_month_day!$A$3:$A$900&gt;=D120)*(_5shaozhuchou_month_day!$A$3:$A$900&lt;E120),_5shaozhuchou_month_day!$Y$3:$Y$900)/SUMPRODUCT((_5shaozhuchou_month_day!$A$3:$A$900&gt;=D120)*(_5shaozhuchou_month_day!$A$3:$A$900&lt;E120)),0)</f>
        <v>0</v>
      </c>
      <c r="M120" s="224" t="e">
        <f>L120*(1-$AL$3)*#REF!*$AL$4*(E120-D120)*24</f>
        <v>#REF!</v>
      </c>
      <c r="N120" s="231">
        <f t="shared" si="31"/>
        <v>0</v>
      </c>
      <c r="O120" s="231">
        <f t="shared" si="36"/>
        <v>0</v>
      </c>
      <c r="P120" s="231">
        <f t="shared" si="32"/>
        <v>0</v>
      </c>
      <c r="Q120" s="82" t="e">
        <f>IF(OR($B120=#REF!,$B119=$AH$4),($L119-$L120)*(1-$AL$3)*(E120-D120)*24*#REF!*$AL$4,0)</f>
        <v>#REF!</v>
      </c>
      <c r="U120" s="226">
        <f t="shared" si="23"/>
        <v>43363</v>
      </c>
      <c r="V120" s="221">
        <f t="shared" si="24"/>
        <v>0.58333333333333304</v>
      </c>
      <c r="W120" s="229"/>
      <c r="X120" s="229"/>
      <c r="Y120" s="229"/>
      <c r="Z120" s="229"/>
      <c r="AA120" s="82"/>
      <c r="AB120" s="82" t="e">
        <f>AA120*(1-$AL$3)*#REF!*$AL$4*(E120-D120)*24</f>
        <v>#REF!</v>
      </c>
      <c r="AC120" s="231">
        <f t="shared" si="34"/>
        <v>0</v>
      </c>
      <c r="AD120" s="231">
        <f t="shared" si="35"/>
        <v>0</v>
      </c>
      <c r="AE120" s="231">
        <f t="shared" si="37"/>
        <v>0</v>
      </c>
      <c r="AF120" s="82" t="e">
        <f>IF(OR($V120=#REF!,$V120=$AH$4),($AA119-$AA120)*(1-$AL$3)*(E120-D120)*24*#REF!*$AL$4,0)</f>
        <v>#REF!</v>
      </c>
    </row>
    <row r="121" spans="1:32" ht="14.25">
      <c r="A121" s="226">
        <f t="shared" si="28"/>
        <v>43363</v>
      </c>
      <c r="B121" s="221">
        <v>0.70833333333333304</v>
      </c>
      <c r="C121" s="222" t="s">
        <v>41</v>
      </c>
      <c r="D121" s="223">
        <f t="shared" si="29"/>
        <v>43363.708333333336</v>
      </c>
      <c r="E121" s="223">
        <f t="shared" si="30"/>
        <v>43363.791666666664</v>
      </c>
      <c r="F121" s="224">
        <f>SUMPRODUCT(('6烧主抽电耗'!$A$3:$A$96=$A121)*('6烧主抽电耗'!$D$3:$D$96=$C121),'6烧主抽电耗'!$E$3:$E$96)</f>
        <v>2</v>
      </c>
      <c r="G121" s="223" t="str">
        <f t="shared" si="19"/>
        <v>乙班</v>
      </c>
      <c r="H121" s="225"/>
      <c r="I121" s="225"/>
      <c r="J121" s="225" t="str">
        <f>IF(_cuofeng5_month_day!A119="","",_cuofeng5_month_day!A119)</f>
        <v/>
      </c>
      <c r="K121" s="225" t="str">
        <f>IF(_cuofeng5_month_day!B119="","",_cuofeng5_month_day!B119)</f>
        <v/>
      </c>
      <c r="L121" s="224">
        <f>IFERROR(SUMPRODUCT((_5shaozhuchou_month_day!$A$3:$A$900&gt;=D121)*(_5shaozhuchou_month_day!$A$3:$A$900&lt;E121),_5shaozhuchou_month_day!$Y$3:$Y$900)/SUMPRODUCT((_5shaozhuchou_month_day!$A$3:$A$900&gt;=D121)*(_5shaozhuchou_month_day!$A$3:$A$900&lt;E121)),0)</f>
        <v>0</v>
      </c>
      <c r="M121" s="224" t="e">
        <f>L121*(1-$AL$3)*#REF!*$AL$4*(E121-D121)*24</f>
        <v>#REF!</v>
      </c>
      <c r="N121" s="231">
        <f t="shared" si="31"/>
        <v>0</v>
      </c>
      <c r="O121" s="231">
        <f t="shared" si="36"/>
        <v>0</v>
      </c>
      <c r="P121" s="231">
        <f t="shared" si="32"/>
        <v>0</v>
      </c>
      <c r="Q121" s="82" t="e">
        <f>IF(OR($B121=#REF!,$B120=$AH$4),($L120-$L121)*(1-$AL$3)*(E121-D121)*24*#REF!*$AL$4,0)</f>
        <v>#REF!</v>
      </c>
      <c r="U121" s="226">
        <f t="shared" si="23"/>
        <v>43363</v>
      </c>
      <c r="V121" s="221">
        <f t="shared" si="24"/>
        <v>0.70833333333333304</v>
      </c>
      <c r="W121" s="229"/>
      <c r="X121" s="229"/>
      <c r="Y121" s="229"/>
      <c r="Z121" s="229"/>
      <c r="AA121" s="82"/>
      <c r="AB121" s="82" t="e">
        <f>AA121*(1-$AL$3)*#REF!*$AL$4*(E121-D121)*24</f>
        <v>#REF!</v>
      </c>
      <c r="AC121" s="231">
        <f t="shared" si="34"/>
        <v>0</v>
      </c>
      <c r="AD121" s="231">
        <f t="shared" si="35"/>
        <v>0</v>
      </c>
      <c r="AE121" s="231">
        <f t="shared" si="37"/>
        <v>0</v>
      </c>
      <c r="AF121" s="82" t="e">
        <f>IF(OR($V121=#REF!,$V121=$AH$4),($AA120-$AA121)*(1-$AL$3)*(E121-D121)*24*#REF!*$AL$4,0)</f>
        <v>#REF!</v>
      </c>
    </row>
    <row r="122" spans="1:32" ht="14.25">
      <c r="A122" s="226">
        <f t="shared" si="28"/>
        <v>43363</v>
      </c>
      <c r="B122" s="221">
        <v>0.79166666666666696</v>
      </c>
      <c r="C122" s="222" t="s">
        <v>41</v>
      </c>
      <c r="D122" s="223">
        <f t="shared" si="29"/>
        <v>43363.791666666664</v>
      </c>
      <c r="E122" s="223">
        <f t="shared" si="30"/>
        <v>43363.916666666664</v>
      </c>
      <c r="F122" s="224">
        <f>SUMPRODUCT(('6烧主抽电耗'!$A$3:$A$96=$A122)*('6烧主抽电耗'!$D$3:$D$96=$C122),'6烧主抽电耗'!$E$3:$E$96)</f>
        <v>2</v>
      </c>
      <c r="G122" s="223" t="str">
        <f t="shared" si="19"/>
        <v>乙班</v>
      </c>
      <c r="H122" s="225"/>
      <c r="I122" s="225"/>
      <c r="J122" s="225" t="str">
        <f>IF(_cuofeng5_month_day!A120="","",_cuofeng5_month_day!A120)</f>
        <v/>
      </c>
      <c r="K122" s="225" t="str">
        <f>IF(_cuofeng5_month_day!B120="","",_cuofeng5_month_day!B120)</f>
        <v/>
      </c>
      <c r="L122" s="224">
        <f>IFERROR(SUMPRODUCT((_5shaozhuchou_month_day!$A$3:$A$900&gt;=D122)*(_5shaozhuchou_month_day!$A$3:$A$900&lt;E122),_5shaozhuchou_month_day!$Y$3:$Y$900)/SUMPRODUCT((_5shaozhuchou_month_day!$A$3:$A$900&gt;=D122)*(_5shaozhuchou_month_day!$A$3:$A$900&lt;E122)),0)</f>
        <v>0</v>
      </c>
      <c r="M122" s="224" t="e">
        <f>L122*(1-$AL$3)*#REF!*$AL$4*(E122-D122)*24</f>
        <v>#REF!</v>
      </c>
      <c r="N122" s="231">
        <f t="shared" si="31"/>
        <v>0</v>
      </c>
      <c r="O122" s="231">
        <f t="shared" ref="O122:O153" si="38">IF(OR($B122=$AI$4,$B122=$AI$5,$B122=$AI$6),(($W123-$W122)+($X123-$X122))*3,0)</f>
        <v>0</v>
      </c>
      <c r="P122" s="231">
        <f t="shared" si="32"/>
        <v>0</v>
      </c>
      <c r="Q122" s="82" t="e">
        <f>IF(OR($B122=#REF!,$B121=$AH$4),($L121-$L122)*(1-$AL$3)*(E122-D122)*24*#REF!*$AL$4,0)</f>
        <v>#REF!</v>
      </c>
      <c r="U122" s="226">
        <f t="shared" si="23"/>
        <v>43363</v>
      </c>
      <c r="V122" s="221">
        <f t="shared" si="24"/>
        <v>0.79166666666666696</v>
      </c>
      <c r="W122" s="229"/>
      <c r="X122" s="229"/>
      <c r="Y122" s="229"/>
      <c r="Z122" s="229"/>
      <c r="AA122" s="82"/>
      <c r="AB122" s="82" t="e">
        <f>AA122*(1-$AL$3)*#REF!*$AL$4*(E122-D122)*24</f>
        <v>#REF!</v>
      </c>
      <c r="AC122" s="231">
        <f t="shared" si="34"/>
        <v>0</v>
      </c>
      <c r="AD122" s="231">
        <f t="shared" si="35"/>
        <v>0</v>
      </c>
      <c r="AE122" s="231">
        <f t="shared" si="37"/>
        <v>0</v>
      </c>
      <c r="AF122" s="82" t="e">
        <f>IF(OR($V122=#REF!,$V122=$AH$4),($AA121-$AA122)*(1-$AL$3)*(E122-D122)*24*#REF!*$AL$4,0)</f>
        <v>#REF!</v>
      </c>
    </row>
    <row r="123" spans="1:32" ht="14.25">
      <c r="A123" s="228">
        <f t="shared" si="28"/>
        <v>43363</v>
      </c>
      <c r="B123" s="221">
        <v>0.91666666666666696</v>
      </c>
      <c r="C123" s="222" t="s">
        <v>41</v>
      </c>
      <c r="D123" s="223">
        <f t="shared" si="29"/>
        <v>43363.916666666664</v>
      </c>
      <c r="E123" s="223">
        <f t="shared" si="30"/>
        <v>43364</v>
      </c>
      <c r="F123" s="224">
        <f>SUMPRODUCT(('6烧主抽电耗'!$A$3:$A$96=$A123)*('6烧主抽电耗'!$D$3:$D$96=$C123),'6烧主抽电耗'!$E$3:$E$96)</f>
        <v>2</v>
      </c>
      <c r="G123" s="223" t="str">
        <f t="shared" si="19"/>
        <v>乙班</v>
      </c>
      <c r="H123" s="225"/>
      <c r="I123" s="225"/>
      <c r="J123" s="225" t="str">
        <f>IF(_cuofeng5_month_day!A121="","",_cuofeng5_month_day!A121)</f>
        <v/>
      </c>
      <c r="K123" s="225" t="str">
        <f>IF(_cuofeng5_month_day!B121="","",_cuofeng5_month_day!B121)</f>
        <v/>
      </c>
      <c r="L123" s="224">
        <f>IFERROR(SUMPRODUCT((_5shaozhuchou_month_day!$A$3:$A$900&gt;=D123)*(_5shaozhuchou_month_day!$A$3:$A$900&lt;E123),_5shaozhuchou_month_day!$Y$3:$Y$900)/SUMPRODUCT((_5shaozhuchou_month_day!$A$3:$A$900&gt;=D123)*(_5shaozhuchou_month_day!$A$3:$A$900&lt;E123)),0)</f>
        <v>0</v>
      </c>
      <c r="M123" s="224" t="e">
        <f>L123*(1-$AL$3)*#REF!*$AL$4*(E123-D123)*24</f>
        <v>#REF!</v>
      </c>
      <c r="N123" s="231">
        <f t="shared" si="31"/>
        <v>0</v>
      </c>
      <c r="O123" s="231">
        <f t="shared" si="38"/>
        <v>0</v>
      </c>
      <c r="P123" s="231">
        <f t="shared" si="32"/>
        <v>0</v>
      </c>
      <c r="Q123" s="82" t="e">
        <f>IF(OR($B123=#REF!,$B122=$AH$4),($L122-$L123)*(1-$AL$3)*(E123-D123)*24*#REF!*$AL$4,0)</f>
        <v>#REF!</v>
      </c>
      <c r="U123" s="228">
        <f t="shared" si="23"/>
        <v>43363</v>
      </c>
      <c r="V123" s="221">
        <f t="shared" si="24"/>
        <v>0.91666666666666696</v>
      </c>
      <c r="W123" s="229"/>
      <c r="X123" s="229"/>
      <c r="Y123" s="229"/>
      <c r="Z123" s="229"/>
      <c r="AA123" s="82"/>
      <c r="AB123" s="82" t="e">
        <f>AA123*(1-$AL$3)*#REF!*$AL$4*(E123-D123)*24</f>
        <v>#REF!</v>
      </c>
      <c r="AC123" s="231">
        <f>IF(OR($V123=$AH$4,$V123=$AH$5),((#REF!-$W123)+($X124-$X123))*3,0)</f>
        <v>0</v>
      </c>
      <c r="AD123" s="231">
        <f t="shared" ref="AD123:AD145" si="39">IF(OR($V123=$AI$4,$V123=$AI$5,$V123=$AI$6),(($W124-$W123)+($X124-$X123))*3,0)</f>
        <v>0</v>
      </c>
      <c r="AE123" s="231">
        <f t="shared" si="37"/>
        <v>0</v>
      </c>
      <c r="AF123" s="82" t="e">
        <f>IF(OR($V123=#REF!,$V123=$AH$4),($AA122-$AA123)*(1-$AL$3)*(E123-D123)*24*#REF!*$AL$4,0)</f>
        <v>#REF!</v>
      </c>
    </row>
    <row r="124" spans="1:32" ht="14.25">
      <c r="A124" s="220">
        <f>A118+1</f>
        <v>43364</v>
      </c>
      <c r="B124" s="221">
        <v>0</v>
      </c>
      <c r="C124" s="222" t="s">
        <v>37</v>
      </c>
      <c r="D124" s="223">
        <f t="shared" si="29"/>
        <v>43364</v>
      </c>
      <c r="E124" s="223">
        <f t="shared" si="30"/>
        <v>43364.333333333336</v>
      </c>
      <c r="F124" s="224">
        <f>SUMPRODUCT(('6烧主抽电耗'!$A$3:$A$96=$A124)*('6烧主抽电耗'!$D$3:$D$96=$C124),'6烧主抽电耗'!$E$3:$E$96)</f>
        <v>4</v>
      </c>
      <c r="G124" s="223" t="str">
        <f t="shared" si="19"/>
        <v>丁班</v>
      </c>
      <c r="H124" s="225"/>
      <c r="I124" s="225"/>
      <c r="J124" s="225" t="str">
        <f>IF(_cuofeng5_month_day!A122="","",_cuofeng5_month_day!A122)</f>
        <v/>
      </c>
      <c r="K124" s="225" t="str">
        <f>IF(_cuofeng5_month_day!B122="","",_cuofeng5_month_day!B122)</f>
        <v/>
      </c>
      <c r="L124" s="224">
        <f>IFERROR(SUMPRODUCT((_5shaozhuchou_month_day!$A$3:$A$900&gt;=D124)*(_5shaozhuchou_month_day!$A$3:$A$900&lt;E124),_5shaozhuchou_month_day!$Y$3:$Y$900)/SUMPRODUCT((_5shaozhuchou_month_day!$A$3:$A$900&gt;=D124)*(_5shaozhuchou_month_day!$A$3:$A$900&lt;E124)),0)</f>
        <v>0</v>
      </c>
      <c r="M124" s="224" t="e">
        <f>L124*(1-$AL$3)*#REF!*$AL$4*(E124-D124)*24</f>
        <v>#REF!</v>
      </c>
      <c r="N124" s="231">
        <f t="shared" si="31"/>
        <v>0</v>
      </c>
      <c r="O124" s="231">
        <f t="shared" si="38"/>
        <v>0</v>
      </c>
      <c r="P124" s="231">
        <f t="shared" si="32"/>
        <v>0</v>
      </c>
      <c r="Q124" s="82" t="e">
        <f>IF(OR($B124=#REF!,$B123=$AH$4),($L123-$L124)*(1-$AL$3)*(E124-D124)*24*#REF!*$AL$4,0)</f>
        <v>#REF!</v>
      </c>
      <c r="U124" s="220">
        <f t="shared" si="23"/>
        <v>43364</v>
      </c>
      <c r="V124" s="221">
        <f t="shared" si="24"/>
        <v>0</v>
      </c>
      <c r="W124" s="237"/>
      <c r="X124" s="225"/>
      <c r="Y124" s="229"/>
      <c r="Z124" s="229"/>
      <c r="AA124" s="82"/>
      <c r="AB124" s="82" t="e">
        <f>AA124*(1-$AL$3)*#REF!*$AL$4*(E124-D124)*24</f>
        <v>#REF!</v>
      </c>
      <c r="AC124" s="231">
        <f>IF(OR($V124=$AH$4,$V124=$AH$5),(($W125-#REF!)+($X125-$X124))*3,0)</f>
        <v>0</v>
      </c>
      <c r="AD124" s="231">
        <f t="shared" si="39"/>
        <v>0</v>
      </c>
      <c r="AE124" s="231">
        <f t="shared" si="37"/>
        <v>0</v>
      </c>
      <c r="AF124" s="82" t="e">
        <f>IF(OR($V124=#REF!,$V124=$AH$4),($AA123-$AA124)*(1-$AL$3)*(E124-D124)*24*#REF!*$AL$4,0)</f>
        <v>#REF!</v>
      </c>
    </row>
    <row r="125" spans="1:32" ht="14.25">
      <c r="A125" s="226">
        <f>A124</f>
        <v>43364</v>
      </c>
      <c r="B125" s="221">
        <v>0.33333333333333298</v>
      </c>
      <c r="C125" s="222" t="s">
        <v>37</v>
      </c>
      <c r="D125" s="223">
        <f t="shared" si="29"/>
        <v>43364.333333333336</v>
      </c>
      <c r="E125" s="223">
        <f t="shared" si="30"/>
        <v>43364.583333333336</v>
      </c>
      <c r="F125" s="224">
        <f>SUMPRODUCT(('6烧主抽电耗'!$A$3:$A$96=$A125)*('6烧主抽电耗'!$D$3:$D$96=$C125),'6烧主抽电耗'!$E$3:$E$96)</f>
        <v>4</v>
      </c>
      <c r="G125" s="223" t="str">
        <f t="shared" si="19"/>
        <v>丁班</v>
      </c>
      <c r="H125" s="225"/>
      <c r="I125" s="225"/>
      <c r="J125" s="225" t="str">
        <f>IF(_cuofeng5_month_day!A123="","",_cuofeng5_month_day!A123)</f>
        <v/>
      </c>
      <c r="K125" s="225" t="str">
        <f>IF(_cuofeng5_month_day!B123="","",_cuofeng5_month_day!B123)</f>
        <v/>
      </c>
      <c r="L125" s="224">
        <f>IFERROR(SUMPRODUCT((_5shaozhuchou_month_day!$A$3:$A$900&gt;=D125)*(_5shaozhuchou_month_day!$A$3:$A$900&lt;E125),_5shaozhuchou_month_day!$Y$3:$Y$900)/SUMPRODUCT((_5shaozhuchou_month_day!$A$3:$A$900&gt;=D125)*(_5shaozhuchou_month_day!$A$3:$A$900&lt;E125)),0)</f>
        <v>0</v>
      </c>
      <c r="M125" s="224" t="e">
        <f>L125*(1-$AL$3)*#REF!*$AL$4*(E125-D125)*24</f>
        <v>#REF!</v>
      </c>
      <c r="N125" s="231">
        <f t="shared" si="31"/>
        <v>0</v>
      </c>
      <c r="O125" s="231">
        <f t="shared" si="38"/>
        <v>0</v>
      </c>
      <c r="P125" s="231">
        <f t="shared" si="32"/>
        <v>0</v>
      </c>
      <c r="Q125" s="82" t="e">
        <f>IF(OR($B125=#REF!,$B124=$AH$4),($L124-$L125)*(1-$AL$3)*(E125-D125)*24*#REF!*$AL$4,0)</f>
        <v>#REF!</v>
      </c>
      <c r="U125" s="226">
        <f t="shared" si="23"/>
        <v>43364</v>
      </c>
      <c r="V125" s="221">
        <f t="shared" si="24"/>
        <v>0.33333333333333298</v>
      </c>
      <c r="W125" s="229"/>
      <c r="X125" s="229"/>
      <c r="Y125" s="229"/>
      <c r="Z125" s="229"/>
      <c r="AA125" s="82"/>
      <c r="AB125" s="82" t="e">
        <f>AA125*(1-$AL$3)*#REF!*$AL$4*(E125-D125)*24</f>
        <v>#REF!</v>
      </c>
      <c r="AC125" s="231">
        <f t="shared" si="34"/>
        <v>0</v>
      </c>
      <c r="AD125" s="231">
        <f t="shared" si="39"/>
        <v>0</v>
      </c>
      <c r="AE125" s="231">
        <f t="shared" si="37"/>
        <v>0</v>
      </c>
      <c r="AF125" s="82" t="e">
        <f>IF(OR($V125=#REF!,$V125=$AH$4),($AA124-$AA125)*(1-$AL$3)*(E125-D125)*24*#REF!*$AL$4,0)</f>
        <v>#REF!</v>
      </c>
    </row>
    <row r="126" spans="1:32" ht="14.25">
      <c r="A126" s="226">
        <f t="shared" si="28"/>
        <v>43364</v>
      </c>
      <c r="B126" s="221">
        <v>0.58333333333333304</v>
      </c>
      <c r="C126" s="222" t="s">
        <v>39</v>
      </c>
      <c r="D126" s="223">
        <f t="shared" si="29"/>
        <v>43364.583333333336</v>
      </c>
      <c r="E126" s="223">
        <f t="shared" si="30"/>
        <v>43364.708333333336</v>
      </c>
      <c r="F126" s="224">
        <f>SUMPRODUCT(('6烧主抽电耗'!$A$3:$A$96=$A126)*('6烧主抽电耗'!$D$3:$D$96=$C126),'6烧主抽电耗'!$E$3:$E$96)</f>
        <v>1</v>
      </c>
      <c r="G126" s="223" t="str">
        <f t="shared" si="19"/>
        <v>甲班</v>
      </c>
      <c r="H126" s="225"/>
      <c r="I126" s="225"/>
      <c r="J126" s="225" t="str">
        <f>IF(_cuofeng5_month_day!A124="","",_cuofeng5_month_day!A124)</f>
        <v/>
      </c>
      <c r="K126" s="225" t="str">
        <f>IF(_cuofeng5_month_day!B124="","",_cuofeng5_month_day!B124)</f>
        <v/>
      </c>
      <c r="L126" s="224">
        <f>IFERROR(SUMPRODUCT((_5shaozhuchou_month_day!$A$3:$A$900&gt;=D126)*(_5shaozhuchou_month_day!$A$3:$A$900&lt;E126),_5shaozhuchou_month_day!$Y$3:$Y$900)/SUMPRODUCT((_5shaozhuchou_month_day!$A$3:$A$900&gt;=D126)*(_5shaozhuchou_month_day!$A$3:$A$900&lt;E126)),0)</f>
        <v>0</v>
      </c>
      <c r="M126" s="224" t="e">
        <f>L126*(1-$AL$3)*#REF!*$AL$4*(E126-D126)*24</f>
        <v>#REF!</v>
      </c>
      <c r="N126" s="231">
        <f t="shared" si="31"/>
        <v>0</v>
      </c>
      <c r="O126" s="231">
        <f t="shared" si="38"/>
        <v>0</v>
      </c>
      <c r="P126" s="231">
        <f t="shared" si="32"/>
        <v>0</v>
      </c>
      <c r="Q126" s="82" t="e">
        <f>IF(OR($B126=#REF!,$B125=$AH$4),($L125-$L126)*(1-$AL$3)*(E126-D126)*24*#REF!*$AL$4,0)</f>
        <v>#REF!</v>
      </c>
      <c r="U126" s="226">
        <f t="shared" si="23"/>
        <v>43364</v>
      </c>
      <c r="V126" s="221">
        <f t="shared" si="24"/>
        <v>0.58333333333333304</v>
      </c>
      <c r="W126" s="229"/>
      <c r="X126" s="229"/>
      <c r="Y126" s="229"/>
      <c r="Z126" s="229"/>
      <c r="AA126" s="82"/>
      <c r="AB126" s="82" t="e">
        <f>AA126*(1-$AL$3)*#REF!*$AL$4*(E126-D126)*24</f>
        <v>#REF!</v>
      </c>
      <c r="AC126" s="231">
        <f t="shared" si="34"/>
        <v>0</v>
      </c>
      <c r="AD126" s="231">
        <f t="shared" si="39"/>
        <v>0</v>
      </c>
      <c r="AE126" s="231">
        <f t="shared" si="37"/>
        <v>0</v>
      </c>
      <c r="AF126" s="82" t="e">
        <f>IF(OR($V126=#REF!,$V126=$AH$4),($AA125-$AA126)*(1-$AL$3)*(E126-D126)*24*#REF!*$AL$4,0)</f>
        <v>#REF!</v>
      </c>
    </row>
    <row r="127" spans="1:32" ht="14.25">
      <c r="A127" s="226">
        <f t="shared" si="28"/>
        <v>43364</v>
      </c>
      <c r="B127" s="221">
        <v>0.70833333333333304</v>
      </c>
      <c r="C127" s="222" t="s">
        <v>41</v>
      </c>
      <c r="D127" s="223">
        <f t="shared" si="29"/>
        <v>43364.708333333336</v>
      </c>
      <c r="E127" s="223">
        <f t="shared" si="30"/>
        <v>43364.791666666664</v>
      </c>
      <c r="F127" s="224">
        <f>SUMPRODUCT(('6烧主抽电耗'!$A$3:$A$96=$A127)*('6烧主抽电耗'!$D$3:$D$96=$C127),'6烧主抽电耗'!$E$3:$E$96)</f>
        <v>2</v>
      </c>
      <c r="G127" s="223" t="str">
        <f t="shared" si="19"/>
        <v>乙班</v>
      </c>
      <c r="H127" s="225"/>
      <c r="I127" s="225"/>
      <c r="J127" s="225" t="str">
        <f>IF(_cuofeng5_month_day!A125="","",_cuofeng5_month_day!A125)</f>
        <v/>
      </c>
      <c r="K127" s="225" t="str">
        <f>IF(_cuofeng5_month_day!B125="","",_cuofeng5_month_day!B125)</f>
        <v/>
      </c>
      <c r="L127" s="224">
        <f>IFERROR(SUMPRODUCT((_5shaozhuchou_month_day!$A$3:$A$900&gt;=D127)*(_5shaozhuchou_month_day!$A$3:$A$900&lt;E127),_5shaozhuchou_month_day!$Y$3:$Y$900)/SUMPRODUCT((_5shaozhuchou_month_day!$A$3:$A$900&gt;=D127)*(_5shaozhuchou_month_day!$A$3:$A$900&lt;E127)),0)</f>
        <v>0</v>
      </c>
      <c r="M127" s="224" t="e">
        <f>L127*(1-$AL$3)*#REF!*$AL$4*(E127-D127)*24</f>
        <v>#REF!</v>
      </c>
      <c r="N127" s="231">
        <f t="shared" si="31"/>
        <v>0</v>
      </c>
      <c r="O127" s="231">
        <f t="shared" si="38"/>
        <v>0</v>
      </c>
      <c r="P127" s="231">
        <f t="shared" si="32"/>
        <v>0</v>
      </c>
      <c r="Q127" s="82" t="e">
        <f>IF(OR($B127=#REF!,$B126=$AH$4),($L126-$L127)*(1-$AL$3)*(E127-D127)*24*#REF!*$AL$4,0)</f>
        <v>#REF!</v>
      </c>
      <c r="U127" s="226">
        <f t="shared" si="23"/>
        <v>43364</v>
      </c>
      <c r="V127" s="221">
        <f t="shared" si="24"/>
        <v>0.70833333333333304</v>
      </c>
      <c r="W127" s="229"/>
      <c r="X127" s="229"/>
      <c r="Y127" s="229"/>
      <c r="Z127" s="229"/>
      <c r="AA127" s="82"/>
      <c r="AB127" s="82" t="e">
        <f>AA127*(1-$AL$3)*#REF!*$AL$4*(E127-D127)*24</f>
        <v>#REF!</v>
      </c>
      <c r="AC127" s="231">
        <f t="shared" si="34"/>
        <v>0</v>
      </c>
      <c r="AD127" s="231">
        <f t="shared" si="39"/>
        <v>0</v>
      </c>
      <c r="AE127" s="231">
        <f t="shared" si="37"/>
        <v>0</v>
      </c>
      <c r="AF127" s="82" t="e">
        <f>IF(OR($V127=#REF!,$V127=$AH$4),($AA126-$AA127)*(1-$AL$3)*(E127-D127)*24*#REF!*$AL$4,0)</f>
        <v>#REF!</v>
      </c>
    </row>
    <row r="128" spans="1:32" ht="14.25">
      <c r="A128" s="226">
        <f t="shared" si="28"/>
        <v>43364</v>
      </c>
      <c r="B128" s="221">
        <v>0.79166666666666696</v>
      </c>
      <c r="C128" s="222" t="s">
        <v>41</v>
      </c>
      <c r="D128" s="223">
        <f t="shared" si="29"/>
        <v>43364.791666666664</v>
      </c>
      <c r="E128" s="223">
        <f t="shared" si="30"/>
        <v>43364.916666666664</v>
      </c>
      <c r="F128" s="224">
        <f>SUMPRODUCT(('6烧主抽电耗'!$A$3:$A$96=$A128)*('6烧主抽电耗'!$D$3:$D$96=$C128),'6烧主抽电耗'!$E$3:$E$96)</f>
        <v>2</v>
      </c>
      <c r="G128" s="223" t="str">
        <f t="shared" si="19"/>
        <v>乙班</v>
      </c>
      <c r="H128" s="225"/>
      <c r="I128" s="225"/>
      <c r="J128" s="225" t="str">
        <f>IF(_cuofeng5_month_day!A126="","",_cuofeng5_month_day!A126)</f>
        <v/>
      </c>
      <c r="K128" s="225" t="str">
        <f>IF(_cuofeng5_month_day!B126="","",_cuofeng5_month_day!B126)</f>
        <v/>
      </c>
      <c r="L128" s="224">
        <f>IFERROR(SUMPRODUCT((_5shaozhuchou_month_day!$A$3:$A$900&gt;=D128)*(_5shaozhuchou_month_day!$A$3:$A$900&lt;E128),_5shaozhuchou_month_day!$Y$3:$Y$900)/SUMPRODUCT((_5shaozhuchou_month_day!$A$3:$A$900&gt;=D128)*(_5shaozhuchou_month_day!$A$3:$A$900&lt;E128)),0)</f>
        <v>0</v>
      </c>
      <c r="M128" s="224" t="e">
        <f>L128*(1-$AL$3)*#REF!*$AL$4*(E128-D128)*24</f>
        <v>#REF!</v>
      </c>
      <c r="N128" s="231">
        <f t="shared" si="31"/>
        <v>0</v>
      </c>
      <c r="O128" s="231">
        <f t="shared" si="38"/>
        <v>0</v>
      </c>
      <c r="P128" s="231">
        <f t="shared" si="32"/>
        <v>0</v>
      </c>
      <c r="Q128" s="82" t="e">
        <f>IF(OR($B128=#REF!,$B127=$AH$4),($L127-$L128)*(1-$AL$3)*(E128-D128)*24*#REF!*$AL$4,0)</f>
        <v>#REF!</v>
      </c>
      <c r="U128" s="226">
        <f t="shared" si="23"/>
        <v>43364</v>
      </c>
      <c r="V128" s="221">
        <f t="shared" si="24"/>
        <v>0.79166666666666696</v>
      </c>
      <c r="W128" s="229"/>
      <c r="X128" s="229"/>
      <c r="Y128" s="229"/>
      <c r="Z128" s="229"/>
      <c r="AA128" s="82"/>
      <c r="AB128" s="82" t="e">
        <f>AA128*(1-$AL$3)*#REF!*$AL$4*(E128-D128)*24</f>
        <v>#REF!</v>
      </c>
      <c r="AC128" s="231">
        <f t="shared" si="34"/>
        <v>0</v>
      </c>
      <c r="AD128" s="231">
        <f t="shared" si="39"/>
        <v>0</v>
      </c>
      <c r="AE128" s="231">
        <f t="shared" si="37"/>
        <v>0</v>
      </c>
      <c r="AF128" s="82" t="e">
        <f>IF(OR($V128=#REF!,$V128=$AH$4),($AA127-$AA128)*(1-$AL$3)*(E128-D128)*24*#REF!*$AL$4,0)</f>
        <v>#REF!</v>
      </c>
    </row>
    <row r="129" spans="1:32" ht="14.25">
      <c r="A129" s="228">
        <f t="shared" si="28"/>
        <v>43364</v>
      </c>
      <c r="B129" s="221">
        <v>0.91666666666666696</v>
      </c>
      <c r="C129" s="222" t="s">
        <v>41</v>
      </c>
      <c r="D129" s="223">
        <f t="shared" si="29"/>
        <v>43364.916666666664</v>
      </c>
      <c r="E129" s="223">
        <f t="shared" si="30"/>
        <v>43365</v>
      </c>
      <c r="F129" s="224">
        <f>SUMPRODUCT(('6烧主抽电耗'!$A$3:$A$96=$A129)*('6烧主抽电耗'!$D$3:$D$96=$C129),'6烧主抽电耗'!$E$3:$E$96)</f>
        <v>2</v>
      </c>
      <c r="G129" s="223" t="str">
        <f t="shared" si="19"/>
        <v>乙班</v>
      </c>
      <c r="H129" s="225"/>
      <c r="I129" s="225"/>
      <c r="J129" s="225" t="str">
        <f>IF(_cuofeng5_month_day!A127="","",_cuofeng5_month_day!A127)</f>
        <v/>
      </c>
      <c r="K129" s="225" t="str">
        <f>IF(_cuofeng5_month_day!B127="","",_cuofeng5_month_day!B127)</f>
        <v/>
      </c>
      <c r="L129" s="224">
        <f>IFERROR(SUMPRODUCT((_5shaozhuchou_month_day!$A$3:$A$900&gt;=D129)*(_5shaozhuchou_month_day!$A$3:$A$900&lt;E129),_5shaozhuchou_month_day!$Y$3:$Y$900)/SUMPRODUCT((_5shaozhuchou_month_day!$A$3:$A$900&gt;=D129)*(_5shaozhuchou_month_day!$A$3:$A$900&lt;E129)),0)</f>
        <v>0</v>
      </c>
      <c r="M129" s="224" t="e">
        <f>L129*(1-$AL$3)*#REF!*$AL$4*(E129-D129)*24</f>
        <v>#REF!</v>
      </c>
      <c r="N129" s="231">
        <f t="shared" si="31"/>
        <v>0</v>
      </c>
      <c r="O129" s="231">
        <f t="shared" si="38"/>
        <v>0</v>
      </c>
      <c r="P129" s="231">
        <f t="shared" si="32"/>
        <v>0</v>
      </c>
      <c r="Q129" s="82" t="e">
        <f>IF(OR($B129=#REF!,$B128=$AH$4),($L128-$L129)*(1-$AL$3)*(E129-D129)*24*#REF!*$AL$4,0)</f>
        <v>#REF!</v>
      </c>
      <c r="U129" s="228">
        <f t="shared" si="23"/>
        <v>43364</v>
      </c>
      <c r="V129" s="221">
        <f t="shared" si="24"/>
        <v>0.91666666666666696</v>
      </c>
      <c r="W129" s="229"/>
      <c r="X129" s="229"/>
      <c r="Y129" s="229"/>
      <c r="Z129" s="229"/>
      <c r="AA129" s="82"/>
      <c r="AB129" s="82" t="e">
        <f>AA129*(1-$AL$3)*#REF!*$AL$4*(E129-D129)*24</f>
        <v>#REF!</v>
      </c>
      <c r="AC129" s="231">
        <f t="shared" si="34"/>
        <v>0</v>
      </c>
      <c r="AD129" s="231">
        <f t="shared" si="39"/>
        <v>0</v>
      </c>
      <c r="AE129" s="231">
        <f t="shared" si="37"/>
        <v>0</v>
      </c>
      <c r="AF129" s="82" t="e">
        <f>IF(OR($V129=#REF!,$V129=$AH$4),($AA128-$AA129)*(1-$AL$3)*(E129-D129)*24*#REF!*$AL$4,0)</f>
        <v>#REF!</v>
      </c>
    </row>
    <row r="130" spans="1:32" ht="14.25">
      <c r="A130" s="220">
        <f>A124+1</f>
        <v>43365</v>
      </c>
      <c r="B130" s="221">
        <v>0</v>
      </c>
      <c r="C130" s="222" t="s">
        <v>37</v>
      </c>
      <c r="D130" s="223">
        <f t="shared" si="29"/>
        <v>43365</v>
      </c>
      <c r="E130" s="223">
        <f t="shared" si="30"/>
        <v>43365.333333333336</v>
      </c>
      <c r="F130" s="224">
        <f>SUMPRODUCT(('6烧主抽电耗'!$A$3:$A$96=$A130)*('6烧主抽电耗'!$D$3:$D$96=$C130),'6烧主抽电耗'!$E$3:$E$96)</f>
        <v>3</v>
      </c>
      <c r="G130" s="223" t="str">
        <f t="shared" si="19"/>
        <v>丙班</v>
      </c>
      <c r="H130" s="225"/>
      <c r="I130" s="225"/>
      <c r="J130" s="225" t="str">
        <f>IF(_cuofeng5_month_day!A128="","",_cuofeng5_month_day!A128)</f>
        <v/>
      </c>
      <c r="K130" s="225" t="str">
        <f>IF(_cuofeng5_month_day!B128="","",_cuofeng5_month_day!B128)</f>
        <v/>
      </c>
      <c r="L130" s="224">
        <f>IFERROR(SUMPRODUCT((_5shaozhuchou_month_day!$A$3:$A$900&gt;=D130)*(_5shaozhuchou_month_day!$A$3:$A$900&lt;E130),_5shaozhuchou_month_day!$Y$3:$Y$900)/SUMPRODUCT((_5shaozhuchou_month_day!$A$3:$A$900&gt;=D130)*(_5shaozhuchou_month_day!$A$3:$A$900&lt;E130)),0)</f>
        <v>0</v>
      </c>
      <c r="M130" s="224" t="e">
        <f>L130*(1-$AL$3)*#REF!*$AL$4*(E130-D130)*24</f>
        <v>#REF!</v>
      </c>
      <c r="N130" s="231">
        <f t="shared" si="31"/>
        <v>0</v>
      </c>
      <c r="O130" s="231">
        <f t="shared" si="38"/>
        <v>0</v>
      </c>
      <c r="P130" s="231">
        <f t="shared" si="32"/>
        <v>0</v>
      </c>
      <c r="Q130" s="82" t="e">
        <f>IF(OR($B130=#REF!,$B129=$AH$4),($L129-$L130)*(1-$AL$3)*(E130-D130)*24*#REF!*$AL$4,0)</f>
        <v>#REF!</v>
      </c>
      <c r="U130" s="220">
        <f t="shared" si="23"/>
        <v>43365</v>
      </c>
      <c r="V130" s="221">
        <f t="shared" si="24"/>
        <v>0</v>
      </c>
      <c r="W130" s="229"/>
      <c r="X130" s="229"/>
      <c r="Y130" s="229"/>
      <c r="Z130" s="229"/>
      <c r="AA130" s="82"/>
      <c r="AB130" s="82" t="e">
        <f>AA130*(1-$AL$3)*#REF!*$AL$4*(E130-D130)*24</f>
        <v>#REF!</v>
      </c>
      <c r="AC130" s="231">
        <f t="shared" si="34"/>
        <v>0</v>
      </c>
      <c r="AD130" s="231">
        <f t="shared" si="39"/>
        <v>0</v>
      </c>
      <c r="AE130" s="231">
        <f t="shared" si="37"/>
        <v>0</v>
      </c>
      <c r="AF130" s="82" t="e">
        <f>IF(OR($V130=#REF!,$V130=$AH$4),($AA129-$AA130)*(1-$AL$3)*(E130-D130)*24*#REF!*$AL$4,0)</f>
        <v>#REF!</v>
      </c>
    </row>
    <row r="131" spans="1:32" ht="14.25">
      <c r="A131" s="226">
        <f>A130</f>
        <v>43365</v>
      </c>
      <c r="B131" s="221">
        <v>0.33333333333333298</v>
      </c>
      <c r="C131" s="222" t="s">
        <v>37</v>
      </c>
      <c r="D131" s="223">
        <f t="shared" si="29"/>
        <v>43365.333333333336</v>
      </c>
      <c r="E131" s="223">
        <f t="shared" si="30"/>
        <v>43365.583333333336</v>
      </c>
      <c r="F131" s="224">
        <f>SUMPRODUCT(('6烧主抽电耗'!$A$3:$A$96=$A131)*('6烧主抽电耗'!$D$3:$D$96=$C131),'6烧主抽电耗'!$E$3:$E$96)</f>
        <v>3</v>
      </c>
      <c r="G131" s="223" t="str">
        <f t="shared" si="19"/>
        <v>丙班</v>
      </c>
      <c r="H131" s="225"/>
      <c r="I131" s="225"/>
      <c r="J131" s="225" t="str">
        <f>IF(_cuofeng5_month_day!A129="","",_cuofeng5_month_day!A129)</f>
        <v/>
      </c>
      <c r="K131" s="225" t="str">
        <f>IF(_cuofeng5_month_day!B129="","",_cuofeng5_month_day!B129)</f>
        <v/>
      </c>
      <c r="L131" s="224">
        <f>IFERROR(SUMPRODUCT((_5shaozhuchou_month_day!$A$3:$A$900&gt;=D131)*(_5shaozhuchou_month_day!$A$3:$A$900&lt;E131),_5shaozhuchou_month_day!$Y$3:$Y$900)/SUMPRODUCT((_5shaozhuchou_month_day!$A$3:$A$900&gt;=D131)*(_5shaozhuchou_month_day!$A$3:$A$900&lt;E131)),0)</f>
        <v>0</v>
      </c>
      <c r="M131" s="224" t="e">
        <f>L131*(1-$AL$3)*#REF!*$AL$4*(E131-D131)*24</f>
        <v>#REF!</v>
      </c>
      <c r="N131" s="231">
        <f t="shared" si="31"/>
        <v>0</v>
      </c>
      <c r="O131" s="231">
        <f t="shared" si="38"/>
        <v>0</v>
      </c>
      <c r="P131" s="231">
        <f t="shared" si="32"/>
        <v>0</v>
      </c>
      <c r="Q131" s="82" t="e">
        <f>IF(OR($B131=#REF!,$B130=$AH$4),($L130-$L131)*(1-$AL$3)*(E131-D131)*24*#REF!*$AL$4,0)</f>
        <v>#REF!</v>
      </c>
      <c r="U131" s="226">
        <f t="shared" si="23"/>
        <v>43365</v>
      </c>
      <c r="V131" s="221">
        <f t="shared" si="24"/>
        <v>0.33333333333333298</v>
      </c>
      <c r="W131" s="237"/>
      <c r="X131" s="225"/>
      <c r="Y131" s="229"/>
      <c r="Z131" s="229"/>
      <c r="AA131" s="82"/>
      <c r="AB131" s="82" t="e">
        <f>AA131*(1-$AL$3)*#REF!*$AL$4*(E131-D131)*24</f>
        <v>#REF!</v>
      </c>
      <c r="AC131" s="231">
        <f t="shared" si="34"/>
        <v>0</v>
      </c>
      <c r="AD131" s="231">
        <f t="shared" si="39"/>
        <v>0</v>
      </c>
      <c r="AE131" s="231">
        <f t="shared" si="37"/>
        <v>0</v>
      </c>
      <c r="AF131" s="82" t="e">
        <f>IF(OR($V131=#REF!,$V131=$AH$4),($AA130-$AA131)*(1-$AL$3)*(E131-D131)*24*#REF!*$AL$4,0)</f>
        <v>#REF!</v>
      </c>
    </row>
    <row r="132" spans="1:32" ht="14.25">
      <c r="A132" s="226">
        <f t="shared" si="28"/>
        <v>43365</v>
      </c>
      <c r="B132" s="221">
        <v>0.58333333333333304</v>
      </c>
      <c r="C132" s="222" t="s">
        <v>39</v>
      </c>
      <c r="D132" s="223">
        <f t="shared" ref="D132:D163" si="40">A132+B132</f>
        <v>43365.583333333336</v>
      </c>
      <c r="E132" s="223">
        <f t="shared" ref="E132:E163" si="41">D133</f>
        <v>43365.708333333336</v>
      </c>
      <c r="F132" s="224">
        <f>SUMPRODUCT(('6烧主抽电耗'!$A$3:$A$96=$A132)*('6烧主抽电耗'!$D$3:$D$96=$C132),'6烧主抽电耗'!$E$3:$E$96)</f>
        <v>4</v>
      </c>
      <c r="G132" s="223" t="str">
        <f t="shared" si="19"/>
        <v>丁班</v>
      </c>
      <c r="H132" s="225"/>
      <c r="I132" s="225"/>
      <c r="J132" s="225" t="str">
        <f>IF(_cuofeng5_month_day!A130="","",_cuofeng5_month_day!A130)</f>
        <v/>
      </c>
      <c r="K132" s="225" t="str">
        <f>IF(_cuofeng5_month_day!B130="","",_cuofeng5_month_day!B130)</f>
        <v/>
      </c>
      <c r="L132" s="224">
        <f>IFERROR(SUMPRODUCT((_5shaozhuchou_month_day!$A$3:$A$900&gt;=D132)*(_5shaozhuchou_month_day!$A$3:$A$900&lt;E132),_5shaozhuchou_month_day!$Y$3:$Y$900)/SUMPRODUCT((_5shaozhuchou_month_day!$A$3:$A$900&gt;=D132)*(_5shaozhuchou_month_day!$A$3:$A$900&lt;E132)),0)</f>
        <v>0</v>
      </c>
      <c r="M132" s="224" t="e">
        <f>L132*(1-$AL$3)*#REF!*$AL$4*(E132-D132)*24</f>
        <v>#REF!</v>
      </c>
      <c r="N132" s="231">
        <f t="shared" si="31"/>
        <v>0</v>
      </c>
      <c r="O132" s="231">
        <f t="shared" si="38"/>
        <v>0</v>
      </c>
      <c r="P132" s="231">
        <f t="shared" si="32"/>
        <v>0</v>
      </c>
      <c r="Q132" s="82" t="e">
        <f>IF(OR($B132=#REF!,$B131=$AH$4),($L131-$L132)*(1-$AL$3)*(E132-D132)*24*#REF!*$AL$4,0)</f>
        <v>#REF!</v>
      </c>
      <c r="U132" s="226">
        <f t="shared" si="23"/>
        <v>43365</v>
      </c>
      <c r="V132" s="221">
        <f t="shared" si="24"/>
        <v>0.58333333333333304</v>
      </c>
      <c r="W132" s="229"/>
      <c r="X132" s="229"/>
      <c r="Y132" s="229"/>
      <c r="Z132" s="229"/>
      <c r="AA132" s="82"/>
      <c r="AB132" s="82" t="e">
        <f>AA132*(1-$AL$3)*#REF!*$AL$4*(E132-D132)*24</f>
        <v>#REF!</v>
      </c>
      <c r="AC132" s="231">
        <f t="shared" si="34"/>
        <v>0</v>
      </c>
      <c r="AD132" s="231">
        <f t="shared" si="39"/>
        <v>0</v>
      </c>
      <c r="AE132" s="231">
        <f t="shared" si="37"/>
        <v>0</v>
      </c>
      <c r="AF132" s="82" t="e">
        <f>IF(OR($V132=#REF!,$V132=$AH$4),($AA131-$AA132)*(1-$AL$3)*(E132-D132)*24*#REF!*$AL$4,0)</f>
        <v>#REF!</v>
      </c>
    </row>
    <row r="133" spans="1:32" ht="14.25">
      <c r="A133" s="226">
        <f t="shared" si="28"/>
        <v>43365</v>
      </c>
      <c r="B133" s="221">
        <v>0.70833333333333304</v>
      </c>
      <c r="C133" s="222" t="s">
        <v>41</v>
      </c>
      <c r="D133" s="223">
        <f t="shared" si="40"/>
        <v>43365.708333333336</v>
      </c>
      <c r="E133" s="223">
        <f t="shared" si="41"/>
        <v>43365.791666666664</v>
      </c>
      <c r="F133" s="224">
        <f>SUMPRODUCT(('6烧主抽电耗'!$A$3:$A$96=$A133)*('6烧主抽电耗'!$D$3:$D$96=$C133),'6烧主抽电耗'!$E$3:$E$96)</f>
        <v>1</v>
      </c>
      <c r="G133" s="223" t="str">
        <f t="shared" ref="G133:G190" si="42">IF(AND(F133=1),"甲班",IF(AND(F133=2),"乙班",IF(AND(F133=3),"丙班",IF(AND(F133=4),"丁班",))))</f>
        <v>甲班</v>
      </c>
      <c r="H133" s="225"/>
      <c r="I133" s="225"/>
      <c r="J133" s="225" t="str">
        <f>IF(_cuofeng5_month_day!A131="","",_cuofeng5_month_day!A131)</f>
        <v/>
      </c>
      <c r="K133" s="225" t="str">
        <f>IF(_cuofeng5_month_day!B131="","",_cuofeng5_month_day!B131)</f>
        <v/>
      </c>
      <c r="L133" s="224">
        <f>IFERROR(SUMPRODUCT((_5shaozhuchou_month_day!$A$3:$A$900&gt;=D133)*(_5shaozhuchou_month_day!$A$3:$A$900&lt;E133),_5shaozhuchou_month_day!$Y$3:$Y$900)/SUMPRODUCT((_5shaozhuchou_month_day!$A$3:$A$900&gt;=D133)*(_5shaozhuchou_month_day!$A$3:$A$900&lt;E133)),0)</f>
        <v>0</v>
      </c>
      <c r="M133" s="224" t="e">
        <f>L133*(1-$AL$3)*#REF!*$AL$4*(E133-D133)*24</f>
        <v>#REF!</v>
      </c>
      <c r="N133" s="231">
        <f t="shared" ref="N133:N164" si="43">IF(OR($B133=$AH$4,$B133=$AH$5),(($H134-$H133)+($I134-$I133))*3,0)</f>
        <v>0</v>
      </c>
      <c r="O133" s="231">
        <f t="shared" si="38"/>
        <v>0</v>
      </c>
      <c r="P133" s="231">
        <f t="shared" ref="P133:P164" si="44">IF(OR($B133=$AJ$4),(($H134-$H133)+($I134-$I133))*3,0)</f>
        <v>0</v>
      </c>
      <c r="Q133" s="82" t="e">
        <f>IF(OR($B133=#REF!,$B132=$AH$4),($L132-$L133)*(1-$AL$3)*(E133-D133)*24*#REF!*$AL$4,0)</f>
        <v>#REF!</v>
      </c>
      <c r="U133" s="226">
        <f t="shared" ref="U133:U191" si="45">A133</f>
        <v>43365</v>
      </c>
      <c r="V133" s="221">
        <f t="shared" ref="V133:V191" si="46">B133</f>
        <v>0.70833333333333304</v>
      </c>
      <c r="W133" s="229"/>
      <c r="X133" s="229"/>
      <c r="Y133" s="229"/>
      <c r="Z133" s="229"/>
      <c r="AA133" s="82"/>
      <c r="AB133" s="82" t="e">
        <f>AA133*(1-$AL$3)*#REF!*$AL$4*(E133-D133)*24</f>
        <v>#REF!</v>
      </c>
      <c r="AC133" s="231">
        <f t="shared" si="34"/>
        <v>0</v>
      </c>
      <c r="AD133" s="231">
        <f t="shared" si="39"/>
        <v>0</v>
      </c>
      <c r="AE133" s="231">
        <f t="shared" si="37"/>
        <v>0</v>
      </c>
      <c r="AF133" s="82" t="e">
        <f>IF(OR($V133=#REF!,$V133=$AH$4),($AA132-$AA133)*(1-$AL$3)*(E133-D133)*24*#REF!*$AL$4,0)</f>
        <v>#REF!</v>
      </c>
    </row>
    <row r="134" spans="1:32" ht="14.25">
      <c r="A134" s="226">
        <f t="shared" si="28"/>
        <v>43365</v>
      </c>
      <c r="B134" s="221">
        <v>0.79166666666666696</v>
      </c>
      <c r="C134" s="222" t="s">
        <v>41</v>
      </c>
      <c r="D134" s="223">
        <f t="shared" si="40"/>
        <v>43365.791666666664</v>
      </c>
      <c r="E134" s="223">
        <f t="shared" si="41"/>
        <v>43365.916666666664</v>
      </c>
      <c r="F134" s="224">
        <f>SUMPRODUCT(('6烧主抽电耗'!$A$3:$A$96=$A134)*('6烧主抽电耗'!$D$3:$D$96=$C134),'6烧主抽电耗'!$E$3:$E$96)</f>
        <v>1</v>
      </c>
      <c r="G134" s="223" t="str">
        <f t="shared" si="42"/>
        <v>甲班</v>
      </c>
      <c r="H134" s="225"/>
      <c r="I134" s="225"/>
      <c r="J134" s="225" t="str">
        <f>IF(_cuofeng5_month_day!A132="","",_cuofeng5_month_day!A132)</f>
        <v/>
      </c>
      <c r="K134" s="225" t="str">
        <f>IF(_cuofeng5_month_day!B132="","",_cuofeng5_month_day!B132)</f>
        <v/>
      </c>
      <c r="L134" s="224">
        <f>IFERROR(SUMPRODUCT((_5shaozhuchou_month_day!$A$3:$A$900&gt;=D134)*(_5shaozhuchou_month_day!$A$3:$A$900&lt;E134),_5shaozhuchou_month_day!$Y$3:$Y$900)/SUMPRODUCT((_5shaozhuchou_month_day!$A$3:$A$900&gt;=D134)*(_5shaozhuchou_month_day!$A$3:$A$900&lt;E134)),0)</f>
        <v>0</v>
      </c>
      <c r="M134" s="224" t="e">
        <f>L134*(1-$AL$3)*#REF!*$AL$4*(E134-D134)*24</f>
        <v>#REF!</v>
      </c>
      <c r="N134" s="231">
        <f t="shared" si="43"/>
        <v>0</v>
      </c>
      <c r="O134" s="231">
        <f t="shared" si="38"/>
        <v>0</v>
      </c>
      <c r="P134" s="231">
        <f t="shared" si="44"/>
        <v>0</v>
      </c>
      <c r="Q134" s="82" t="e">
        <f>IF(OR($B134=#REF!,$B133=$AH$4),($L133-$L134)*(1-$AL$3)*(E134-D134)*24*#REF!*$AL$4,0)</f>
        <v>#REF!</v>
      </c>
      <c r="U134" s="226">
        <f t="shared" si="45"/>
        <v>43365</v>
      </c>
      <c r="V134" s="221">
        <f t="shared" si="46"/>
        <v>0.79166666666666696</v>
      </c>
      <c r="W134" s="229"/>
      <c r="X134" s="229"/>
      <c r="Y134" s="229"/>
      <c r="Z134" s="229"/>
      <c r="AA134" s="82"/>
      <c r="AB134" s="82" t="e">
        <f>AA134*(1-$AL$3)*#REF!*$AL$4*(E134-D134)*24</f>
        <v>#REF!</v>
      </c>
      <c r="AC134" s="231">
        <f t="shared" si="34"/>
        <v>0</v>
      </c>
      <c r="AD134" s="231">
        <f t="shared" si="39"/>
        <v>0</v>
      </c>
      <c r="AE134" s="231">
        <f t="shared" si="37"/>
        <v>0</v>
      </c>
      <c r="AF134" s="82" t="e">
        <f>IF(OR($V134=#REF!,$V134=$AH$4),($AA133-$AA134)*(1-$AL$3)*(E134-D134)*24*#REF!*$AL$4,0)</f>
        <v>#REF!</v>
      </c>
    </row>
    <row r="135" spans="1:32" ht="14.25">
      <c r="A135" s="228">
        <f t="shared" si="28"/>
        <v>43365</v>
      </c>
      <c r="B135" s="221">
        <v>0.91666666666666696</v>
      </c>
      <c r="C135" s="222" t="s">
        <v>41</v>
      </c>
      <c r="D135" s="223">
        <f t="shared" si="40"/>
        <v>43365.916666666664</v>
      </c>
      <c r="E135" s="223">
        <f t="shared" si="41"/>
        <v>43366</v>
      </c>
      <c r="F135" s="224">
        <f>SUMPRODUCT(('6烧主抽电耗'!$A$3:$A$96=$A135)*('6烧主抽电耗'!$D$3:$D$96=$C135),'6烧主抽电耗'!$E$3:$E$96)</f>
        <v>1</v>
      </c>
      <c r="G135" s="223" t="str">
        <f t="shared" si="42"/>
        <v>甲班</v>
      </c>
      <c r="H135" s="225"/>
      <c r="I135" s="225"/>
      <c r="J135" s="225" t="str">
        <f>IF(_cuofeng5_month_day!A133="","",_cuofeng5_month_day!A133)</f>
        <v/>
      </c>
      <c r="K135" s="225" t="str">
        <f>IF(_cuofeng5_month_day!B133="","",_cuofeng5_month_day!B133)</f>
        <v/>
      </c>
      <c r="L135" s="224">
        <f>IFERROR(SUMPRODUCT((_5shaozhuchou_month_day!$A$3:$A$900&gt;=D135)*(_5shaozhuchou_month_day!$A$3:$A$900&lt;E135),_5shaozhuchou_month_day!$Y$3:$Y$900)/SUMPRODUCT((_5shaozhuchou_month_day!$A$3:$A$900&gt;=D135)*(_5shaozhuchou_month_day!$A$3:$A$900&lt;E135)),0)</f>
        <v>0</v>
      </c>
      <c r="M135" s="224" t="e">
        <f>L135*(1-$AL$3)*#REF!*$AL$4*(E135-D135)*24</f>
        <v>#REF!</v>
      </c>
      <c r="N135" s="231">
        <f t="shared" si="43"/>
        <v>0</v>
      </c>
      <c r="O135" s="231">
        <f t="shared" si="38"/>
        <v>0</v>
      </c>
      <c r="P135" s="231">
        <f t="shared" si="44"/>
        <v>0</v>
      </c>
      <c r="Q135" s="82" t="e">
        <f>IF(OR($B135=#REF!,$B134=$AH$4),($L134-$L135)*(1-$AL$3)*(E135-D135)*24*#REF!*$AL$4,0)</f>
        <v>#REF!</v>
      </c>
      <c r="U135" s="228">
        <f t="shared" si="45"/>
        <v>43365</v>
      </c>
      <c r="V135" s="221">
        <f t="shared" si="46"/>
        <v>0.91666666666666696</v>
      </c>
      <c r="W135" s="229"/>
      <c r="X135" s="229"/>
      <c r="Y135" s="229"/>
      <c r="Z135" s="229"/>
      <c r="AA135" s="82">
        <v>98</v>
      </c>
      <c r="AB135" s="82" t="e">
        <f>AA135*(1-$AL$3)*#REF!*$AL$4*(E135-D135)*24</f>
        <v>#REF!</v>
      </c>
      <c r="AC135" s="231">
        <f t="shared" si="34"/>
        <v>0</v>
      </c>
      <c r="AD135" s="231">
        <f t="shared" si="39"/>
        <v>0</v>
      </c>
      <c r="AE135" s="231">
        <f t="shared" si="37"/>
        <v>0</v>
      </c>
      <c r="AF135" s="82" t="e">
        <f>IF(OR($V135=#REF!,$V135=$AH$4),($AA134-$AA135)*(1-$AL$3)*(E135-D135)*24*#REF!*$AL$4,0)</f>
        <v>#REF!</v>
      </c>
    </row>
    <row r="136" spans="1:32" ht="14.25">
      <c r="A136" s="220">
        <f>A130+1</f>
        <v>43366</v>
      </c>
      <c r="B136" s="221">
        <v>0</v>
      </c>
      <c r="C136" s="222" t="s">
        <v>37</v>
      </c>
      <c r="D136" s="223">
        <f t="shared" si="40"/>
        <v>43366</v>
      </c>
      <c r="E136" s="223">
        <f t="shared" si="41"/>
        <v>43366.333333333336</v>
      </c>
      <c r="F136" s="224">
        <f>SUMPRODUCT(('6烧主抽电耗'!$A$3:$A$96=$A136)*('6烧主抽电耗'!$D$3:$D$96=$C136),'6烧主抽电耗'!$E$3:$E$96)</f>
        <v>3</v>
      </c>
      <c r="G136" s="223" t="str">
        <f t="shared" si="42"/>
        <v>丙班</v>
      </c>
      <c r="H136" s="225"/>
      <c r="I136" s="225"/>
      <c r="J136" s="225" t="str">
        <f>IF(_cuofeng5_month_day!A134="","",_cuofeng5_month_day!A134)</f>
        <v/>
      </c>
      <c r="K136" s="225" t="str">
        <f>IF(_cuofeng5_month_day!B134="","",_cuofeng5_month_day!B134)</f>
        <v/>
      </c>
      <c r="L136" s="224">
        <f>IFERROR(SUMPRODUCT((_5shaozhuchou_month_day!$A$3:$A$900&gt;=D136)*(_5shaozhuchou_month_day!$A$3:$A$900&lt;E136),_5shaozhuchou_month_day!$Y$3:$Y$900)/SUMPRODUCT((_5shaozhuchou_month_day!$A$3:$A$900&gt;=D136)*(_5shaozhuchou_month_day!$A$3:$A$900&lt;E136)),0)</f>
        <v>0</v>
      </c>
      <c r="M136" s="224" t="e">
        <f>L136*(1-$AL$3)*#REF!*$AL$4*(E136-D136)*24</f>
        <v>#REF!</v>
      </c>
      <c r="N136" s="231">
        <f t="shared" si="43"/>
        <v>0</v>
      </c>
      <c r="O136" s="231">
        <f t="shared" si="38"/>
        <v>0</v>
      </c>
      <c r="P136" s="231">
        <f t="shared" si="44"/>
        <v>0</v>
      </c>
      <c r="Q136" s="82" t="e">
        <f>IF(OR($B136=#REF!,$B135=$AH$4),($L135-$L136)*(1-$AL$3)*(E136-D136)*24*#REF!*$AL$4,0)</f>
        <v>#REF!</v>
      </c>
      <c r="U136" s="220">
        <f t="shared" si="45"/>
        <v>43366</v>
      </c>
      <c r="V136" s="221">
        <f t="shared" si="46"/>
        <v>0</v>
      </c>
      <c r="W136" s="237"/>
      <c r="X136" s="225"/>
      <c r="Y136" s="229"/>
      <c r="Z136" s="229"/>
      <c r="AA136" s="82"/>
      <c r="AB136" s="82" t="e">
        <f>AA136*(1-$AL$3)*#REF!*$AL$4*(E136-D136)*24</f>
        <v>#REF!</v>
      </c>
      <c r="AC136" s="231">
        <f t="shared" si="34"/>
        <v>0</v>
      </c>
      <c r="AD136" s="231">
        <f t="shared" si="39"/>
        <v>0</v>
      </c>
      <c r="AE136" s="231">
        <f t="shared" si="37"/>
        <v>0</v>
      </c>
      <c r="AF136" s="82" t="e">
        <f>IF(OR($V136=#REF!,$V136=$AH$4),($AA135-$AA136)*(1-$AL$3)*(E136-D136)*24*#REF!*$AL$4,0)</f>
        <v>#REF!</v>
      </c>
    </row>
    <row r="137" spans="1:32" ht="14.25">
      <c r="A137" s="226">
        <f>A136</f>
        <v>43366</v>
      </c>
      <c r="B137" s="221">
        <v>0.33333333333333298</v>
      </c>
      <c r="C137" s="222" t="s">
        <v>37</v>
      </c>
      <c r="D137" s="223">
        <f t="shared" si="40"/>
        <v>43366.333333333336</v>
      </c>
      <c r="E137" s="223">
        <f t="shared" si="41"/>
        <v>43366.583333333336</v>
      </c>
      <c r="F137" s="224">
        <f>SUMPRODUCT(('6烧主抽电耗'!$A$3:$A$96=$A137)*('6烧主抽电耗'!$D$3:$D$96=$C137),'6烧主抽电耗'!$E$3:$E$96)</f>
        <v>3</v>
      </c>
      <c r="G137" s="223" t="str">
        <f t="shared" si="42"/>
        <v>丙班</v>
      </c>
      <c r="H137" s="225"/>
      <c r="I137" s="225"/>
      <c r="J137" s="225" t="str">
        <f>IF(_cuofeng5_month_day!A135="","",_cuofeng5_month_day!A135)</f>
        <v/>
      </c>
      <c r="K137" s="225" t="str">
        <f>IF(_cuofeng5_month_day!B135="","",_cuofeng5_month_day!B135)</f>
        <v/>
      </c>
      <c r="L137" s="224">
        <f>IFERROR(SUMPRODUCT((_5shaozhuchou_month_day!$A$3:$A$900&gt;=D137)*(_5shaozhuchou_month_day!$A$3:$A$900&lt;E137),_5shaozhuchou_month_day!$Y$3:$Y$900)/SUMPRODUCT((_5shaozhuchou_month_day!$A$3:$A$900&gt;=D137)*(_5shaozhuchou_month_day!$A$3:$A$900&lt;E137)),0)</f>
        <v>0</v>
      </c>
      <c r="M137" s="224" t="e">
        <f>L137*(1-$AL$3)*#REF!*$AL$4*(E137-D137)*24</f>
        <v>#REF!</v>
      </c>
      <c r="N137" s="231">
        <f t="shared" si="43"/>
        <v>0</v>
      </c>
      <c r="O137" s="231">
        <f t="shared" si="38"/>
        <v>0</v>
      </c>
      <c r="P137" s="231">
        <f t="shared" si="44"/>
        <v>0</v>
      </c>
      <c r="Q137" s="82" t="e">
        <f>IF(OR($B137=#REF!,$B136=$AH$4),($L136-$L137)*(1-$AL$3)*(E137-D137)*24*#REF!*$AL$4,0)</f>
        <v>#REF!</v>
      </c>
      <c r="U137" s="226">
        <f t="shared" si="45"/>
        <v>43366</v>
      </c>
      <c r="V137" s="221">
        <f t="shared" si="46"/>
        <v>0.33333333333333298</v>
      </c>
      <c r="W137" s="237"/>
      <c r="X137" s="225"/>
      <c r="Y137" s="229"/>
      <c r="Z137" s="229"/>
      <c r="AA137" s="82"/>
      <c r="AB137" s="82" t="e">
        <f>AA137*(1-$AL$3)*#REF!*$AL$4*(E137-D137)*24</f>
        <v>#REF!</v>
      </c>
      <c r="AC137" s="231">
        <f t="shared" ref="AC137:AC168" si="47">IF(OR($V137=$AH$4,$V137=$AH$5),(($W138-$W137)+($X138-$X137))*3,0)</f>
        <v>0</v>
      </c>
      <c r="AD137" s="231">
        <f t="shared" si="39"/>
        <v>0</v>
      </c>
      <c r="AE137" s="231">
        <f t="shared" si="37"/>
        <v>0</v>
      </c>
      <c r="AF137" s="82" t="e">
        <f>IF(OR($V137=#REF!,$V137=$AH$4),($AA136-$AA137)*(1-$AL$3)*(E137-D137)*24*#REF!*$AL$4,0)</f>
        <v>#REF!</v>
      </c>
    </row>
    <row r="138" spans="1:32" ht="14.25">
      <c r="A138" s="226">
        <f t="shared" si="28"/>
        <v>43366</v>
      </c>
      <c r="B138" s="221">
        <v>0.58333333333333304</v>
      </c>
      <c r="C138" s="222" t="s">
        <v>39</v>
      </c>
      <c r="D138" s="223">
        <f t="shared" si="40"/>
        <v>43366.583333333336</v>
      </c>
      <c r="E138" s="223">
        <f t="shared" si="41"/>
        <v>43366.708333333336</v>
      </c>
      <c r="F138" s="224">
        <f>SUMPRODUCT(('6烧主抽电耗'!$A$3:$A$96=$A138)*('6烧主抽电耗'!$D$3:$D$96=$C138),'6烧主抽电耗'!$E$3:$E$96)</f>
        <v>4</v>
      </c>
      <c r="G138" s="223" t="str">
        <f t="shared" si="42"/>
        <v>丁班</v>
      </c>
      <c r="H138" s="225"/>
      <c r="I138" s="225"/>
      <c r="J138" s="225" t="str">
        <f>IF(_cuofeng5_month_day!A136="","",_cuofeng5_month_day!A136)</f>
        <v/>
      </c>
      <c r="K138" s="225" t="str">
        <f>IF(_cuofeng5_month_day!B136="","",_cuofeng5_month_day!B136)</f>
        <v/>
      </c>
      <c r="L138" s="224">
        <f>IFERROR(SUMPRODUCT((_5shaozhuchou_month_day!$A$3:$A$900&gt;=D138)*(_5shaozhuchou_month_day!$A$3:$A$900&lt;E138),_5shaozhuchou_month_day!$Y$3:$Y$900)/SUMPRODUCT((_5shaozhuchou_month_day!$A$3:$A$900&gt;=D138)*(_5shaozhuchou_month_day!$A$3:$A$900&lt;E138)),0)</f>
        <v>0</v>
      </c>
      <c r="M138" s="224" t="e">
        <f>L138*(1-$AL$3)*#REF!*$AL$4*(E138-D138)*24</f>
        <v>#REF!</v>
      </c>
      <c r="N138" s="231">
        <f t="shared" si="43"/>
        <v>0</v>
      </c>
      <c r="O138" s="231">
        <f t="shared" si="38"/>
        <v>0</v>
      </c>
      <c r="P138" s="231">
        <f t="shared" si="44"/>
        <v>0</v>
      </c>
      <c r="Q138" s="82" t="e">
        <f>IF(OR($B138=#REF!,$B137=$AH$4),($L137-$L138)*(1-$AL$3)*(E138-D138)*24*#REF!*$AL$4,0)</f>
        <v>#REF!</v>
      </c>
      <c r="U138" s="226">
        <f t="shared" si="45"/>
        <v>43366</v>
      </c>
      <c r="V138" s="221">
        <f t="shared" si="46"/>
        <v>0.58333333333333304</v>
      </c>
      <c r="W138" s="229"/>
      <c r="X138" s="229"/>
      <c r="Y138" s="229"/>
      <c r="Z138" s="229"/>
      <c r="AA138" s="82"/>
      <c r="AB138" s="82" t="e">
        <f>AA138*(1-$AL$3)*#REF!*$AL$4*(E138-D138)*24</f>
        <v>#REF!</v>
      </c>
      <c r="AC138" s="231">
        <f t="shared" si="47"/>
        <v>0</v>
      </c>
      <c r="AD138" s="231">
        <f t="shared" si="39"/>
        <v>0</v>
      </c>
      <c r="AE138" s="231">
        <f t="shared" si="37"/>
        <v>0</v>
      </c>
      <c r="AF138" s="82" t="e">
        <f>IF(OR($V138=#REF!,$V138=$AH$4),($AA137-$AA138)*(1-$AL$3)*(E138-D138)*24*#REF!*$AL$4,0)</f>
        <v>#REF!</v>
      </c>
    </row>
    <row r="139" spans="1:32" ht="14.25">
      <c r="A139" s="226">
        <f t="shared" si="28"/>
        <v>43366</v>
      </c>
      <c r="B139" s="221">
        <v>0.70833333333333304</v>
      </c>
      <c r="C139" s="222" t="s">
        <v>41</v>
      </c>
      <c r="D139" s="223">
        <f t="shared" si="40"/>
        <v>43366.708333333336</v>
      </c>
      <c r="E139" s="223">
        <f t="shared" si="41"/>
        <v>43366.791666666664</v>
      </c>
      <c r="F139" s="224">
        <f>SUMPRODUCT(('6烧主抽电耗'!$A$3:$A$96=$A139)*('6烧主抽电耗'!$D$3:$D$96=$C139),'6烧主抽电耗'!$E$3:$E$96)</f>
        <v>1</v>
      </c>
      <c r="G139" s="223" t="str">
        <f t="shared" si="42"/>
        <v>甲班</v>
      </c>
      <c r="H139" s="225"/>
      <c r="I139" s="225"/>
      <c r="J139" s="225" t="str">
        <f>IF(_cuofeng5_month_day!A137="","",_cuofeng5_month_day!A137)</f>
        <v/>
      </c>
      <c r="K139" s="225" t="str">
        <f>IF(_cuofeng5_month_day!B137="","",_cuofeng5_month_day!B137)</f>
        <v/>
      </c>
      <c r="L139" s="224">
        <f>IFERROR(SUMPRODUCT((_5shaozhuchou_month_day!$A$3:$A$900&gt;=D139)*(_5shaozhuchou_month_day!$A$3:$A$900&lt;E139),_5shaozhuchou_month_day!$Y$3:$Y$900)/SUMPRODUCT((_5shaozhuchou_month_day!$A$3:$A$900&gt;=D139)*(_5shaozhuchou_month_day!$A$3:$A$900&lt;E139)),0)</f>
        <v>0</v>
      </c>
      <c r="M139" s="224" t="e">
        <f>L139*(1-$AL$3)*#REF!*$AL$4*(E139-D139)*24</f>
        <v>#REF!</v>
      </c>
      <c r="N139" s="231">
        <f t="shared" si="43"/>
        <v>0</v>
      </c>
      <c r="O139" s="231">
        <f t="shared" si="38"/>
        <v>0</v>
      </c>
      <c r="P139" s="231">
        <f t="shared" si="44"/>
        <v>0</v>
      </c>
      <c r="Q139" s="82" t="e">
        <f>IF(OR($B139=#REF!,$B138=$AH$4),($L138-$L139)*(1-$AL$3)*(E139-D139)*24*#REF!*$AL$4,0)</f>
        <v>#REF!</v>
      </c>
      <c r="U139" s="226">
        <f t="shared" si="45"/>
        <v>43366</v>
      </c>
      <c r="V139" s="221">
        <f t="shared" si="46"/>
        <v>0.70833333333333304</v>
      </c>
      <c r="W139" s="229"/>
      <c r="X139" s="229"/>
      <c r="Y139" s="229"/>
      <c r="Z139" s="229"/>
      <c r="AA139" s="82"/>
      <c r="AB139" s="82" t="e">
        <f>AA139*(1-$AL$3)*#REF!*$AL$4*(E139-D139)*24</f>
        <v>#REF!</v>
      </c>
      <c r="AC139" s="231">
        <f t="shared" si="47"/>
        <v>0</v>
      </c>
      <c r="AD139" s="231">
        <f t="shared" si="39"/>
        <v>0</v>
      </c>
      <c r="AE139" s="231">
        <f t="shared" si="37"/>
        <v>0</v>
      </c>
      <c r="AF139" s="82" t="e">
        <f>IF(OR($V139=#REF!,$V139=$AH$4),($AA138-$AA139)*(1-$AL$3)*(E139-D139)*24*#REF!*$AL$4,0)</f>
        <v>#REF!</v>
      </c>
    </row>
    <row r="140" spans="1:32" ht="14.25">
      <c r="A140" s="226">
        <f t="shared" si="28"/>
        <v>43366</v>
      </c>
      <c r="B140" s="221">
        <v>0.79166666666666696</v>
      </c>
      <c r="C140" s="222" t="s">
        <v>41</v>
      </c>
      <c r="D140" s="223">
        <f t="shared" si="40"/>
        <v>43366.791666666664</v>
      </c>
      <c r="E140" s="223">
        <f t="shared" si="41"/>
        <v>43366.916666666664</v>
      </c>
      <c r="F140" s="224">
        <f>SUMPRODUCT(('6烧主抽电耗'!$A$3:$A$96=$A140)*('6烧主抽电耗'!$D$3:$D$96=$C140),'6烧主抽电耗'!$E$3:$E$96)</f>
        <v>1</v>
      </c>
      <c r="G140" s="223" t="str">
        <f t="shared" si="42"/>
        <v>甲班</v>
      </c>
      <c r="H140" s="225"/>
      <c r="I140" s="225"/>
      <c r="J140" s="225" t="str">
        <f>IF(_cuofeng5_month_day!A138="","",_cuofeng5_month_day!A138)</f>
        <v/>
      </c>
      <c r="K140" s="225" t="str">
        <f>IF(_cuofeng5_month_day!B138="","",_cuofeng5_month_day!B138)</f>
        <v/>
      </c>
      <c r="L140" s="224">
        <f>IFERROR(SUMPRODUCT((_5shaozhuchou_month_day!$A$3:$A$900&gt;=D140)*(_5shaozhuchou_month_day!$A$3:$A$900&lt;E140),_5shaozhuchou_month_day!$Y$3:$Y$900)/SUMPRODUCT((_5shaozhuchou_month_day!$A$3:$A$900&gt;=D140)*(_5shaozhuchou_month_day!$A$3:$A$900&lt;E140)),0)</f>
        <v>0</v>
      </c>
      <c r="M140" s="224" t="e">
        <f>L140*(1-$AL$3)*#REF!*$AL$4*(E140-D140)*24</f>
        <v>#REF!</v>
      </c>
      <c r="N140" s="231">
        <f t="shared" si="43"/>
        <v>0</v>
      </c>
      <c r="O140" s="231">
        <f t="shared" si="38"/>
        <v>0</v>
      </c>
      <c r="P140" s="231">
        <f t="shared" si="44"/>
        <v>0</v>
      </c>
      <c r="Q140" s="82" t="e">
        <f>IF(OR($B140=#REF!,$B139=$AH$4),($L139-$L140)*(1-$AL$3)*(E140-D140)*24*#REF!*$AL$4,0)</f>
        <v>#REF!</v>
      </c>
      <c r="U140" s="226">
        <f t="shared" si="45"/>
        <v>43366</v>
      </c>
      <c r="V140" s="221">
        <f t="shared" si="46"/>
        <v>0.79166666666666696</v>
      </c>
      <c r="W140" s="229"/>
      <c r="X140" s="229"/>
      <c r="Y140" s="229"/>
      <c r="Z140" s="229"/>
      <c r="AA140" s="82"/>
      <c r="AB140" s="82" t="e">
        <f>AA140*(1-$AL$3)*#REF!*$AL$4*(E140-D140)*24</f>
        <v>#REF!</v>
      </c>
      <c r="AC140" s="231">
        <f t="shared" si="47"/>
        <v>0</v>
      </c>
      <c r="AD140" s="231">
        <f t="shared" si="39"/>
        <v>0</v>
      </c>
      <c r="AE140" s="231">
        <f t="shared" si="37"/>
        <v>0</v>
      </c>
      <c r="AF140" s="82" t="e">
        <f>IF(OR($V140=#REF!,$V140=$AH$4),($AA139-$AA140)*(1-$AL$3)*(E140-D140)*24*#REF!*$AL$4,0)</f>
        <v>#REF!</v>
      </c>
    </row>
    <row r="141" spans="1:32" ht="14.25">
      <c r="A141" s="228">
        <f t="shared" si="28"/>
        <v>43366</v>
      </c>
      <c r="B141" s="221">
        <v>0.91666666666666696</v>
      </c>
      <c r="C141" s="222" t="s">
        <v>41</v>
      </c>
      <c r="D141" s="223">
        <f t="shared" si="40"/>
        <v>43366.916666666664</v>
      </c>
      <c r="E141" s="223">
        <f t="shared" si="41"/>
        <v>43367</v>
      </c>
      <c r="F141" s="224">
        <f>SUMPRODUCT(('6烧主抽电耗'!$A$3:$A$96=$A141)*('6烧主抽电耗'!$D$3:$D$96=$C141),'6烧主抽电耗'!$E$3:$E$96)</f>
        <v>1</v>
      </c>
      <c r="G141" s="223" t="str">
        <f t="shared" si="42"/>
        <v>甲班</v>
      </c>
      <c r="H141" s="225"/>
      <c r="I141" s="225"/>
      <c r="J141" s="225" t="str">
        <f>IF(_cuofeng5_month_day!A139="","",_cuofeng5_month_day!A139)</f>
        <v/>
      </c>
      <c r="K141" s="225" t="str">
        <f>IF(_cuofeng5_month_day!B139="","",_cuofeng5_month_day!B139)</f>
        <v/>
      </c>
      <c r="L141" s="224">
        <f>IFERROR(SUMPRODUCT((_5shaozhuchou_month_day!$A$3:$A$900&gt;=D141)*(_5shaozhuchou_month_day!$A$3:$A$900&lt;E141),_5shaozhuchou_month_day!$Y$3:$Y$900)/SUMPRODUCT((_5shaozhuchou_month_day!$A$3:$A$900&gt;=D141)*(_5shaozhuchou_month_day!$A$3:$A$900&lt;E141)),0)</f>
        <v>0</v>
      </c>
      <c r="M141" s="224" t="e">
        <f>L141*(1-$AL$3)*#REF!*$AL$4*(E141-D141)*24</f>
        <v>#REF!</v>
      </c>
      <c r="N141" s="231">
        <f t="shared" si="43"/>
        <v>0</v>
      </c>
      <c r="O141" s="231">
        <f t="shared" si="38"/>
        <v>0</v>
      </c>
      <c r="P141" s="231">
        <f t="shared" si="44"/>
        <v>0</v>
      </c>
      <c r="Q141" s="82" t="e">
        <f>IF(OR($B141=#REF!,$B140=$AH$4),($L140-$L141)*(1-$AL$3)*(E141-D141)*24*#REF!*$AL$4,0)</f>
        <v>#REF!</v>
      </c>
      <c r="U141" s="228">
        <f t="shared" si="45"/>
        <v>43366</v>
      </c>
      <c r="V141" s="221">
        <f t="shared" si="46"/>
        <v>0.91666666666666696</v>
      </c>
      <c r="W141" s="229"/>
      <c r="X141" s="229"/>
      <c r="Y141" s="229"/>
      <c r="Z141" s="229"/>
      <c r="AA141" s="82"/>
      <c r="AB141" s="82" t="e">
        <f>AA141*(1-$AL$3)*#REF!*$AL$4*(E141-D141)*24</f>
        <v>#REF!</v>
      </c>
      <c r="AC141" s="231">
        <f t="shared" si="47"/>
        <v>0</v>
      </c>
      <c r="AD141" s="231">
        <f t="shared" si="39"/>
        <v>0</v>
      </c>
      <c r="AE141" s="231">
        <f t="shared" si="37"/>
        <v>0</v>
      </c>
      <c r="AF141" s="82" t="e">
        <f>IF(OR($V141=#REF!,$V141=$AH$4),($AA140-$AA141)*(1-$AL$3)*(E141-D141)*24*#REF!*$AL$4,0)</f>
        <v>#REF!</v>
      </c>
    </row>
    <row r="142" spans="1:32" ht="14.25">
      <c r="A142" s="220">
        <f>A136+1</f>
        <v>43367</v>
      </c>
      <c r="B142" s="221">
        <v>0</v>
      </c>
      <c r="C142" s="222" t="s">
        <v>37</v>
      </c>
      <c r="D142" s="223">
        <f t="shared" si="40"/>
        <v>43367</v>
      </c>
      <c r="E142" s="223">
        <f t="shared" si="41"/>
        <v>43367.333333333336</v>
      </c>
      <c r="F142" s="224">
        <f>SUMPRODUCT(('6烧主抽电耗'!$A$3:$A$96=$A142)*('6烧主抽电耗'!$D$3:$D$96=$C142),'6烧主抽电耗'!$E$3:$E$96)</f>
        <v>2</v>
      </c>
      <c r="G142" s="223" t="str">
        <f t="shared" si="42"/>
        <v>乙班</v>
      </c>
      <c r="H142" s="225"/>
      <c r="I142" s="225"/>
      <c r="J142" s="225" t="str">
        <f>IF(_cuofeng5_month_day!A140="","",_cuofeng5_month_day!A140)</f>
        <v/>
      </c>
      <c r="K142" s="225" t="str">
        <f>IF(_cuofeng5_month_day!B140="","",_cuofeng5_month_day!B140)</f>
        <v/>
      </c>
      <c r="L142" s="224">
        <f>IFERROR(SUMPRODUCT((_5shaozhuchou_month_day!$A$3:$A$900&gt;=D142)*(_5shaozhuchou_month_day!$A$3:$A$900&lt;E142),_5shaozhuchou_month_day!$Y$3:$Y$900)/SUMPRODUCT((_5shaozhuchou_month_day!$A$3:$A$900&gt;=D142)*(_5shaozhuchou_month_day!$A$3:$A$900&lt;E142)),0)</f>
        <v>0</v>
      </c>
      <c r="M142" s="224" t="e">
        <f>L142*(1-$AL$3)*#REF!*$AL$4*(E142-D142)*24</f>
        <v>#REF!</v>
      </c>
      <c r="N142" s="231">
        <f t="shared" si="43"/>
        <v>0</v>
      </c>
      <c r="O142" s="231">
        <f t="shared" si="38"/>
        <v>0</v>
      </c>
      <c r="P142" s="231">
        <f t="shared" si="44"/>
        <v>0</v>
      </c>
      <c r="Q142" s="82" t="e">
        <f>IF(OR($B142=#REF!,$B141=$AH$4),($L141-$L142)*(1-$AL$3)*(E142-D142)*24*#REF!*$AL$4,0)</f>
        <v>#REF!</v>
      </c>
      <c r="U142" s="220">
        <f t="shared" si="45"/>
        <v>43367</v>
      </c>
      <c r="V142" s="221">
        <f t="shared" si="46"/>
        <v>0</v>
      </c>
      <c r="W142" s="237"/>
      <c r="X142" s="225"/>
      <c r="Y142" s="229"/>
      <c r="Z142" s="229"/>
      <c r="AA142" s="82"/>
      <c r="AB142" s="82" t="e">
        <f>AA142*(1-$AL$3)*#REF!*$AL$4*(E142-D142)*24</f>
        <v>#REF!</v>
      </c>
      <c r="AC142" s="231">
        <f t="shared" si="47"/>
        <v>0</v>
      </c>
      <c r="AD142" s="231">
        <f t="shared" si="39"/>
        <v>0</v>
      </c>
      <c r="AE142" s="231">
        <f t="shared" si="37"/>
        <v>0</v>
      </c>
      <c r="AF142" s="82" t="e">
        <f>IF(OR($V142=#REF!,$V142=$AH$4),($AA141-$AA142)*(1-$AL$3)*(E142-D142)*24*#REF!*$AL$4,0)</f>
        <v>#REF!</v>
      </c>
    </row>
    <row r="143" spans="1:32" ht="14.25">
      <c r="A143" s="226">
        <f>A142</f>
        <v>43367</v>
      </c>
      <c r="B143" s="221">
        <v>0.33333333333333298</v>
      </c>
      <c r="C143" s="222" t="s">
        <v>37</v>
      </c>
      <c r="D143" s="223">
        <f t="shared" si="40"/>
        <v>43367.333333333336</v>
      </c>
      <c r="E143" s="223">
        <f t="shared" si="41"/>
        <v>43367.583333333336</v>
      </c>
      <c r="F143" s="224">
        <f>SUMPRODUCT(('6烧主抽电耗'!$A$3:$A$96=$A143)*('6烧主抽电耗'!$D$3:$D$96=$C143),'6烧主抽电耗'!$E$3:$E$96)</f>
        <v>2</v>
      </c>
      <c r="G143" s="223" t="str">
        <f t="shared" si="42"/>
        <v>乙班</v>
      </c>
      <c r="H143" s="225"/>
      <c r="I143" s="225"/>
      <c r="J143" s="225" t="str">
        <f>IF(_cuofeng5_month_day!A141="","",_cuofeng5_month_day!A141)</f>
        <v/>
      </c>
      <c r="K143" s="225" t="str">
        <f>IF(_cuofeng5_month_day!B141="","",_cuofeng5_month_day!B141)</f>
        <v/>
      </c>
      <c r="L143" s="224">
        <f>IFERROR(SUMPRODUCT((_5shaozhuchou_month_day!$A$3:$A$900&gt;=D143)*(_5shaozhuchou_month_day!$A$3:$A$900&lt;E143),_5shaozhuchou_month_day!$Y$3:$Y$900)/SUMPRODUCT((_5shaozhuchou_month_day!$A$3:$A$900&gt;=D143)*(_5shaozhuchou_month_day!$A$3:$A$900&lt;E143)),0)</f>
        <v>0</v>
      </c>
      <c r="M143" s="224" t="e">
        <f>L143*(1-$AL$3)*#REF!*$AL$4*(E143-D143)*24</f>
        <v>#REF!</v>
      </c>
      <c r="N143" s="231">
        <f t="shared" si="43"/>
        <v>0</v>
      </c>
      <c r="O143" s="231">
        <f t="shared" si="38"/>
        <v>0</v>
      </c>
      <c r="P143" s="231">
        <f t="shared" si="44"/>
        <v>0</v>
      </c>
      <c r="Q143" s="82" t="e">
        <f>IF(OR($B143=#REF!,$B142=$AH$4),($L142-$L143)*(1-$AL$3)*(E143-D143)*24*#REF!*$AL$4,0)</f>
        <v>#REF!</v>
      </c>
      <c r="U143" s="226">
        <f t="shared" si="45"/>
        <v>43367</v>
      </c>
      <c r="V143" s="221">
        <f t="shared" si="46"/>
        <v>0.33333333333333298</v>
      </c>
      <c r="W143" s="237"/>
      <c r="X143" s="225"/>
      <c r="Y143" s="229"/>
      <c r="Z143" s="229"/>
      <c r="AA143" s="82"/>
      <c r="AB143" s="82" t="e">
        <f>AA143*(1-$AL$3)*#REF!*$AL$4*(E143-D143)*24</f>
        <v>#REF!</v>
      </c>
      <c r="AC143" s="231">
        <f t="shared" si="47"/>
        <v>0</v>
      </c>
      <c r="AD143" s="231">
        <f t="shared" si="39"/>
        <v>0</v>
      </c>
      <c r="AE143" s="231">
        <f t="shared" si="37"/>
        <v>0</v>
      </c>
      <c r="AF143" s="82" t="e">
        <f>IF(OR($V143=#REF!,$V143=$AH$4),($AA142-$AA143)*(1-$AL$3)*(E143-D143)*24*#REF!*$AL$4,0)</f>
        <v>#REF!</v>
      </c>
    </row>
    <row r="144" spans="1:32" ht="14.25">
      <c r="A144" s="226">
        <f t="shared" si="28"/>
        <v>43367</v>
      </c>
      <c r="B144" s="221">
        <v>0.58333333333333304</v>
      </c>
      <c r="C144" s="222" t="s">
        <v>39</v>
      </c>
      <c r="D144" s="223">
        <f t="shared" si="40"/>
        <v>43367.583333333336</v>
      </c>
      <c r="E144" s="223">
        <f t="shared" si="41"/>
        <v>43367.708333333336</v>
      </c>
      <c r="F144" s="224">
        <f>SUMPRODUCT(('6烧主抽电耗'!$A$3:$A$96=$A144)*('6烧主抽电耗'!$D$3:$D$96=$C144),'6烧主抽电耗'!$E$3:$E$96)</f>
        <v>3</v>
      </c>
      <c r="G144" s="223" t="str">
        <f t="shared" si="42"/>
        <v>丙班</v>
      </c>
      <c r="H144" s="225"/>
      <c r="I144" s="225"/>
      <c r="J144" s="225" t="str">
        <f>IF(_cuofeng5_month_day!A142="","",_cuofeng5_month_day!A142)</f>
        <v/>
      </c>
      <c r="K144" s="225" t="str">
        <f>IF(_cuofeng5_month_day!B142="","",_cuofeng5_month_day!B142)</f>
        <v/>
      </c>
      <c r="L144" s="224">
        <f>IFERROR(SUMPRODUCT((_5shaozhuchou_month_day!$A$3:$A$900&gt;=D144)*(_5shaozhuchou_month_day!$A$3:$A$900&lt;E144),_5shaozhuchou_month_day!$Y$3:$Y$900)/SUMPRODUCT((_5shaozhuchou_month_day!$A$3:$A$900&gt;=D144)*(_5shaozhuchou_month_day!$A$3:$A$900&lt;E144)),0)</f>
        <v>0</v>
      </c>
      <c r="M144" s="224" t="e">
        <f>L144*(1-$AL$3)*#REF!*$AL$4*(E144-D144)*24</f>
        <v>#REF!</v>
      </c>
      <c r="N144" s="231">
        <f t="shared" si="43"/>
        <v>0</v>
      </c>
      <c r="O144" s="231">
        <f t="shared" si="38"/>
        <v>0</v>
      </c>
      <c r="P144" s="231">
        <f t="shared" si="44"/>
        <v>0</v>
      </c>
      <c r="Q144" s="82" t="e">
        <f>IF(OR($B144=#REF!,$B143=$AH$4),($L143-$L144)*(1-$AL$3)*(E144-D144)*24*#REF!*$AL$4,0)</f>
        <v>#REF!</v>
      </c>
      <c r="U144" s="226">
        <f t="shared" si="45"/>
        <v>43367</v>
      </c>
      <c r="V144" s="221">
        <f t="shared" si="46"/>
        <v>0.58333333333333304</v>
      </c>
      <c r="W144" s="229"/>
      <c r="X144" s="229"/>
      <c r="Y144" s="229"/>
      <c r="Z144" s="229"/>
      <c r="AA144" s="82"/>
      <c r="AB144" s="82" t="e">
        <f>AA144*(1-$AL$3)*#REF!*$AL$4*(E144-D144)*24</f>
        <v>#REF!</v>
      </c>
      <c r="AC144" s="231">
        <f t="shared" si="47"/>
        <v>0</v>
      </c>
      <c r="AD144" s="231">
        <f t="shared" si="39"/>
        <v>0</v>
      </c>
      <c r="AE144" s="231">
        <f t="shared" si="37"/>
        <v>0</v>
      </c>
      <c r="AF144" s="82" t="e">
        <f>IF(OR($V144=#REF!,$V144=$AH$4),($AA143-$AA144)*(1-$AL$3)*(E144-D144)*24*#REF!*$AL$4,0)</f>
        <v>#REF!</v>
      </c>
    </row>
    <row r="145" spans="1:32" ht="14.25">
      <c r="A145" s="226">
        <f t="shared" ref="A145:A189" si="48">A144</f>
        <v>43367</v>
      </c>
      <c r="B145" s="221">
        <v>0.70833333333333304</v>
      </c>
      <c r="C145" s="222" t="s">
        <v>41</v>
      </c>
      <c r="D145" s="223">
        <f t="shared" si="40"/>
        <v>43367.708333333336</v>
      </c>
      <c r="E145" s="223">
        <f t="shared" si="41"/>
        <v>43367.791666666664</v>
      </c>
      <c r="F145" s="224">
        <f>SUMPRODUCT(('6烧主抽电耗'!$A$3:$A$96=$A145)*('6烧主抽电耗'!$D$3:$D$96=$C145),'6烧主抽电耗'!$E$3:$E$96)</f>
        <v>4</v>
      </c>
      <c r="G145" s="223" t="str">
        <f t="shared" si="42"/>
        <v>丁班</v>
      </c>
      <c r="H145" s="225"/>
      <c r="I145" s="225"/>
      <c r="J145" s="225" t="str">
        <f>IF(_cuofeng5_month_day!A143="","",_cuofeng5_month_day!A143)</f>
        <v/>
      </c>
      <c r="K145" s="225" t="str">
        <f>IF(_cuofeng5_month_day!B143="","",_cuofeng5_month_day!B143)</f>
        <v/>
      </c>
      <c r="L145" s="224">
        <f>IFERROR(SUMPRODUCT((_5shaozhuchou_month_day!$A$3:$A$900&gt;=D145)*(_5shaozhuchou_month_day!$A$3:$A$900&lt;E145),_5shaozhuchou_month_day!$Y$3:$Y$900)/SUMPRODUCT((_5shaozhuchou_month_day!$A$3:$A$900&gt;=D145)*(_5shaozhuchou_month_day!$A$3:$A$900&lt;E145)),0)</f>
        <v>0</v>
      </c>
      <c r="M145" s="224" t="e">
        <f>L145*(1-$AL$3)*#REF!*$AL$4*(E145-D145)*24</f>
        <v>#REF!</v>
      </c>
      <c r="N145" s="231">
        <f t="shared" si="43"/>
        <v>0</v>
      </c>
      <c r="O145" s="231">
        <f t="shared" si="38"/>
        <v>0</v>
      </c>
      <c r="P145" s="231">
        <f t="shared" si="44"/>
        <v>0</v>
      </c>
      <c r="Q145" s="82" t="e">
        <f>IF(OR($B145=#REF!,$B144=$AH$4),($L144-$L145)*(1-$AL$3)*(E145-D145)*24*#REF!*$AL$4,0)</f>
        <v>#REF!</v>
      </c>
      <c r="U145" s="226">
        <f t="shared" si="45"/>
        <v>43367</v>
      </c>
      <c r="V145" s="221">
        <f t="shared" si="46"/>
        <v>0.70833333333333304</v>
      </c>
      <c r="W145" s="250"/>
      <c r="X145" s="251"/>
      <c r="Y145" s="229"/>
      <c r="Z145" s="229"/>
      <c r="AA145" s="82"/>
      <c r="AB145" s="82" t="e">
        <f>AA145*(1-$AL$3)*#REF!*$AL$4*(E145-D145)*24</f>
        <v>#REF!</v>
      </c>
      <c r="AC145" s="231">
        <f t="shared" si="47"/>
        <v>0</v>
      </c>
      <c r="AD145" s="231">
        <f t="shared" si="39"/>
        <v>0</v>
      </c>
      <c r="AE145" s="231">
        <f t="shared" si="37"/>
        <v>0</v>
      </c>
      <c r="AF145" s="82" t="e">
        <f>IF(OR($V145=#REF!,$V145=$AH$4),($AA144-$AA145)*(1-$AL$3)*(E145-D145)*24*#REF!*$AL$4,0)</f>
        <v>#REF!</v>
      </c>
    </row>
    <row r="146" spans="1:32" ht="14.25">
      <c r="A146" s="226">
        <f t="shared" si="48"/>
        <v>43367</v>
      </c>
      <c r="B146" s="221">
        <v>0.79166666666666696</v>
      </c>
      <c r="C146" s="222" t="s">
        <v>41</v>
      </c>
      <c r="D146" s="223">
        <f t="shared" si="40"/>
        <v>43367.791666666664</v>
      </c>
      <c r="E146" s="223">
        <f t="shared" si="41"/>
        <v>43367.916666666664</v>
      </c>
      <c r="F146" s="224">
        <f>SUMPRODUCT(('6烧主抽电耗'!$A$3:$A$96=$A146)*('6烧主抽电耗'!$D$3:$D$96=$C146),'6烧主抽电耗'!$E$3:$E$96)</f>
        <v>4</v>
      </c>
      <c r="G146" s="223" t="str">
        <f t="shared" si="42"/>
        <v>丁班</v>
      </c>
      <c r="H146" s="225"/>
      <c r="I146" s="225"/>
      <c r="J146" s="225" t="str">
        <f>IF(_cuofeng5_month_day!A144="","",_cuofeng5_month_day!A144)</f>
        <v/>
      </c>
      <c r="K146" s="225" t="str">
        <f>IF(_cuofeng5_month_day!B144="","",_cuofeng5_month_day!B144)</f>
        <v/>
      </c>
      <c r="L146" s="224">
        <f>IFERROR(SUMPRODUCT((_5shaozhuchou_month_day!$A$3:$A$900&gt;=D146)*(_5shaozhuchou_month_day!$A$3:$A$900&lt;E146),_5shaozhuchou_month_day!$Y$3:$Y$900)/SUMPRODUCT((_5shaozhuchou_month_day!$A$3:$A$900&gt;=D146)*(_5shaozhuchou_month_day!$A$3:$A$900&lt;E146)),0)</f>
        <v>0</v>
      </c>
      <c r="M146" s="224" t="e">
        <f>L146*(1-$AL$3)*#REF!*$AL$4*(E146-D146)*24</f>
        <v>#REF!</v>
      </c>
      <c r="N146" s="231">
        <f t="shared" si="43"/>
        <v>0</v>
      </c>
      <c r="O146" s="231">
        <f t="shared" si="38"/>
        <v>0</v>
      </c>
      <c r="P146" s="231">
        <f t="shared" si="44"/>
        <v>0</v>
      </c>
      <c r="Q146" s="82" t="e">
        <f>IF(OR($B146=#REF!,$B145=$AH$4),($L145-$L146)*(1-$AL$3)*(E146-D146)*24*#REF!*$AL$4,0)</f>
        <v>#REF!</v>
      </c>
      <c r="U146" s="226">
        <f t="shared" si="45"/>
        <v>43367</v>
      </c>
      <c r="V146" s="221">
        <f t="shared" si="46"/>
        <v>0.79166666666666696</v>
      </c>
      <c r="W146" s="229"/>
      <c r="X146" s="229"/>
      <c r="Y146" s="229"/>
      <c r="Z146" s="229"/>
      <c r="AA146" s="82"/>
      <c r="AB146" s="82" t="e">
        <f>AA146*(1-$AL$3)*#REF!*$AL$4*(E146-D146)*24</f>
        <v>#REF!</v>
      </c>
      <c r="AC146" s="231">
        <f t="shared" si="47"/>
        <v>0</v>
      </c>
      <c r="AD146" s="231">
        <f t="shared" ref="AD146:AD189" si="49">IF(OR($V146=$AI$4,$V146=$AI$5,$V146=$AI$6),(($W147-$W146)+($X147-$X146))*3,0)</f>
        <v>0</v>
      </c>
      <c r="AE146" s="231">
        <f t="shared" si="37"/>
        <v>0</v>
      </c>
      <c r="AF146" s="82" t="e">
        <f>IF(OR($V146=#REF!,$V146=$AH$4),($AA145-$AA146)*(1-$AL$3)*(E146-D146)*24*#REF!*$AL$4,0)</f>
        <v>#REF!</v>
      </c>
    </row>
    <row r="147" spans="1:32" ht="14.25">
      <c r="A147" s="228">
        <f t="shared" si="48"/>
        <v>43367</v>
      </c>
      <c r="B147" s="221">
        <v>0.91666666666666696</v>
      </c>
      <c r="C147" s="222" t="s">
        <v>41</v>
      </c>
      <c r="D147" s="223">
        <f t="shared" si="40"/>
        <v>43367.916666666664</v>
      </c>
      <c r="E147" s="223">
        <f t="shared" si="41"/>
        <v>43368</v>
      </c>
      <c r="F147" s="224">
        <f>SUMPRODUCT(('6烧主抽电耗'!$A$3:$A$96=$A147)*('6烧主抽电耗'!$D$3:$D$96=$C147),'6烧主抽电耗'!$E$3:$E$96)</f>
        <v>4</v>
      </c>
      <c r="G147" s="223" t="str">
        <f t="shared" si="42"/>
        <v>丁班</v>
      </c>
      <c r="H147" s="225"/>
      <c r="I147" s="225"/>
      <c r="J147" s="225" t="str">
        <f>IF(_cuofeng5_month_day!A145="","",_cuofeng5_month_day!A145)</f>
        <v/>
      </c>
      <c r="K147" s="225" t="str">
        <f>IF(_cuofeng5_month_day!B145="","",_cuofeng5_month_day!B145)</f>
        <v/>
      </c>
      <c r="L147" s="224">
        <f>IFERROR(SUMPRODUCT((_5shaozhuchou_month_day!$A$3:$A$900&gt;=D147)*(_5shaozhuchou_month_day!$A$3:$A$900&lt;E147),_5shaozhuchou_month_day!$Y$3:$Y$900)/SUMPRODUCT((_5shaozhuchou_month_day!$A$3:$A$900&gt;=D147)*(_5shaozhuchou_month_day!$A$3:$A$900&lt;E147)),0)</f>
        <v>0</v>
      </c>
      <c r="M147" s="224" t="e">
        <f>L147*(1-$AL$3)*#REF!*$AL$4*(E147-D147)*24</f>
        <v>#REF!</v>
      </c>
      <c r="N147" s="231">
        <f t="shared" si="43"/>
        <v>0</v>
      </c>
      <c r="O147" s="231">
        <f t="shared" si="38"/>
        <v>0</v>
      </c>
      <c r="P147" s="231">
        <f t="shared" si="44"/>
        <v>0</v>
      </c>
      <c r="Q147" s="82" t="e">
        <f>IF(OR($B147=#REF!,$B146=$AH$4),($L146-$L147)*(1-$AL$3)*(E147-D147)*24*#REF!*$AL$4,0)</f>
        <v>#REF!</v>
      </c>
      <c r="U147" s="228">
        <f t="shared" si="45"/>
        <v>43367</v>
      </c>
      <c r="V147" s="221">
        <f t="shared" si="46"/>
        <v>0.91666666666666696</v>
      </c>
      <c r="W147" s="229"/>
      <c r="X147" s="229"/>
      <c r="Y147" s="229"/>
      <c r="Z147" s="229"/>
      <c r="AA147" s="82"/>
      <c r="AB147" s="82" t="e">
        <f>AA147*(1-$AL$3)*#REF!*$AL$4*(E147-D147)*24</f>
        <v>#REF!</v>
      </c>
      <c r="AC147" s="231">
        <f t="shared" si="47"/>
        <v>0</v>
      </c>
      <c r="AD147" s="231">
        <f t="shared" si="49"/>
        <v>0</v>
      </c>
      <c r="AE147" s="231">
        <f t="shared" si="37"/>
        <v>0</v>
      </c>
      <c r="AF147" s="82" t="e">
        <f>IF(OR($V147=#REF!,$V147=$AH$4),($AA146-$AA147)*(1-$AL$3)*(E147-D147)*24*#REF!*$AL$4,0)</f>
        <v>#REF!</v>
      </c>
    </row>
    <row r="148" spans="1:32" ht="14.25">
      <c r="A148" s="220">
        <f>A142+1</f>
        <v>43368</v>
      </c>
      <c r="B148" s="221">
        <v>0</v>
      </c>
      <c r="C148" s="222" t="s">
        <v>37</v>
      </c>
      <c r="D148" s="223">
        <f t="shared" si="40"/>
        <v>43368</v>
      </c>
      <c r="E148" s="223">
        <f t="shared" si="41"/>
        <v>43368.333333333336</v>
      </c>
      <c r="F148" s="224">
        <f>SUMPRODUCT(('6烧主抽电耗'!$A$3:$A$96=$A148)*('6烧主抽电耗'!$D$3:$D$96=$C148),'6烧主抽电耗'!$E$3:$E$96)</f>
        <v>2</v>
      </c>
      <c r="G148" s="223" t="str">
        <f t="shared" si="42"/>
        <v>乙班</v>
      </c>
      <c r="H148" s="225"/>
      <c r="I148" s="225"/>
      <c r="J148" s="225" t="str">
        <f>IF(_cuofeng5_month_day!A146="","",_cuofeng5_month_day!A146)</f>
        <v/>
      </c>
      <c r="K148" s="225" t="str">
        <f>IF(_cuofeng5_month_day!B146="","",_cuofeng5_month_day!B146)</f>
        <v/>
      </c>
      <c r="L148" s="224">
        <f>IFERROR(SUMPRODUCT((_5shaozhuchou_month_day!$A$3:$A$900&gt;=D148)*(_5shaozhuchou_month_day!$A$3:$A$900&lt;E148),_5shaozhuchou_month_day!$Y$3:$Y$900)/SUMPRODUCT((_5shaozhuchou_month_day!$A$3:$A$900&gt;=D148)*(_5shaozhuchou_month_day!$A$3:$A$900&lt;E148)),0)</f>
        <v>0</v>
      </c>
      <c r="M148" s="224" t="e">
        <f>L148*(1-$AL$3)*#REF!*$AL$4*(E148-D148)*24</f>
        <v>#REF!</v>
      </c>
      <c r="N148" s="231">
        <f t="shared" si="43"/>
        <v>0</v>
      </c>
      <c r="O148" s="231">
        <f t="shared" si="38"/>
        <v>0</v>
      </c>
      <c r="P148" s="231">
        <f t="shared" si="44"/>
        <v>0</v>
      </c>
      <c r="Q148" s="82" t="e">
        <f>IF(OR($B148=#REF!,$B147=$AH$4),($L147-$L148)*(1-$AL$3)*(E148-D148)*24*#REF!*$AL$4,0)</f>
        <v>#REF!</v>
      </c>
      <c r="U148" s="220">
        <f t="shared" si="45"/>
        <v>43368</v>
      </c>
      <c r="V148" s="221">
        <f t="shared" si="46"/>
        <v>0</v>
      </c>
      <c r="W148" s="250"/>
      <c r="X148" s="251"/>
      <c r="Y148" s="229"/>
      <c r="Z148" s="229"/>
      <c r="AA148" s="82"/>
      <c r="AB148" s="82" t="e">
        <f>AA148*(1-$AL$3)*#REF!*$AL$4*(E148-D148)*24</f>
        <v>#REF!</v>
      </c>
      <c r="AC148" s="231">
        <f t="shared" si="47"/>
        <v>0</v>
      </c>
      <c r="AD148" s="231">
        <f t="shared" si="49"/>
        <v>0</v>
      </c>
      <c r="AE148" s="231">
        <f t="shared" si="37"/>
        <v>0</v>
      </c>
      <c r="AF148" s="82" t="e">
        <f>IF(OR($V148=#REF!,$V148=$AH$4),($AA147-$AA148)*(1-$AL$3)*(E148-D148)*24*#REF!*$AL$4,0)</f>
        <v>#REF!</v>
      </c>
    </row>
    <row r="149" spans="1:32" ht="14.25">
      <c r="A149" s="226">
        <f>A148</f>
        <v>43368</v>
      </c>
      <c r="B149" s="221">
        <v>0.33333333333333298</v>
      </c>
      <c r="C149" s="222" t="s">
        <v>37</v>
      </c>
      <c r="D149" s="223">
        <f t="shared" si="40"/>
        <v>43368.333333333336</v>
      </c>
      <c r="E149" s="223">
        <f t="shared" si="41"/>
        <v>43368.583333333336</v>
      </c>
      <c r="F149" s="224">
        <f>SUMPRODUCT(('6烧主抽电耗'!$A$3:$A$96=$A149)*('6烧主抽电耗'!$D$3:$D$96=$C149),'6烧主抽电耗'!$E$3:$E$96)</f>
        <v>2</v>
      </c>
      <c r="G149" s="223" t="str">
        <f t="shared" si="42"/>
        <v>乙班</v>
      </c>
      <c r="H149" s="229"/>
      <c r="I149" s="229"/>
      <c r="J149" s="225" t="str">
        <f>IF(_cuofeng5_month_day!A147="","",_cuofeng5_month_day!A147)</f>
        <v/>
      </c>
      <c r="K149" s="225" t="str">
        <f>IF(_cuofeng5_month_day!B147="","",_cuofeng5_month_day!B147)</f>
        <v/>
      </c>
      <c r="L149" s="224">
        <f>IFERROR(SUMPRODUCT((_5shaozhuchou_month_day!$A$3:$A$900&gt;=D149)*(_5shaozhuchou_month_day!$A$3:$A$900&lt;E149),_5shaozhuchou_month_day!$Y$3:$Y$900)/SUMPRODUCT((_5shaozhuchou_month_day!$A$3:$A$900&gt;=D149)*(_5shaozhuchou_month_day!$A$3:$A$900&lt;E149)),0)</f>
        <v>0</v>
      </c>
      <c r="M149" s="224" t="e">
        <f>L149*(1-$AL$3)*#REF!*$AL$4*(E149-D149)*24</f>
        <v>#REF!</v>
      </c>
      <c r="N149" s="231">
        <f t="shared" si="43"/>
        <v>0</v>
      </c>
      <c r="O149" s="231">
        <f t="shared" si="38"/>
        <v>0</v>
      </c>
      <c r="P149" s="231">
        <f t="shared" si="44"/>
        <v>0</v>
      </c>
      <c r="Q149" s="82" t="e">
        <f>IF(OR($B149=#REF!,$B148=$AH$4),($L148-$L149)*(1-$AL$3)*(E149-D149)*24*#REF!*$AL$4,0)</f>
        <v>#REF!</v>
      </c>
      <c r="U149" s="226">
        <f t="shared" si="45"/>
        <v>43368</v>
      </c>
      <c r="V149" s="221">
        <f t="shared" si="46"/>
        <v>0.33333333333333298</v>
      </c>
      <c r="W149" s="250"/>
      <c r="X149" s="251"/>
      <c r="Y149" s="229"/>
      <c r="Z149" s="229"/>
      <c r="AA149" s="82"/>
      <c r="AB149" s="82" t="e">
        <f>AA149*(1-$AL$3)*#REF!*$AL$4*(E149-D149)*24</f>
        <v>#REF!</v>
      </c>
      <c r="AC149" s="231">
        <f t="shared" si="47"/>
        <v>0</v>
      </c>
      <c r="AD149" s="231">
        <f t="shared" si="49"/>
        <v>0</v>
      </c>
      <c r="AE149" s="231">
        <f t="shared" si="37"/>
        <v>0</v>
      </c>
      <c r="AF149" s="82" t="e">
        <f>IF(OR($V149=#REF!,$V149=$AH$4),($AA148-$AA149)*(1-$AL$3)*(E149-D149)*24*#REF!*$AL$4,0)</f>
        <v>#REF!</v>
      </c>
    </row>
    <row r="150" spans="1:32" ht="14.25">
      <c r="A150" s="226">
        <f t="shared" si="48"/>
        <v>43368</v>
      </c>
      <c r="B150" s="221">
        <v>0.58333333333333304</v>
      </c>
      <c r="C150" s="222" t="s">
        <v>39</v>
      </c>
      <c r="D150" s="223">
        <f t="shared" si="40"/>
        <v>43368.583333333336</v>
      </c>
      <c r="E150" s="223">
        <f t="shared" si="41"/>
        <v>43368.708333333336</v>
      </c>
      <c r="F150" s="224">
        <f>SUMPRODUCT(('6烧主抽电耗'!$A$3:$A$96=$A150)*('6烧主抽电耗'!$D$3:$D$96=$C150),'6烧主抽电耗'!$E$3:$E$96)</f>
        <v>3</v>
      </c>
      <c r="G150" s="223" t="str">
        <f t="shared" si="42"/>
        <v>丙班</v>
      </c>
      <c r="H150" s="225"/>
      <c r="I150" s="225"/>
      <c r="J150" s="225" t="str">
        <f>IF(_cuofeng5_month_day!A148="","",_cuofeng5_month_day!A148)</f>
        <v/>
      </c>
      <c r="K150" s="225" t="str">
        <f>IF(_cuofeng5_month_day!B148="","",_cuofeng5_month_day!B148)</f>
        <v/>
      </c>
      <c r="L150" s="224">
        <f>IFERROR(SUMPRODUCT((_5shaozhuchou_month_day!$A$3:$A$900&gt;=D150)*(_5shaozhuchou_month_day!$A$3:$A$900&lt;E150),_5shaozhuchou_month_day!$Y$3:$Y$900)/SUMPRODUCT((_5shaozhuchou_month_day!$A$3:$A$900&gt;=D150)*(_5shaozhuchou_month_day!$A$3:$A$900&lt;E150)),0)</f>
        <v>0</v>
      </c>
      <c r="M150" s="224" t="e">
        <f>L150*(1-$AL$3)*#REF!*$AL$4*(E150-D150)*24</f>
        <v>#REF!</v>
      </c>
      <c r="N150" s="231">
        <f t="shared" si="43"/>
        <v>0</v>
      </c>
      <c r="O150" s="231">
        <f t="shared" si="38"/>
        <v>0</v>
      </c>
      <c r="P150" s="231">
        <f t="shared" si="44"/>
        <v>0</v>
      </c>
      <c r="Q150" s="82" t="e">
        <f>IF(OR($B150=#REF!,$B149=$AH$4),($L149-$L150)*(1-$AL$3)*(E150-D150)*24*#REF!*$AL$4,0)</f>
        <v>#REF!</v>
      </c>
      <c r="U150" s="226">
        <f t="shared" si="45"/>
        <v>43368</v>
      </c>
      <c r="V150" s="221">
        <f t="shared" si="46"/>
        <v>0.58333333333333304</v>
      </c>
      <c r="W150" s="229"/>
      <c r="X150" s="229"/>
      <c r="Y150" s="229"/>
      <c r="Z150" s="229"/>
      <c r="AA150" s="82"/>
      <c r="AB150" s="82" t="e">
        <f>AA150*(1-$AL$3)*#REF!*$AL$4*(E150-D150)*24</f>
        <v>#REF!</v>
      </c>
      <c r="AC150" s="231">
        <f t="shared" si="47"/>
        <v>0</v>
      </c>
      <c r="AD150" s="231">
        <f t="shared" si="49"/>
        <v>0</v>
      </c>
      <c r="AE150" s="231">
        <f t="shared" si="37"/>
        <v>0</v>
      </c>
      <c r="AF150" s="82" t="e">
        <f>IF(OR($V150=#REF!,$V150=$AH$4),($AA149-$AA150)*(1-$AL$3)*(E150-D150)*24*#REF!*$AL$4,0)</f>
        <v>#REF!</v>
      </c>
    </row>
    <row r="151" spans="1:32" ht="14.25">
      <c r="A151" s="226">
        <f t="shared" si="48"/>
        <v>43368</v>
      </c>
      <c r="B151" s="221">
        <v>0.70833333333333304</v>
      </c>
      <c r="C151" s="222" t="s">
        <v>41</v>
      </c>
      <c r="D151" s="223">
        <f t="shared" si="40"/>
        <v>43368.708333333336</v>
      </c>
      <c r="E151" s="223">
        <f t="shared" si="41"/>
        <v>43368.791666666664</v>
      </c>
      <c r="F151" s="224">
        <f>SUMPRODUCT(('6烧主抽电耗'!$A$3:$A$96=$A151)*('6烧主抽电耗'!$D$3:$D$96=$C151),'6烧主抽电耗'!$E$3:$E$96)</f>
        <v>4</v>
      </c>
      <c r="G151" s="223" t="str">
        <f t="shared" si="42"/>
        <v>丁班</v>
      </c>
      <c r="H151" s="225"/>
      <c r="I151" s="225"/>
      <c r="J151" s="225" t="str">
        <f>IF(_cuofeng5_month_day!A149="","",_cuofeng5_month_day!A149)</f>
        <v/>
      </c>
      <c r="K151" s="225" t="str">
        <f>IF(_cuofeng5_month_day!B149="","",_cuofeng5_month_day!B149)</f>
        <v/>
      </c>
      <c r="L151" s="224">
        <f>IFERROR(SUMPRODUCT((_5shaozhuchou_month_day!$A$3:$A$900&gt;=D151)*(_5shaozhuchou_month_day!$A$3:$A$900&lt;E151),_5shaozhuchou_month_day!$Y$3:$Y$900)/SUMPRODUCT((_5shaozhuchou_month_day!$A$3:$A$900&gt;=D151)*(_5shaozhuchou_month_day!$A$3:$A$900&lt;E151)),0)</f>
        <v>0</v>
      </c>
      <c r="M151" s="224" t="e">
        <f>L151*(1-$AL$3)*#REF!*$AL$4*(E151-D151)*24</f>
        <v>#REF!</v>
      </c>
      <c r="N151" s="231">
        <f t="shared" si="43"/>
        <v>0</v>
      </c>
      <c r="O151" s="231">
        <f t="shared" si="38"/>
        <v>0</v>
      </c>
      <c r="P151" s="231">
        <f t="shared" si="44"/>
        <v>0</v>
      </c>
      <c r="Q151" s="82" t="e">
        <f>IF(OR($B151=#REF!,$B150=$AH$4),($L150-$L151)*(1-$AL$3)*(E151-D151)*24*#REF!*$AL$4,0)</f>
        <v>#REF!</v>
      </c>
      <c r="U151" s="226">
        <f t="shared" si="45"/>
        <v>43368</v>
      </c>
      <c r="V151" s="221">
        <f t="shared" si="46"/>
        <v>0.70833333333333304</v>
      </c>
      <c r="W151" s="229"/>
      <c r="X151" s="229"/>
      <c r="Y151" s="229"/>
      <c r="Z151" s="229"/>
      <c r="AA151" s="82"/>
      <c r="AB151" s="82" t="e">
        <f>AA151*(1-$AL$3)*#REF!*$AL$4*(E151-D151)*24</f>
        <v>#REF!</v>
      </c>
      <c r="AC151" s="231">
        <f t="shared" si="47"/>
        <v>0</v>
      </c>
      <c r="AD151" s="231">
        <f t="shared" si="49"/>
        <v>0</v>
      </c>
      <c r="AE151" s="231">
        <f t="shared" ref="AE151:AE189" si="50">IF(OR($V151=$AJ$4),(($W152-$W151)+($X152-$X151))*3,0)</f>
        <v>0</v>
      </c>
      <c r="AF151" s="82" t="e">
        <f>IF(OR($V151=#REF!,$V151=$AH$4),($AA150-$AA151)*(1-$AL$3)*(E151-D151)*24*#REF!*$AL$4,0)</f>
        <v>#REF!</v>
      </c>
    </row>
    <row r="152" spans="1:32" ht="14.25">
      <c r="A152" s="226">
        <f t="shared" si="48"/>
        <v>43368</v>
      </c>
      <c r="B152" s="221">
        <v>0.79166666666666696</v>
      </c>
      <c r="C152" s="222" t="s">
        <v>41</v>
      </c>
      <c r="D152" s="223">
        <f t="shared" si="40"/>
        <v>43368.791666666664</v>
      </c>
      <c r="E152" s="223">
        <f t="shared" si="41"/>
        <v>43368.916666666664</v>
      </c>
      <c r="F152" s="224">
        <f>SUMPRODUCT(('6烧主抽电耗'!$A$3:$A$96=$A152)*('6烧主抽电耗'!$D$3:$D$96=$C152),'6烧主抽电耗'!$E$3:$E$96)</f>
        <v>4</v>
      </c>
      <c r="G152" s="223" t="str">
        <f t="shared" si="42"/>
        <v>丁班</v>
      </c>
      <c r="H152" s="225"/>
      <c r="I152" s="225"/>
      <c r="J152" s="225" t="str">
        <f>IF(_cuofeng5_month_day!A150="","",_cuofeng5_month_day!A150)</f>
        <v/>
      </c>
      <c r="K152" s="225" t="str">
        <f>IF(_cuofeng5_month_day!B150="","",_cuofeng5_month_day!B150)</f>
        <v/>
      </c>
      <c r="L152" s="224">
        <f>IFERROR(SUMPRODUCT((_5shaozhuchou_month_day!$A$3:$A$900&gt;=D152)*(_5shaozhuchou_month_day!$A$3:$A$900&lt;E152),_5shaozhuchou_month_day!$Y$3:$Y$900)/SUMPRODUCT((_5shaozhuchou_month_day!$A$3:$A$900&gt;=D152)*(_5shaozhuchou_month_day!$A$3:$A$900&lt;E152)),0)</f>
        <v>0</v>
      </c>
      <c r="M152" s="224" t="e">
        <f>L152*(1-$AL$3)*#REF!*$AL$4*(E152-D152)*24</f>
        <v>#REF!</v>
      </c>
      <c r="N152" s="231">
        <f t="shared" si="43"/>
        <v>0</v>
      </c>
      <c r="O152" s="231">
        <f t="shared" si="38"/>
        <v>0</v>
      </c>
      <c r="P152" s="231">
        <f t="shared" si="44"/>
        <v>0</v>
      </c>
      <c r="Q152" s="82" t="e">
        <f>IF(OR($B152=#REF!,$B151=$AH$4),($L151-$L152)*(1-$AL$3)*(E152-D152)*24*#REF!*$AL$4,0)</f>
        <v>#REF!</v>
      </c>
      <c r="U152" s="226">
        <f t="shared" si="45"/>
        <v>43368</v>
      </c>
      <c r="V152" s="221">
        <f t="shared" si="46"/>
        <v>0.79166666666666696</v>
      </c>
      <c r="W152" s="229"/>
      <c r="X152" s="229"/>
      <c r="Y152" s="229"/>
      <c r="Z152" s="229"/>
      <c r="AA152" s="82"/>
      <c r="AB152" s="82" t="e">
        <f>AA152*(1-$AL$3)*#REF!*$AL$4*(E152-D152)*24</f>
        <v>#REF!</v>
      </c>
      <c r="AC152" s="231">
        <f t="shared" si="47"/>
        <v>0</v>
      </c>
      <c r="AD152" s="231">
        <f t="shared" si="49"/>
        <v>0</v>
      </c>
      <c r="AE152" s="231">
        <f t="shared" si="50"/>
        <v>0</v>
      </c>
      <c r="AF152" s="82" t="e">
        <f>IF(OR($V152=#REF!,$V152=$AH$4),($AA151-$AA152)*(1-$AL$3)*(E152-D152)*24*#REF!*$AL$4,0)</f>
        <v>#REF!</v>
      </c>
    </row>
    <row r="153" spans="1:32" ht="14.25">
      <c r="A153" s="228">
        <f t="shared" si="48"/>
        <v>43368</v>
      </c>
      <c r="B153" s="221">
        <v>0.91666666666666696</v>
      </c>
      <c r="C153" s="222" t="s">
        <v>41</v>
      </c>
      <c r="D153" s="223">
        <f t="shared" si="40"/>
        <v>43368.916666666664</v>
      </c>
      <c r="E153" s="223">
        <f t="shared" si="41"/>
        <v>43369</v>
      </c>
      <c r="F153" s="224">
        <f>SUMPRODUCT(('6烧主抽电耗'!$A$3:$A$96=$A153)*('6烧主抽电耗'!$D$3:$D$96=$C153),'6烧主抽电耗'!$E$3:$E$96)</f>
        <v>4</v>
      </c>
      <c r="G153" s="223" t="str">
        <f t="shared" si="42"/>
        <v>丁班</v>
      </c>
      <c r="H153" s="225"/>
      <c r="I153" s="225"/>
      <c r="J153" s="225" t="str">
        <f>IF(_cuofeng5_month_day!A151="","",_cuofeng5_month_day!A151)</f>
        <v/>
      </c>
      <c r="K153" s="225" t="str">
        <f>IF(_cuofeng5_month_day!B151="","",_cuofeng5_month_day!B151)</f>
        <v/>
      </c>
      <c r="L153" s="224">
        <f>IFERROR(SUMPRODUCT((_5shaozhuchou_month_day!$A$3:$A$900&gt;=D153)*(_5shaozhuchou_month_day!$A$3:$A$900&lt;E153),_5shaozhuchou_month_day!$Y$3:$Y$900)/SUMPRODUCT((_5shaozhuchou_month_day!$A$3:$A$900&gt;=D153)*(_5shaozhuchou_month_day!$A$3:$A$900&lt;E153)),0)</f>
        <v>0</v>
      </c>
      <c r="M153" s="224" t="e">
        <f>L153*(1-$AL$3)*#REF!*$AL$4*(E153-D153)*24</f>
        <v>#REF!</v>
      </c>
      <c r="N153" s="231">
        <f t="shared" si="43"/>
        <v>0</v>
      </c>
      <c r="O153" s="231">
        <f t="shared" si="38"/>
        <v>0</v>
      </c>
      <c r="P153" s="231">
        <f t="shared" si="44"/>
        <v>0</v>
      </c>
      <c r="Q153" s="82" t="e">
        <f>IF(OR($B153=#REF!,$B152=$AH$4),($L152-$L153)*(1-$AL$3)*(E153-D153)*24*#REF!*$AL$4,0)</f>
        <v>#REF!</v>
      </c>
      <c r="U153" s="228">
        <f t="shared" si="45"/>
        <v>43368</v>
      </c>
      <c r="V153" s="221">
        <f t="shared" si="46"/>
        <v>0.91666666666666696</v>
      </c>
      <c r="W153" s="229"/>
      <c r="X153" s="229"/>
      <c r="Y153" s="229"/>
      <c r="Z153" s="229"/>
      <c r="AA153" s="82"/>
      <c r="AB153" s="82" t="e">
        <f>AA153*(1-$AL$3)*#REF!*$AL$4*(E153-D153)*24</f>
        <v>#REF!</v>
      </c>
      <c r="AC153" s="231">
        <f t="shared" si="47"/>
        <v>0</v>
      </c>
      <c r="AD153" s="231">
        <f t="shared" si="49"/>
        <v>0</v>
      </c>
      <c r="AE153" s="231">
        <f t="shared" si="50"/>
        <v>0</v>
      </c>
      <c r="AF153" s="82" t="e">
        <f>IF(OR($V153=#REF!,$V153=$AH$4),($AA152-$AA153)*(1-$AL$3)*(E153-D153)*24*#REF!*$AL$4,0)</f>
        <v>#REF!</v>
      </c>
    </row>
    <row r="154" spans="1:32" ht="14.25">
      <c r="A154" s="220">
        <f>A148+1</f>
        <v>43369</v>
      </c>
      <c r="B154" s="221">
        <v>0</v>
      </c>
      <c r="C154" s="222" t="s">
        <v>37</v>
      </c>
      <c r="D154" s="223">
        <f t="shared" si="40"/>
        <v>43369</v>
      </c>
      <c r="E154" s="223">
        <f t="shared" si="41"/>
        <v>43369.333333333336</v>
      </c>
      <c r="F154" s="224">
        <f>SUMPRODUCT(('6烧主抽电耗'!$A$3:$A$96=$A154)*('6烧主抽电耗'!$D$3:$D$96=$C154),'6烧主抽电耗'!$E$3:$E$96)</f>
        <v>1</v>
      </c>
      <c r="G154" s="223" t="str">
        <f t="shared" si="42"/>
        <v>甲班</v>
      </c>
      <c r="H154" s="225"/>
      <c r="I154" s="225"/>
      <c r="J154" s="225" t="str">
        <f>IF(_cuofeng5_month_day!A152="","",_cuofeng5_month_day!A152)</f>
        <v/>
      </c>
      <c r="K154" s="225" t="str">
        <f>IF(_cuofeng5_month_day!B152="","",_cuofeng5_month_day!B152)</f>
        <v/>
      </c>
      <c r="L154" s="224">
        <f>IFERROR(SUMPRODUCT((_5shaozhuchou_month_day!$A$3:$A$900&gt;=D154)*(_5shaozhuchou_month_day!$A$3:$A$900&lt;E154),_5shaozhuchou_month_day!$Y$3:$Y$900)/SUMPRODUCT((_5shaozhuchou_month_day!$A$3:$A$900&gt;=D154)*(_5shaozhuchou_month_day!$A$3:$A$900&lt;E154)),0)</f>
        <v>0</v>
      </c>
      <c r="M154" s="224" t="e">
        <f>L154*(1-$AL$3)*#REF!*$AL$4*(E154-D154)*24</f>
        <v>#REF!</v>
      </c>
      <c r="N154" s="231">
        <f t="shared" si="43"/>
        <v>0</v>
      </c>
      <c r="O154" s="231">
        <f t="shared" ref="O154:O189" si="51">IF(OR($B154=$AI$4,$B154=$AI$5,$B154=$AI$6),(($W155-$W154)+($X155-$X154))*3,0)</f>
        <v>0</v>
      </c>
      <c r="P154" s="231">
        <f t="shared" si="44"/>
        <v>0</v>
      </c>
      <c r="Q154" s="82" t="e">
        <f>IF(OR($B154=#REF!,$B153=$AH$4),($L153-$L154)*(1-$AL$3)*(E154-D154)*24*#REF!*$AL$4,0)</f>
        <v>#REF!</v>
      </c>
      <c r="U154" s="220">
        <f t="shared" si="45"/>
        <v>43369</v>
      </c>
      <c r="V154" s="221">
        <f t="shared" si="46"/>
        <v>0</v>
      </c>
      <c r="W154" s="240"/>
      <c r="X154" s="229"/>
      <c r="Y154" s="229"/>
      <c r="Z154" s="229"/>
      <c r="AA154" s="82"/>
      <c r="AB154" s="82" t="e">
        <f>AA154*(1-$AL$3)*#REF!*$AL$4*(E154-D154)*24</f>
        <v>#REF!</v>
      </c>
      <c r="AC154" s="231">
        <f t="shared" si="47"/>
        <v>0</v>
      </c>
      <c r="AD154" s="231">
        <f t="shared" si="49"/>
        <v>0</v>
      </c>
      <c r="AE154" s="231">
        <f t="shared" si="50"/>
        <v>0</v>
      </c>
      <c r="AF154" s="82" t="e">
        <f>IF(OR($V154=#REF!,$V154=$AH$4),($AA153-$AA154)*(1-$AL$3)*(E154-D154)*24*#REF!*$AL$4,0)</f>
        <v>#REF!</v>
      </c>
    </row>
    <row r="155" spans="1:32" ht="14.25">
      <c r="A155" s="226">
        <f>A154</f>
        <v>43369</v>
      </c>
      <c r="B155" s="221">
        <v>0.33333333333333298</v>
      </c>
      <c r="C155" s="222" t="s">
        <v>37</v>
      </c>
      <c r="D155" s="223">
        <f t="shared" si="40"/>
        <v>43369.333333333336</v>
      </c>
      <c r="E155" s="223">
        <f t="shared" si="41"/>
        <v>43369.583333333336</v>
      </c>
      <c r="F155" s="224">
        <f>SUMPRODUCT(('6烧主抽电耗'!$A$3:$A$96=$A155)*('6烧主抽电耗'!$D$3:$D$96=$C155),'6烧主抽电耗'!$E$3:$E$96)</f>
        <v>1</v>
      </c>
      <c r="G155" s="223" t="str">
        <f t="shared" si="42"/>
        <v>甲班</v>
      </c>
      <c r="H155" s="225"/>
      <c r="I155" s="225"/>
      <c r="J155" s="225" t="str">
        <f>IF(_cuofeng5_month_day!A153="","",_cuofeng5_month_day!A153)</f>
        <v/>
      </c>
      <c r="K155" s="225" t="str">
        <f>IF(_cuofeng5_month_day!B153="","",_cuofeng5_month_day!B153)</f>
        <v/>
      </c>
      <c r="L155" s="224">
        <f>IFERROR(SUMPRODUCT((_5shaozhuchou_month_day!$A$3:$A$900&gt;=D155)*(_5shaozhuchou_month_day!$A$3:$A$900&lt;E155),_5shaozhuchou_month_day!$Y$3:$Y$900)/SUMPRODUCT((_5shaozhuchou_month_day!$A$3:$A$900&gt;=D155)*(_5shaozhuchou_month_day!$A$3:$A$900&lt;E155)),0)</f>
        <v>0</v>
      </c>
      <c r="M155" s="224" t="e">
        <f>L155*(1-$AL$3)*#REF!*$AL$4*(E155-D155)*24</f>
        <v>#REF!</v>
      </c>
      <c r="N155" s="231">
        <f t="shared" si="43"/>
        <v>0</v>
      </c>
      <c r="O155" s="231">
        <f t="shared" si="51"/>
        <v>0</v>
      </c>
      <c r="P155" s="231">
        <f t="shared" si="44"/>
        <v>0</v>
      </c>
      <c r="Q155" s="82" t="e">
        <f>IF(OR($B155=#REF!,$B154=$AH$4),($L154-$L155)*(1-$AL$3)*(E155-D155)*24*#REF!*$AL$4,0)</f>
        <v>#REF!</v>
      </c>
      <c r="U155" s="226">
        <f t="shared" si="45"/>
        <v>43369</v>
      </c>
      <c r="V155" s="221">
        <f t="shared" si="46"/>
        <v>0.33333333333333298</v>
      </c>
      <c r="W155" s="240"/>
      <c r="X155" s="229"/>
      <c r="Y155" s="229"/>
      <c r="Z155" s="229"/>
      <c r="AA155" s="82"/>
      <c r="AB155" s="82" t="e">
        <f>AA155*(1-$AL$3)*#REF!*$AL$4*(E155-D155)*24</f>
        <v>#REF!</v>
      </c>
      <c r="AC155" s="231">
        <f t="shared" si="47"/>
        <v>0</v>
      </c>
      <c r="AD155" s="231">
        <f t="shared" si="49"/>
        <v>0</v>
      </c>
      <c r="AE155" s="231">
        <f t="shared" si="50"/>
        <v>0</v>
      </c>
      <c r="AF155" s="82" t="e">
        <f>IF(OR($V155=#REF!,$V155=$AH$4),($AA154-$AA155)*(1-$AL$3)*(E155-D155)*24*#REF!*$AL$4,0)</f>
        <v>#REF!</v>
      </c>
    </row>
    <row r="156" spans="1:32" ht="14.25">
      <c r="A156" s="226">
        <f t="shared" si="48"/>
        <v>43369</v>
      </c>
      <c r="B156" s="221">
        <v>0.58333333333333304</v>
      </c>
      <c r="C156" s="222" t="s">
        <v>39</v>
      </c>
      <c r="D156" s="223">
        <f t="shared" si="40"/>
        <v>43369.583333333336</v>
      </c>
      <c r="E156" s="223">
        <f t="shared" si="41"/>
        <v>43369.708333333336</v>
      </c>
      <c r="F156" s="224">
        <f>SUMPRODUCT(('6烧主抽电耗'!$A$3:$A$96=$A156)*('6烧主抽电耗'!$D$3:$D$96=$C156),'6烧主抽电耗'!$E$3:$E$96)</f>
        <v>2</v>
      </c>
      <c r="G156" s="223" t="str">
        <f t="shared" si="42"/>
        <v>乙班</v>
      </c>
      <c r="H156" s="225"/>
      <c r="I156" s="225"/>
      <c r="J156" s="225" t="str">
        <f>IF(_cuofeng5_month_day!A154="","",_cuofeng5_month_day!A154)</f>
        <v/>
      </c>
      <c r="K156" s="225" t="str">
        <f>IF(_cuofeng5_month_day!B154="","",_cuofeng5_month_day!B154)</f>
        <v/>
      </c>
      <c r="L156" s="224">
        <f>IFERROR(SUMPRODUCT((_5shaozhuchou_month_day!$A$3:$A$900&gt;=D156)*(_5shaozhuchou_month_day!$A$3:$A$900&lt;E156),_5shaozhuchou_month_day!$Y$3:$Y$900)/SUMPRODUCT((_5shaozhuchou_month_day!$A$3:$A$900&gt;=D156)*(_5shaozhuchou_month_day!$A$3:$A$900&lt;E156)),0)</f>
        <v>0</v>
      </c>
      <c r="M156" s="224" t="e">
        <f>L156*(1-$AL$3)*#REF!*$AL$4*(E156-D156)*24</f>
        <v>#REF!</v>
      </c>
      <c r="N156" s="231">
        <f t="shared" si="43"/>
        <v>0</v>
      </c>
      <c r="O156" s="231">
        <f t="shared" si="51"/>
        <v>0</v>
      </c>
      <c r="P156" s="231">
        <f t="shared" si="44"/>
        <v>0</v>
      </c>
      <c r="Q156" s="82" t="e">
        <f>IF(OR($B156=#REF!,$B155=$AH$4),($L155-$L156)*(1-$AL$3)*(E156-D156)*24*#REF!*$AL$4,0)</f>
        <v>#REF!</v>
      </c>
      <c r="U156" s="226">
        <f t="shared" si="45"/>
        <v>43369</v>
      </c>
      <c r="V156" s="221">
        <f t="shared" si="46"/>
        <v>0.58333333333333304</v>
      </c>
      <c r="W156" s="229"/>
      <c r="X156" s="229"/>
      <c r="Y156" s="229"/>
      <c r="Z156" s="229"/>
      <c r="AA156" s="82"/>
      <c r="AB156" s="82" t="e">
        <f>AA156*(1-$AL$3)*#REF!*$AL$4*(E156-D156)*24</f>
        <v>#REF!</v>
      </c>
      <c r="AC156" s="231">
        <f t="shared" si="47"/>
        <v>0</v>
      </c>
      <c r="AD156" s="231">
        <f t="shared" si="49"/>
        <v>0</v>
      </c>
      <c r="AE156" s="231">
        <f t="shared" si="50"/>
        <v>0</v>
      </c>
      <c r="AF156" s="82" t="e">
        <f>IF(OR($V156=#REF!,$V156=$AH$4),($AA155-$AA156)*(1-$AL$3)*(E156-D156)*24*#REF!*$AL$4,0)</f>
        <v>#REF!</v>
      </c>
    </row>
    <row r="157" spans="1:32" ht="14.25">
      <c r="A157" s="226">
        <f t="shared" si="48"/>
        <v>43369</v>
      </c>
      <c r="B157" s="221">
        <v>0.70833333333333304</v>
      </c>
      <c r="C157" s="222" t="s">
        <v>41</v>
      </c>
      <c r="D157" s="223">
        <f t="shared" si="40"/>
        <v>43369.708333333336</v>
      </c>
      <c r="E157" s="223">
        <f t="shared" si="41"/>
        <v>43369.791666666664</v>
      </c>
      <c r="F157" s="224">
        <f>SUMPRODUCT(('6烧主抽电耗'!$A$3:$A$96=$A157)*('6烧主抽电耗'!$D$3:$D$96=$C157),'6烧主抽电耗'!$E$3:$E$96)</f>
        <v>3</v>
      </c>
      <c r="G157" s="223" t="str">
        <f t="shared" si="42"/>
        <v>丙班</v>
      </c>
      <c r="H157" s="225"/>
      <c r="I157" s="225"/>
      <c r="J157" s="225" t="str">
        <f>IF(_cuofeng5_month_day!A155="","",_cuofeng5_month_day!A155)</f>
        <v/>
      </c>
      <c r="K157" s="225" t="str">
        <f>IF(_cuofeng5_month_day!B155="","",_cuofeng5_month_day!B155)</f>
        <v/>
      </c>
      <c r="L157" s="224">
        <f>IFERROR(SUMPRODUCT((_5shaozhuchou_month_day!$A$3:$A$900&gt;=D157)*(_5shaozhuchou_month_day!$A$3:$A$900&lt;E157),_5shaozhuchou_month_day!$Y$3:$Y$900)/SUMPRODUCT((_5shaozhuchou_month_day!$A$3:$A$900&gt;=D157)*(_5shaozhuchou_month_day!$A$3:$A$900&lt;E157)),0)</f>
        <v>0</v>
      </c>
      <c r="M157" s="224" t="e">
        <f>L157*(1-$AL$3)*#REF!*$AL$4*(E157-D157)*24</f>
        <v>#REF!</v>
      </c>
      <c r="N157" s="231">
        <f t="shared" si="43"/>
        <v>0</v>
      </c>
      <c r="O157" s="231">
        <f t="shared" si="51"/>
        <v>0</v>
      </c>
      <c r="P157" s="231">
        <f t="shared" si="44"/>
        <v>0</v>
      </c>
      <c r="Q157" s="82" t="e">
        <f>IF(OR($B157=#REF!,$B156=$AH$4),($L156-$L157)*(1-$AL$3)*(E157-D157)*24*#REF!*$AL$4,0)</f>
        <v>#REF!</v>
      </c>
      <c r="U157" s="226">
        <f t="shared" si="45"/>
        <v>43369</v>
      </c>
      <c r="V157" s="221">
        <f t="shared" si="46"/>
        <v>0.70833333333333304</v>
      </c>
      <c r="W157" s="229"/>
      <c r="X157" s="229"/>
      <c r="Y157" s="229"/>
      <c r="Z157" s="229"/>
      <c r="AA157" s="82"/>
      <c r="AB157" s="82" t="e">
        <f>AA157*(1-$AL$3)*#REF!*$AL$4*(E157-D157)*24</f>
        <v>#REF!</v>
      </c>
      <c r="AC157" s="231">
        <f t="shared" si="47"/>
        <v>0</v>
      </c>
      <c r="AD157" s="231">
        <f t="shared" si="49"/>
        <v>0</v>
      </c>
      <c r="AE157" s="231">
        <f t="shared" si="50"/>
        <v>0</v>
      </c>
      <c r="AF157" s="82" t="e">
        <f>IF(OR($V157=#REF!,$V157=$AH$4),($AA156-$AA157)*(1-$AL$3)*(E157-D157)*24*#REF!*$AL$4,0)</f>
        <v>#REF!</v>
      </c>
    </row>
    <row r="158" spans="1:32" ht="14.25">
      <c r="A158" s="226">
        <f t="shared" si="48"/>
        <v>43369</v>
      </c>
      <c r="B158" s="221">
        <v>0.79166666666666696</v>
      </c>
      <c r="C158" s="222" t="s">
        <v>41</v>
      </c>
      <c r="D158" s="223">
        <f t="shared" si="40"/>
        <v>43369.791666666664</v>
      </c>
      <c r="E158" s="223">
        <f t="shared" si="41"/>
        <v>43369.916666666664</v>
      </c>
      <c r="F158" s="224">
        <f>SUMPRODUCT(('6烧主抽电耗'!$A$3:$A$96=$A158)*('6烧主抽电耗'!$D$3:$D$96=$C158),'6烧主抽电耗'!$E$3:$E$96)</f>
        <v>3</v>
      </c>
      <c r="G158" s="223" t="str">
        <f t="shared" si="42"/>
        <v>丙班</v>
      </c>
      <c r="H158" s="225"/>
      <c r="I158" s="225"/>
      <c r="J158" s="225" t="str">
        <f>IF(_cuofeng5_month_day!A156="","",_cuofeng5_month_day!A156)</f>
        <v/>
      </c>
      <c r="K158" s="225" t="str">
        <f>IF(_cuofeng5_month_day!B156="","",_cuofeng5_month_day!B156)</f>
        <v/>
      </c>
      <c r="L158" s="224">
        <f>IFERROR(SUMPRODUCT((_5shaozhuchou_month_day!$A$3:$A$900&gt;=D158)*(_5shaozhuchou_month_day!$A$3:$A$900&lt;E158),_5shaozhuchou_month_day!$Y$3:$Y$900)/SUMPRODUCT((_5shaozhuchou_month_day!$A$3:$A$900&gt;=D158)*(_5shaozhuchou_month_day!$A$3:$A$900&lt;E158)),0)</f>
        <v>0</v>
      </c>
      <c r="M158" s="224" t="e">
        <f>L158*(1-$AL$3)*#REF!*$AL$4*(E158-D158)*24</f>
        <v>#REF!</v>
      </c>
      <c r="N158" s="231">
        <f t="shared" si="43"/>
        <v>0</v>
      </c>
      <c r="O158" s="231">
        <f t="shared" si="51"/>
        <v>0</v>
      </c>
      <c r="P158" s="231">
        <f t="shared" si="44"/>
        <v>0</v>
      </c>
      <c r="Q158" s="82" t="e">
        <f>IF(OR($B158=#REF!,$B157=$AH$4),($L157-$L158)*(1-$AL$3)*(E158-D158)*24*#REF!*$AL$4,0)</f>
        <v>#REF!</v>
      </c>
      <c r="U158" s="226">
        <f t="shared" si="45"/>
        <v>43369</v>
      </c>
      <c r="V158" s="221">
        <f t="shared" si="46"/>
        <v>0.79166666666666696</v>
      </c>
      <c r="W158" s="229"/>
      <c r="X158" s="229"/>
      <c r="Y158" s="229"/>
      <c r="Z158" s="229"/>
      <c r="AA158" s="82"/>
      <c r="AB158" s="82" t="e">
        <f>AA158*(1-$AL$3)*#REF!*$AL$4*(E158-D158)*24</f>
        <v>#REF!</v>
      </c>
      <c r="AC158" s="231">
        <f t="shared" si="47"/>
        <v>0</v>
      </c>
      <c r="AD158" s="231">
        <f t="shared" si="49"/>
        <v>0</v>
      </c>
      <c r="AE158" s="231">
        <f t="shared" si="50"/>
        <v>0</v>
      </c>
      <c r="AF158" s="82" t="e">
        <f>IF(OR($V158=#REF!,$V158=$AH$4),($AA157-$AA158)*(1-$AL$3)*(E158-D158)*24*#REF!*$AL$4,0)</f>
        <v>#REF!</v>
      </c>
    </row>
    <row r="159" spans="1:32" ht="14.25">
      <c r="A159" s="228">
        <f t="shared" si="48"/>
        <v>43369</v>
      </c>
      <c r="B159" s="221">
        <v>0.91666666666666696</v>
      </c>
      <c r="C159" s="222" t="s">
        <v>41</v>
      </c>
      <c r="D159" s="223">
        <f t="shared" si="40"/>
        <v>43369.916666666664</v>
      </c>
      <c r="E159" s="223">
        <f t="shared" si="41"/>
        <v>43370</v>
      </c>
      <c r="F159" s="224">
        <f>SUMPRODUCT(('6烧主抽电耗'!$A$3:$A$96=$A159)*('6烧主抽电耗'!$D$3:$D$96=$C159),'6烧主抽电耗'!$E$3:$E$96)</f>
        <v>3</v>
      </c>
      <c r="G159" s="223" t="str">
        <f t="shared" si="42"/>
        <v>丙班</v>
      </c>
      <c r="H159" s="225"/>
      <c r="I159" s="225"/>
      <c r="J159" s="225" t="str">
        <f>IF(_cuofeng5_month_day!A157="","",_cuofeng5_month_day!A157)</f>
        <v/>
      </c>
      <c r="K159" s="225" t="str">
        <f>IF(_cuofeng5_month_day!B157="","",_cuofeng5_month_day!B157)</f>
        <v/>
      </c>
      <c r="L159" s="224">
        <f>IFERROR(SUMPRODUCT((_5shaozhuchou_month_day!$A$3:$A$900&gt;=D159)*(_5shaozhuchou_month_day!$A$3:$A$900&lt;E159),_5shaozhuchou_month_day!$Y$3:$Y$900)/SUMPRODUCT((_5shaozhuchou_month_day!$A$3:$A$900&gt;=D159)*(_5shaozhuchou_month_day!$A$3:$A$900&lt;E159)),0)</f>
        <v>0</v>
      </c>
      <c r="M159" s="224" t="e">
        <f>L159*(1-$AL$3)*#REF!*$AL$4*(E159-D159)*24</f>
        <v>#REF!</v>
      </c>
      <c r="N159" s="231">
        <f t="shared" si="43"/>
        <v>0</v>
      </c>
      <c r="O159" s="231">
        <f t="shared" si="51"/>
        <v>0</v>
      </c>
      <c r="P159" s="231">
        <f t="shared" si="44"/>
        <v>0</v>
      </c>
      <c r="Q159" s="82" t="e">
        <f>IF(OR($B159=#REF!,$B158=$AH$4),($L158-$L159)*(1-$AL$3)*(E159-D159)*24*#REF!*$AL$4,0)</f>
        <v>#REF!</v>
      </c>
      <c r="U159" s="228">
        <f t="shared" si="45"/>
        <v>43369</v>
      </c>
      <c r="V159" s="221">
        <f t="shared" si="46"/>
        <v>0.91666666666666696</v>
      </c>
      <c r="W159" s="229"/>
      <c r="X159" s="229"/>
      <c r="Y159" s="229"/>
      <c r="Z159" s="229"/>
      <c r="AA159" s="82"/>
      <c r="AB159" s="82" t="e">
        <f>AA159*(1-$AL$3)*#REF!*$AL$4*(E159-D159)*24</f>
        <v>#REF!</v>
      </c>
      <c r="AC159" s="231">
        <f t="shared" si="47"/>
        <v>0</v>
      </c>
      <c r="AD159" s="231">
        <f t="shared" si="49"/>
        <v>0</v>
      </c>
      <c r="AE159" s="231">
        <f t="shared" si="50"/>
        <v>0</v>
      </c>
      <c r="AF159" s="82" t="e">
        <f>IF(OR($V159=#REF!,$V159=$AH$4),($AA158-$AA159)*(1-$AL$3)*(E159-D159)*24*#REF!*$AL$4,0)</f>
        <v>#REF!</v>
      </c>
    </row>
    <row r="160" spans="1:32" ht="14.25">
      <c r="A160" s="220">
        <f>A154+1</f>
        <v>43370</v>
      </c>
      <c r="B160" s="221">
        <v>0</v>
      </c>
      <c r="C160" s="222" t="s">
        <v>37</v>
      </c>
      <c r="D160" s="223">
        <f t="shared" si="40"/>
        <v>43370</v>
      </c>
      <c r="E160" s="223">
        <f t="shared" si="41"/>
        <v>43370.333333333336</v>
      </c>
      <c r="F160" s="224">
        <f>SUMPRODUCT(('6烧主抽电耗'!$A$3:$A$96=$A160)*('6烧主抽电耗'!$D$3:$D$96=$C160),'6烧主抽电耗'!$E$3:$E$96)</f>
        <v>1</v>
      </c>
      <c r="G160" s="223" t="str">
        <f t="shared" si="42"/>
        <v>甲班</v>
      </c>
      <c r="H160" s="229"/>
      <c r="I160" s="229"/>
      <c r="J160" s="229" t="str">
        <f>IF(_cuofeng5_month_day!A158="","",_cuofeng5_month_day!A158)</f>
        <v/>
      </c>
      <c r="K160" s="229" t="str">
        <f>IF(_cuofeng5_month_day!B158="","",_cuofeng5_month_day!B158)</f>
        <v/>
      </c>
      <c r="L160" s="224">
        <f>IFERROR(SUMPRODUCT((_5shaozhuchou_month_day!$A$3:$A$900&gt;=D160)*(_5shaozhuchou_month_day!$A$3:$A$900&lt;E160),_5shaozhuchou_month_day!$Y$3:$Y$900)/SUMPRODUCT((_5shaozhuchou_month_day!$A$3:$A$900&gt;=D160)*(_5shaozhuchou_month_day!$A$3:$A$900&lt;E160)),0)</f>
        <v>0</v>
      </c>
      <c r="M160" s="224" t="e">
        <f>L160*(1-$AL$3)*#REF!*$AL$4*(E160-D160)*24</f>
        <v>#REF!</v>
      </c>
      <c r="N160" s="231">
        <f t="shared" si="43"/>
        <v>0</v>
      </c>
      <c r="O160" s="231">
        <f t="shared" si="51"/>
        <v>0</v>
      </c>
      <c r="P160" s="231">
        <f t="shared" si="44"/>
        <v>0</v>
      </c>
      <c r="Q160" s="82" t="e">
        <f>IF(OR($B160=#REF!,$B159=$AH$4),($L159-$L160)*(1-$AL$3)*(E160-D160)*24*#REF!*$AL$4,0)</f>
        <v>#REF!</v>
      </c>
      <c r="U160" s="220">
        <f t="shared" si="45"/>
        <v>43370</v>
      </c>
      <c r="V160" s="221">
        <f t="shared" si="46"/>
        <v>0</v>
      </c>
      <c r="W160" s="229"/>
      <c r="X160" s="229"/>
      <c r="Y160" s="229"/>
      <c r="Z160" s="229"/>
      <c r="AA160" s="82"/>
      <c r="AB160" s="82" t="e">
        <f>AA160*(1-$AL$3)*#REF!*$AL$4*(E160-D160)*24</f>
        <v>#REF!</v>
      </c>
      <c r="AC160" s="231">
        <f t="shared" si="47"/>
        <v>0</v>
      </c>
      <c r="AD160" s="231">
        <f t="shared" si="49"/>
        <v>0</v>
      </c>
      <c r="AE160" s="231">
        <f t="shared" si="50"/>
        <v>0</v>
      </c>
      <c r="AF160" s="82" t="e">
        <f>IF(OR($V160=#REF!,$V160=$AH$4),($AA159-$AA160)*(1-$AL$3)*(E160-D160)*24*#REF!*$AL$4,0)</f>
        <v>#REF!</v>
      </c>
    </row>
    <row r="161" spans="1:32" ht="14.25">
      <c r="A161" s="226">
        <f>A160</f>
        <v>43370</v>
      </c>
      <c r="B161" s="221">
        <v>0.33333333333333298</v>
      </c>
      <c r="C161" s="222" t="s">
        <v>37</v>
      </c>
      <c r="D161" s="223">
        <f t="shared" si="40"/>
        <v>43370.333333333336</v>
      </c>
      <c r="E161" s="223">
        <f t="shared" si="41"/>
        <v>43370.583333333336</v>
      </c>
      <c r="F161" s="224">
        <f>SUMPRODUCT(('6烧主抽电耗'!$A$3:$A$96=$A161)*('6烧主抽电耗'!$D$3:$D$96=$C161),'6烧主抽电耗'!$E$3:$E$96)</f>
        <v>1</v>
      </c>
      <c r="G161" s="223" t="str">
        <f t="shared" si="42"/>
        <v>甲班</v>
      </c>
      <c r="H161" s="229"/>
      <c r="I161" s="229"/>
      <c r="J161" s="229" t="str">
        <f>IF(_cuofeng5_month_day!A159="","",_cuofeng5_month_day!A159)</f>
        <v/>
      </c>
      <c r="K161" s="229" t="str">
        <f>IF(_cuofeng5_month_day!B159="","",_cuofeng5_month_day!B159)</f>
        <v/>
      </c>
      <c r="L161" s="224">
        <f>IFERROR(SUMPRODUCT((_5shaozhuchou_month_day!$A$3:$A$900&gt;=D161)*(_5shaozhuchou_month_day!$A$3:$A$900&lt;E161),_5shaozhuchou_month_day!$Y$3:$Y$900)/SUMPRODUCT((_5shaozhuchou_month_day!$A$3:$A$900&gt;=D161)*(_5shaozhuchou_month_day!$A$3:$A$900&lt;E161)),0)</f>
        <v>0</v>
      </c>
      <c r="M161" s="224" t="e">
        <f>L161*(1-$AL$3)*#REF!*$AL$4*(E161-D161)*24</f>
        <v>#REF!</v>
      </c>
      <c r="N161" s="231">
        <f t="shared" si="43"/>
        <v>0</v>
      </c>
      <c r="O161" s="231">
        <f t="shared" si="51"/>
        <v>0</v>
      </c>
      <c r="P161" s="231">
        <f t="shared" si="44"/>
        <v>0</v>
      </c>
      <c r="Q161" s="82" t="e">
        <f>IF(OR($B161=#REF!,$B160=$AH$4),($L160-$L161)*(1-$AL$3)*(E161-D161)*24*#REF!*$AL$4,0)</f>
        <v>#REF!</v>
      </c>
      <c r="U161" s="226">
        <f t="shared" si="45"/>
        <v>43370</v>
      </c>
      <c r="V161" s="221">
        <f t="shared" si="46"/>
        <v>0.33333333333333298</v>
      </c>
      <c r="W161" s="240"/>
      <c r="X161" s="229"/>
      <c r="Y161" s="229"/>
      <c r="Z161" s="229"/>
      <c r="AA161" s="82"/>
      <c r="AB161" s="82" t="e">
        <f>AA161*(1-$AL$3)*#REF!*$AL$4*(E161-D161)*24</f>
        <v>#REF!</v>
      </c>
      <c r="AC161" s="231">
        <f t="shared" si="47"/>
        <v>0</v>
      </c>
      <c r="AD161" s="231">
        <f t="shared" si="49"/>
        <v>0</v>
      </c>
      <c r="AE161" s="231">
        <f t="shared" si="50"/>
        <v>0</v>
      </c>
      <c r="AF161" s="82" t="e">
        <f>IF(OR($V161=#REF!,$V161=$AH$4),($AA160-$AA161)*(1-$AL$3)*(E161-D161)*24*#REF!*$AL$4,0)</f>
        <v>#REF!</v>
      </c>
    </row>
    <row r="162" spans="1:32" ht="14.25">
      <c r="A162" s="226">
        <f t="shared" si="48"/>
        <v>43370</v>
      </c>
      <c r="B162" s="221">
        <v>0.58333333333333304</v>
      </c>
      <c r="C162" s="222" t="s">
        <v>39</v>
      </c>
      <c r="D162" s="223">
        <f t="shared" si="40"/>
        <v>43370.583333333336</v>
      </c>
      <c r="E162" s="223">
        <f t="shared" si="41"/>
        <v>43370.708333333336</v>
      </c>
      <c r="F162" s="224">
        <f>SUMPRODUCT(('6烧主抽电耗'!$A$3:$A$96=$A162)*('6烧主抽电耗'!$D$3:$D$96=$C162),'6烧主抽电耗'!$E$3:$E$96)</f>
        <v>2</v>
      </c>
      <c r="G162" s="223" t="str">
        <f t="shared" si="42"/>
        <v>乙班</v>
      </c>
      <c r="H162" s="225"/>
      <c r="I162" s="225"/>
      <c r="J162" s="225" t="str">
        <f>IF(_cuofeng5_month_day!A160="","",_cuofeng5_month_day!A160)</f>
        <v/>
      </c>
      <c r="K162" s="225" t="str">
        <f>IF(_cuofeng5_month_day!B160="","",_cuofeng5_month_day!B160)</f>
        <v/>
      </c>
      <c r="L162" s="224">
        <f>IFERROR(SUMPRODUCT((_5shaozhuchou_month_day!$A$3:$A$900&gt;=D162)*(_5shaozhuchou_month_day!$A$3:$A$900&lt;E162),_5shaozhuchou_month_day!$Y$3:$Y$900)/SUMPRODUCT((_5shaozhuchou_month_day!$A$3:$A$900&gt;=D162)*(_5shaozhuchou_month_day!$A$3:$A$900&lt;E162)),0)</f>
        <v>0</v>
      </c>
      <c r="M162" s="224" t="e">
        <f>L162*(1-$AL$3)*#REF!*$AL$4*(E162-D162)*24</f>
        <v>#REF!</v>
      </c>
      <c r="N162" s="231">
        <f t="shared" si="43"/>
        <v>0</v>
      </c>
      <c r="O162" s="231">
        <f t="shared" si="51"/>
        <v>0</v>
      </c>
      <c r="P162" s="231">
        <f t="shared" si="44"/>
        <v>0</v>
      </c>
      <c r="Q162" s="82" t="e">
        <f>IF(OR($B162=#REF!,$B161=$AH$4),($L161-$L162)*(1-$AL$3)*(E162-D162)*24*#REF!*$AL$4,0)</f>
        <v>#REF!</v>
      </c>
      <c r="U162" s="226">
        <f t="shared" si="45"/>
        <v>43370</v>
      </c>
      <c r="V162" s="221">
        <f t="shared" si="46"/>
        <v>0.58333333333333304</v>
      </c>
      <c r="W162" s="229"/>
      <c r="X162" s="229"/>
      <c r="Y162" s="229"/>
      <c r="Z162" s="229"/>
      <c r="AA162" s="82"/>
      <c r="AB162" s="82" t="e">
        <f>AA162*(1-$AL$3)*#REF!*$AL$4*(E162-D162)*24</f>
        <v>#REF!</v>
      </c>
      <c r="AC162" s="231">
        <f t="shared" si="47"/>
        <v>0</v>
      </c>
      <c r="AD162" s="231">
        <f t="shared" si="49"/>
        <v>0</v>
      </c>
      <c r="AE162" s="231">
        <f t="shared" si="50"/>
        <v>0</v>
      </c>
      <c r="AF162" s="82" t="e">
        <f>IF(OR($V162=#REF!,$V162=$AH$4),($AA161-$AA162)*(1-$AL$3)*(E162-D162)*24*#REF!*$AL$4,0)</f>
        <v>#REF!</v>
      </c>
    </row>
    <row r="163" spans="1:32" ht="14.25">
      <c r="A163" s="226">
        <f t="shared" si="48"/>
        <v>43370</v>
      </c>
      <c r="B163" s="221">
        <v>0.70833333333333304</v>
      </c>
      <c r="C163" s="222" t="s">
        <v>41</v>
      </c>
      <c r="D163" s="223">
        <f t="shared" si="40"/>
        <v>43370.708333333336</v>
      </c>
      <c r="E163" s="223">
        <f t="shared" si="41"/>
        <v>43370.791666666664</v>
      </c>
      <c r="F163" s="224">
        <f>SUMPRODUCT(('6烧主抽电耗'!$A$3:$A$96=$A163)*('6烧主抽电耗'!$D$3:$D$96=$C163),'6烧主抽电耗'!$E$3:$E$96)</f>
        <v>3</v>
      </c>
      <c r="G163" s="223" t="str">
        <f t="shared" si="42"/>
        <v>丙班</v>
      </c>
      <c r="H163" s="225"/>
      <c r="I163" s="225"/>
      <c r="J163" s="225" t="str">
        <f>IF(_cuofeng5_month_day!A161="","",_cuofeng5_month_day!A161)</f>
        <v/>
      </c>
      <c r="K163" s="225" t="str">
        <f>IF(_cuofeng5_month_day!B161="","",_cuofeng5_month_day!B161)</f>
        <v/>
      </c>
      <c r="L163" s="224">
        <f>IFERROR(SUMPRODUCT((_5shaozhuchou_month_day!$A$3:$A$900&gt;=D163)*(_5shaozhuchou_month_day!$A$3:$A$900&lt;E163),_5shaozhuchou_month_day!$Y$3:$Y$900)/SUMPRODUCT((_5shaozhuchou_month_day!$A$3:$A$900&gt;=D163)*(_5shaozhuchou_month_day!$A$3:$A$900&lt;E163)),0)</f>
        <v>0</v>
      </c>
      <c r="M163" s="224" t="e">
        <f>L163*(1-$AL$3)*#REF!*$AL$4*(E163-D163)*24</f>
        <v>#REF!</v>
      </c>
      <c r="N163" s="231">
        <f t="shared" si="43"/>
        <v>0</v>
      </c>
      <c r="O163" s="231">
        <f t="shared" si="51"/>
        <v>0</v>
      </c>
      <c r="P163" s="231">
        <f t="shared" si="44"/>
        <v>0</v>
      </c>
      <c r="Q163" s="82" t="e">
        <f>IF(OR($B163=#REF!,$B162=$AH$4),($L162-$L163)*(1-$AL$3)*(E163-D163)*24*#REF!*$AL$4,0)</f>
        <v>#REF!</v>
      </c>
      <c r="U163" s="226">
        <f t="shared" si="45"/>
        <v>43370</v>
      </c>
      <c r="V163" s="221">
        <f t="shared" si="46"/>
        <v>0.70833333333333304</v>
      </c>
      <c r="W163" s="229"/>
      <c r="X163" s="229"/>
      <c r="Y163" s="229"/>
      <c r="Z163" s="229"/>
      <c r="AA163" s="82"/>
      <c r="AB163" s="82" t="e">
        <f>AA163*(1-$AL$3)*#REF!*$AL$4*(E163-D163)*24</f>
        <v>#REF!</v>
      </c>
      <c r="AC163" s="231">
        <f t="shared" si="47"/>
        <v>0</v>
      </c>
      <c r="AD163" s="231">
        <f t="shared" si="49"/>
        <v>0</v>
      </c>
      <c r="AE163" s="231">
        <f t="shared" si="50"/>
        <v>0</v>
      </c>
      <c r="AF163" s="82" t="e">
        <f>IF(OR($V163=#REF!,$V163=$AH$4),($AA162-$AA163)*(1-$AL$3)*(E163-D163)*24*#REF!*$AL$4,0)</f>
        <v>#REF!</v>
      </c>
    </row>
    <row r="164" spans="1:32" ht="14.25">
      <c r="A164" s="226">
        <f t="shared" si="48"/>
        <v>43370</v>
      </c>
      <c r="B164" s="221">
        <v>0.79166666666666696</v>
      </c>
      <c r="C164" s="222" t="s">
        <v>41</v>
      </c>
      <c r="D164" s="223">
        <f t="shared" ref="D164:D191" si="52">A164+B164</f>
        <v>43370.791666666664</v>
      </c>
      <c r="E164" s="223">
        <f t="shared" ref="E164:E191" si="53">D165</f>
        <v>43370.916666666664</v>
      </c>
      <c r="F164" s="224">
        <f>SUMPRODUCT(('6烧主抽电耗'!$A$3:$A$96=$A164)*('6烧主抽电耗'!$D$3:$D$96=$C164),'6烧主抽电耗'!$E$3:$E$96)</f>
        <v>3</v>
      </c>
      <c r="G164" s="223" t="str">
        <f t="shared" si="42"/>
        <v>丙班</v>
      </c>
      <c r="H164" s="225"/>
      <c r="I164" s="225"/>
      <c r="J164" s="225" t="str">
        <f>IF(_cuofeng5_month_day!A162="","",_cuofeng5_month_day!A162)</f>
        <v/>
      </c>
      <c r="K164" s="225" t="str">
        <f>IF(_cuofeng5_month_day!B162="","",_cuofeng5_month_day!B162)</f>
        <v/>
      </c>
      <c r="L164" s="224">
        <f>IFERROR(SUMPRODUCT((_5shaozhuchou_month_day!$A$3:$A$900&gt;=D164)*(_5shaozhuchou_month_day!$A$3:$A$900&lt;E164),_5shaozhuchou_month_day!$Y$3:$Y$900)/SUMPRODUCT((_5shaozhuchou_month_day!$A$3:$A$900&gt;=D164)*(_5shaozhuchou_month_day!$A$3:$A$900&lt;E164)),0)</f>
        <v>0</v>
      </c>
      <c r="M164" s="224" t="e">
        <f>L164*(1-$AL$3)*#REF!*$AL$4*(E164-D164)*24</f>
        <v>#REF!</v>
      </c>
      <c r="N164" s="231">
        <f t="shared" si="43"/>
        <v>0</v>
      </c>
      <c r="O164" s="231">
        <f t="shared" si="51"/>
        <v>0</v>
      </c>
      <c r="P164" s="231">
        <f t="shared" si="44"/>
        <v>0</v>
      </c>
      <c r="Q164" s="82" t="e">
        <f>IF(OR($B164=#REF!,$B163=$AH$4),($L163-$L164)*(1-$AL$3)*(E164-D164)*24*#REF!*$AL$4,0)</f>
        <v>#REF!</v>
      </c>
      <c r="U164" s="226">
        <f t="shared" si="45"/>
        <v>43370</v>
      </c>
      <c r="V164" s="221">
        <f t="shared" si="46"/>
        <v>0.79166666666666696</v>
      </c>
      <c r="W164" s="229"/>
      <c r="X164" s="229"/>
      <c r="Y164" s="229"/>
      <c r="Z164" s="229"/>
      <c r="AA164" s="82"/>
      <c r="AB164" s="82" t="e">
        <f>AA164*(1-$AL$3)*#REF!*$AL$4*(E164-D164)*24</f>
        <v>#REF!</v>
      </c>
      <c r="AC164" s="231">
        <f t="shared" si="47"/>
        <v>0</v>
      </c>
      <c r="AD164" s="231">
        <f t="shared" si="49"/>
        <v>0</v>
      </c>
      <c r="AE164" s="231">
        <f t="shared" si="50"/>
        <v>0</v>
      </c>
      <c r="AF164" s="82" t="e">
        <f>IF(OR($V164=#REF!,$V164=$AH$4),($AA163-$AA164)*(1-$AL$3)*(E164-D164)*24*#REF!*$AL$4,0)</f>
        <v>#REF!</v>
      </c>
    </row>
    <row r="165" spans="1:32" ht="14.25">
      <c r="A165" s="228">
        <f t="shared" si="48"/>
        <v>43370</v>
      </c>
      <c r="B165" s="221">
        <v>0.91666666666666696</v>
      </c>
      <c r="C165" s="222" t="s">
        <v>41</v>
      </c>
      <c r="D165" s="223">
        <f t="shared" si="52"/>
        <v>43370.916666666664</v>
      </c>
      <c r="E165" s="223">
        <f t="shared" si="53"/>
        <v>43371</v>
      </c>
      <c r="F165" s="224">
        <f>SUMPRODUCT(('6烧主抽电耗'!$A$3:$A$96=$A165)*('6烧主抽电耗'!$D$3:$D$96=$C165),'6烧主抽电耗'!$E$3:$E$96)</f>
        <v>3</v>
      </c>
      <c r="G165" s="223" t="str">
        <f t="shared" si="42"/>
        <v>丙班</v>
      </c>
      <c r="H165" s="225"/>
      <c r="I165" s="225"/>
      <c r="J165" s="225" t="str">
        <f>IF(_cuofeng5_month_day!A163="","",_cuofeng5_month_day!A163)</f>
        <v/>
      </c>
      <c r="K165" s="225" t="str">
        <f>IF(_cuofeng5_month_day!B163="","",_cuofeng5_month_day!B163)</f>
        <v/>
      </c>
      <c r="L165" s="224">
        <f>IFERROR(SUMPRODUCT((_5shaozhuchou_month_day!$A$3:$A$900&gt;=D165)*(_5shaozhuchou_month_day!$A$3:$A$900&lt;E165),_5shaozhuchou_month_day!$Y$3:$Y$900)/SUMPRODUCT((_5shaozhuchou_month_day!$A$3:$A$900&gt;=D165)*(_5shaozhuchou_month_day!$A$3:$A$900&lt;E165)),0)</f>
        <v>0</v>
      </c>
      <c r="M165" s="224" t="e">
        <f>L165*(1-$AL$3)*#REF!*$AL$4*(E165-D165)*24</f>
        <v>#REF!</v>
      </c>
      <c r="N165" s="231">
        <f t="shared" ref="N165:N189" si="54">IF(OR($B165=$AH$4,$B165=$AH$5),(($H166-$H165)+($I166-$I165))*3,0)</f>
        <v>0</v>
      </c>
      <c r="O165" s="231">
        <f t="shared" si="51"/>
        <v>0</v>
      </c>
      <c r="P165" s="231">
        <f t="shared" ref="P165:P189" si="55">IF(OR($B165=$AJ$4),(($H166-$H165)+($I166-$I165))*3,0)</f>
        <v>0</v>
      </c>
      <c r="Q165" s="82" t="e">
        <f>IF(OR($B165=#REF!,$B164=$AH$4),($L164-$L165)*(1-$AL$3)*(E165-D165)*24*#REF!*$AL$4,0)</f>
        <v>#REF!</v>
      </c>
      <c r="U165" s="228">
        <f t="shared" si="45"/>
        <v>43370</v>
      </c>
      <c r="V165" s="221">
        <f t="shared" si="46"/>
        <v>0.91666666666666696</v>
      </c>
      <c r="W165" s="229"/>
      <c r="X165" s="229"/>
      <c r="Y165" s="229"/>
      <c r="Z165" s="229"/>
      <c r="AA165" s="82"/>
      <c r="AB165" s="82" t="e">
        <f>AA165*(1-$AL$3)*#REF!*$AL$4*(E165-D165)*24</f>
        <v>#REF!</v>
      </c>
      <c r="AC165" s="231">
        <f t="shared" si="47"/>
        <v>0</v>
      </c>
      <c r="AD165" s="231">
        <f t="shared" si="49"/>
        <v>0</v>
      </c>
      <c r="AE165" s="231">
        <f t="shared" si="50"/>
        <v>0</v>
      </c>
      <c r="AF165" s="82" t="e">
        <f>IF(OR($V165=#REF!,$V165=$AH$4),($AA164-$AA165)*(1-$AL$3)*(E165-D165)*24*#REF!*$AL$4,0)</f>
        <v>#REF!</v>
      </c>
    </row>
    <row r="166" spans="1:32" ht="14.25">
      <c r="A166" s="220">
        <f>A160+1</f>
        <v>43371</v>
      </c>
      <c r="B166" s="221">
        <v>0</v>
      </c>
      <c r="C166" s="222" t="s">
        <v>37</v>
      </c>
      <c r="D166" s="223">
        <f t="shared" si="52"/>
        <v>43371</v>
      </c>
      <c r="E166" s="223">
        <f t="shared" si="53"/>
        <v>43371.333333333336</v>
      </c>
      <c r="F166" s="224">
        <f>SUMPRODUCT(('6烧主抽电耗'!$A$3:$A$96=$A166)*('6烧主抽电耗'!$D$3:$D$96=$C166),'6烧主抽电耗'!$E$3:$E$96)</f>
        <v>4</v>
      </c>
      <c r="G166" s="223" t="str">
        <f t="shared" si="42"/>
        <v>丁班</v>
      </c>
      <c r="H166" s="225"/>
      <c r="I166" s="225"/>
      <c r="J166" s="225" t="str">
        <f>IF(_cuofeng5_month_day!A164="","",_cuofeng5_month_day!A164)</f>
        <v/>
      </c>
      <c r="K166" s="225" t="str">
        <f>IF(_cuofeng5_month_day!B164="","",_cuofeng5_month_day!B164)</f>
        <v/>
      </c>
      <c r="L166" s="224">
        <f>IFERROR(SUMPRODUCT((_5shaozhuchou_month_day!$A$3:$A$900&gt;=D166)*(_5shaozhuchou_month_day!$A$3:$A$900&lt;E166),_5shaozhuchou_month_day!$Y$3:$Y$900)/SUMPRODUCT((_5shaozhuchou_month_day!$A$3:$A$900&gt;=D166)*(_5shaozhuchou_month_day!$A$3:$A$900&lt;E166)),0)</f>
        <v>0</v>
      </c>
      <c r="M166" s="224" t="e">
        <f>L166*(1-$AL$3)*#REF!*$AL$4*(E166-D166)*24</f>
        <v>#REF!</v>
      </c>
      <c r="N166" s="231">
        <f t="shared" si="54"/>
        <v>0</v>
      </c>
      <c r="O166" s="231">
        <f t="shared" si="51"/>
        <v>0</v>
      </c>
      <c r="P166" s="231">
        <f t="shared" si="55"/>
        <v>0</v>
      </c>
      <c r="Q166" s="82" t="e">
        <f>IF(OR($B166=#REF!,$B165=$AH$4),($L165-$L166)*(1-$AL$3)*(E166-D166)*24*#REF!*$AL$4,0)</f>
        <v>#REF!</v>
      </c>
      <c r="U166" s="220">
        <f t="shared" si="45"/>
        <v>43371</v>
      </c>
      <c r="V166" s="221">
        <f t="shared" si="46"/>
        <v>0</v>
      </c>
      <c r="W166" s="229"/>
      <c r="X166" s="229"/>
      <c r="Y166" s="229"/>
      <c r="Z166" s="229"/>
      <c r="AA166" s="82"/>
      <c r="AB166" s="82" t="e">
        <f>AA166*(1-$AL$3)*#REF!*$AL$4*(E166-D166)*24</f>
        <v>#REF!</v>
      </c>
      <c r="AC166" s="231">
        <f t="shared" si="47"/>
        <v>0</v>
      </c>
      <c r="AD166" s="231">
        <f t="shared" si="49"/>
        <v>0</v>
      </c>
      <c r="AE166" s="231">
        <f t="shared" si="50"/>
        <v>0</v>
      </c>
      <c r="AF166" s="82" t="e">
        <f>IF(OR($V166=#REF!,$V166=$AH$4),($AA165-$AA166)*(1-$AL$3)*(E166-D166)*24*#REF!*$AL$4,0)</f>
        <v>#REF!</v>
      </c>
    </row>
    <row r="167" spans="1:32" ht="14.25">
      <c r="A167" s="226">
        <f>A166</f>
        <v>43371</v>
      </c>
      <c r="B167" s="221">
        <v>0.33333333333333298</v>
      </c>
      <c r="C167" s="222" t="s">
        <v>37</v>
      </c>
      <c r="D167" s="223">
        <f t="shared" si="52"/>
        <v>43371.333333333336</v>
      </c>
      <c r="E167" s="223">
        <f t="shared" si="53"/>
        <v>43371.583333333336</v>
      </c>
      <c r="F167" s="224">
        <f>SUMPRODUCT(('6烧主抽电耗'!$A$3:$A$96=$A167)*('6烧主抽电耗'!$D$3:$D$96=$C167),'6烧主抽电耗'!$E$3:$E$96)</f>
        <v>4</v>
      </c>
      <c r="G167" s="223" t="str">
        <f t="shared" si="42"/>
        <v>丁班</v>
      </c>
      <c r="H167" s="225"/>
      <c r="I167" s="225"/>
      <c r="J167" s="225" t="str">
        <f>IF(_cuofeng5_month_day!A165="","",_cuofeng5_month_day!A165)</f>
        <v/>
      </c>
      <c r="K167" s="225" t="str">
        <f>IF(_cuofeng5_month_day!B165="","",_cuofeng5_month_day!B165)</f>
        <v/>
      </c>
      <c r="L167" s="224">
        <f>IFERROR(SUMPRODUCT((_5shaozhuchou_month_day!$A$3:$A$900&gt;=D167)*(_5shaozhuchou_month_day!$A$3:$A$900&lt;E167),_5shaozhuchou_month_day!$Y$3:$Y$900)/SUMPRODUCT((_5shaozhuchou_month_day!$A$3:$A$900&gt;=D167)*(_5shaozhuchou_month_day!$A$3:$A$900&lt;E167)),0)</f>
        <v>0</v>
      </c>
      <c r="M167" s="224" t="e">
        <f>L167*(1-$AL$3)*#REF!*$AL$4*(E167-D167)*24</f>
        <v>#REF!</v>
      </c>
      <c r="N167" s="231">
        <f t="shared" si="54"/>
        <v>0</v>
      </c>
      <c r="O167" s="231">
        <f t="shared" si="51"/>
        <v>0</v>
      </c>
      <c r="P167" s="231">
        <f t="shared" si="55"/>
        <v>0</v>
      </c>
      <c r="Q167" s="82" t="e">
        <f>IF(OR($B167=#REF!,$B166=$AH$4),($L166-$L167)*(1-$AL$3)*(E167-D167)*24*#REF!*$AL$4,0)</f>
        <v>#REF!</v>
      </c>
      <c r="U167" s="226">
        <f t="shared" si="45"/>
        <v>43371</v>
      </c>
      <c r="V167" s="221">
        <f t="shared" si="46"/>
        <v>0.33333333333333298</v>
      </c>
      <c r="W167" s="229"/>
      <c r="X167" s="229"/>
      <c r="Y167" s="229"/>
      <c r="Z167" s="229"/>
      <c r="AA167" s="82"/>
      <c r="AB167" s="82" t="e">
        <f>AA167*(1-$AL$3)*#REF!*$AL$4*(E167-D167)*24</f>
        <v>#REF!</v>
      </c>
      <c r="AC167" s="231">
        <f t="shared" si="47"/>
        <v>0</v>
      </c>
      <c r="AD167" s="231">
        <f t="shared" si="49"/>
        <v>0</v>
      </c>
      <c r="AE167" s="231">
        <f t="shared" si="50"/>
        <v>0</v>
      </c>
      <c r="AF167" s="82" t="e">
        <f>IF(OR($V167=#REF!,$V167=$AH$4),($AA166-$AA167)*(1-$AL$3)*(E167-D167)*24*#REF!*$AL$4,0)</f>
        <v>#REF!</v>
      </c>
    </row>
    <row r="168" spans="1:32" ht="14.25">
      <c r="A168" s="226">
        <f t="shared" si="48"/>
        <v>43371</v>
      </c>
      <c r="B168" s="221">
        <v>0.58333333333333304</v>
      </c>
      <c r="C168" s="222" t="s">
        <v>39</v>
      </c>
      <c r="D168" s="223">
        <f t="shared" si="52"/>
        <v>43371.583333333336</v>
      </c>
      <c r="E168" s="223">
        <f t="shared" si="53"/>
        <v>43371.708333333336</v>
      </c>
      <c r="F168" s="224">
        <f>SUMPRODUCT(('6烧主抽电耗'!$A$3:$A$96=$A168)*('6烧主抽电耗'!$D$3:$D$96=$C168),'6烧主抽电耗'!$E$3:$E$96)</f>
        <v>1</v>
      </c>
      <c r="G168" s="223" t="str">
        <f t="shared" si="42"/>
        <v>甲班</v>
      </c>
      <c r="H168" s="225"/>
      <c r="I168" s="225"/>
      <c r="J168" s="225" t="str">
        <f>IF(_cuofeng5_month_day!A166="","",_cuofeng5_month_day!A166)</f>
        <v/>
      </c>
      <c r="K168" s="225" t="str">
        <f>IF(_cuofeng5_month_day!B166="","",_cuofeng5_month_day!B166)</f>
        <v/>
      </c>
      <c r="L168" s="224">
        <f>IFERROR(SUMPRODUCT((_5shaozhuchou_month_day!$A$3:$A$900&gt;=D168)*(_5shaozhuchou_month_day!$A$3:$A$900&lt;E168),_5shaozhuchou_month_day!$Y$3:$Y$900)/SUMPRODUCT((_5shaozhuchou_month_day!$A$3:$A$900&gt;=D168)*(_5shaozhuchou_month_day!$A$3:$A$900&lt;E168)),0)</f>
        <v>0</v>
      </c>
      <c r="M168" s="224" t="e">
        <f>L168*(1-$AL$3)*#REF!*$AL$4*(E168-D168)*24</f>
        <v>#REF!</v>
      </c>
      <c r="N168" s="231">
        <f t="shared" si="54"/>
        <v>0</v>
      </c>
      <c r="O168" s="231">
        <f t="shared" si="51"/>
        <v>0</v>
      </c>
      <c r="P168" s="231">
        <f t="shared" si="55"/>
        <v>0</v>
      </c>
      <c r="Q168" s="82" t="e">
        <f>IF(OR($B168=#REF!,$B167=$AH$4),($L167-$L168)*(1-$AL$3)*(E168-D168)*24*#REF!*$AL$4,0)</f>
        <v>#REF!</v>
      </c>
      <c r="U168" s="226">
        <f t="shared" si="45"/>
        <v>43371</v>
      </c>
      <c r="V168" s="221">
        <f t="shared" si="46"/>
        <v>0.58333333333333304</v>
      </c>
      <c r="W168" s="229"/>
      <c r="X168" s="229"/>
      <c r="Y168" s="229"/>
      <c r="Z168" s="229"/>
      <c r="AA168" s="82"/>
      <c r="AB168" s="82" t="e">
        <f>AA168*(1-$AL$3)*#REF!*$AL$4*(E168-D168)*24</f>
        <v>#REF!</v>
      </c>
      <c r="AC168" s="231">
        <f t="shared" si="47"/>
        <v>0</v>
      </c>
      <c r="AD168" s="231">
        <f t="shared" si="49"/>
        <v>0</v>
      </c>
      <c r="AE168" s="231">
        <f t="shared" si="50"/>
        <v>0</v>
      </c>
      <c r="AF168" s="82" t="e">
        <f>IF(OR($V168=#REF!,$V168=$AH$4),($AA167-$AA168)*(1-$AL$3)*(E168-D168)*24*#REF!*$AL$4,0)</f>
        <v>#REF!</v>
      </c>
    </row>
    <row r="169" spans="1:32" ht="14.25">
      <c r="A169" s="226">
        <f t="shared" si="48"/>
        <v>43371</v>
      </c>
      <c r="B169" s="221">
        <v>0.70833333333333304</v>
      </c>
      <c r="C169" s="222" t="s">
        <v>41</v>
      </c>
      <c r="D169" s="223">
        <f t="shared" si="52"/>
        <v>43371.708333333336</v>
      </c>
      <c r="E169" s="223">
        <f t="shared" si="53"/>
        <v>43371.791666666664</v>
      </c>
      <c r="F169" s="224">
        <f>SUMPRODUCT(('6烧主抽电耗'!$A$3:$A$96=$A169)*('6烧主抽电耗'!$D$3:$D$96=$C169),'6烧主抽电耗'!$E$3:$E$96)</f>
        <v>2</v>
      </c>
      <c r="G169" s="223" t="str">
        <f t="shared" si="42"/>
        <v>乙班</v>
      </c>
      <c r="H169" s="225"/>
      <c r="I169" s="225"/>
      <c r="J169" s="225" t="str">
        <f>IF(_cuofeng5_month_day!A167="","",_cuofeng5_month_day!A167)</f>
        <v/>
      </c>
      <c r="K169" s="225" t="str">
        <f>IF(_cuofeng5_month_day!B167="","",_cuofeng5_month_day!B167)</f>
        <v/>
      </c>
      <c r="L169" s="224">
        <f>IFERROR(SUMPRODUCT((_5shaozhuchou_month_day!$A$3:$A$900&gt;=D169)*(_5shaozhuchou_month_day!$A$3:$A$900&lt;E169),_5shaozhuchou_month_day!$Y$3:$Y$900)/SUMPRODUCT((_5shaozhuchou_month_day!$A$3:$A$900&gt;=D169)*(_5shaozhuchou_month_day!$A$3:$A$900&lt;E169)),0)</f>
        <v>0</v>
      </c>
      <c r="M169" s="224" t="e">
        <f>L169*(1-$AL$3)*#REF!*$AL$4*(E169-D169)*24</f>
        <v>#REF!</v>
      </c>
      <c r="N169" s="231">
        <f t="shared" si="54"/>
        <v>0</v>
      </c>
      <c r="O169" s="231">
        <f t="shared" si="51"/>
        <v>0</v>
      </c>
      <c r="P169" s="231">
        <f t="shared" si="55"/>
        <v>0</v>
      </c>
      <c r="Q169" s="82" t="e">
        <f>IF(OR($B169=#REF!,$B168=$AH$4),($L168-$L169)*(1-$AL$3)*(E169-D169)*24*#REF!*$AL$4,0)</f>
        <v>#REF!</v>
      </c>
      <c r="U169" s="226">
        <f t="shared" si="45"/>
        <v>43371</v>
      </c>
      <c r="V169" s="221">
        <f t="shared" si="46"/>
        <v>0.70833333333333304</v>
      </c>
      <c r="W169" s="229"/>
      <c r="X169" s="229"/>
      <c r="Y169" s="229"/>
      <c r="Z169" s="229"/>
      <c r="AA169" s="82"/>
      <c r="AB169" s="82" t="e">
        <f>AA169*(1-$AL$3)*#REF!*$AL$4*(E169-D169)*24</f>
        <v>#REF!</v>
      </c>
      <c r="AC169" s="231">
        <f t="shared" ref="AC169:AC189" si="56">IF(OR($V169=$AH$4,$V169=$AH$5),(($W170-$W169)+($X170-$X169))*3,0)</f>
        <v>0</v>
      </c>
      <c r="AD169" s="231">
        <f t="shared" si="49"/>
        <v>0</v>
      </c>
      <c r="AE169" s="231">
        <f t="shared" si="50"/>
        <v>0</v>
      </c>
      <c r="AF169" s="82" t="e">
        <f>IF(OR($V169=#REF!,$V169=$AH$4),($AA168-$AA169)*(1-$AL$3)*(E169-D169)*24*#REF!*$AL$4,0)</f>
        <v>#REF!</v>
      </c>
    </row>
    <row r="170" spans="1:32" ht="14.25">
      <c r="A170" s="226">
        <f t="shared" si="48"/>
        <v>43371</v>
      </c>
      <c r="B170" s="221">
        <v>0.79166666666666696</v>
      </c>
      <c r="C170" s="222" t="s">
        <v>41</v>
      </c>
      <c r="D170" s="223">
        <f t="shared" si="52"/>
        <v>43371.791666666664</v>
      </c>
      <c r="E170" s="223">
        <f t="shared" si="53"/>
        <v>43371.916666666664</v>
      </c>
      <c r="F170" s="224">
        <f>SUMPRODUCT(('6烧主抽电耗'!$A$3:$A$96=$A170)*('6烧主抽电耗'!$D$3:$D$96=$C170),'6烧主抽电耗'!$E$3:$E$96)</f>
        <v>2</v>
      </c>
      <c r="G170" s="223" t="str">
        <f t="shared" si="42"/>
        <v>乙班</v>
      </c>
      <c r="H170" s="225"/>
      <c r="I170" s="225"/>
      <c r="J170" s="225" t="str">
        <f>IF(_cuofeng5_month_day!A168="","",_cuofeng5_month_day!A168)</f>
        <v/>
      </c>
      <c r="K170" s="225" t="str">
        <f>IF(_cuofeng5_month_day!B168="","",_cuofeng5_month_day!B168)</f>
        <v/>
      </c>
      <c r="L170" s="224">
        <f>IFERROR(SUMPRODUCT((_5shaozhuchou_month_day!$A$3:$A$900&gt;=D170)*(_5shaozhuchou_month_day!$A$3:$A$900&lt;E170),_5shaozhuchou_month_day!$Y$3:$Y$900)/SUMPRODUCT((_5shaozhuchou_month_day!$A$3:$A$900&gt;=D170)*(_5shaozhuchou_month_day!$A$3:$A$900&lt;E170)),0)</f>
        <v>0</v>
      </c>
      <c r="M170" s="224" t="e">
        <f>L170*(1-$AL$3)*#REF!*$AL$4*(E170-D170)*24</f>
        <v>#REF!</v>
      </c>
      <c r="N170" s="231">
        <f t="shared" si="54"/>
        <v>0</v>
      </c>
      <c r="O170" s="231">
        <f t="shared" si="51"/>
        <v>0</v>
      </c>
      <c r="P170" s="231">
        <f t="shared" si="55"/>
        <v>0</v>
      </c>
      <c r="Q170" s="82" t="e">
        <f>IF(OR($B170=#REF!,$B169=$AH$4),($L169-$L170)*(1-$AL$3)*(E170-D170)*24*#REF!*$AL$4,0)</f>
        <v>#REF!</v>
      </c>
      <c r="U170" s="226">
        <f t="shared" si="45"/>
        <v>43371</v>
      </c>
      <c r="V170" s="221">
        <f t="shared" si="46"/>
        <v>0.79166666666666696</v>
      </c>
      <c r="W170" s="229"/>
      <c r="X170" s="229"/>
      <c r="Y170" s="229"/>
      <c r="Z170" s="229"/>
      <c r="AA170" s="82"/>
      <c r="AB170" s="82" t="e">
        <f>AA170*(1-$AL$3)*#REF!*$AL$4*(E170-D170)*24</f>
        <v>#REF!</v>
      </c>
      <c r="AC170" s="231">
        <f t="shared" si="56"/>
        <v>0</v>
      </c>
      <c r="AD170" s="231">
        <f t="shared" si="49"/>
        <v>0</v>
      </c>
      <c r="AE170" s="231">
        <f t="shared" si="50"/>
        <v>0</v>
      </c>
      <c r="AF170" s="82" t="e">
        <f>IF(OR($V170=#REF!,$V170=$AH$4),($AA169-$AA170)*(1-$AL$3)*(E170-D170)*24*#REF!*$AL$4,0)</f>
        <v>#REF!</v>
      </c>
    </row>
    <row r="171" spans="1:32" ht="14.25">
      <c r="A171" s="228">
        <f t="shared" si="48"/>
        <v>43371</v>
      </c>
      <c r="B171" s="221">
        <v>0.91666666666666696</v>
      </c>
      <c r="C171" s="222" t="s">
        <v>41</v>
      </c>
      <c r="D171" s="223">
        <f t="shared" si="52"/>
        <v>43371.916666666664</v>
      </c>
      <c r="E171" s="223">
        <f t="shared" si="53"/>
        <v>43372</v>
      </c>
      <c r="F171" s="224">
        <f>SUMPRODUCT(('6烧主抽电耗'!$A$3:$A$96=$A171)*('6烧主抽电耗'!$D$3:$D$96=$C171),'6烧主抽电耗'!$E$3:$E$96)</f>
        <v>2</v>
      </c>
      <c r="G171" s="223" t="str">
        <f t="shared" si="42"/>
        <v>乙班</v>
      </c>
      <c r="H171" s="225"/>
      <c r="I171" s="225"/>
      <c r="J171" s="225" t="str">
        <f>IF(_cuofeng5_month_day!A169="","",_cuofeng5_month_day!A169)</f>
        <v/>
      </c>
      <c r="K171" s="225" t="str">
        <f>IF(_cuofeng5_month_day!B169="","",_cuofeng5_month_day!B169)</f>
        <v/>
      </c>
      <c r="L171" s="224">
        <f>IFERROR(SUMPRODUCT((_5shaozhuchou_month_day!$A$3:$A$900&gt;=D171)*(_5shaozhuchou_month_day!$A$3:$A$900&lt;E171),_5shaozhuchou_month_day!$Y$3:$Y$900)/SUMPRODUCT((_5shaozhuchou_month_day!$A$3:$A$900&gt;=D171)*(_5shaozhuchou_month_day!$A$3:$A$900&lt;E171)),0)</f>
        <v>0</v>
      </c>
      <c r="M171" s="224" t="e">
        <f>L171*(1-$AL$3)*#REF!*$AL$4*(E171-D171)*24</f>
        <v>#REF!</v>
      </c>
      <c r="N171" s="231">
        <f t="shared" si="54"/>
        <v>0</v>
      </c>
      <c r="O171" s="231">
        <f t="shared" si="51"/>
        <v>0</v>
      </c>
      <c r="P171" s="231">
        <f t="shared" si="55"/>
        <v>0</v>
      </c>
      <c r="Q171" s="82" t="e">
        <f>IF(OR($B171=#REF!,$B170=$AH$4),($L170-$L171)*(1-$AL$3)*(E171-D171)*24*#REF!*$AL$4,0)</f>
        <v>#REF!</v>
      </c>
      <c r="U171" s="228">
        <f t="shared" si="45"/>
        <v>43371</v>
      </c>
      <c r="V171" s="221">
        <f t="shared" si="46"/>
        <v>0.91666666666666696</v>
      </c>
      <c r="W171" s="229"/>
      <c r="X171" s="229"/>
      <c r="Y171" s="229"/>
      <c r="Z171" s="229"/>
      <c r="AA171" s="82"/>
      <c r="AB171" s="82" t="e">
        <f>AA171*(1-$AL$3)*#REF!*$AL$4*(E171-D171)*24</f>
        <v>#REF!</v>
      </c>
      <c r="AC171" s="231">
        <f t="shared" si="56"/>
        <v>0</v>
      </c>
      <c r="AD171" s="231">
        <f t="shared" si="49"/>
        <v>0</v>
      </c>
      <c r="AE171" s="231">
        <f t="shared" si="50"/>
        <v>0</v>
      </c>
      <c r="AF171" s="82" t="e">
        <f>IF(OR($V171=#REF!,$V171=$AH$4),($AA170-$AA171)*(1-$AL$3)*(E171-D171)*24*#REF!*$AL$4,0)</f>
        <v>#REF!</v>
      </c>
    </row>
    <row r="172" spans="1:32" ht="14.25">
      <c r="A172" s="220">
        <f>A166+1</f>
        <v>43372</v>
      </c>
      <c r="B172" s="221">
        <v>0</v>
      </c>
      <c r="C172" s="222" t="s">
        <v>37</v>
      </c>
      <c r="D172" s="223">
        <f t="shared" si="52"/>
        <v>43372</v>
      </c>
      <c r="E172" s="223">
        <f t="shared" si="53"/>
        <v>43372.333333333336</v>
      </c>
      <c r="F172" s="224">
        <f>SUMPRODUCT(('6烧主抽电耗'!$A$3:$A$96=$A172)*('6烧主抽电耗'!$D$3:$D$96=$C172),'6烧主抽电耗'!$E$3:$E$96)</f>
        <v>4</v>
      </c>
      <c r="G172" s="223" t="str">
        <f t="shared" si="42"/>
        <v>丁班</v>
      </c>
      <c r="H172" s="225"/>
      <c r="I172" s="225"/>
      <c r="J172" s="225" t="str">
        <f>IF(_cuofeng5_month_day!A170="","",_cuofeng5_month_day!A170)</f>
        <v/>
      </c>
      <c r="K172" s="225" t="str">
        <f>IF(_cuofeng5_month_day!B170="","",_cuofeng5_month_day!B170)</f>
        <v/>
      </c>
      <c r="L172" s="224">
        <f>IFERROR(SUMPRODUCT((_5shaozhuchou_month_day!$A$3:$A$900&gt;=D172)*(_5shaozhuchou_month_day!$A$3:$A$900&lt;E172),_5shaozhuchou_month_day!$Y$3:$Y$900)/SUMPRODUCT((_5shaozhuchou_month_day!$A$3:$A$900&gt;=D172)*(_5shaozhuchou_month_day!$A$3:$A$900&lt;E172)),0)</f>
        <v>0</v>
      </c>
      <c r="M172" s="224" t="e">
        <f>L172*(1-$AL$3)*#REF!*$AL$4*(E172-D172)*24</f>
        <v>#REF!</v>
      </c>
      <c r="N172" s="231">
        <f t="shared" si="54"/>
        <v>0</v>
      </c>
      <c r="O172" s="231">
        <f t="shared" si="51"/>
        <v>0</v>
      </c>
      <c r="P172" s="231">
        <f t="shared" si="55"/>
        <v>0</v>
      </c>
      <c r="Q172" s="82" t="e">
        <f>IF(OR($B172=#REF!,$B171=$AH$4),($L171-$L172)*(1-$AL$3)*(E172-D172)*24*#REF!*$AL$4,0)</f>
        <v>#REF!</v>
      </c>
      <c r="U172" s="220">
        <f t="shared" si="45"/>
        <v>43372</v>
      </c>
      <c r="V172" s="221">
        <f t="shared" si="46"/>
        <v>0</v>
      </c>
      <c r="W172" s="229"/>
      <c r="X172" s="229"/>
      <c r="Y172" s="229"/>
      <c r="Z172" s="229"/>
      <c r="AA172" s="82"/>
      <c r="AB172" s="82" t="e">
        <f>AA172*(1-$AL$3)*#REF!*$AL$4*(E172-D172)*24</f>
        <v>#REF!</v>
      </c>
      <c r="AC172" s="231">
        <f t="shared" si="56"/>
        <v>0</v>
      </c>
      <c r="AD172" s="231">
        <f t="shared" si="49"/>
        <v>0</v>
      </c>
      <c r="AE172" s="231">
        <f t="shared" si="50"/>
        <v>0</v>
      </c>
      <c r="AF172" s="82" t="e">
        <f>IF(OR($V172=#REF!,$V172=$AH$4),($AA171-$AA172)*(1-$AL$3)*(E172-D172)*24*#REF!*$AL$4,0)</f>
        <v>#REF!</v>
      </c>
    </row>
    <row r="173" spans="1:32" ht="14.25">
      <c r="A173" s="226">
        <f>A172</f>
        <v>43372</v>
      </c>
      <c r="B173" s="221">
        <v>0.33333333333333298</v>
      </c>
      <c r="C173" s="222" t="s">
        <v>37</v>
      </c>
      <c r="D173" s="223">
        <f t="shared" si="52"/>
        <v>43372.333333333336</v>
      </c>
      <c r="E173" s="223">
        <f t="shared" si="53"/>
        <v>43372.583333333336</v>
      </c>
      <c r="F173" s="224">
        <f>SUMPRODUCT(('6烧主抽电耗'!$A$3:$A$96=$A173)*('6烧主抽电耗'!$D$3:$D$96=$C173),'6烧主抽电耗'!$E$3:$E$96)</f>
        <v>4</v>
      </c>
      <c r="G173" s="223" t="str">
        <f t="shared" si="42"/>
        <v>丁班</v>
      </c>
      <c r="H173" s="225"/>
      <c r="I173" s="225"/>
      <c r="J173" s="225" t="str">
        <f>IF(_cuofeng5_month_day!A171="","",_cuofeng5_month_day!A171)</f>
        <v/>
      </c>
      <c r="K173" s="225" t="str">
        <f>IF(_cuofeng5_month_day!B171="","",_cuofeng5_month_day!B171)</f>
        <v/>
      </c>
      <c r="L173" s="224">
        <f>IFERROR(SUMPRODUCT((_5shaozhuchou_month_day!$A$3:$A$900&gt;=D173)*(_5shaozhuchou_month_day!$A$3:$A$900&lt;E173),_5shaozhuchou_month_day!$Y$3:$Y$900)/SUMPRODUCT((_5shaozhuchou_month_day!$A$3:$A$900&gt;=D173)*(_5shaozhuchou_month_day!$A$3:$A$900&lt;E173)),0)</f>
        <v>0</v>
      </c>
      <c r="M173" s="224" t="e">
        <f>L173*(1-$AL$3)*#REF!*$AL$4*(E173-D173)*24</f>
        <v>#REF!</v>
      </c>
      <c r="N173" s="231">
        <f t="shared" si="54"/>
        <v>0</v>
      </c>
      <c r="O173" s="231">
        <f t="shared" si="51"/>
        <v>0</v>
      </c>
      <c r="P173" s="231">
        <f t="shared" si="55"/>
        <v>0</v>
      </c>
      <c r="Q173" s="82" t="e">
        <f>IF(OR($B173=#REF!,$B172=$AH$4),($L172-$L173)*(1-$AL$3)*(E173-D173)*24*#REF!*$AL$4,0)</f>
        <v>#REF!</v>
      </c>
      <c r="U173" s="226">
        <f t="shared" si="45"/>
        <v>43372</v>
      </c>
      <c r="V173" s="221">
        <f t="shared" si="46"/>
        <v>0.33333333333333298</v>
      </c>
      <c r="W173" s="240"/>
      <c r="X173" s="229"/>
      <c r="Y173" s="229"/>
      <c r="Z173" s="229"/>
      <c r="AA173" s="82"/>
      <c r="AB173" s="82" t="e">
        <f>AA173*(1-$AL$3)*#REF!*$AL$4*(E173-D173)*24</f>
        <v>#REF!</v>
      </c>
      <c r="AC173" s="231">
        <f t="shared" si="56"/>
        <v>0</v>
      </c>
      <c r="AD173" s="231">
        <f t="shared" si="49"/>
        <v>0</v>
      </c>
      <c r="AE173" s="231">
        <f t="shared" si="50"/>
        <v>0</v>
      </c>
      <c r="AF173" s="82" t="e">
        <f>IF(OR($V173=#REF!,$V173=$AH$4),($AA172-$AA173)*(1-$AL$3)*(E173-D173)*24*#REF!*$AL$4,0)</f>
        <v>#REF!</v>
      </c>
    </row>
    <row r="174" spans="1:32" ht="14.25">
      <c r="A174" s="226">
        <f t="shared" si="48"/>
        <v>43372</v>
      </c>
      <c r="B174" s="221">
        <v>0.58333333333333304</v>
      </c>
      <c r="C174" s="222" t="s">
        <v>39</v>
      </c>
      <c r="D174" s="223">
        <f t="shared" si="52"/>
        <v>43372.583333333336</v>
      </c>
      <c r="E174" s="223">
        <f t="shared" si="53"/>
        <v>43372.708333333336</v>
      </c>
      <c r="F174" s="224">
        <f>SUMPRODUCT(('6烧主抽电耗'!$A$3:$A$96=$A174)*('6烧主抽电耗'!$D$3:$D$96=$C174),'6烧主抽电耗'!$E$3:$E$96)</f>
        <v>1</v>
      </c>
      <c r="G174" s="223" t="str">
        <f t="shared" si="42"/>
        <v>甲班</v>
      </c>
      <c r="H174" s="225"/>
      <c r="I174" s="225"/>
      <c r="J174" s="225" t="str">
        <f>IF(_cuofeng5_month_day!A172="","",_cuofeng5_month_day!A172)</f>
        <v/>
      </c>
      <c r="K174" s="225" t="str">
        <f>IF(_cuofeng5_month_day!B172="","",_cuofeng5_month_day!B172)</f>
        <v/>
      </c>
      <c r="L174" s="224">
        <f>IFERROR(SUMPRODUCT((_5shaozhuchou_month_day!$A$3:$A$900&gt;=D174)*(_5shaozhuchou_month_day!$A$3:$A$900&lt;E174),_5shaozhuchou_month_day!$Y$3:$Y$900)/SUMPRODUCT((_5shaozhuchou_month_day!$A$3:$A$900&gt;=D174)*(_5shaozhuchou_month_day!$A$3:$A$900&lt;E174)),0)</f>
        <v>0</v>
      </c>
      <c r="M174" s="224" t="e">
        <f>L174*(1-$AL$3)*#REF!*$AL$4*(E174-D174)*24</f>
        <v>#REF!</v>
      </c>
      <c r="N174" s="231">
        <f t="shared" si="54"/>
        <v>0</v>
      </c>
      <c r="O174" s="231">
        <f t="shared" si="51"/>
        <v>0</v>
      </c>
      <c r="P174" s="231">
        <f t="shared" si="55"/>
        <v>0</v>
      </c>
      <c r="Q174" s="82" t="e">
        <f>IF(OR($B174=#REF!,$B173=$AH$4),($L173-$L174)*(1-$AL$3)*(E174-D174)*24*#REF!*$AL$4,0)</f>
        <v>#REF!</v>
      </c>
      <c r="U174" s="226">
        <f t="shared" si="45"/>
        <v>43372</v>
      </c>
      <c r="V174" s="221">
        <f t="shared" si="46"/>
        <v>0.58333333333333304</v>
      </c>
      <c r="W174" s="229"/>
      <c r="X174" s="229"/>
      <c r="Y174" s="229"/>
      <c r="Z174" s="229"/>
      <c r="AA174" s="82"/>
      <c r="AB174" s="82" t="e">
        <f>AA174*(1-$AL$3)*#REF!*$AL$4*(E174-D174)*24</f>
        <v>#REF!</v>
      </c>
      <c r="AC174" s="231">
        <f t="shared" si="56"/>
        <v>0</v>
      </c>
      <c r="AD174" s="231">
        <f t="shared" si="49"/>
        <v>0</v>
      </c>
      <c r="AE174" s="231">
        <f t="shared" si="50"/>
        <v>0</v>
      </c>
      <c r="AF174" s="82" t="e">
        <f>IF(OR($V174=#REF!,$V174=$AH$4),($AA173-$AA174)*(1-$AL$3)*(E174-D174)*24*#REF!*$AL$4,0)</f>
        <v>#REF!</v>
      </c>
    </row>
    <row r="175" spans="1:32" ht="14.25">
      <c r="A175" s="226">
        <f t="shared" si="48"/>
        <v>43372</v>
      </c>
      <c r="B175" s="221">
        <v>0.70833333333333304</v>
      </c>
      <c r="C175" s="222" t="s">
        <v>41</v>
      </c>
      <c r="D175" s="223">
        <f t="shared" si="52"/>
        <v>43372.708333333336</v>
      </c>
      <c r="E175" s="223">
        <f t="shared" si="53"/>
        <v>43372.791666666664</v>
      </c>
      <c r="F175" s="224">
        <f>SUMPRODUCT(('6烧主抽电耗'!$A$3:$A$96=$A175)*('6烧主抽电耗'!$D$3:$D$96=$C175),'6烧主抽电耗'!$E$3:$E$96)</f>
        <v>2</v>
      </c>
      <c r="G175" s="223" t="str">
        <f t="shared" si="42"/>
        <v>乙班</v>
      </c>
      <c r="H175" s="225"/>
      <c r="I175" s="225"/>
      <c r="J175" s="225" t="str">
        <f>IF(_cuofeng5_month_day!A173="","",_cuofeng5_month_day!A173)</f>
        <v/>
      </c>
      <c r="K175" s="225" t="str">
        <f>IF(_cuofeng5_month_day!B173="","",_cuofeng5_month_day!B173)</f>
        <v/>
      </c>
      <c r="L175" s="224">
        <f>IFERROR(SUMPRODUCT((_5shaozhuchou_month_day!$A$3:$A$900&gt;=D175)*(_5shaozhuchou_month_day!$A$3:$A$900&lt;E175),_5shaozhuchou_month_day!$Y$3:$Y$900)/SUMPRODUCT((_5shaozhuchou_month_day!$A$3:$A$900&gt;=D175)*(_5shaozhuchou_month_day!$A$3:$A$900&lt;E175)),0)</f>
        <v>0</v>
      </c>
      <c r="M175" s="224" t="e">
        <f>L175*(1-$AL$3)*#REF!*$AL$4*(E175-D175)*24</f>
        <v>#REF!</v>
      </c>
      <c r="N175" s="231">
        <f t="shared" si="54"/>
        <v>0</v>
      </c>
      <c r="O175" s="231">
        <f t="shared" si="51"/>
        <v>0</v>
      </c>
      <c r="P175" s="231">
        <f t="shared" si="55"/>
        <v>0</v>
      </c>
      <c r="Q175" s="82" t="e">
        <f>IF(OR($B175=#REF!,$B174=$AH$4),($L174-$L175)*(1-$AL$3)*(E175-D175)*24*#REF!*$AL$4,0)</f>
        <v>#REF!</v>
      </c>
      <c r="U175" s="226">
        <f t="shared" si="45"/>
        <v>43372</v>
      </c>
      <c r="V175" s="221">
        <f t="shared" si="46"/>
        <v>0.70833333333333304</v>
      </c>
      <c r="W175" s="229"/>
      <c r="X175" s="229"/>
      <c r="Y175" s="229"/>
      <c r="Z175" s="229"/>
      <c r="AA175" s="82"/>
      <c r="AB175" s="82" t="e">
        <f>AA175*(1-$AL$3)*#REF!*$AL$4*(E175-D175)*24</f>
        <v>#REF!</v>
      </c>
      <c r="AC175" s="231">
        <f t="shared" si="56"/>
        <v>0</v>
      </c>
      <c r="AD175" s="231">
        <f t="shared" si="49"/>
        <v>0</v>
      </c>
      <c r="AE175" s="231">
        <f t="shared" si="50"/>
        <v>0</v>
      </c>
      <c r="AF175" s="82" t="e">
        <f>IF(OR($V175=#REF!,$V175=$AH$4),($AA174-$AA175)*(1-$AL$3)*(E175-D175)*24*#REF!*$AL$4,0)</f>
        <v>#REF!</v>
      </c>
    </row>
    <row r="176" spans="1:32" ht="14.25">
      <c r="A176" s="226">
        <f t="shared" si="48"/>
        <v>43372</v>
      </c>
      <c r="B176" s="221">
        <v>0.79166666666666696</v>
      </c>
      <c r="C176" s="222" t="s">
        <v>41</v>
      </c>
      <c r="D176" s="223">
        <f t="shared" si="52"/>
        <v>43372.791666666664</v>
      </c>
      <c r="E176" s="223">
        <f t="shared" si="53"/>
        <v>43372.916666666664</v>
      </c>
      <c r="F176" s="224">
        <f>SUMPRODUCT(('6烧主抽电耗'!$A$3:$A$96=$A176)*('6烧主抽电耗'!$D$3:$D$96=$C176),'6烧主抽电耗'!$E$3:$E$96)</f>
        <v>2</v>
      </c>
      <c r="G176" s="223" t="str">
        <f t="shared" si="42"/>
        <v>乙班</v>
      </c>
      <c r="H176" s="225"/>
      <c r="I176" s="225"/>
      <c r="J176" s="225" t="str">
        <f>IF(_cuofeng5_month_day!A174="","",_cuofeng5_month_day!A174)</f>
        <v/>
      </c>
      <c r="K176" s="225" t="str">
        <f>IF(_cuofeng5_month_day!B174="","",_cuofeng5_month_day!B174)</f>
        <v/>
      </c>
      <c r="L176" s="224">
        <f>IFERROR(SUMPRODUCT((_5shaozhuchou_month_day!$A$3:$A$900&gt;=D176)*(_5shaozhuchou_month_day!$A$3:$A$900&lt;E176),_5shaozhuchou_month_day!$Y$3:$Y$900)/SUMPRODUCT((_5shaozhuchou_month_day!$A$3:$A$900&gt;=D176)*(_5shaozhuchou_month_day!$A$3:$A$900&lt;E176)),0)</f>
        <v>0</v>
      </c>
      <c r="M176" s="224" t="e">
        <f>L176*(1-$AL$3)*#REF!*$AL$4*(E176-D176)*24</f>
        <v>#REF!</v>
      </c>
      <c r="N176" s="231">
        <f t="shared" si="54"/>
        <v>0</v>
      </c>
      <c r="O176" s="231">
        <f t="shared" si="51"/>
        <v>0</v>
      </c>
      <c r="P176" s="231">
        <f t="shared" si="55"/>
        <v>0</v>
      </c>
      <c r="Q176" s="82" t="e">
        <f>IF(OR($B176=#REF!,$B175=$AH$4),($L175-$L176)*(1-$AL$3)*(E176-D176)*24*#REF!*$AL$4,0)</f>
        <v>#REF!</v>
      </c>
      <c r="U176" s="226">
        <f t="shared" si="45"/>
        <v>43372</v>
      </c>
      <c r="V176" s="221">
        <f t="shared" si="46"/>
        <v>0.79166666666666696</v>
      </c>
      <c r="W176" s="229"/>
      <c r="X176" s="229"/>
      <c r="Y176" s="229"/>
      <c r="Z176" s="229"/>
      <c r="AA176" s="82"/>
      <c r="AB176" s="82" t="e">
        <f>AA176*(1-$AL$3)*#REF!*$AL$4*(E176-D176)*24</f>
        <v>#REF!</v>
      </c>
      <c r="AC176" s="231">
        <f t="shared" si="56"/>
        <v>0</v>
      </c>
      <c r="AD176" s="231">
        <f t="shared" si="49"/>
        <v>0</v>
      </c>
      <c r="AE176" s="231">
        <f t="shared" si="50"/>
        <v>0</v>
      </c>
      <c r="AF176" s="82" t="e">
        <f>IF(OR($V176=#REF!,$V176=$AH$4),($AA175-$AA176)*(1-$AL$3)*(E176-D176)*24*#REF!*$AL$4,0)</f>
        <v>#REF!</v>
      </c>
    </row>
    <row r="177" spans="1:32" ht="14.25">
      <c r="A177" s="228">
        <f t="shared" si="48"/>
        <v>43372</v>
      </c>
      <c r="B177" s="221">
        <v>0.91666666666666696</v>
      </c>
      <c r="C177" s="222" t="s">
        <v>41</v>
      </c>
      <c r="D177" s="223">
        <f t="shared" si="52"/>
        <v>43372.916666666664</v>
      </c>
      <c r="E177" s="223">
        <f t="shared" si="53"/>
        <v>43373</v>
      </c>
      <c r="F177" s="224">
        <f>SUMPRODUCT(('6烧主抽电耗'!$A$3:$A$96=$A177)*('6烧主抽电耗'!$D$3:$D$96=$C177),'6烧主抽电耗'!$E$3:$E$96)</f>
        <v>2</v>
      </c>
      <c r="G177" s="223" t="str">
        <f t="shared" si="42"/>
        <v>乙班</v>
      </c>
      <c r="H177" s="225"/>
      <c r="I177" s="225"/>
      <c r="J177" s="225" t="str">
        <f>IF(_cuofeng5_month_day!A175="","",_cuofeng5_month_day!A175)</f>
        <v/>
      </c>
      <c r="K177" s="225" t="str">
        <f>IF(_cuofeng5_month_day!B175="","",_cuofeng5_month_day!B175)</f>
        <v/>
      </c>
      <c r="L177" s="224">
        <f>IFERROR(SUMPRODUCT((_5shaozhuchou_month_day!$A$3:$A$900&gt;=D177)*(_5shaozhuchou_month_day!$A$3:$A$900&lt;E177),_5shaozhuchou_month_day!$Y$3:$Y$900)/SUMPRODUCT((_5shaozhuchou_month_day!$A$3:$A$900&gt;=D177)*(_5shaozhuchou_month_day!$A$3:$A$900&lt;E177)),0)</f>
        <v>0</v>
      </c>
      <c r="M177" s="224" t="e">
        <f>L177*(1-$AL$3)*#REF!*$AL$4*(E177-D177)*24</f>
        <v>#REF!</v>
      </c>
      <c r="N177" s="231">
        <f t="shared" si="54"/>
        <v>0</v>
      </c>
      <c r="O177" s="231">
        <f t="shared" si="51"/>
        <v>0</v>
      </c>
      <c r="P177" s="231">
        <f t="shared" si="55"/>
        <v>0</v>
      </c>
      <c r="Q177" s="82" t="e">
        <f>IF(OR($B177=#REF!,$B176=$AH$4),($L176-$L177)*(1-$AL$3)*(E177-D177)*24*#REF!*$AL$4,0)</f>
        <v>#REF!</v>
      </c>
      <c r="U177" s="228">
        <f t="shared" si="45"/>
        <v>43372</v>
      </c>
      <c r="V177" s="221">
        <f t="shared" si="46"/>
        <v>0.91666666666666696</v>
      </c>
      <c r="W177" s="229"/>
      <c r="X177" s="229"/>
      <c r="Y177" s="229"/>
      <c r="Z177" s="229"/>
      <c r="AA177" s="82"/>
      <c r="AB177" s="82" t="e">
        <f>AA177*(1-$AL$3)*#REF!*$AL$4*(E177-D177)*24</f>
        <v>#REF!</v>
      </c>
      <c r="AC177" s="231">
        <f t="shared" si="56"/>
        <v>0</v>
      </c>
      <c r="AD177" s="231">
        <f t="shared" si="49"/>
        <v>0</v>
      </c>
      <c r="AE177" s="231">
        <f t="shared" si="50"/>
        <v>0</v>
      </c>
      <c r="AF177" s="82" t="e">
        <f>IF(OR($V177=#REF!,$V177=$AH$4),($AA176-$AA177)*(1-$AL$3)*(E177-D177)*24*#REF!*$AL$4,0)</f>
        <v>#REF!</v>
      </c>
    </row>
    <row r="178" spans="1:32" ht="14.25">
      <c r="A178" s="220">
        <f>A172+1</f>
        <v>43373</v>
      </c>
      <c r="B178" s="221">
        <v>0</v>
      </c>
      <c r="C178" s="222" t="s">
        <v>37</v>
      </c>
      <c r="D178" s="223">
        <f t="shared" si="52"/>
        <v>43373</v>
      </c>
      <c r="E178" s="223">
        <f t="shared" si="53"/>
        <v>43373.333333333336</v>
      </c>
      <c r="F178" s="224">
        <f>SUMPRODUCT(('6烧主抽电耗'!$A$3:$A$96=$A178)*('6烧主抽电耗'!$D$3:$D$96=$C178),'6烧主抽电耗'!$E$3:$E$96)</f>
        <v>3</v>
      </c>
      <c r="G178" s="223" t="str">
        <f t="shared" si="42"/>
        <v>丙班</v>
      </c>
      <c r="H178" s="225"/>
      <c r="I178" s="225"/>
      <c r="J178" s="225" t="str">
        <f>IF(_cuofeng5_month_day!A176="","",_cuofeng5_month_day!A176)</f>
        <v/>
      </c>
      <c r="K178" s="225" t="str">
        <f>IF(_cuofeng5_month_day!B176="","",_cuofeng5_month_day!B176)</f>
        <v/>
      </c>
      <c r="L178" s="224">
        <f>IFERROR(SUMPRODUCT((_5shaozhuchou_month_day!$A$3:$A$900&gt;=D178)*(_5shaozhuchou_month_day!$A$3:$A$900&lt;E178),_5shaozhuchou_month_day!$Y$3:$Y$900)/SUMPRODUCT((_5shaozhuchou_month_day!$A$3:$A$900&gt;=D178)*(_5shaozhuchou_month_day!$A$3:$A$900&lt;E178)),0)</f>
        <v>0</v>
      </c>
      <c r="M178" s="224" t="e">
        <f>L178*(1-$AL$3)*#REF!*$AL$4*(E178-D178)*24</f>
        <v>#REF!</v>
      </c>
      <c r="N178" s="231">
        <f t="shared" si="54"/>
        <v>0</v>
      </c>
      <c r="O178" s="231">
        <f t="shared" si="51"/>
        <v>0</v>
      </c>
      <c r="P178" s="231">
        <f t="shared" si="55"/>
        <v>0</v>
      </c>
      <c r="Q178" s="82" t="e">
        <f>IF(OR($B178=#REF!,$B177=$AH$4),($L177-$L178)*(1-$AL$3)*(E178-D178)*24*#REF!*$AL$4,0)</f>
        <v>#REF!</v>
      </c>
      <c r="U178" s="220">
        <f t="shared" si="45"/>
        <v>43373</v>
      </c>
      <c r="V178" s="221">
        <f t="shared" si="46"/>
        <v>0</v>
      </c>
      <c r="W178" s="240"/>
      <c r="X178" s="229"/>
      <c r="Y178" s="229"/>
      <c r="Z178" s="229"/>
      <c r="AA178" s="82"/>
      <c r="AB178" s="82" t="e">
        <f>AA178*(1-$AL$3)*#REF!*$AL$4*(E178-D178)*24</f>
        <v>#REF!</v>
      </c>
      <c r="AC178" s="231">
        <f t="shared" si="56"/>
        <v>0</v>
      </c>
      <c r="AD178" s="231">
        <f t="shared" si="49"/>
        <v>0</v>
      </c>
      <c r="AE178" s="231">
        <f t="shared" si="50"/>
        <v>0</v>
      </c>
      <c r="AF178" s="82" t="e">
        <f>IF(OR($V178=#REF!,$V178=$AH$4),($AA177-$AA178)*(1-$AL$3)*(E178-D178)*24*#REF!*$AL$4,0)</f>
        <v>#REF!</v>
      </c>
    </row>
    <row r="179" spans="1:32" ht="14.25">
      <c r="A179" s="226">
        <f>A178</f>
        <v>43373</v>
      </c>
      <c r="B179" s="221">
        <v>0.33333333333333298</v>
      </c>
      <c r="C179" s="222" t="s">
        <v>37</v>
      </c>
      <c r="D179" s="223">
        <f t="shared" si="52"/>
        <v>43373.333333333336</v>
      </c>
      <c r="E179" s="223">
        <f t="shared" si="53"/>
        <v>43373.583333333336</v>
      </c>
      <c r="F179" s="224">
        <f>SUMPRODUCT(('6烧主抽电耗'!$A$3:$A$96=$A179)*('6烧主抽电耗'!$D$3:$D$96=$C179),'6烧主抽电耗'!$E$3:$E$96)</f>
        <v>3</v>
      </c>
      <c r="G179" s="223" t="str">
        <f t="shared" si="42"/>
        <v>丙班</v>
      </c>
      <c r="H179" s="225"/>
      <c r="I179" s="225"/>
      <c r="J179" s="225" t="str">
        <f>IF(_cuofeng5_month_day!A177="","",_cuofeng5_month_day!A177)</f>
        <v/>
      </c>
      <c r="K179" s="225" t="str">
        <f>IF(_cuofeng5_month_day!B177="","",_cuofeng5_month_day!B177)</f>
        <v/>
      </c>
      <c r="L179" s="224">
        <f>IFERROR(SUMPRODUCT((_5shaozhuchou_month_day!$A$3:$A$900&gt;=D179)*(_5shaozhuchou_month_day!$A$3:$A$900&lt;E179),_5shaozhuchou_month_day!$Y$3:$Y$900)/SUMPRODUCT((_5shaozhuchou_month_day!$A$3:$A$900&gt;=D179)*(_5shaozhuchou_month_day!$A$3:$A$900&lt;E179)),0)</f>
        <v>0</v>
      </c>
      <c r="M179" s="224" t="e">
        <f>L179*(1-$AL$3)*#REF!*$AL$4*(E179-D179)*24</f>
        <v>#REF!</v>
      </c>
      <c r="N179" s="231">
        <f t="shared" si="54"/>
        <v>0</v>
      </c>
      <c r="O179" s="231">
        <f t="shared" si="51"/>
        <v>0</v>
      </c>
      <c r="P179" s="231">
        <f t="shared" si="55"/>
        <v>0</v>
      </c>
      <c r="Q179" s="82" t="e">
        <f>IF(OR($B179=#REF!,$B178=$AH$4),($L178-$L179)*(1-$AL$3)*(E179-D179)*24*#REF!*$AL$4,0)</f>
        <v>#REF!</v>
      </c>
      <c r="U179" s="226">
        <f t="shared" si="45"/>
        <v>43373</v>
      </c>
      <c r="V179" s="221">
        <f t="shared" si="46"/>
        <v>0.33333333333333298</v>
      </c>
      <c r="W179" s="229"/>
      <c r="X179" s="229"/>
      <c r="Y179" s="229"/>
      <c r="Z179" s="229"/>
      <c r="AA179" s="82"/>
      <c r="AB179" s="82" t="e">
        <f>AA179*(1-$AL$3)*#REF!*$AL$4*(E179-D179)*24</f>
        <v>#REF!</v>
      </c>
      <c r="AC179" s="231">
        <f t="shared" si="56"/>
        <v>0</v>
      </c>
      <c r="AD179" s="231">
        <f t="shared" si="49"/>
        <v>0</v>
      </c>
      <c r="AE179" s="231">
        <f t="shared" si="50"/>
        <v>0</v>
      </c>
      <c r="AF179" s="82" t="e">
        <f>IF(OR($V179=#REF!,$V179=$AH$4),($AA178-$AA179)*(1-$AL$3)*(E179-D179)*24*#REF!*$AL$4,0)</f>
        <v>#REF!</v>
      </c>
    </row>
    <row r="180" spans="1:32" ht="14.25">
      <c r="A180" s="226">
        <f t="shared" si="48"/>
        <v>43373</v>
      </c>
      <c r="B180" s="221">
        <v>0.58333333333333304</v>
      </c>
      <c r="C180" s="222" t="s">
        <v>39</v>
      </c>
      <c r="D180" s="223">
        <f t="shared" si="52"/>
        <v>43373.583333333336</v>
      </c>
      <c r="E180" s="223">
        <f t="shared" si="53"/>
        <v>43373.708333333336</v>
      </c>
      <c r="F180" s="224">
        <f>SUMPRODUCT(('6烧主抽电耗'!$A$3:$A$96=$A180)*('6烧主抽电耗'!$D$3:$D$96=$C180),'6烧主抽电耗'!$E$3:$E$96)</f>
        <v>4</v>
      </c>
      <c r="G180" s="223" t="str">
        <f t="shared" si="42"/>
        <v>丁班</v>
      </c>
      <c r="H180" s="225"/>
      <c r="I180" s="225"/>
      <c r="J180" s="225" t="str">
        <f>IF(_cuofeng5_month_day!A178="","",_cuofeng5_month_day!A178)</f>
        <v/>
      </c>
      <c r="K180" s="225" t="str">
        <f>IF(_cuofeng5_month_day!B178="","",_cuofeng5_month_day!B178)</f>
        <v/>
      </c>
      <c r="L180" s="224">
        <f>IFERROR(SUMPRODUCT((_5shaozhuchou_month_day!$A$3:$A$900&gt;=D180)*(_5shaozhuchou_month_day!$A$3:$A$900&lt;E180),_5shaozhuchou_month_day!$Y$3:$Y$900)/SUMPRODUCT((_5shaozhuchou_month_day!$A$3:$A$900&gt;=D180)*(_5shaozhuchou_month_day!$A$3:$A$900&lt;E180)),0)</f>
        <v>0</v>
      </c>
      <c r="M180" s="224" t="e">
        <f>L180*(1-$AL$3)*#REF!*$AL$4*(E180-D180)*24</f>
        <v>#REF!</v>
      </c>
      <c r="N180" s="231">
        <f t="shared" si="54"/>
        <v>0</v>
      </c>
      <c r="O180" s="231">
        <f t="shared" si="51"/>
        <v>0</v>
      </c>
      <c r="P180" s="231">
        <f t="shared" si="55"/>
        <v>0</v>
      </c>
      <c r="Q180" s="82" t="e">
        <f>IF(OR($B180=#REF!,$B179=$AH$4),($L179-$L180)*(1-$AL$3)*(E180-D180)*24*#REF!*$AL$4,0)</f>
        <v>#REF!</v>
      </c>
      <c r="U180" s="226">
        <f t="shared" si="45"/>
        <v>43373</v>
      </c>
      <c r="V180" s="221">
        <f t="shared" si="46"/>
        <v>0.58333333333333304</v>
      </c>
      <c r="W180" s="229"/>
      <c r="X180" s="229"/>
      <c r="Y180" s="229"/>
      <c r="Z180" s="229"/>
      <c r="AA180" s="82"/>
      <c r="AB180" s="82" t="e">
        <f>AA180*(1-$AL$3)*#REF!*$AL$4*(E180-D180)*24</f>
        <v>#REF!</v>
      </c>
      <c r="AC180" s="231">
        <f t="shared" si="56"/>
        <v>0</v>
      </c>
      <c r="AD180" s="231">
        <f t="shared" si="49"/>
        <v>0</v>
      </c>
      <c r="AE180" s="231">
        <f t="shared" si="50"/>
        <v>0</v>
      </c>
      <c r="AF180" s="82" t="e">
        <f>IF(OR($V180=#REF!,$V180=$AH$4),($AA179-$AA180)*(1-$AL$3)*(E180-D180)*24*#REF!*$AL$4,0)</f>
        <v>#REF!</v>
      </c>
    </row>
    <row r="181" spans="1:32" ht="14.25">
      <c r="A181" s="226">
        <f t="shared" si="48"/>
        <v>43373</v>
      </c>
      <c r="B181" s="221">
        <v>0.70833333333333304</v>
      </c>
      <c r="C181" s="222" t="s">
        <v>41</v>
      </c>
      <c r="D181" s="223">
        <f t="shared" si="52"/>
        <v>43373.708333333336</v>
      </c>
      <c r="E181" s="223">
        <f t="shared" si="53"/>
        <v>43373.791666666664</v>
      </c>
      <c r="F181" s="224">
        <f>SUMPRODUCT(('6烧主抽电耗'!$A$3:$A$96=$A181)*('6烧主抽电耗'!$D$3:$D$96=$C181),'6烧主抽电耗'!$E$3:$E$96)</f>
        <v>1</v>
      </c>
      <c r="G181" s="223" t="str">
        <f t="shared" si="42"/>
        <v>甲班</v>
      </c>
      <c r="H181" s="225"/>
      <c r="I181" s="225"/>
      <c r="J181" s="225" t="str">
        <f>IF(_cuofeng5_month_day!A179="","",_cuofeng5_month_day!A179)</f>
        <v/>
      </c>
      <c r="K181" s="225" t="str">
        <f>IF(_cuofeng5_month_day!B179="","",_cuofeng5_month_day!B179)</f>
        <v/>
      </c>
      <c r="L181" s="224">
        <f>IFERROR(SUMPRODUCT((_5shaozhuchou_month_day!$A$3:$A$900&gt;=D181)*(_5shaozhuchou_month_day!$A$3:$A$900&lt;E181),_5shaozhuchou_month_day!$Y$3:$Y$900)/SUMPRODUCT((_5shaozhuchou_month_day!$A$3:$A$900&gt;=D181)*(_5shaozhuchou_month_day!$A$3:$A$900&lt;E181)),0)</f>
        <v>0</v>
      </c>
      <c r="M181" s="224" t="e">
        <f>L181*(1-$AL$3)*#REF!*$AL$4*(E181-D181)*24</f>
        <v>#REF!</v>
      </c>
      <c r="N181" s="231">
        <f t="shared" si="54"/>
        <v>0</v>
      </c>
      <c r="O181" s="231">
        <f t="shared" si="51"/>
        <v>0</v>
      </c>
      <c r="P181" s="231">
        <f t="shared" si="55"/>
        <v>0</v>
      </c>
      <c r="Q181" s="82" t="e">
        <f>IF(OR($B181=#REF!,$B180=$AH$4),($L180-$L181)*(1-$AL$3)*(E181-D181)*24*#REF!*$AL$4,0)</f>
        <v>#REF!</v>
      </c>
      <c r="U181" s="226">
        <f t="shared" si="45"/>
        <v>43373</v>
      </c>
      <c r="V181" s="221">
        <f t="shared" si="46"/>
        <v>0.70833333333333304</v>
      </c>
      <c r="W181" s="229"/>
      <c r="X181" s="229"/>
      <c r="Y181" s="229"/>
      <c r="Z181" s="229"/>
      <c r="AA181" s="82"/>
      <c r="AB181" s="82" t="e">
        <f>AA181*(1-$AL$3)*#REF!*$AL$4*(E181-D181)*24</f>
        <v>#REF!</v>
      </c>
      <c r="AC181" s="231">
        <f t="shared" si="56"/>
        <v>0</v>
      </c>
      <c r="AD181" s="231">
        <f t="shared" si="49"/>
        <v>0</v>
      </c>
      <c r="AE181" s="231">
        <f t="shared" si="50"/>
        <v>0</v>
      </c>
      <c r="AF181" s="82" t="e">
        <f>IF(OR($V181=#REF!,$V181=$AH$4),($AA180-$AA181)*(1-$AL$3)*(E181-D181)*24*#REF!*$AL$4,0)</f>
        <v>#REF!</v>
      </c>
    </row>
    <row r="182" spans="1:32" ht="14.25">
      <c r="A182" s="226">
        <f t="shared" si="48"/>
        <v>43373</v>
      </c>
      <c r="B182" s="221">
        <v>0.79166666666666696</v>
      </c>
      <c r="C182" s="222" t="s">
        <v>41</v>
      </c>
      <c r="D182" s="223">
        <f t="shared" si="52"/>
        <v>43373.791666666664</v>
      </c>
      <c r="E182" s="223">
        <f t="shared" si="53"/>
        <v>43373.916666666664</v>
      </c>
      <c r="F182" s="224">
        <f>SUMPRODUCT(('6烧主抽电耗'!$A$3:$A$96=$A182)*('6烧主抽电耗'!$D$3:$D$96=$C182),'6烧主抽电耗'!$E$3:$E$96)</f>
        <v>1</v>
      </c>
      <c r="G182" s="223" t="str">
        <f t="shared" si="42"/>
        <v>甲班</v>
      </c>
      <c r="H182" s="225"/>
      <c r="I182" s="225"/>
      <c r="J182" s="225" t="str">
        <f>IF(_cuofeng5_month_day!A180="","",_cuofeng5_month_day!A180)</f>
        <v/>
      </c>
      <c r="K182" s="225" t="str">
        <f>IF(_cuofeng5_month_day!B180="","",_cuofeng5_month_day!B180)</f>
        <v/>
      </c>
      <c r="L182" s="224">
        <f>IFERROR(SUMPRODUCT((_5shaozhuchou_month_day!$A$3:$A$900&gt;=D182)*(_5shaozhuchou_month_day!$A$3:$A$900&lt;E182),_5shaozhuchou_month_day!$Y$3:$Y$900)/SUMPRODUCT((_5shaozhuchou_month_day!$A$3:$A$900&gt;=D182)*(_5shaozhuchou_month_day!$A$3:$A$900&lt;E182)),0)</f>
        <v>0</v>
      </c>
      <c r="M182" s="224" t="e">
        <f>L182*(1-$AL$3)*#REF!*$AL$4*(E182-D182)*24</f>
        <v>#REF!</v>
      </c>
      <c r="N182" s="231">
        <f t="shared" si="54"/>
        <v>0</v>
      </c>
      <c r="O182" s="231">
        <f t="shared" si="51"/>
        <v>0</v>
      </c>
      <c r="P182" s="231">
        <f t="shared" si="55"/>
        <v>0</v>
      </c>
      <c r="Q182" s="82" t="e">
        <f>IF(OR($B182=#REF!,$B181=$AH$4),($L181-$L182)*(1-$AL$3)*(E182-D182)*24*#REF!*$AL$4,0)</f>
        <v>#REF!</v>
      </c>
      <c r="U182" s="226">
        <f t="shared" si="45"/>
        <v>43373</v>
      </c>
      <c r="V182" s="221">
        <f t="shared" si="46"/>
        <v>0.79166666666666696</v>
      </c>
      <c r="W182" s="229"/>
      <c r="X182" s="229"/>
      <c r="Y182" s="229"/>
      <c r="Z182" s="229"/>
      <c r="AA182" s="82"/>
      <c r="AB182" s="82" t="e">
        <f>AA182*(1-$AL$3)*#REF!*$AL$4*(E182-D182)*24</f>
        <v>#REF!</v>
      </c>
      <c r="AC182" s="231">
        <f t="shared" si="56"/>
        <v>0</v>
      </c>
      <c r="AD182" s="231">
        <f t="shared" si="49"/>
        <v>0</v>
      </c>
      <c r="AE182" s="231">
        <f t="shared" si="50"/>
        <v>0</v>
      </c>
      <c r="AF182" s="82" t="e">
        <f>IF(OR($V182=#REF!,$V182=$AH$4),($AA181-$AA182)*(1-$AL$3)*(E182-D182)*24*#REF!*$AL$4,0)</f>
        <v>#REF!</v>
      </c>
    </row>
    <row r="183" spans="1:32" ht="14.25">
      <c r="A183" s="228">
        <f t="shared" si="48"/>
        <v>43373</v>
      </c>
      <c r="B183" s="221">
        <v>0.91666666666666696</v>
      </c>
      <c r="C183" s="222" t="s">
        <v>41</v>
      </c>
      <c r="D183" s="223">
        <f t="shared" si="52"/>
        <v>43373.916666666664</v>
      </c>
      <c r="E183" s="223">
        <f t="shared" si="53"/>
        <v>43374</v>
      </c>
      <c r="F183" s="224">
        <f>SUMPRODUCT(('6烧主抽电耗'!$A$3:$A$96=$A183)*('6烧主抽电耗'!$D$3:$D$96=$C183),'6烧主抽电耗'!$E$3:$E$96)</f>
        <v>1</v>
      </c>
      <c r="G183" s="223" t="str">
        <f t="shared" si="42"/>
        <v>甲班</v>
      </c>
      <c r="H183" s="225"/>
      <c r="I183" s="225"/>
      <c r="J183" s="225" t="str">
        <f>IF(_cuofeng5_month_day!A181="","",_cuofeng5_month_day!A181)</f>
        <v/>
      </c>
      <c r="K183" s="225" t="str">
        <f>IF(_cuofeng5_month_day!B181="","",_cuofeng5_month_day!B181)</f>
        <v/>
      </c>
      <c r="L183" s="224">
        <f>IFERROR(SUMPRODUCT((_5shaozhuchou_month_day!$A$3:$A$900&gt;=D183)*(_5shaozhuchou_month_day!$A$3:$A$900&lt;E183),_5shaozhuchou_month_day!$Y$3:$Y$900)/SUMPRODUCT((_5shaozhuchou_month_day!$A$3:$A$900&gt;=D183)*(_5shaozhuchou_month_day!$A$3:$A$900&lt;E183)),0)</f>
        <v>0</v>
      </c>
      <c r="M183" s="224" t="e">
        <f>L183*(1-$AL$3)*#REF!*$AL$4*(E183-D183)*24</f>
        <v>#REF!</v>
      </c>
      <c r="N183" s="231">
        <f t="shared" si="54"/>
        <v>0</v>
      </c>
      <c r="O183" s="231">
        <f t="shared" si="51"/>
        <v>0</v>
      </c>
      <c r="P183" s="231">
        <f t="shared" si="55"/>
        <v>0</v>
      </c>
      <c r="Q183" s="82" t="e">
        <f>IF(OR($B183=#REF!,$B182=$AH$4),($L182-$L183)*(1-$AL$3)*(E183-D183)*24*#REF!*$AL$4,0)</f>
        <v>#REF!</v>
      </c>
      <c r="U183" s="228">
        <f t="shared" si="45"/>
        <v>43373</v>
      </c>
      <c r="V183" s="221">
        <f t="shared" si="46"/>
        <v>0.91666666666666696</v>
      </c>
      <c r="W183" s="229"/>
      <c r="X183" s="229"/>
      <c r="Y183" s="229"/>
      <c r="Z183" s="229"/>
      <c r="AA183" s="82"/>
      <c r="AB183" s="82" t="e">
        <f>AA183*(1-$AL$3)*#REF!*$AL$4*(E183-D183)*24</f>
        <v>#REF!</v>
      </c>
      <c r="AC183" s="231">
        <f t="shared" si="56"/>
        <v>0</v>
      </c>
      <c r="AD183" s="231">
        <f t="shared" si="49"/>
        <v>0</v>
      </c>
      <c r="AE183" s="231">
        <f t="shared" si="50"/>
        <v>0</v>
      </c>
      <c r="AF183" s="82" t="e">
        <f>IF(OR($V183=#REF!,$V183=$AH$4),($AA182-$AA183)*(1-$AL$3)*(E183-D183)*24*#REF!*$AL$4,0)</f>
        <v>#REF!</v>
      </c>
    </row>
    <row r="184" spans="1:32" ht="14.25">
      <c r="A184" s="220">
        <f>A178+1</f>
        <v>43374</v>
      </c>
      <c r="B184" s="221">
        <v>0</v>
      </c>
      <c r="C184" s="222" t="s">
        <v>37</v>
      </c>
      <c r="D184" s="223">
        <f t="shared" si="52"/>
        <v>43374</v>
      </c>
      <c r="E184" s="223">
        <f t="shared" si="53"/>
        <v>43374.333333333336</v>
      </c>
      <c r="F184" s="224">
        <f>SUMPRODUCT(('6烧主抽电耗'!$A$3:$A$96=$A184)*('6烧主抽电耗'!$D$3:$D$96=$C184),'6烧主抽电耗'!$E$3:$E$96)</f>
        <v>3</v>
      </c>
      <c r="G184" s="223" t="str">
        <f t="shared" si="42"/>
        <v>丙班</v>
      </c>
      <c r="H184" s="239"/>
      <c r="I184" s="249"/>
      <c r="J184" s="239" t="str">
        <f>IF(_cuofeng5_month_day!A182="","",_cuofeng5_month_day!A182)</f>
        <v/>
      </c>
      <c r="K184" s="239" t="str">
        <f>IF(_cuofeng5_month_day!B182="","",_cuofeng5_month_day!B182)</f>
        <v/>
      </c>
      <c r="L184" s="224">
        <f>IFERROR(SUMPRODUCT((_5shaozhuchou_month_day!$A$3:$A$900&gt;=D184)*(_5shaozhuchou_month_day!$A$3:$A$900&lt;E184),_5shaozhuchou_month_day!$Y$3:$Y$900)/SUMPRODUCT((_5shaozhuchou_month_day!$A$3:$A$900&gt;=D184)*(_5shaozhuchou_month_day!$A$3:$A$900&lt;E184)),0)</f>
        <v>0</v>
      </c>
      <c r="M184" s="224" t="e">
        <f>L184*(1-$AL$3)*#REF!*$AL$4*(E184-D184)*24</f>
        <v>#REF!</v>
      </c>
      <c r="N184" s="231">
        <f t="shared" si="54"/>
        <v>0</v>
      </c>
      <c r="O184" s="231">
        <f t="shared" si="51"/>
        <v>0</v>
      </c>
      <c r="P184" s="231">
        <f t="shared" si="55"/>
        <v>0</v>
      </c>
      <c r="Q184" s="82" t="e">
        <f>IF(OR($B184=#REF!,$B183=$AH$4),($L183-$L184)*(1-$AL$3)*(E184-D184)*24*#REF!*$AL$4,0)</f>
        <v>#REF!</v>
      </c>
      <c r="U184" s="220">
        <f t="shared" si="45"/>
        <v>43374</v>
      </c>
      <c r="V184" s="221">
        <f t="shared" si="46"/>
        <v>0</v>
      </c>
      <c r="W184" s="240"/>
      <c r="X184" s="229"/>
      <c r="Y184" s="229"/>
      <c r="Z184" s="229"/>
      <c r="AA184" s="82"/>
      <c r="AB184" s="82" t="e">
        <f>AA184*(1-$AL$3)*#REF!*$AL$4*(E184-D184)*24</f>
        <v>#REF!</v>
      </c>
      <c r="AC184" s="231">
        <f t="shared" si="56"/>
        <v>0</v>
      </c>
      <c r="AD184" s="231">
        <f t="shared" si="49"/>
        <v>0</v>
      </c>
      <c r="AE184" s="231">
        <f t="shared" si="50"/>
        <v>0</v>
      </c>
      <c r="AF184" s="82" t="e">
        <f>IF(OR($V184=#REF!,$V184=$AH$4),($AA183-$AA184)*(1-$AL$3)*(E184-D184)*24*#REF!*$AL$4,0)</f>
        <v>#REF!</v>
      </c>
    </row>
    <row r="185" spans="1:32" ht="14.25">
      <c r="A185" s="226">
        <f>A184</f>
        <v>43374</v>
      </c>
      <c r="B185" s="221">
        <v>0.33333333333333298</v>
      </c>
      <c r="C185" s="222" t="s">
        <v>37</v>
      </c>
      <c r="D185" s="223">
        <f t="shared" si="52"/>
        <v>43374.333333333336</v>
      </c>
      <c r="E185" s="223">
        <f t="shared" si="53"/>
        <v>43374.583333333336</v>
      </c>
      <c r="F185" s="224">
        <f>SUMPRODUCT(('6烧主抽电耗'!$A$3:$A$96=$A185)*('6烧主抽电耗'!$D$3:$D$96=$C185),'6烧主抽电耗'!$E$3:$E$96)</f>
        <v>3</v>
      </c>
      <c r="G185" s="223" t="str">
        <f t="shared" si="42"/>
        <v>丙班</v>
      </c>
      <c r="H185" s="225"/>
      <c r="I185" s="225"/>
      <c r="J185" s="225" t="str">
        <f>IF(_cuofeng5_month_day!A183="","",_cuofeng5_month_day!A183)</f>
        <v/>
      </c>
      <c r="K185" s="225" t="str">
        <f>IF(_cuofeng5_month_day!B183="","",_cuofeng5_month_day!B183)</f>
        <v/>
      </c>
      <c r="L185" s="224">
        <f>IFERROR(SUMPRODUCT((_5shaozhuchou_month_day!$A$3:$A$900&gt;=D185)*(_5shaozhuchou_month_day!$A$3:$A$900&lt;E185),_5shaozhuchou_month_day!$Y$3:$Y$900)/SUMPRODUCT((_5shaozhuchou_month_day!$A$3:$A$900&gt;=D185)*(_5shaozhuchou_month_day!$A$3:$A$900&lt;E185)),0)</f>
        <v>0</v>
      </c>
      <c r="M185" s="224" t="e">
        <f>L185*(1-$AL$3)*#REF!*$AL$4*(E185-D185)*24</f>
        <v>#REF!</v>
      </c>
      <c r="N185" s="231">
        <f t="shared" si="54"/>
        <v>0</v>
      </c>
      <c r="O185" s="231">
        <f t="shared" si="51"/>
        <v>0</v>
      </c>
      <c r="P185" s="231">
        <f t="shared" si="55"/>
        <v>0</v>
      </c>
      <c r="Q185" s="82" t="e">
        <f>IF(OR($B185=#REF!,$B184=$AH$4),($L184-$L185)*(1-$AL$3)*(E185-D185)*24*#REF!*$AL$4,0)</f>
        <v>#REF!</v>
      </c>
      <c r="U185" s="226">
        <f t="shared" si="45"/>
        <v>43374</v>
      </c>
      <c r="V185" s="221">
        <f t="shared" si="46"/>
        <v>0.33333333333333298</v>
      </c>
      <c r="W185" s="235"/>
      <c r="X185" s="236"/>
      <c r="Y185" s="229"/>
      <c r="Z185" s="229"/>
      <c r="AA185" s="82"/>
      <c r="AB185" s="82" t="e">
        <f>AA185*(1-$AL$3)*#REF!*$AL$4*(E185-D185)*24</f>
        <v>#REF!</v>
      </c>
      <c r="AC185" s="231">
        <f t="shared" si="56"/>
        <v>0</v>
      </c>
      <c r="AD185" s="231">
        <f t="shared" si="49"/>
        <v>0</v>
      </c>
      <c r="AE185" s="231">
        <f t="shared" si="50"/>
        <v>0</v>
      </c>
      <c r="AF185" s="82" t="e">
        <f>IF(OR($V185=#REF!,$V185=$AH$4),($AA184-$AA185)*(1-$AL$3)*(E185-D185)*24*#REF!*$AL$4,0)</f>
        <v>#REF!</v>
      </c>
    </row>
    <row r="186" spans="1:32" ht="14.25">
      <c r="A186" s="226">
        <f t="shared" si="48"/>
        <v>43374</v>
      </c>
      <c r="B186" s="221">
        <v>0.58333333333333304</v>
      </c>
      <c r="C186" s="222" t="s">
        <v>39</v>
      </c>
      <c r="D186" s="223">
        <f t="shared" si="52"/>
        <v>43374.583333333336</v>
      </c>
      <c r="E186" s="223">
        <f t="shared" si="53"/>
        <v>43374.708333333336</v>
      </c>
      <c r="F186" s="224">
        <f>SUMPRODUCT(('6烧主抽电耗'!$A$3:$A$96=$A186)*('6烧主抽电耗'!$D$3:$D$96=$C186),'6烧主抽电耗'!$E$3:$E$96)</f>
        <v>4</v>
      </c>
      <c r="G186" s="223" t="str">
        <f t="shared" si="42"/>
        <v>丁班</v>
      </c>
      <c r="H186" s="225"/>
      <c r="I186" s="225"/>
      <c r="J186" s="225" t="str">
        <f>IF(_cuofeng5_month_day!A184="","",_cuofeng5_month_day!A184)</f>
        <v/>
      </c>
      <c r="K186" s="225" t="str">
        <f>IF(_cuofeng5_month_day!B184="","",_cuofeng5_month_day!B184)</f>
        <v/>
      </c>
      <c r="L186" s="224">
        <f>IFERROR(SUMPRODUCT((_5shaozhuchou_month_day!$A$3:$A$900&gt;=D186)*(_5shaozhuchou_month_day!$A$3:$A$900&lt;E186),_5shaozhuchou_month_day!$Y$3:$Y$900)/SUMPRODUCT((_5shaozhuchou_month_day!$A$3:$A$900&gt;=D186)*(_5shaozhuchou_month_day!$A$3:$A$900&lt;E186)),0)</f>
        <v>0</v>
      </c>
      <c r="M186" s="224" t="e">
        <f>L186*(1-$AL$3)*#REF!*$AL$4*(E186-D186)*24</f>
        <v>#REF!</v>
      </c>
      <c r="N186" s="231">
        <f t="shared" si="54"/>
        <v>0</v>
      </c>
      <c r="O186" s="231">
        <f t="shared" si="51"/>
        <v>0</v>
      </c>
      <c r="P186" s="231">
        <f t="shared" si="55"/>
        <v>0</v>
      </c>
      <c r="Q186" s="82" t="e">
        <f>IF(OR($B186=#REF!,$B185=$AH$4),($L185-$L186)*(1-$AL$3)*(E186-D186)*24*#REF!*$AL$4,0)</f>
        <v>#REF!</v>
      </c>
      <c r="U186" s="226">
        <f t="shared" si="45"/>
        <v>43374</v>
      </c>
      <c r="V186" s="221">
        <f t="shared" si="46"/>
        <v>0.58333333333333304</v>
      </c>
      <c r="W186" s="229"/>
      <c r="X186" s="229"/>
      <c r="Y186" s="229"/>
      <c r="Z186" s="229"/>
      <c r="AA186" s="82"/>
      <c r="AB186" s="82" t="e">
        <f>AA186*(1-$AL$3)*#REF!*$AL$4*(E186-D186)*24</f>
        <v>#REF!</v>
      </c>
      <c r="AC186" s="231">
        <f t="shared" si="56"/>
        <v>0</v>
      </c>
      <c r="AD186" s="231">
        <f t="shared" si="49"/>
        <v>0</v>
      </c>
      <c r="AE186" s="231">
        <f t="shared" si="50"/>
        <v>0</v>
      </c>
      <c r="AF186" s="82" t="e">
        <f>IF(OR($V186=#REF!,$V186=$AH$4),($AA185-$AA186)*(1-$AL$3)*(E186-D186)*24*#REF!*$AL$4,0)</f>
        <v>#REF!</v>
      </c>
    </row>
    <row r="187" spans="1:32" ht="14.25">
      <c r="A187" s="226">
        <f t="shared" si="48"/>
        <v>43374</v>
      </c>
      <c r="B187" s="221">
        <v>0.70833333333333304</v>
      </c>
      <c r="C187" s="222" t="s">
        <v>41</v>
      </c>
      <c r="D187" s="223">
        <f t="shared" si="52"/>
        <v>43374.708333333336</v>
      </c>
      <c r="E187" s="223">
        <f t="shared" si="53"/>
        <v>43374.791666666664</v>
      </c>
      <c r="F187" s="224">
        <f>SUMPRODUCT(('6烧主抽电耗'!$A$3:$A$96=$A187)*('6烧主抽电耗'!$D$3:$D$96=$C187),'6烧主抽电耗'!$E$3:$E$96)</f>
        <v>1</v>
      </c>
      <c r="G187" s="223" t="str">
        <f t="shared" si="42"/>
        <v>甲班</v>
      </c>
      <c r="H187" s="225"/>
      <c r="I187" s="225"/>
      <c r="J187" s="225" t="str">
        <f>IF(_cuofeng5_month_day!A185="","",_cuofeng5_month_day!A185)</f>
        <v/>
      </c>
      <c r="K187" s="225" t="str">
        <f>IF(_cuofeng5_month_day!B185="","",_cuofeng5_month_day!B185)</f>
        <v/>
      </c>
      <c r="L187" s="224">
        <f>IFERROR(SUMPRODUCT((_5shaozhuchou_month_day!$A$3:$A$900&gt;=D187)*(_5shaozhuchou_month_day!$A$3:$A$900&lt;E187),_5shaozhuchou_month_day!$Y$3:$Y$900)/SUMPRODUCT((_5shaozhuchou_month_day!$A$3:$A$900&gt;=D187)*(_5shaozhuchou_month_day!$A$3:$A$900&lt;E187)),0)</f>
        <v>0</v>
      </c>
      <c r="M187" s="224" t="e">
        <f>L187*(1-$AL$3)*#REF!*$AL$4*(E187-D187)*24</f>
        <v>#REF!</v>
      </c>
      <c r="N187" s="231">
        <f t="shared" si="54"/>
        <v>0</v>
      </c>
      <c r="O187" s="231">
        <f t="shared" si="51"/>
        <v>0</v>
      </c>
      <c r="P187" s="231">
        <f t="shared" si="55"/>
        <v>0</v>
      </c>
      <c r="Q187" s="82" t="e">
        <f>IF(OR($B187=#REF!,$B186=$AH$4),($L186-$L187)*(1-$AL$3)*(E187-D187)*24*#REF!*$AL$4,0)</f>
        <v>#REF!</v>
      </c>
      <c r="U187" s="226">
        <f t="shared" si="45"/>
        <v>43374</v>
      </c>
      <c r="V187" s="221">
        <f t="shared" si="46"/>
        <v>0.70833333333333304</v>
      </c>
      <c r="W187" s="229"/>
      <c r="X187" s="229"/>
      <c r="Y187" s="229"/>
      <c r="Z187" s="229"/>
      <c r="AA187" s="82"/>
      <c r="AB187" s="82" t="e">
        <f>AA187*(1-$AL$3)*#REF!*$AL$4*(E187-D187)*24</f>
        <v>#REF!</v>
      </c>
      <c r="AC187" s="231">
        <f t="shared" si="56"/>
        <v>0</v>
      </c>
      <c r="AD187" s="231">
        <f t="shared" si="49"/>
        <v>0</v>
      </c>
      <c r="AE187" s="231">
        <f t="shared" si="50"/>
        <v>0</v>
      </c>
      <c r="AF187" s="82" t="e">
        <f>IF(OR($V187=#REF!,$V187=$AH$4),($AA186-$AA187)*(1-$AL$3)*(E187-D187)*24*#REF!*$AL$4,0)</f>
        <v>#REF!</v>
      </c>
    </row>
    <row r="188" spans="1:32" ht="14.25">
      <c r="A188" s="226">
        <f t="shared" si="48"/>
        <v>43374</v>
      </c>
      <c r="B188" s="221">
        <v>0.79166666666666696</v>
      </c>
      <c r="C188" s="222" t="s">
        <v>41</v>
      </c>
      <c r="D188" s="223">
        <f t="shared" si="52"/>
        <v>43374.791666666664</v>
      </c>
      <c r="E188" s="223">
        <f t="shared" si="53"/>
        <v>43374.916666666664</v>
      </c>
      <c r="F188" s="224">
        <f>SUMPRODUCT(('6烧主抽电耗'!$A$3:$A$96=$A188)*('6烧主抽电耗'!$D$3:$D$96=$C188),'6烧主抽电耗'!$E$3:$E$96)</f>
        <v>1</v>
      </c>
      <c r="G188" s="223" t="str">
        <f t="shared" si="42"/>
        <v>甲班</v>
      </c>
      <c r="H188" s="225"/>
      <c r="I188" s="225"/>
      <c r="J188" s="225" t="str">
        <f>IF(_cuofeng5_month_day!A186="","",_cuofeng5_month_day!A186)</f>
        <v/>
      </c>
      <c r="K188" s="225" t="str">
        <f>IF(_cuofeng5_month_day!B186="","",_cuofeng5_month_day!B186)</f>
        <v/>
      </c>
      <c r="L188" s="224">
        <f>IFERROR(SUMPRODUCT((_5shaozhuchou_month_day!$A$3:$A$900&gt;=D188)*(_5shaozhuchou_month_day!$A$3:$A$900&lt;E188),_5shaozhuchou_month_day!$Y$3:$Y$900)/SUMPRODUCT((_5shaozhuchou_month_day!$A$3:$A$900&gt;=D188)*(_5shaozhuchou_month_day!$A$3:$A$900&lt;E188)),0)</f>
        <v>0</v>
      </c>
      <c r="M188" s="224" t="e">
        <f>L188*(1-$AL$3)*#REF!*$AL$4*(E188-D188)*24</f>
        <v>#REF!</v>
      </c>
      <c r="N188" s="231">
        <f t="shared" si="54"/>
        <v>0</v>
      </c>
      <c r="O188" s="231">
        <f t="shared" si="51"/>
        <v>0</v>
      </c>
      <c r="P188" s="231">
        <f t="shared" si="55"/>
        <v>0</v>
      </c>
      <c r="Q188" s="82" t="e">
        <f>IF(OR($B188=#REF!,$B187=$AH$4),($L187-$L188)*(1-$AL$3)*(E188-D188)*24*#REF!*$AL$4,0)</f>
        <v>#REF!</v>
      </c>
      <c r="U188" s="226">
        <f t="shared" si="45"/>
        <v>43374</v>
      </c>
      <c r="V188" s="221">
        <f t="shared" si="46"/>
        <v>0.79166666666666696</v>
      </c>
      <c r="W188" s="229"/>
      <c r="X188" s="229"/>
      <c r="Y188" s="229"/>
      <c r="Z188" s="229"/>
      <c r="AA188" s="82"/>
      <c r="AB188" s="82" t="e">
        <f>AA188*(1-$AL$3)*#REF!*$AL$4*(E188-D188)*24</f>
        <v>#REF!</v>
      </c>
      <c r="AC188" s="231">
        <f t="shared" si="56"/>
        <v>0</v>
      </c>
      <c r="AD188" s="231">
        <f t="shared" si="49"/>
        <v>0</v>
      </c>
      <c r="AE188" s="231">
        <f t="shared" si="50"/>
        <v>0</v>
      </c>
      <c r="AF188" s="82" t="e">
        <f>IF(OR($V188=#REF!,$V188=$AH$4),($AA187-$AA188)*(1-$AL$3)*(E188-D188)*24*#REF!*$AL$4,0)</f>
        <v>#REF!</v>
      </c>
    </row>
    <row r="189" spans="1:32" ht="14.25">
      <c r="A189" s="228">
        <f t="shared" si="48"/>
        <v>43374</v>
      </c>
      <c r="B189" s="221">
        <v>0.91666666666666696</v>
      </c>
      <c r="C189" s="222" t="s">
        <v>41</v>
      </c>
      <c r="D189" s="223">
        <f t="shared" si="52"/>
        <v>43374.916666666664</v>
      </c>
      <c r="E189" s="223">
        <f t="shared" si="53"/>
        <v>43375</v>
      </c>
      <c r="F189" s="224">
        <f>SUMPRODUCT(('6烧主抽电耗'!$A$3:$A$96=$A189)*('6烧主抽电耗'!$D$3:$D$96=$C189),'6烧主抽电耗'!$E$3:$E$96)</f>
        <v>1</v>
      </c>
      <c r="G189" s="223" t="str">
        <f t="shared" si="42"/>
        <v>甲班</v>
      </c>
      <c r="H189" s="225"/>
      <c r="I189" s="225"/>
      <c r="J189" s="225" t="str">
        <f>IF(_cuofeng5_month_day!A187="","",_cuofeng5_month_day!A187)</f>
        <v/>
      </c>
      <c r="K189" s="225" t="str">
        <f>IF(_cuofeng5_month_day!B187="","",_cuofeng5_month_day!B187)</f>
        <v/>
      </c>
      <c r="L189" s="224">
        <f>IFERROR(SUMPRODUCT((_5shaozhuchou_month_day!$A$3:$A$900&gt;=D189)*(_5shaozhuchou_month_day!$A$3:$A$900&lt;E189),_5shaozhuchou_month_day!$Y$3:$Y$900)/SUMPRODUCT((_5shaozhuchou_month_day!$A$3:$A$900&gt;=D189)*(_5shaozhuchou_month_day!$A$3:$A$900&lt;E189)),0)</f>
        <v>0</v>
      </c>
      <c r="M189" s="224" t="e">
        <f>L189*(1-$AL$3)*#REF!*$AL$4*(E189-D189)*24</f>
        <v>#REF!</v>
      </c>
      <c r="N189" s="231">
        <f t="shared" si="54"/>
        <v>0</v>
      </c>
      <c r="O189" s="231">
        <f t="shared" si="51"/>
        <v>0</v>
      </c>
      <c r="P189" s="231">
        <f t="shared" si="55"/>
        <v>0</v>
      </c>
      <c r="Q189" s="82" t="e">
        <f>IF(OR($B189=#REF!,$B188=$AH$4),($L188-$L189)*(1-$AL$3)*(E189-D189)*24*#REF!*$AL$4,0)</f>
        <v>#REF!</v>
      </c>
      <c r="U189" s="228">
        <f t="shared" si="45"/>
        <v>43374</v>
      </c>
      <c r="V189" s="221">
        <f t="shared" si="46"/>
        <v>0.91666666666666696</v>
      </c>
      <c r="W189" s="229"/>
      <c r="X189" s="229"/>
      <c r="Y189" s="229"/>
      <c r="Z189" s="229"/>
      <c r="AA189" s="82"/>
      <c r="AB189" s="82" t="e">
        <f>AA189*(1-$AL$3)*#REF!*$AL$4*(E189-D189)*24</f>
        <v>#REF!</v>
      </c>
      <c r="AC189" s="231">
        <f t="shared" si="56"/>
        <v>0</v>
      </c>
      <c r="AD189" s="231">
        <f t="shared" si="49"/>
        <v>0</v>
      </c>
      <c r="AE189" s="231">
        <f t="shared" si="50"/>
        <v>0</v>
      </c>
      <c r="AF189" s="82" t="e">
        <f>IF(OR($V189=#REF!,$V189=$AH$4),($AA188-$AA189)*(1-$AL$3)*(E189-D189)*24*#REF!*$AL$4,0)</f>
        <v>#REF!</v>
      </c>
    </row>
    <row r="190" spans="1:32" ht="14.25">
      <c r="A190" s="128">
        <f>A184+1</f>
        <v>43375</v>
      </c>
      <c r="B190" s="221">
        <v>0</v>
      </c>
      <c r="C190" s="222" t="s">
        <v>37</v>
      </c>
      <c r="D190" s="223">
        <f t="shared" si="52"/>
        <v>43375</v>
      </c>
      <c r="E190" s="223">
        <f t="shared" si="53"/>
        <v>43375.333333333336</v>
      </c>
      <c r="F190" s="224">
        <f>SUMPRODUCT(('6烧主抽电耗'!$A$3:$A$96=$A190)*('6烧主抽电耗'!$D$3:$D$96=$C190),'6烧主抽电耗'!$E$3:$E$96)</f>
        <v>2</v>
      </c>
      <c r="G190" s="223" t="str">
        <f t="shared" si="42"/>
        <v>乙班</v>
      </c>
      <c r="H190" s="225"/>
      <c r="I190" s="225"/>
      <c r="J190" s="225" t="str">
        <f>IF(_cuofeng5_month_day!A188="","",_cuofeng5_month_day!A188)</f>
        <v/>
      </c>
      <c r="K190" s="225" t="str">
        <f>IF(_cuofeng5_month_day!B188="","",_cuofeng5_month_day!B188)</f>
        <v/>
      </c>
      <c r="L190" s="224"/>
      <c r="M190" s="224"/>
      <c r="N190" s="231"/>
      <c r="O190" s="231"/>
      <c r="P190" s="231"/>
      <c r="Q190" s="82" t="e">
        <f>IF(OR($B190=#REF!,$B189=$AH$4),($L189-$L190)*(1-$AL$3)*(E190-D190)*24*#REF!*$AL$4,0)</f>
        <v>#REF!</v>
      </c>
      <c r="U190" s="252">
        <f t="shared" si="45"/>
        <v>43375</v>
      </c>
      <c r="V190" s="221">
        <f t="shared" si="46"/>
        <v>0</v>
      </c>
      <c r="W190" s="235"/>
      <c r="X190" s="236"/>
      <c r="Y190" s="229"/>
      <c r="Z190" s="229"/>
      <c r="AA190" s="211"/>
      <c r="AB190" s="211"/>
      <c r="AC190" s="211"/>
      <c r="AD190" s="211"/>
      <c r="AE190" s="211"/>
      <c r="AF190" s="82" t="e">
        <f>IF(OR($V190=#REF!,$V190=$AH$4),($AA189-$AA190)*(1-$AL$3)*(E190-D190)*24*#REF!*$AL$4,0)</f>
        <v>#REF!</v>
      </c>
    </row>
    <row r="191" spans="1:32" ht="14.25">
      <c r="A191" s="128">
        <f>A185+1</f>
        <v>43375</v>
      </c>
      <c r="B191" s="221">
        <v>0.33333333333333298</v>
      </c>
      <c r="C191" s="222" t="s">
        <v>37</v>
      </c>
      <c r="D191" s="223">
        <f t="shared" si="52"/>
        <v>43375.333333333336</v>
      </c>
      <c r="E191" s="223">
        <f t="shared" si="53"/>
        <v>0</v>
      </c>
      <c r="F191" s="224">
        <v>0</v>
      </c>
      <c r="G191" s="223" t="s">
        <v>63</v>
      </c>
      <c r="H191" s="211"/>
      <c r="I191" s="211"/>
      <c r="J191" s="211" t="str">
        <f>IF(_cuofeng5_month_day!A189="","",_cuofeng5_month_day!A189)</f>
        <v/>
      </c>
      <c r="K191" s="211" t="str">
        <f>IF(_cuofeng5_month_day!B189="","",_cuofeng5_month_day!B189)</f>
        <v/>
      </c>
      <c r="L191" s="211"/>
      <c r="M191" s="211"/>
      <c r="N191" s="211"/>
      <c r="O191" s="211"/>
      <c r="P191" s="211"/>
      <c r="U191" s="252">
        <f t="shared" si="45"/>
        <v>43375</v>
      </c>
      <c r="V191" s="221">
        <f t="shared" si="46"/>
        <v>0.33333333333333298</v>
      </c>
      <c r="W191" s="237"/>
      <c r="X191" s="225"/>
      <c r="Y191" s="229"/>
      <c r="Z191" s="229"/>
      <c r="AA191" s="211"/>
      <c r="AB191" s="211"/>
      <c r="AC191" s="211"/>
      <c r="AD191" s="211"/>
      <c r="AE191" s="211"/>
      <c r="AF191" s="253"/>
    </row>
    <row r="192" spans="1:32">
      <c r="A192"/>
      <c r="B192"/>
    </row>
    <row r="193" spans="1:2">
      <c r="A193"/>
      <c r="B193"/>
    </row>
    <row r="194" spans="1:2">
      <c r="A194"/>
      <c r="B194"/>
    </row>
    <row r="195" spans="1:2">
      <c r="A195"/>
      <c r="B195"/>
    </row>
  </sheetData>
  <mergeCells count="8">
    <mergeCell ref="A1:P1"/>
    <mergeCell ref="U1:AE1"/>
    <mergeCell ref="H2:I2"/>
    <mergeCell ref="J2:K2"/>
    <mergeCell ref="N2:P2"/>
    <mergeCell ref="W2:X2"/>
    <mergeCell ref="Y2:Z2"/>
    <mergeCell ref="AC2:AE2"/>
  </mergeCells>
  <phoneticPr fontId="53" type="noConversion"/>
  <pageMargins left="0.69930555555555596" right="0.69930555555555596"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ColWidth="9" defaultRowHeight="14.25"/>
  <sheetData>
    <row r="1" spans="1:2" ht="66">
      <c r="A1" s="212" t="s">
        <v>59</v>
      </c>
      <c r="B1" s="212" t="s">
        <v>60</v>
      </c>
    </row>
  </sheetData>
  <phoneticPr fontId="53" type="noConversion"/>
  <pageMargins left="0.75" right="0.75" top="1" bottom="1" header="0.50902777777777797" footer="0.509027777777777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workbookViewId="0">
      <pane ySplit="2" topLeftCell="A3" activePane="bottomLeft" state="frozen"/>
      <selection pane="bottomLeft" activeCell="K12" sqref="K12"/>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73" customWidth="1"/>
    <col min="13" max="13" width="13.875" style="73" customWidth="1"/>
    <col min="14" max="14" width="13.375" style="73" customWidth="1"/>
  </cols>
  <sheetData>
    <row r="1" spans="1:14" ht="35.25" customHeight="1">
      <c r="A1" s="366" t="s">
        <v>65</v>
      </c>
      <c r="B1" s="366"/>
      <c r="C1" s="366"/>
      <c r="D1" s="366"/>
      <c r="E1" s="366"/>
      <c r="F1" s="366"/>
      <c r="G1" s="366"/>
      <c r="H1" s="366"/>
      <c r="I1" s="366"/>
      <c r="J1" s="366"/>
      <c r="K1" s="366"/>
      <c r="L1" s="367"/>
      <c r="M1" s="367"/>
      <c r="N1" s="367"/>
    </row>
    <row r="2" spans="1:14" ht="39.75" customHeight="1">
      <c r="A2" s="124" t="s">
        <v>66</v>
      </c>
      <c r="B2" s="125"/>
      <c r="C2" s="125"/>
      <c r="D2" s="125" t="s">
        <v>13</v>
      </c>
      <c r="E2" s="125"/>
      <c r="F2" s="125" t="s">
        <v>14</v>
      </c>
      <c r="G2" s="136" t="s">
        <v>67</v>
      </c>
      <c r="H2" s="205" t="s">
        <v>68</v>
      </c>
      <c r="I2" s="206" t="s">
        <v>69</v>
      </c>
      <c r="J2" s="207" t="s">
        <v>70</v>
      </c>
      <c r="K2" s="207" t="s">
        <v>71</v>
      </c>
      <c r="L2" s="207" t="s">
        <v>72</v>
      </c>
      <c r="M2" s="208" t="s">
        <v>73</v>
      </c>
      <c r="N2" s="207" t="s">
        <v>74</v>
      </c>
    </row>
    <row r="3" spans="1:14">
      <c r="A3" s="128">
        <f>主抽数据!B3</f>
        <v>43344</v>
      </c>
      <c r="B3" s="129">
        <v>0</v>
      </c>
      <c r="C3" s="128">
        <f>A3+B3</f>
        <v>43344</v>
      </c>
      <c r="D3" s="128" t="s">
        <v>37</v>
      </c>
      <c r="E3" s="143">
        <f>'6烧主抽电耗'!E3</f>
        <v>2</v>
      </c>
      <c r="F3" s="128" t="str">
        <f>'6烧主抽电耗'!F3</f>
        <v>乙班</v>
      </c>
      <c r="G3" s="144">
        <f>'5烧主抽电耗'!I3+'6烧主抽电耗'!I3</f>
        <v>0</v>
      </c>
      <c r="H3" s="102">
        <f>'5烧主抽电耗'!M3+'6烧主抽电耗'!M3</f>
        <v>0</v>
      </c>
      <c r="I3" s="102">
        <f>'5烧主抽电耗'!N3+'6烧主抽电耗'!N3</f>
        <v>0</v>
      </c>
      <c r="J3" s="102">
        <f>主抽数据!AJ5</f>
        <v>79491</v>
      </c>
      <c r="K3" s="102">
        <f>主抽数据!AM5</f>
        <v>0</v>
      </c>
      <c r="L3" s="102">
        <f>主抽数据!AJ5+主抽数据!AM5</f>
        <v>79491</v>
      </c>
      <c r="M3" s="209">
        <f>'6烧主抽电耗'!V3+'5烧主抽电耗'!V3</f>
        <v>0</v>
      </c>
      <c r="N3" s="210">
        <f>L3-M3</f>
        <v>79491</v>
      </c>
    </row>
    <row r="4" spans="1:14">
      <c r="A4" s="133">
        <f>A3</f>
        <v>43344</v>
      </c>
      <c r="B4" s="134">
        <v>0.33333333333333298</v>
      </c>
      <c r="C4" s="133">
        <f t="shared" ref="C4:C67" si="0">A4+B4</f>
        <v>43344.333333333336</v>
      </c>
      <c r="D4" s="133" t="s">
        <v>39</v>
      </c>
      <c r="E4" s="143">
        <f>'6烧主抽电耗'!E4</f>
        <v>3</v>
      </c>
      <c r="F4" s="128" t="str">
        <f>'6烧主抽电耗'!F4</f>
        <v>丙班</v>
      </c>
      <c r="G4" s="144">
        <f>'5烧主抽电耗'!I4+'6烧主抽电耗'!I4</f>
        <v>0</v>
      </c>
      <c r="H4" s="102">
        <f>'5烧主抽电耗'!M4+'6烧主抽电耗'!M4</f>
        <v>0</v>
      </c>
      <c r="I4" s="102">
        <f>'5烧主抽电耗'!N4+'6烧主抽电耗'!N4</f>
        <v>0</v>
      </c>
      <c r="J4" s="102">
        <f>主抽数据!AJ6</f>
        <v>73905</v>
      </c>
      <c r="K4" s="102">
        <f>主抽数据!AM6</f>
        <v>0</v>
      </c>
      <c r="L4" s="102">
        <f>主抽数据!AJ6+主抽数据!AM6</f>
        <v>73905</v>
      </c>
      <c r="M4" s="209">
        <f>'6烧主抽电耗'!V4+'5烧主抽电耗'!V4</f>
        <v>0</v>
      </c>
      <c r="N4" s="210">
        <f t="shared" ref="N4:N67" si="1">L4-M4</f>
        <v>73905</v>
      </c>
    </row>
    <row r="5" spans="1:14">
      <c r="A5" s="133">
        <f>A4</f>
        <v>43344</v>
      </c>
      <c r="B5" s="134">
        <v>0.66666666666666696</v>
      </c>
      <c r="C5" s="133">
        <f t="shared" si="0"/>
        <v>43344.666666666664</v>
      </c>
      <c r="D5" s="133" t="s">
        <v>41</v>
      </c>
      <c r="E5" s="143">
        <f>'6烧主抽电耗'!E5</f>
        <v>4</v>
      </c>
      <c r="F5" s="128" t="str">
        <f>'6烧主抽电耗'!F5</f>
        <v>丁班</v>
      </c>
      <c r="G5" s="144">
        <f>'5烧主抽电耗'!I5+'6烧主抽电耗'!I5</f>
        <v>0</v>
      </c>
      <c r="H5" s="102">
        <f>'5烧主抽电耗'!M5+'6烧主抽电耗'!M5</f>
        <v>0</v>
      </c>
      <c r="I5" s="102">
        <f>'5烧主抽电耗'!N5+'6烧主抽电耗'!N5</f>
        <v>0</v>
      </c>
      <c r="J5" s="102">
        <f>主抽数据!AJ7</f>
        <v>73488</v>
      </c>
      <c r="K5" s="102">
        <f>主抽数据!AM7</f>
        <v>0</v>
      </c>
      <c r="L5" s="102">
        <f>主抽数据!AJ7+主抽数据!AM7</f>
        <v>73488</v>
      </c>
      <c r="M5" s="209">
        <f>'6烧主抽电耗'!V5+'5烧主抽电耗'!V5</f>
        <v>0</v>
      </c>
      <c r="N5" s="210">
        <f t="shared" si="1"/>
        <v>73488</v>
      </c>
    </row>
    <row r="6" spans="1:14">
      <c r="A6" s="133">
        <f>A3+1</f>
        <v>43345</v>
      </c>
      <c r="B6" s="134">
        <f>B3</f>
        <v>0</v>
      </c>
      <c r="C6" s="133">
        <f t="shared" si="0"/>
        <v>43345</v>
      </c>
      <c r="D6" s="134" t="str">
        <f>D3</f>
        <v>夜班</v>
      </c>
      <c r="E6" s="143">
        <f>'6烧主抽电耗'!E6</f>
        <v>1</v>
      </c>
      <c r="F6" s="128" t="str">
        <f>'6烧主抽电耗'!F6</f>
        <v>甲班</v>
      </c>
      <c r="G6" s="144">
        <f>'5烧主抽电耗'!I6+'6烧主抽电耗'!I6</f>
        <v>0</v>
      </c>
      <c r="H6" s="102">
        <f>'5烧主抽电耗'!M6+'6烧主抽电耗'!M6</f>
        <v>0</v>
      </c>
      <c r="I6" s="102">
        <f>'5烧主抽电耗'!N6+'6烧主抽电耗'!N6</f>
        <v>0</v>
      </c>
      <c r="J6" s="102">
        <f>主抽数据!AJ8</f>
        <v>76476</v>
      </c>
      <c r="K6" s="102">
        <f>主抽数据!AM8</f>
        <v>0</v>
      </c>
      <c r="L6" s="102">
        <f>主抽数据!AJ8+主抽数据!AM8</f>
        <v>76476</v>
      </c>
      <c r="M6" s="209">
        <f>'6烧主抽电耗'!V6+'5烧主抽电耗'!V6</f>
        <v>0</v>
      </c>
      <c r="N6" s="210">
        <f t="shared" si="1"/>
        <v>76476</v>
      </c>
    </row>
    <row r="7" spans="1:14">
      <c r="A7" s="133">
        <f t="shared" ref="A7:A70" si="2">A4+1</f>
        <v>43345</v>
      </c>
      <c r="B7" s="134">
        <f t="shared" ref="B7:B70" si="3">B4</f>
        <v>0.33333333333333298</v>
      </c>
      <c r="C7" s="133">
        <f t="shared" si="0"/>
        <v>43345.333333333336</v>
      </c>
      <c r="D7" s="134" t="str">
        <f t="shared" ref="D7:D70" si="4">D4</f>
        <v>白班</v>
      </c>
      <c r="E7" s="143">
        <f>'6烧主抽电耗'!E7</f>
        <v>2</v>
      </c>
      <c r="F7" s="128" t="str">
        <f>'6烧主抽电耗'!F7</f>
        <v>乙班</v>
      </c>
      <c r="G7" s="144">
        <f>'5烧主抽电耗'!I7+'6烧主抽电耗'!I7</f>
        <v>0</v>
      </c>
      <c r="H7" s="102">
        <f>'5烧主抽电耗'!M7+'6烧主抽电耗'!M7</f>
        <v>0</v>
      </c>
      <c r="I7" s="102">
        <f>'5烧主抽电耗'!N7+'6烧主抽电耗'!N7</f>
        <v>0</v>
      </c>
      <c r="J7" s="102">
        <f>主抽数据!AJ9</f>
        <v>80958</v>
      </c>
      <c r="K7" s="102">
        <f>主抽数据!AM9</f>
        <v>0</v>
      </c>
      <c r="L7" s="102">
        <f>主抽数据!AJ9+主抽数据!AM9</f>
        <v>80958</v>
      </c>
      <c r="M7" s="209">
        <f>'6烧主抽电耗'!V7+'5烧主抽电耗'!V7</f>
        <v>0</v>
      </c>
      <c r="N7" s="210">
        <f t="shared" si="1"/>
        <v>80958</v>
      </c>
    </row>
    <row r="8" spans="1:14">
      <c r="A8" s="133">
        <f t="shared" si="2"/>
        <v>43345</v>
      </c>
      <c r="B8" s="134">
        <f t="shared" si="3"/>
        <v>0.66666666666666696</v>
      </c>
      <c r="C8" s="133">
        <f t="shared" si="0"/>
        <v>43345.666666666664</v>
      </c>
      <c r="D8" s="134" t="str">
        <f t="shared" si="4"/>
        <v>中班</v>
      </c>
      <c r="E8" s="143">
        <f>'6烧主抽电耗'!E8</f>
        <v>3</v>
      </c>
      <c r="F8" s="128" t="str">
        <f>'6烧主抽电耗'!F8</f>
        <v>丙班</v>
      </c>
      <c r="G8" s="144">
        <f>'5烧主抽电耗'!I8+'6烧主抽电耗'!I8</f>
        <v>0</v>
      </c>
      <c r="H8" s="102">
        <f>'5烧主抽电耗'!M8+'6烧主抽电耗'!M8</f>
        <v>0</v>
      </c>
      <c r="I8" s="102">
        <f>'5烧主抽电耗'!N8+'6烧主抽电耗'!N8</f>
        <v>0</v>
      </c>
      <c r="J8" s="102">
        <f>主抽数据!AJ10</f>
        <v>73029</v>
      </c>
      <c r="K8" s="102">
        <f>主抽数据!AM10</f>
        <v>0</v>
      </c>
      <c r="L8" s="102">
        <f>主抽数据!AJ10+主抽数据!AM10</f>
        <v>73029</v>
      </c>
      <c r="M8" s="209">
        <f>'6烧主抽电耗'!V8+'5烧主抽电耗'!V8</f>
        <v>0</v>
      </c>
      <c r="N8" s="210">
        <f t="shared" si="1"/>
        <v>73029</v>
      </c>
    </row>
    <row r="9" spans="1:14">
      <c r="A9" s="133">
        <f t="shared" si="2"/>
        <v>43346</v>
      </c>
      <c r="B9" s="134">
        <f t="shared" si="3"/>
        <v>0</v>
      </c>
      <c r="C9" s="133">
        <f t="shared" si="0"/>
        <v>43346</v>
      </c>
      <c r="D9" s="134" t="str">
        <f t="shared" si="4"/>
        <v>夜班</v>
      </c>
      <c r="E9" s="143">
        <f>'6烧主抽电耗'!E9</f>
        <v>1</v>
      </c>
      <c r="F9" s="128" t="str">
        <f>'6烧主抽电耗'!F9</f>
        <v>甲班</v>
      </c>
      <c r="G9" s="144">
        <f>'5烧主抽电耗'!I9+'6烧主抽电耗'!I9</f>
        <v>0</v>
      </c>
      <c r="H9" s="102">
        <f>'5烧主抽电耗'!M9+'6烧主抽电耗'!M9</f>
        <v>0</v>
      </c>
      <c r="I9" s="102">
        <f>'5烧主抽电耗'!N9+'6烧主抽电耗'!N9</f>
        <v>0</v>
      </c>
      <c r="J9" s="102">
        <f>主抽数据!AJ11</f>
        <v>77343</v>
      </c>
      <c r="K9" s="102">
        <f>主抽数据!AM11</f>
        <v>0</v>
      </c>
      <c r="L9" s="102">
        <f>主抽数据!AJ11+主抽数据!AM11</f>
        <v>77343</v>
      </c>
      <c r="M9" s="209">
        <f>'6烧主抽电耗'!V9+'5烧主抽电耗'!V9</f>
        <v>0</v>
      </c>
      <c r="N9" s="210">
        <f t="shared" si="1"/>
        <v>77343</v>
      </c>
    </row>
    <row r="10" spans="1:14">
      <c r="A10" s="133">
        <f t="shared" si="2"/>
        <v>43346</v>
      </c>
      <c r="B10" s="134">
        <f t="shared" si="3"/>
        <v>0.33333333333333298</v>
      </c>
      <c r="C10" s="133">
        <f t="shared" si="0"/>
        <v>43346.333333333336</v>
      </c>
      <c r="D10" s="134" t="str">
        <f t="shared" si="4"/>
        <v>白班</v>
      </c>
      <c r="E10" s="143">
        <f>'6烧主抽电耗'!E10</f>
        <v>2</v>
      </c>
      <c r="F10" s="128" t="str">
        <f>'6烧主抽电耗'!F10</f>
        <v>乙班</v>
      </c>
      <c r="G10" s="144">
        <f>'5烧主抽电耗'!I10+'6烧主抽电耗'!I10</f>
        <v>0</v>
      </c>
      <c r="H10" s="102">
        <f>'5烧主抽电耗'!M10+'6烧主抽电耗'!M10</f>
        <v>0</v>
      </c>
      <c r="I10" s="102">
        <f>'5烧主抽电耗'!N10+'6烧主抽电耗'!N10</f>
        <v>0</v>
      </c>
      <c r="J10" s="102">
        <f>主抽数据!AJ12</f>
        <v>81465</v>
      </c>
      <c r="K10" s="102">
        <f>主抽数据!AM12</f>
        <v>0</v>
      </c>
      <c r="L10" s="102">
        <f>主抽数据!AJ12+主抽数据!AM12</f>
        <v>81465</v>
      </c>
      <c r="M10" s="209">
        <f>'6烧主抽电耗'!V10+'5烧主抽电耗'!V10</f>
        <v>0</v>
      </c>
      <c r="N10" s="210">
        <f t="shared" si="1"/>
        <v>81465</v>
      </c>
    </row>
    <row r="11" spans="1:14">
      <c r="A11" s="133">
        <f t="shared" si="2"/>
        <v>43346</v>
      </c>
      <c r="B11" s="134">
        <f t="shared" si="3"/>
        <v>0.66666666666666696</v>
      </c>
      <c r="C11" s="133">
        <f t="shared" si="0"/>
        <v>43346.666666666664</v>
      </c>
      <c r="D11" s="134" t="str">
        <f t="shared" si="4"/>
        <v>中班</v>
      </c>
      <c r="E11" s="143">
        <f>'6烧主抽电耗'!E11</f>
        <v>3</v>
      </c>
      <c r="F11" s="128" t="str">
        <f>'6烧主抽电耗'!F11</f>
        <v>丙班</v>
      </c>
      <c r="G11" s="144">
        <f>'5烧主抽电耗'!I11+'6烧主抽电耗'!I11</f>
        <v>0</v>
      </c>
      <c r="H11" s="102">
        <f>'5烧主抽电耗'!M11+'6烧主抽电耗'!M11</f>
        <v>0</v>
      </c>
      <c r="I11" s="102">
        <f>'5烧主抽电耗'!N11+'6烧主抽电耗'!N11</f>
        <v>0</v>
      </c>
      <c r="J11" s="102">
        <f>主抽数据!AJ13</f>
        <v>77790</v>
      </c>
      <c r="K11" s="102">
        <f>主抽数据!AM13</f>
        <v>0</v>
      </c>
      <c r="L11" s="102">
        <f>主抽数据!AJ13+主抽数据!AM13</f>
        <v>77790</v>
      </c>
      <c r="M11" s="209">
        <f>'6烧主抽电耗'!V11+'5烧主抽电耗'!V11</f>
        <v>0</v>
      </c>
      <c r="N11" s="210">
        <f t="shared" si="1"/>
        <v>77790</v>
      </c>
    </row>
    <row r="12" spans="1:14">
      <c r="A12" s="133">
        <f t="shared" si="2"/>
        <v>43347</v>
      </c>
      <c r="B12" s="134">
        <f t="shared" si="3"/>
        <v>0</v>
      </c>
      <c r="C12" s="133">
        <f t="shared" si="0"/>
        <v>43347</v>
      </c>
      <c r="D12" s="134" t="str">
        <f t="shared" si="4"/>
        <v>夜班</v>
      </c>
      <c r="E12" s="143">
        <f>'6烧主抽电耗'!E12</f>
        <v>4</v>
      </c>
      <c r="F12" s="128" t="str">
        <f>'6烧主抽电耗'!F12</f>
        <v>丁班</v>
      </c>
      <c r="G12" s="144">
        <f>'5烧主抽电耗'!I12+'6烧主抽电耗'!I12</f>
        <v>0</v>
      </c>
      <c r="H12" s="102">
        <f>'5烧主抽电耗'!M12+'6烧主抽电耗'!M12</f>
        <v>0</v>
      </c>
      <c r="I12" s="102">
        <f>'5烧主抽电耗'!N12+'6烧主抽电耗'!N12</f>
        <v>0</v>
      </c>
      <c r="J12" s="102">
        <f>主抽数据!AJ14</f>
        <v>76440</v>
      </c>
      <c r="K12" s="102">
        <f>主抽数据!AM14</f>
        <v>0</v>
      </c>
      <c r="L12" s="102">
        <f>主抽数据!AJ14+主抽数据!AM14</f>
        <v>76440</v>
      </c>
      <c r="M12" s="209">
        <f>'6烧主抽电耗'!V12+'5烧主抽电耗'!V12</f>
        <v>0</v>
      </c>
      <c r="N12" s="210">
        <f t="shared" si="1"/>
        <v>76440</v>
      </c>
    </row>
    <row r="13" spans="1:14">
      <c r="A13" s="133">
        <f t="shared" si="2"/>
        <v>43347</v>
      </c>
      <c r="B13" s="134">
        <f t="shared" si="3"/>
        <v>0.33333333333333298</v>
      </c>
      <c r="C13" s="133">
        <f t="shared" si="0"/>
        <v>43347.333333333336</v>
      </c>
      <c r="D13" s="134" t="str">
        <f t="shared" si="4"/>
        <v>白班</v>
      </c>
      <c r="E13" s="143">
        <f>'6烧主抽电耗'!E13</f>
        <v>1</v>
      </c>
      <c r="F13" s="128" t="str">
        <f>'6烧主抽电耗'!F13</f>
        <v>甲班</v>
      </c>
      <c r="G13" s="144">
        <f>'5烧主抽电耗'!I13+'6烧主抽电耗'!I13</f>
        <v>0</v>
      </c>
      <c r="H13" s="102">
        <f>'5烧主抽电耗'!M13+'6烧主抽电耗'!M13</f>
        <v>0</v>
      </c>
      <c r="I13" s="102">
        <f>'5烧主抽电耗'!N13+'6烧主抽电耗'!N13</f>
        <v>0</v>
      </c>
      <c r="J13" s="102">
        <f>主抽数据!AJ15</f>
        <v>79152</v>
      </c>
      <c r="K13" s="102">
        <f>主抽数据!AM15</f>
        <v>0</v>
      </c>
      <c r="L13" s="102">
        <f>主抽数据!AJ15+主抽数据!AM15</f>
        <v>79152</v>
      </c>
      <c r="M13" s="209">
        <f>'6烧主抽电耗'!V13+'5烧主抽电耗'!V13</f>
        <v>0</v>
      </c>
      <c r="N13" s="210">
        <f t="shared" si="1"/>
        <v>79152</v>
      </c>
    </row>
    <row r="14" spans="1:14">
      <c r="A14" s="133">
        <f t="shared" si="2"/>
        <v>43347</v>
      </c>
      <c r="B14" s="134">
        <f t="shared" si="3"/>
        <v>0.66666666666666696</v>
      </c>
      <c r="C14" s="133">
        <f t="shared" si="0"/>
        <v>43347.666666666664</v>
      </c>
      <c r="D14" s="134" t="str">
        <f t="shared" si="4"/>
        <v>中班</v>
      </c>
      <c r="E14" s="143">
        <f>'6烧主抽电耗'!E14</f>
        <v>2</v>
      </c>
      <c r="F14" s="128" t="str">
        <f>'6烧主抽电耗'!F14</f>
        <v>乙班</v>
      </c>
      <c r="G14" s="144">
        <f>'5烧主抽电耗'!I14+'6烧主抽电耗'!I14</f>
        <v>0</v>
      </c>
      <c r="H14" s="102">
        <f>'5烧主抽电耗'!M14+'6烧主抽电耗'!M14</f>
        <v>0</v>
      </c>
      <c r="I14" s="102">
        <f>'5烧主抽电耗'!N14+'6烧主抽电耗'!N14</f>
        <v>0</v>
      </c>
      <c r="J14" s="102">
        <f>主抽数据!AJ16</f>
        <v>72342</v>
      </c>
      <c r="K14" s="102">
        <f>主抽数据!AM16</f>
        <v>0</v>
      </c>
      <c r="L14" s="102">
        <f>主抽数据!AJ16+主抽数据!AM16</f>
        <v>72342</v>
      </c>
      <c r="M14" s="209">
        <f>'6烧主抽电耗'!V14+'5烧主抽电耗'!V14</f>
        <v>0</v>
      </c>
      <c r="N14" s="210">
        <f t="shared" si="1"/>
        <v>72342</v>
      </c>
    </row>
    <row r="15" spans="1:14">
      <c r="A15" s="133">
        <f t="shared" si="2"/>
        <v>43348</v>
      </c>
      <c r="B15" s="134">
        <f t="shared" si="3"/>
        <v>0</v>
      </c>
      <c r="C15" s="133">
        <f t="shared" si="0"/>
        <v>43348</v>
      </c>
      <c r="D15" s="134" t="str">
        <f t="shared" si="4"/>
        <v>夜班</v>
      </c>
      <c r="E15" s="143">
        <f>'6烧主抽电耗'!E15</f>
        <v>4</v>
      </c>
      <c r="F15" s="128" t="str">
        <f>'6烧主抽电耗'!F15</f>
        <v>丁班</v>
      </c>
      <c r="G15" s="144">
        <f>'5烧主抽电耗'!I15+'6烧主抽电耗'!I15</f>
        <v>0</v>
      </c>
      <c r="H15" s="102">
        <f>'5烧主抽电耗'!M15+'6烧主抽电耗'!M15</f>
        <v>0</v>
      </c>
      <c r="I15" s="102">
        <f>'5烧主抽电耗'!N15+'6烧主抽电耗'!N15</f>
        <v>0</v>
      </c>
      <c r="J15" s="102">
        <f>主抽数据!AJ17</f>
        <v>75879</v>
      </c>
      <c r="K15" s="102">
        <f>主抽数据!AM17</f>
        <v>0</v>
      </c>
      <c r="L15" s="102">
        <f>主抽数据!AJ17+主抽数据!AM17</f>
        <v>75879</v>
      </c>
      <c r="M15" s="209">
        <f>'6烧主抽电耗'!V15+'5烧主抽电耗'!V15</f>
        <v>0</v>
      </c>
      <c r="N15" s="210">
        <f t="shared" si="1"/>
        <v>75879</v>
      </c>
    </row>
    <row r="16" spans="1:14">
      <c r="A16" s="133">
        <f t="shared" si="2"/>
        <v>43348</v>
      </c>
      <c r="B16" s="134">
        <f t="shared" si="3"/>
        <v>0.33333333333333298</v>
      </c>
      <c r="C16" s="133">
        <f t="shared" si="0"/>
        <v>43348.333333333336</v>
      </c>
      <c r="D16" s="134" t="str">
        <f t="shared" si="4"/>
        <v>白班</v>
      </c>
      <c r="E16" s="143">
        <f>'6烧主抽电耗'!E16</f>
        <v>1</v>
      </c>
      <c r="F16" s="128" t="str">
        <f>'6烧主抽电耗'!F16</f>
        <v>甲班</v>
      </c>
      <c r="G16" s="144">
        <f>'5烧主抽电耗'!I16+'6烧主抽电耗'!I16</f>
        <v>0</v>
      </c>
      <c r="H16" s="102">
        <f>'5烧主抽电耗'!M16+'6烧主抽电耗'!M16</f>
        <v>0</v>
      </c>
      <c r="I16" s="102">
        <f>'5烧主抽电耗'!N16+'6烧主抽电耗'!N16</f>
        <v>0</v>
      </c>
      <c r="J16" s="102">
        <f>主抽数据!AJ18</f>
        <v>77502</v>
      </c>
      <c r="K16" s="102">
        <f>主抽数据!AM18</f>
        <v>0</v>
      </c>
      <c r="L16" s="102">
        <f>主抽数据!AJ18+主抽数据!AM18</f>
        <v>77502</v>
      </c>
      <c r="M16" s="209">
        <f>'6烧主抽电耗'!V16+'5烧主抽电耗'!V16</f>
        <v>0</v>
      </c>
      <c r="N16" s="210">
        <f t="shared" si="1"/>
        <v>77502</v>
      </c>
    </row>
    <row r="17" spans="1:14">
      <c r="A17" s="133">
        <f t="shared" si="2"/>
        <v>43348</v>
      </c>
      <c r="B17" s="134">
        <f t="shared" si="3"/>
        <v>0.66666666666666696</v>
      </c>
      <c r="C17" s="133">
        <f t="shared" si="0"/>
        <v>43348.666666666664</v>
      </c>
      <c r="D17" s="134" t="str">
        <f t="shared" si="4"/>
        <v>中班</v>
      </c>
      <c r="E17" s="143">
        <f>'6烧主抽电耗'!E17</f>
        <v>2</v>
      </c>
      <c r="F17" s="128" t="str">
        <f>'6烧主抽电耗'!F17</f>
        <v>乙班</v>
      </c>
      <c r="G17" s="144">
        <f>'5烧主抽电耗'!I17+'6烧主抽电耗'!I17</f>
        <v>0</v>
      </c>
      <c r="H17" s="102">
        <f>'5烧主抽电耗'!M17+'6烧主抽电耗'!M17</f>
        <v>0</v>
      </c>
      <c r="I17" s="102">
        <f>'5烧主抽电耗'!N17+'6烧主抽电耗'!N17</f>
        <v>0</v>
      </c>
      <c r="J17" s="102">
        <f>主抽数据!AJ19</f>
        <v>72498</v>
      </c>
      <c r="K17" s="102">
        <f>主抽数据!AM19</f>
        <v>0</v>
      </c>
      <c r="L17" s="102">
        <f>主抽数据!AJ19+主抽数据!AM19</f>
        <v>72498</v>
      </c>
      <c r="M17" s="209">
        <f>'6烧主抽电耗'!V17+'5烧主抽电耗'!V17</f>
        <v>0</v>
      </c>
      <c r="N17" s="210">
        <f t="shared" si="1"/>
        <v>72498</v>
      </c>
    </row>
    <row r="18" spans="1:14">
      <c r="A18" s="133">
        <f t="shared" si="2"/>
        <v>43349</v>
      </c>
      <c r="B18" s="134">
        <f t="shared" si="3"/>
        <v>0</v>
      </c>
      <c r="C18" s="133">
        <f t="shared" si="0"/>
        <v>43349</v>
      </c>
      <c r="D18" s="134" t="str">
        <f t="shared" si="4"/>
        <v>夜班</v>
      </c>
      <c r="E18" s="143">
        <f>'6烧主抽电耗'!E18</f>
        <v>3</v>
      </c>
      <c r="F18" s="128" t="str">
        <f>'6烧主抽电耗'!F18</f>
        <v>丙班</v>
      </c>
      <c r="G18" s="144">
        <f>'5烧主抽电耗'!I18+'6烧主抽电耗'!I18</f>
        <v>0</v>
      </c>
      <c r="H18" s="102">
        <f>'5烧主抽电耗'!M18+'6烧主抽电耗'!M18</f>
        <v>0</v>
      </c>
      <c r="I18" s="102">
        <f>'5烧主抽电耗'!N18+'6烧主抽电耗'!N18</f>
        <v>0</v>
      </c>
      <c r="J18" s="102">
        <f>主抽数据!AJ20</f>
        <v>73554</v>
      </c>
      <c r="K18" s="102">
        <f>主抽数据!AM20</f>
        <v>0</v>
      </c>
      <c r="L18" s="102">
        <f>主抽数据!AJ20+主抽数据!AM20</f>
        <v>73554</v>
      </c>
      <c r="M18" s="209">
        <f>'6烧主抽电耗'!V18+'5烧主抽电耗'!V18</f>
        <v>0</v>
      </c>
      <c r="N18" s="210">
        <f t="shared" si="1"/>
        <v>73554</v>
      </c>
    </row>
    <row r="19" spans="1:14">
      <c r="A19" s="133">
        <f t="shared" si="2"/>
        <v>43349</v>
      </c>
      <c r="B19" s="134">
        <f t="shared" si="3"/>
        <v>0.33333333333333298</v>
      </c>
      <c r="C19" s="133">
        <f t="shared" si="0"/>
        <v>43349.333333333336</v>
      </c>
      <c r="D19" s="134" t="str">
        <f t="shared" si="4"/>
        <v>白班</v>
      </c>
      <c r="E19" s="143">
        <f>'6烧主抽电耗'!E19</f>
        <v>4</v>
      </c>
      <c r="F19" s="128" t="str">
        <f>'6烧主抽电耗'!F19</f>
        <v>丁班</v>
      </c>
      <c r="G19" s="144">
        <f>'5烧主抽电耗'!I19+'6烧主抽电耗'!I19</f>
        <v>0</v>
      </c>
      <c r="H19" s="102">
        <f>'5烧主抽电耗'!M19+'6烧主抽电耗'!M19</f>
        <v>0</v>
      </c>
      <c r="I19" s="102">
        <f>'5烧主抽电耗'!N19+'6烧主抽电耗'!N19</f>
        <v>0</v>
      </c>
      <c r="J19" s="102">
        <f>主抽数据!AJ21</f>
        <v>75321</v>
      </c>
      <c r="K19" s="102">
        <f>主抽数据!AM21</f>
        <v>0</v>
      </c>
      <c r="L19" s="102">
        <f>主抽数据!AJ21+主抽数据!AM21</f>
        <v>75321</v>
      </c>
      <c r="M19" s="209">
        <f>'6烧主抽电耗'!V19+'5烧主抽电耗'!V19</f>
        <v>0</v>
      </c>
      <c r="N19" s="210">
        <f t="shared" si="1"/>
        <v>75321</v>
      </c>
    </row>
    <row r="20" spans="1:14">
      <c r="A20" s="133">
        <f t="shared" si="2"/>
        <v>43349</v>
      </c>
      <c r="B20" s="134">
        <f t="shared" si="3"/>
        <v>0.66666666666666696</v>
      </c>
      <c r="C20" s="133">
        <f t="shared" si="0"/>
        <v>43349.666666666664</v>
      </c>
      <c r="D20" s="134" t="str">
        <f t="shared" si="4"/>
        <v>中班</v>
      </c>
      <c r="E20" s="143">
        <f>'6烧主抽电耗'!E20</f>
        <v>1</v>
      </c>
      <c r="F20" s="128" t="str">
        <f>'6烧主抽电耗'!F20</f>
        <v>甲班</v>
      </c>
      <c r="G20" s="144">
        <f>'5烧主抽电耗'!I20+'6烧主抽电耗'!I20</f>
        <v>0</v>
      </c>
      <c r="H20" s="102">
        <f>'5烧主抽电耗'!M20+'6烧主抽电耗'!M20</f>
        <v>0</v>
      </c>
      <c r="I20" s="102">
        <f>'5烧主抽电耗'!N20+'6烧主抽电耗'!N20</f>
        <v>0</v>
      </c>
      <c r="J20" s="102">
        <f>主抽数据!AJ22</f>
        <v>80592</v>
      </c>
      <c r="K20" s="102">
        <f>主抽数据!AM22</f>
        <v>0</v>
      </c>
      <c r="L20" s="102">
        <f>主抽数据!AJ22+主抽数据!AM22</f>
        <v>80592</v>
      </c>
      <c r="M20" s="209">
        <f>'6烧主抽电耗'!V20+'5烧主抽电耗'!V20</f>
        <v>0</v>
      </c>
      <c r="N20" s="210">
        <f t="shared" si="1"/>
        <v>80592</v>
      </c>
    </row>
    <row r="21" spans="1:14">
      <c r="A21" s="133">
        <f t="shared" si="2"/>
        <v>43350</v>
      </c>
      <c r="B21" s="134">
        <f t="shared" si="3"/>
        <v>0</v>
      </c>
      <c r="C21" s="133">
        <f t="shared" si="0"/>
        <v>43350</v>
      </c>
      <c r="D21" s="134" t="str">
        <f t="shared" si="4"/>
        <v>夜班</v>
      </c>
      <c r="E21" s="143">
        <f>'6烧主抽电耗'!E21</f>
        <v>3</v>
      </c>
      <c r="F21" s="128" t="str">
        <f>'6烧主抽电耗'!F21</f>
        <v>丙班</v>
      </c>
      <c r="G21" s="144">
        <f>'5烧主抽电耗'!I21+'6烧主抽电耗'!I21</f>
        <v>0</v>
      </c>
      <c r="H21" s="102">
        <f>'5烧主抽电耗'!M21+'6烧主抽电耗'!M21</f>
        <v>0</v>
      </c>
      <c r="I21" s="102">
        <f>'5烧主抽电耗'!N21+'6烧主抽电耗'!N21</f>
        <v>0</v>
      </c>
      <c r="J21" s="102">
        <f>主抽数据!AJ23</f>
        <v>73779</v>
      </c>
      <c r="K21" s="102">
        <f>主抽数据!AM23</f>
        <v>0</v>
      </c>
      <c r="L21" s="102">
        <f>主抽数据!AJ23+主抽数据!AM23</f>
        <v>73779</v>
      </c>
      <c r="M21" s="209">
        <f>'6烧主抽电耗'!V21+'5烧主抽电耗'!V21</f>
        <v>0</v>
      </c>
      <c r="N21" s="210">
        <f t="shared" si="1"/>
        <v>73779</v>
      </c>
    </row>
    <row r="22" spans="1:14">
      <c r="A22" s="133">
        <f t="shared" si="2"/>
        <v>43350</v>
      </c>
      <c r="B22" s="134">
        <f t="shared" si="3"/>
        <v>0.33333333333333298</v>
      </c>
      <c r="C22" s="133">
        <f t="shared" si="0"/>
        <v>43350.333333333336</v>
      </c>
      <c r="D22" s="134" t="str">
        <f t="shared" si="4"/>
        <v>白班</v>
      </c>
      <c r="E22" s="143">
        <f>'6烧主抽电耗'!E22</f>
        <v>4</v>
      </c>
      <c r="F22" s="128" t="str">
        <f>'6烧主抽电耗'!F22</f>
        <v>丁班</v>
      </c>
      <c r="G22" s="144">
        <f>'5烧主抽电耗'!I22+'6烧主抽电耗'!I22</f>
        <v>0</v>
      </c>
      <c r="H22" s="102">
        <f>'5烧主抽电耗'!M22+'6烧主抽电耗'!M22</f>
        <v>0</v>
      </c>
      <c r="I22" s="102">
        <f>'5烧主抽电耗'!N22+'6烧主抽电耗'!N22</f>
        <v>0</v>
      </c>
      <c r="J22" s="102">
        <f>主抽数据!AJ24</f>
        <v>76047</v>
      </c>
      <c r="K22" s="102">
        <f>主抽数据!AM24</f>
        <v>0</v>
      </c>
      <c r="L22" s="102">
        <f>主抽数据!AJ24+主抽数据!AM24</f>
        <v>76047</v>
      </c>
      <c r="M22" s="209">
        <f>'6烧主抽电耗'!V22+'5烧主抽电耗'!V22</f>
        <v>0</v>
      </c>
      <c r="N22" s="210">
        <f t="shared" si="1"/>
        <v>76047</v>
      </c>
    </row>
    <row r="23" spans="1:14">
      <c r="A23" s="133">
        <f t="shared" si="2"/>
        <v>43350</v>
      </c>
      <c r="B23" s="134">
        <f t="shared" si="3"/>
        <v>0.66666666666666696</v>
      </c>
      <c r="C23" s="133">
        <f t="shared" si="0"/>
        <v>43350.666666666664</v>
      </c>
      <c r="D23" s="134" t="str">
        <f t="shared" si="4"/>
        <v>中班</v>
      </c>
      <c r="E23" s="143">
        <f>'6烧主抽电耗'!E23</f>
        <v>1</v>
      </c>
      <c r="F23" s="128" t="str">
        <f>'6烧主抽电耗'!F23</f>
        <v>甲班</v>
      </c>
      <c r="G23" s="144">
        <f>'5烧主抽电耗'!I23+'6烧主抽电耗'!I23</f>
        <v>0</v>
      </c>
      <c r="H23" s="102">
        <f>'5烧主抽电耗'!M23+'6烧主抽电耗'!M23</f>
        <v>0</v>
      </c>
      <c r="I23" s="102">
        <f>'5烧主抽电耗'!N23+'6烧主抽电耗'!N23</f>
        <v>0</v>
      </c>
      <c r="J23" s="102">
        <f>主抽数据!AJ25</f>
        <v>80142</v>
      </c>
      <c r="K23" s="102">
        <f>主抽数据!AM25</f>
        <v>0</v>
      </c>
      <c r="L23" s="102">
        <f>主抽数据!AJ25+主抽数据!AM25</f>
        <v>80142</v>
      </c>
      <c r="M23" s="209">
        <f>'6烧主抽电耗'!V23+'5烧主抽电耗'!V23</f>
        <v>0</v>
      </c>
      <c r="N23" s="210">
        <f t="shared" si="1"/>
        <v>80142</v>
      </c>
    </row>
    <row r="24" spans="1:14">
      <c r="A24" s="133">
        <f t="shared" si="2"/>
        <v>43351</v>
      </c>
      <c r="B24" s="134">
        <f t="shared" si="3"/>
        <v>0</v>
      </c>
      <c r="C24" s="133">
        <f t="shared" si="0"/>
        <v>43351</v>
      </c>
      <c r="D24" s="134" t="str">
        <f t="shared" si="4"/>
        <v>夜班</v>
      </c>
      <c r="E24" s="143">
        <f>'6烧主抽电耗'!E24</f>
        <v>2</v>
      </c>
      <c r="F24" s="128" t="str">
        <f>'6烧主抽电耗'!F24</f>
        <v>乙班</v>
      </c>
      <c r="G24" s="144">
        <f>'5烧主抽电耗'!I24+'6烧主抽电耗'!I24</f>
        <v>0</v>
      </c>
      <c r="H24" s="102">
        <f>'5烧主抽电耗'!M24+'6烧主抽电耗'!M24</f>
        <v>0</v>
      </c>
      <c r="I24" s="102">
        <f>'5烧主抽电耗'!N24+'6烧主抽电耗'!N24</f>
        <v>0</v>
      </c>
      <c r="J24" s="102">
        <f>主抽数据!AJ26</f>
        <v>77274</v>
      </c>
      <c r="K24" s="102">
        <f>主抽数据!AM26</f>
        <v>0</v>
      </c>
      <c r="L24" s="102">
        <f>主抽数据!AJ26+主抽数据!AM26</f>
        <v>77274</v>
      </c>
      <c r="M24" s="209">
        <f>'6烧主抽电耗'!V24+'5烧主抽电耗'!V24</f>
        <v>0</v>
      </c>
      <c r="N24" s="210">
        <f t="shared" si="1"/>
        <v>77274</v>
      </c>
    </row>
    <row r="25" spans="1:14">
      <c r="A25" s="133">
        <f t="shared" si="2"/>
        <v>43351</v>
      </c>
      <c r="B25" s="134">
        <f t="shared" si="3"/>
        <v>0.33333333333333298</v>
      </c>
      <c r="C25" s="133">
        <f t="shared" si="0"/>
        <v>43351.333333333336</v>
      </c>
      <c r="D25" s="134" t="str">
        <f t="shared" si="4"/>
        <v>白班</v>
      </c>
      <c r="E25" s="143">
        <f>'6烧主抽电耗'!E25</f>
        <v>3</v>
      </c>
      <c r="F25" s="128" t="str">
        <f>'6烧主抽电耗'!F25</f>
        <v>丙班</v>
      </c>
      <c r="G25" s="144">
        <f>'5烧主抽电耗'!I25+'6烧主抽电耗'!I25</f>
        <v>0</v>
      </c>
      <c r="H25" s="102">
        <f>'5烧主抽电耗'!M25+'6烧主抽电耗'!M25</f>
        <v>0</v>
      </c>
      <c r="I25" s="102">
        <f>'5烧主抽电耗'!N25+'6烧主抽电耗'!N25</f>
        <v>0</v>
      </c>
      <c r="J25" s="102">
        <f>主抽数据!AJ27</f>
        <v>77046</v>
      </c>
      <c r="K25" s="102">
        <f>主抽数据!AM27</f>
        <v>0</v>
      </c>
      <c r="L25" s="102">
        <f>主抽数据!AJ27+主抽数据!AM27</f>
        <v>77046</v>
      </c>
      <c r="M25" s="209">
        <f>'6烧主抽电耗'!V25+'5烧主抽电耗'!V25</f>
        <v>0</v>
      </c>
      <c r="N25" s="210">
        <f t="shared" si="1"/>
        <v>77046</v>
      </c>
    </row>
    <row r="26" spans="1:14">
      <c r="A26" s="133">
        <f t="shared" si="2"/>
        <v>43351</v>
      </c>
      <c r="B26" s="134">
        <f t="shared" si="3"/>
        <v>0.66666666666666696</v>
      </c>
      <c r="C26" s="133">
        <f t="shared" si="0"/>
        <v>43351.666666666664</v>
      </c>
      <c r="D26" s="134" t="str">
        <f t="shared" si="4"/>
        <v>中班</v>
      </c>
      <c r="E26" s="143">
        <f>'6烧主抽电耗'!E26</f>
        <v>4</v>
      </c>
      <c r="F26" s="128" t="str">
        <f>'6烧主抽电耗'!F26</f>
        <v>丁班</v>
      </c>
      <c r="G26" s="144">
        <f>'5烧主抽电耗'!I26+'6烧主抽电耗'!I26</f>
        <v>0</v>
      </c>
      <c r="H26" s="102">
        <f>'5烧主抽电耗'!M26+'6烧主抽电耗'!M26</f>
        <v>0</v>
      </c>
      <c r="I26" s="102">
        <f>'5烧主抽电耗'!N26+'6烧主抽电耗'!N26</f>
        <v>0</v>
      </c>
      <c r="J26" s="102">
        <f>主抽数据!AJ28</f>
        <v>77631</v>
      </c>
      <c r="K26" s="102">
        <f>主抽数据!AM28</f>
        <v>0</v>
      </c>
      <c r="L26" s="102">
        <f>主抽数据!AJ28+主抽数据!AM28</f>
        <v>77631</v>
      </c>
      <c r="M26" s="209">
        <f>'6烧主抽电耗'!V26+'5烧主抽电耗'!V26</f>
        <v>0</v>
      </c>
      <c r="N26" s="210">
        <f t="shared" si="1"/>
        <v>77631</v>
      </c>
    </row>
    <row r="27" spans="1:14">
      <c r="A27" s="133">
        <f t="shared" si="2"/>
        <v>43352</v>
      </c>
      <c r="B27" s="134">
        <f t="shared" si="3"/>
        <v>0</v>
      </c>
      <c r="C27" s="133">
        <f t="shared" si="0"/>
        <v>43352</v>
      </c>
      <c r="D27" s="134" t="str">
        <f t="shared" si="4"/>
        <v>夜班</v>
      </c>
      <c r="E27" s="143">
        <f>'6烧主抽电耗'!E27</f>
        <v>2</v>
      </c>
      <c r="F27" s="128" t="str">
        <f>'6烧主抽电耗'!F27</f>
        <v>乙班</v>
      </c>
      <c r="G27" s="144">
        <f>'5烧主抽电耗'!I27+'6烧主抽电耗'!I27</f>
        <v>0</v>
      </c>
      <c r="H27" s="102">
        <f>'5烧主抽电耗'!M27+'6烧主抽电耗'!M27</f>
        <v>0</v>
      </c>
      <c r="I27" s="102">
        <f>'5烧主抽电耗'!N27+'6烧主抽电耗'!N27</f>
        <v>0</v>
      </c>
      <c r="J27" s="102">
        <f>主抽数据!AJ29</f>
        <v>74217</v>
      </c>
      <c r="K27" s="102">
        <f>主抽数据!AM29</f>
        <v>0</v>
      </c>
      <c r="L27" s="102">
        <f>主抽数据!AJ29+主抽数据!AM29</f>
        <v>74217</v>
      </c>
      <c r="M27" s="209">
        <f>'6烧主抽电耗'!V27+'5烧主抽电耗'!V27</f>
        <v>0</v>
      </c>
      <c r="N27" s="210">
        <f t="shared" si="1"/>
        <v>74217</v>
      </c>
    </row>
    <row r="28" spans="1:14">
      <c r="A28" s="133">
        <f t="shared" si="2"/>
        <v>43352</v>
      </c>
      <c r="B28" s="134">
        <f t="shared" si="3"/>
        <v>0.33333333333333298</v>
      </c>
      <c r="C28" s="133">
        <f t="shared" si="0"/>
        <v>43352.333333333336</v>
      </c>
      <c r="D28" s="134" t="str">
        <f t="shared" si="4"/>
        <v>白班</v>
      </c>
      <c r="E28" s="143">
        <f>'6烧主抽电耗'!E28</f>
        <v>3</v>
      </c>
      <c r="F28" s="128" t="str">
        <f>'6烧主抽电耗'!F28</f>
        <v>丙班</v>
      </c>
      <c r="G28" s="144">
        <f>'5烧主抽电耗'!I28+'6烧主抽电耗'!I28</f>
        <v>0</v>
      </c>
      <c r="H28" s="102">
        <f>'5烧主抽电耗'!M28+'6烧主抽电耗'!M28</f>
        <v>0</v>
      </c>
      <c r="I28" s="102">
        <f>'5烧主抽电耗'!N28+'6烧主抽电耗'!N28</f>
        <v>0</v>
      </c>
      <c r="J28" s="102">
        <f>主抽数据!AJ30</f>
        <v>80520</v>
      </c>
      <c r="K28" s="102">
        <f>主抽数据!AM30</f>
        <v>0</v>
      </c>
      <c r="L28" s="102">
        <f>主抽数据!AJ30+主抽数据!AM30</f>
        <v>80520</v>
      </c>
      <c r="M28" s="209">
        <f>'6烧主抽电耗'!V28+'5烧主抽电耗'!V28</f>
        <v>0</v>
      </c>
      <c r="N28" s="210">
        <f t="shared" si="1"/>
        <v>80520</v>
      </c>
    </row>
    <row r="29" spans="1:14">
      <c r="A29" s="133">
        <f t="shared" si="2"/>
        <v>43352</v>
      </c>
      <c r="B29" s="134">
        <f t="shared" si="3"/>
        <v>0.66666666666666696</v>
      </c>
      <c r="C29" s="133">
        <f t="shared" si="0"/>
        <v>43352.666666666664</v>
      </c>
      <c r="D29" s="134" t="str">
        <f t="shared" si="4"/>
        <v>中班</v>
      </c>
      <c r="E29" s="143">
        <f>'6烧主抽电耗'!E29</f>
        <v>4</v>
      </c>
      <c r="F29" s="128" t="str">
        <f>'6烧主抽电耗'!F29</f>
        <v>丁班</v>
      </c>
      <c r="G29" s="144">
        <f>'5烧主抽电耗'!I29+'6烧主抽电耗'!I29</f>
        <v>0</v>
      </c>
      <c r="H29" s="102">
        <f>'5烧主抽电耗'!M29+'6烧主抽电耗'!M29</f>
        <v>0</v>
      </c>
      <c r="I29" s="102">
        <f>'5烧主抽电耗'!N29+'6烧主抽电耗'!N29</f>
        <v>0</v>
      </c>
      <c r="J29" s="102">
        <f>主抽数据!AJ31</f>
        <v>74940</v>
      </c>
      <c r="K29" s="102">
        <f>主抽数据!AM31</f>
        <v>0</v>
      </c>
      <c r="L29" s="102">
        <f>主抽数据!AJ31+主抽数据!AM31</f>
        <v>74940</v>
      </c>
      <c r="M29" s="209">
        <f>'6烧主抽电耗'!V29+'5烧主抽电耗'!V29</f>
        <v>0</v>
      </c>
      <c r="N29" s="210">
        <f t="shared" si="1"/>
        <v>74940</v>
      </c>
    </row>
    <row r="30" spans="1:14">
      <c r="A30" s="133">
        <f t="shared" si="2"/>
        <v>43353</v>
      </c>
      <c r="B30" s="134">
        <f t="shared" si="3"/>
        <v>0</v>
      </c>
      <c r="C30" s="133">
        <f t="shared" si="0"/>
        <v>43353</v>
      </c>
      <c r="D30" s="134" t="str">
        <f t="shared" si="4"/>
        <v>夜班</v>
      </c>
      <c r="E30" s="143">
        <f>'6烧主抽电耗'!E30</f>
        <v>1</v>
      </c>
      <c r="F30" s="128" t="str">
        <f>'6烧主抽电耗'!F30</f>
        <v>甲班</v>
      </c>
      <c r="G30" s="144">
        <f>'5烧主抽电耗'!I30+'6烧主抽电耗'!I30</f>
        <v>0</v>
      </c>
      <c r="H30" s="102">
        <f>'5烧主抽电耗'!M30+'6烧主抽电耗'!M30</f>
        <v>0</v>
      </c>
      <c r="I30" s="102">
        <f>'5烧主抽电耗'!N30+'6烧主抽电耗'!N30</f>
        <v>0</v>
      </c>
      <c r="J30" s="102">
        <f>主抽数据!AJ32</f>
        <v>76353</v>
      </c>
      <c r="K30" s="102">
        <f>主抽数据!AM32</f>
        <v>0</v>
      </c>
      <c r="L30" s="102">
        <f>主抽数据!AJ32+主抽数据!AM32</f>
        <v>76353</v>
      </c>
      <c r="M30" s="209">
        <f>'6烧主抽电耗'!V30+'5烧主抽电耗'!V30</f>
        <v>0</v>
      </c>
      <c r="N30" s="210">
        <f t="shared" si="1"/>
        <v>76353</v>
      </c>
    </row>
    <row r="31" spans="1:14">
      <c r="A31" s="133">
        <f t="shared" si="2"/>
        <v>43353</v>
      </c>
      <c r="B31" s="134">
        <f t="shared" si="3"/>
        <v>0.33333333333333298</v>
      </c>
      <c r="C31" s="133">
        <f t="shared" si="0"/>
        <v>43353.333333333336</v>
      </c>
      <c r="D31" s="134" t="str">
        <f t="shared" si="4"/>
        <v>白班</v>
      </c>
      <c r="E31" s="143">
        <f>'6烧主抽电耗'!E31</f>
        <v>2</v>
      </c>
      <c r="F31" s="128" t="str">
        <f>'6烧主抽电耗'!F31</f>
        <v>乙班</v>
      </c>
      <c r="G31" s="144">
        <f>'5烧主抽电耗'!I31+'6烧主抽电耗'!I31</f>
        <v>0</v>
      </c>
      <c r="H31" s="102">
        <f>'5烧主抽电耗'!M31+'6烧主抽电耗'!M31</f>
        <v>0</v>
      </c>
      <c r="I31" s="102">
        <f>'5烧主抽电耗'!N31+'6烧主抽电耗'!N31</f>
        <v>0</v>
      </c>
      <c r="J31" s="102">
        <f>主抽数据!AJ33</f>
        <v>83601</v>
      </c>
      <c r="K31" s="102">
        <f>主抽数据!AM33</f>
        <v>0</v>
      </c>
      <c r="L31" s="102">
        <f>主抽数据!AJ33+主抽数据!AM33</f>
        <v>83601</v>
      </c>
      <c r="M31" s="209">
        <f>'6烧主抽电耗'!V31+'5烧主抽电耗'!V31</f>
        <v>0</v>
      </c>
      <c r="N31" s="210">
        <f t="shared" si="1"/>
        <v>83601</v>
      </c>
    </row>
    <row r="32" spans="1:14">
      <c r="A32" s="133">
        <f t="shared" si="2"/>
        <v>43353</v>
      </c>
      <c r="B32" s="134">
        <f t="shared" si="3"/>
        <v>0.66666666666666696</v>
      </c>
      <c r="C32" s="133">
        <f t="shared" si="0"/>
        <v>43353.666666666664</v>
      </c>
      <c r="D32" s="134" t="str">
        <f t="shared" si="4"/>
        <v>中班</v>
      </c>
      <c r="E32" s="143">
        <f>'6烧主抽电耗'!E32</f>
        <v>3</v>
      </c>
      <c r="F32" s="128" t="str">
        <f>'6烧主抽电耗'!F32</f>
        <v>丙班</v>
      </c>
      <c r="G32" s="144">
        <f>'5烧主抽电耗'!I32+'6烧主抽电耗'!I32</f>
        <v>0</v>
      </c>
      <c r="H32" s="102">
        <f>'5烧主抽电耗'!M32+'6烧主抽电耗'!M32</f>
        <v>0</v>
      </c>
      <c r="I32" s="102">
        <f>'5烧主抽电耗'!N32+'6烧主抽电耗'!N32</f>
        <v>0</v>
      </c>
      <c r="J32" s="102">
        <f>主抽数据!AJ34</f>
        <v>76503</v>
      </c>
      <c r="K32" s="102">
        <f>主抽数据!AM34</f>
        <v>0</v>
      </c>
      <c r="L32" s="102">
        <f>主抽数据!AJ34+主抽数据!AM34</f>
        <v>76503</v>
      </c>
      <c r="M32" s="209">
        <f>'6烧主抽电耗'!V32+'5烧主抽电耗'!V32</f>
        <v>0</v>
      </c>
      <c r="N32" s="210">
        <f t="shared" si="1"/>
        <v>76503</v>
      </c>
    </row>
    <row r="33" spans="1:14">
      <c r="A33" s="133">
        <f t="shared" si="2"/>
        <v>43354</v>
      </c>
      <c r="B33" s="134">
        <f t="shared" si="3"/>
        <v>0</v>
      </c>
      <c r="C33" s="133">
        <f t="shared" si="0"/>
        <v>43354</v>
      </c>
      <c r="D33" s="134" t="str">
        <f t="shared" si="4"/>
        <v>夜班</v>
      </c>
      <c r="E33" s="143">
        <f>'6烧主抽电耗'!E33</f>
        <v>1</v>
      </c>
      <c r="F33" s="128" t="str">
        <f>'6烧主抽电耗'!F33</f>
        <v>甲班</v>
      </c>
      <c r="G33" s="144">
        <f>'5烧主抽电耗'!I33+'6烧主抽电耗'!I33</f>
        <v>0</v>
      </c>
      <c r="H33" s="102">
        <f>'5烧主抽电耗'!M33+'6烧主抽电耗'!M33</f>
        <v>0</v>
      </c>
      <c r="I33" s="102">
        <f>'5烧主抽电耗'!N33+'6烧主抽电耗'!N33</f>
        <v>0</v>
      </c>
      <c r="J33" s="102">
        <f>主抽数据!AJ35</f>
        <v>77619</v>
      </c>
      <c r="K33" s="102">
        <f>主抽数据!AM35</f>
        <v>0</v>
      </c>
      <c r="L33" s="102">
        <f>主抽数据!AJ35+主抽数据!AM35</f>
        <v>77619</v>
      </c>
      <c r="M33" s="209">
        <f>'6烧主抽电耗'!V33+'5烧主抽电耗'!V33</f>
        <v>0</v>
      </c>
      <c r="N33" s="210">
        <f t="shared" si="1"/>
        <v>77619</v>
      </c>
    </row>
    <row r="34" spans="1:14">
      <c r="A34" s="133">
        <f t="shared" si="2"/>
        <v>43354</v>
      </c>
      <c r="B34" s="134">
        <f t="shared" si="3"/>
        <v>0.33333333333333298</v>
      </c>
      <c r="C34" s="133">
        <f t="shared" si="0"/>
        <v>43354.333333333336</v>
      </c>
      <c r="D34" s="134" t="str">
        <f t="shared" si="4"/>
        <v>白班</v>
      </c>
      <c r="E34" s="102">
        <f>'6烧主抽电耗'!E34</f>
        <v>2</v>
      </c>
      <c r="F34" s="133" t="str">
        <f>'6烧主抽电耗'!F34</f>
        <v>乙班</v>
      </c>
      <c r="G34" s="144">
        <f>'5烧主抽电耗'!I34+'6烧主抽电耗'!I34</f>
        <v>0</v>
      </c>
      <c r="H34" s="102">
        <f>'5烧主抽电耗'!M34+'6烧主抽电耗'!M34</f>
        <v>0</v>
      </c>
      <c r="I34" s="102">
        <f>'5烧主抽电耗'!N34+'6烧主抽电耗'!N34</f>
        <v>0</v>
      </c>
      <c r="J34" s="102">
        <f>主抽数据!AJ36</f>
        <v>81684</v>
      </c>
      <c r="K34" s="102">
        <f>主抽数据!AM36</f>
        <v>0</v>
      </c>
      <c r="L34" s="102">
        <f>主抽数据!AJ36+主抽数据!AM36</f>
        <v>81684</v>
      </c>
      <c r="M34" s="209">
        <f>'6烧主抽电耗'!V34+'5烧主抽电耗'!V34</f>
        <v>0</v>
      </c>
      <c r="N34" s="210">
        <f t="shared" si="1"/>
        <v>81684</v>
      </c>
    </row>
    <row r="35" spans="1:14">
      <c r="A35" s="133">
        <f t="shared" si="2"/>
        <v>43354</v>
      </c>
      <c r="B35" s="134">
        <f t="shared" si="3"/>
        <v>0.66666666666666696</v>
      </c>
      <c r="C35" s="133">
        <f t="shared" si="0"/>
        <v>43354.666666666664</v>
      </c>
      <c r="D35" s="134" t="str">
        <f t="shared" si="4"/>
        <v>中班</v>
      </c>
      <c r="E35" s="102">
        <f>'6烧主抽电耗'!E35</f>
        <v>3</v>
      </c>
      <c r="F35" s="133" t="str">
        <f>'6烧主抽电耗'!F35</f>
        <v>丙班</v>
      </c>
      <c r="G35" s="144">
        <f>'5烧主抽电耗'!I35+'6烧主抽电耗'!I35</f>
        <v>0</v>
      </c>
      <c r="H35" s="102">
        <f>'5烧主抽电耗'!M35+'6烧主抽电耗'!M35</f>
        <v>0</v>
      </c>
      <c r="I35" s="102">
        <f>'5烧主抽电耗'!N35+'6烧主抽电耗'!N35</f>
        <v>0</v>
      </c>
      <c r="J35" s="102">
        <f>主抽数据!AJ37</f>
        <v>75534</v>
      </c>
      <c r="K35" s="102">
        <f>主抽数据!AM37</f>
        <v>0</v>
      </c>
      <c r="L35" s="102">
        <f>主抽数据!AJ37+主抽数据!AM37</f>
        <v>75534</v>
      </c>
      <c r="M35" s="209">
        <f>'6烧主抽电耗'!V35+'5烧主抽电耗'!V35</f>
        <v>0</v>
      </c>
      <c r="N35" s="210">
        <f t="shared" si="1"/>
        <v>75534</v>
      </c>
    </row>
    <row r="36" spans="1:14">
      <c r="A36" s="133">
        <f t="shared" si="2"/>
        <v>43355</v>
      </c>
      <c r="B36" s="134">
        <f t="shared" si="3"/>
        <v>0</v>
      </c>
      <c r="C36" s="133">
        <f t="shared" si="0"/>
        <v>43355</v>
      </c>
      <c r="D36" s="134" t="str">
        <f t="shared" si="4"/>
        <v>夜班</v>
      </c>
      <c r="E36" s="143">
        <f>'6烧主抽电耗'!E36</f>
        <v>4</v>
      </c>
      <c r="F36" s="128" t="str">
        <f>'6烧主抽电耗'!F36</f>
        <v>丁班</v>
      </c>
      <c r="G36" s="144">
        <f>'5烧主抽电耗'!I36+'6烧主抽电耗'!I36</f>
        <v>0</v>
      </c>
      <c r="H36" s="102">
        <f>'5烧主抽电耗'!M36+'6烧主抽电耗'!M36</f>
        <v>0</v>
      </c>
      <c r="I36" s="102">
        <f>'5烧主抽电耗'!N36+'6烧主抽电耗'!N36</f>
        <v>0</v>
      </c>
      <c r="J36" s="102">
        <f>主抽数据!AJ38</f>
        <v>80490</v>
      </c>
      <c r="K36" s="102">
        <f>主抽数据!AM38</f>
        <v>0</v>
      </c>
      <c r="L36" s="102">
        <f>主抽数据!AJ38+主抽数据!AM38</f>
        <v>80490</v>
      </c>
      <c r="M36" s="209">
        <f>'6烧主抽电耗'!V36+'5烧主抽电耗'!V36</f>
        <v>0</v>
      </c>
      <c r="N36" s="210">
        <f t="shared" si="1"/>
        <v>80490</v>
      </c>
    </row>
    <row r="37" spans="1:14">
      <c r="A37" s="133">
        <f t="shared" si="2"/>
        <v>43355</v>
      </c>
      <c r="B37" s="134">
        <f t="shared" si="3"/>
        <v>0.33333333333333298</v>
      </c>
      <c r="C37" s="133">
        <f t="shared" si="0"/>
        <v>43355.333333333336</v>
      </c>
      <c r="D37" s="134" t="str">
        <f t="shared" si="4"/>
        <v>白班</v>
      </c>
      <c r="E37" s="143">
        <f>'6烧主抽电耗'!E37</f>
        <v>1</v>
      </c>
      <c r="F37" s="128" t="str">
        <f>'6烧主抽电耗'!F37</f>
        <v>甲班</v>
      </c>
      <c r="G37" s="144">
        <f>'5烧主抽电耗'!I37+'6烧主抽电耗'!I37</f>
        <v>0</v>
      </c>
      <c r="H37" s="102">
        <f>'5烧主抽电耗'!M37+'6烧主抽电耗'!M37</f>
        <v>0</v>
      </c>
      <c r="I37" s="102">
        <f>'5烧主抽电耗'!N37+'6烧主抽电耗'!N37</f>
        <v>0</v>
      </c>
      <c r="J37" s="102">
        <f>主抽数据!AJ39</f>
        <v>81597</v>
      </c>
      <c r="K37" s="102">
        <f>主抽数据!AM39</f>
        <v>0</v>
      </c>
      <c r="L37" s="102">
        <f>主抽数据!AJ39+主抽数据!AM39</f>
        <v>81597</v>
      </c>
      <c r="M37" s="209">
        <f>'6烧主抽电耗'!V37+'5烧主抽电耗'!V37</f>
        <v>0</v>
      </c>
      <c r="N37" s="210">
        <f t="shared" si="1"/>
        <v>81597</v>
      </c>
    </row>
    <row r="38" spans="1:14">
      <c r="A38" s="133">
        <f t="shared" si="2"/>
        <v>43355</v>
      </c>
      <c r="B38" s="134">
        <f t="shared" si="3"/>
        <v>0.66666666666666696</v>
      </c>
      <c r="C38" s="133">
        <f t="shared" si="0"/>
        <v>43355.666666666664</v>
      </c>
      <c r="D38" s="134" t="str">
        <f t="shared" si="4"/>
        <v>中班</v>
      </c>
      <c r="E38" s="143">
        <f>'6烧主抽电耗'!E38</f>
        <v>2</v>
      </c>
      <c r="F38" s="128" t="str">
        <f>'6烧主抽电耗'!F38</f>
        <v>乙班</v>
      </c>
      <c r="G38" s="144">
        <f>'5烧主抽电耗'!I38+'6烧主抽电耗'!I38</f>
        <v>0</v>
      </c>
      <c r="H38" s="102">
        <f>'5烧主抽电耗'!M38+'6烧主抽电耗'!M38</f>
        <v>0</v>
      </c>
      <c r="I38" s="102">
        <f>'5烧主抽电耗'!N38+'6烧主抽电耗'!N38</f>
        <v>0</v>
      </c>
      <c r="J38" s="102">
        <f>主抽数据!AJ40</f>
        <v>70497</v>
      </c>
      <c r="K38" s="102">
        <f>主抽数据!AM40</f>
        <v>0</v>
      </c>
      <c r="L38" s="102">
        <f>主抽数据!AJ40+主抽数据!AM40</f>
        <v>70497</v>
      </c>
      <c r="M38" s="209">
        <f>'6烧主抽电耗'!V38+'5烧主抽电耗'!V38</f>
        <v>0</v>
      </c>
      <c r="N38" s="210">
        <f t="shared" si="1"/>
        <v>70497</v>
      </c>
    </row>
    <row r="39" spans="1:14">
      <c r="A39" s="133">
        <f t="shared" si="2"/>
        <v>43356</v>
      </c>
      <c r="B39" s="134">
        <f t="shared" si="3"/>
        <v>0</v>
      </c>
      <c r="C39" s="133">
        <f t="shared" si="0"/>
        <v>43356</v>
      </c>
      <c r="D39" s="134" t="str">
        <f t="shared" si="4"/>
        <v>夜班</v>
      </c>
      <c r="E39" s="143">
        <f>'6烧主抽电耗'!E39</f>
        <v>4</v>
      </c>
      <c r="F39" s="128" t="str">
        <f>'6烧主抽电耗'!F39</f>
        <v>丁班</v>
      </c>
      <c r="G39" s="144">
        <f>'5烧主抽电耗'!I39+'6烧主抽电耗'!I39</f>
        <v>0</v>
      </c>
      <c r="H39" s="102">
        <f>'5烧主抽电耗'!M39+'6烧主抽电耗'!M39</f>
        <v>0</v>
      </c>
      <c r="I39" s="102">
        <f>'5烧主抽电耗'!N39+'6烧主抽电耗'!N39</f>
        <v>0</v>
      </c>
      <c r="J39" s="102">
        <f>主抽数据!AJ41</f>
        <v>76446</v>
      </c>
      <c r="K39" s="102">
        <f>主抽数据!AM41</f>
        <v>0</v>
      </c>
      <c r="L39" s="102">
        <f>主抽数据!AJ41+主抽数据!AM41</f>
        <v>76446</v>
      </c>
      <c r="M39" s="209">
        <f>'6烧主抽电耗'!V39+'5烧主抽电耗'!V39</f>
        <v>0</v>
      </c>
      <c r="N39" s="210">
        <f t="shared" si="1"/>
        <v>76446</v>
      </c>
    </row>
    <row r="40" spans="1:14">
      <c r="A40" s="133">
        <f t="shared" si="2"/>
        <v>43356</v>
      </c>
      <c r="B40" s="134">
        <f t="shared" si="3"/>
        <v>0.33333333333333298</v>
      </c>
      <c r="C40" s="133">
        <f t="shared" si="0"/>
        <v>43356.333333333336</v>
      </c>
      <c r="D40" s="134" t="str">
        <f t="shared" si="4"/>
        <v>白班</v>
      </c>
      <c r="E40" s="143">
        <f>'6烧主抽电耗'!E40</f>
        <v>1</v>
      </c>
      <c r="F40" s="128" t="str">
        <f>'6烧主抽电耗'!F40</f>
        <v>甲班</v>
      </c>
      <c r="G40" s="144">
        <f>'5烧主抽电耗'!I40+'6烧主抽电耗'!I40</f>
        <v>0</v>
      </c>
      <c r="H40" s="102">
        <f>'5烧主抽电耗'!M40+'6烧主抽电耗'!M40</f>
        <v>0</v>
      </c>
      <c r="I40" s="102">
        <f>'5烧主抽电耗'!N40+'6烧主抽电耗'!N40</f>
        <v>0</v>
      </c>
      <c r="J40" s="102">
        <f>主抽数据!AJ42</f>
        <v>83478</v>
      </c>
      <c r="K40" s="102">
        <f>主抽数据!AM42</f>
        <v>0</v>
      </c>
      <c r="L40" s="102">
        <f>主抽数据!AJ42+主抽数据!AM42</f>
        <v>83478</v>
      </c>
      <c r="M40" s="209">
        <f>'6烧主抽电耗'!V40+'5烧主抽电耗'!V40</f>
        <v>0</v>
      </c>
      <c r="N40" s="210">
        <f t="shared" si="1"/>
        <v>83478</v>
      </c>
    </row>
    <row r="41" spans="1:14">
      <c r="A41" s="133">
        <f t="shared" si="2"/>
        <v>43356</v>
      </c>
      <c r="B41" s="134">
        <f t="shared" si="3"/>
        <v>0.66666666666666696</v>
      </c>
      <c r="C41" s="133">
        <f t="shared" si="0"/>
        <v>43356.666666666664</v>
      </c>
      <c r="D41" s="134" t="str">
        <f t="shared" si="4"/>
        <v>中班</v>
      </c>
      <c r="E41" s="143">
        <f>'6烧主抽电耗'!E41</f>
        <v>2</v>
      </c>
      <c r="F41" s="128" t="str">
        <f>'6烧主抽电耗'!F41</f>
        <v>乙班</v>
      </c>
      <c r="G41" s="144">
        <f>'5烧主抽电耗'!I41+'6烧主抽电耗'!I41</f>
        <v>0</v>
      </c>
      <c r="H41" s="102">
        <f>'5烧主抽电耗'!M41+'6烧主抽电耗'!M41</f>
        <v>0</v>
      </c>
      <c r="I41" s="102">
        <f>'5烧主抽电耗'!N41+'6烧主抽电耗'!N41</f>
        <v>0</v>
      </c>
      <c r="J41" s="102">
        <f>主抽数据!AJ43</f>
        <v>77235</v>
      </c>
      <c r="K41" s="102">
        <f>主抽数据!AM43</f>
        <v>0</v>
      </c>
      <c r="L41" s="102">
        <f>主抽数据!AJ43+主抽数据!AM43</f>
        <v>77235</v>
      </c>
      <c r="M41" s="209">
        <f>'6烧主抽电耗'!V41+'5烧主抽电耗'!V41</f>
        <v>0</v>
      </c>
      <c r="N41" s="210">
        <f t="shared" si="1"/>
        <v>77235</v>
      </c>
    </row>
    <row r="42" spans="1:14">
      <c r="A42" s="133">
        <f t="shared" si="2"/>
        <v>43357</v>
      </c>
      <c r="B42" s="134">
        <f t="shared" si="3"/>
        <v>0</v>
      </c>
      <c r="C42" s="133">
        <f t="shared" si="0"/>
        <v>43357</v>
      </c>
      <c r="D42" s="134" t="str">
        <f t="shared" si="4"/>
        <v>夜班</v>
      </c>
      <c r="E42" s="143">
        <f>'6烧主抽电耗'!E42</f>
        <v>3</v>
      </c>
      <c r="F42" s="128" t="str">
        <f>'6烧主抽电耗'!F42</f>
        <v>丙班</v>
      </c>
      <c r="G42" s="144">
        <f>'5烧主抽电耗'!I42+'6烧主抽电耗'!I42</f>
        <v>0</v>
      </c>
      <c r="H42" s="102">
        <f>'5烧主抽电耗'!M42+'6烧主抽电耗'!M42</f>
        <v>0</v>
      </c>
      <c r="I42" s="102">
        <f>'5烧主抽电耗'!N42+'6烧主抽电耗'!N42</f>
        <v>0</v>
      </c>
      <c r="J42" s="102">
        <f>主抽数据!AJ44</f>
        <v>74490</v>
      </c>
      <c r="K42" s="102">
        <f>主抽数据!AM44</f>
        <v>0</v>
      </c>
      <c r="L42" s="102">
        <f>主抽数据!AJ44+主抽数据!AM44</f>
        <v>74490</v>
      </c>
      <c r="M42" s="209">
        <f>'6烧主抽电耗'!V42+'5烧主抽电耗'!V42</f>
        <v>0</v>
      </c>
      <c r="N42" s="210">
        <f t="shared" si="1"/>
        <v>74490</v>
      </c>
    </row>
    <row r="43" spans="1:14">
      <c r="A43" s="133">
        <f t="shared" si="2"/>
        <v>43357</v>
      </c>
      <c r="B43" s="134">
        <f t="shared" si="3"/>
        <v>0.33333333333333298</v>
      </c>
      <c r="C43" s="133">
        <f t="shared" si="0"/>
        <v>43357.333333333336</v>
      </c>
      <c r="D43" s="134" t="str">
        <f t="shared" si="4"/>
        <v>白班</v>
      </c>
      <c r="E43" s="143">
        <f>'6烧主抽电耗'!E43</f>
        <v>4</v>
      </c>
      <c r="F43" s="128" t="str">
        <f>'6烧主抽电耗'!F43</f>
        <v>丁班</v>
      </c>
      <c r="G43" s="144">
        <f>'5烧主抽电耗'!I43+'6烧主抽电耗'!I43</f>
        <v>0</v>
      </c>
      <c r="H43" s="102">
        <f>'5烧主抽电耗'!M43+'6烧主抽电耗'!M43</f>
        <v>0</v>
      </c>
      <c r="I43" s="102">
        <f>'5烧主抽电耗'!N43+'6烧主抽电耗'!N43</f>
        <v>0</v>
      </c>
      <c r="J43" s="102">
        <f>主抽数据!AJ45</f>
        <v>-238777515</v>
      </c>
      <c r="K43" s="102">
        <f>主抽数据!AM45</f>
        <v>0</v>
      </c>
      <c r="L43" s="102">
        <f>主抽数据!AJ45+主抽数据!AM45</f>
        <v>-238777515</v>
      </c>
      <c r="M43" s="209">
        <f>'6烧主抽电耗'!V43+'5烧主抽电耗'!V43</f>
        <v>0</v>
      </c>
      <c r="N43" s="210">
        <f t="shared" si="1"/>
        <v>-238777515</v>
      </c>
    </row>
    <row r="44" spans="1:14">
      <c r="A44" s="133">
        <f t="shared" si="2"/>
        <v>43357</v>
      </c>
      <c r="B44" s="134">
        <f t="shared" si="3"/>
        <v>0.66666666666666696</v>
      </c>
      <c r="C44" s="133">
        <f t="shared" si="0"/>
        <v>43357.666666666664</v>
      </c>
      <c r="D44" s="134" t="str">
        <f t="shared" si="4"/>
        <v>中班</v>
      </c>
      <c r="E44" s="143">
        <f>'6烧主抽电耗'!E44</f>
        <v>1</v>
      </c>
      <c r="F44" s="128" t="str">
        <f>'6烧主抽电耗'!F44</f>
        <v>甲班</v>
      </c>
      <c r="G44" s="144">
        <f>'5烧主抽电耗'!I44+'6烧主抽电耗'!I44</f>
        <v>0</v>
      </c>
      <c r="H44" s="102">
        <f>'5烧主抽电耗'!M44+'6烧主抽电耗'!M44</f>
        <v>0</v>
      </c>
      <c r="I44" s="102">
        <f>'5烧主抽电耗'!N44+'6烧主抽电耗'!N44</f>
        <v>0</v>
      </c>
      <c r="J44" s="102">
        <f>主抽数据!AJ46</f>
        <v>0</v>
      </c>
      <c r="K44" s="102">
        <f>主抽数据!AM46</f>
        <v>0</v>
      </c>
      <c r="L44" s="102">
        <f>主抽数据!AJ46+主抽数据!AM46</f>
        <v>0</v>
      </c>
      <c r="M44" s="209">
        <f>'6烧主抽电耗'!V44+'5烧主抽电耗'!V44</f>
        <v>0</v>
      </c>
      <c r="N44" s="210">
        <f t="shared" si="1"/>
        <v>0</v>
      </c>
    </row>
    <row r="45" spans="1:14">
      <c r="A45" s="133">
        <f t="shared" si="2"/>
        <v>43358</v>
      </c>
      <c r="B45" s="134">
        <f t="shared" si="3"/>
        <v>0</v>
      </c>
      <c r="C45" s="133">
        <f t="shared" si="0"/>
        <v>43358</v>
      </c>
      <c r="D45" s="134" t="str">
        <f t="shared" si="4"/>
        <v>夜班</v>
      </c>
      <c r="E45" s="143">
        <f>'6烧主抽电耗'!E45</f>
        <v>3</v>
      </c>
      <c r="F45" s="128" t="str">
        <f>'6烧主抽电耗'!F45</f>
        <v>丙班</v>
      </c>
      <c r="G45" s="144">
        <f>'5烧主抽电耗'!I45+'6烧主抽电耗'!I45</f>
        <v>0</v>
      </c>
      <c r="H45" s="102">
        <f>'5烧主抽电耗'!M45+'6烧主抽电耗'!M45</f>
        <v>0</v>
      </c>
      <c r="I45" s="102">
        <f>'5烧主抽电耗'!N45+'6烧主抽电耗'!N45</f>
        <v>0</v>
      </c>
      <c r="J45" s="102">
        <f>主抽数据!AJ47</f>
        <v>0</v>
      </c>
      <c r="K45" s="102">
        <f>主抽数据!AM47</f>
        <v>0</v>
      </c>
      <c r="L45" s="102">
        <f>主抽数据!AJ47+主抽数据!AM47</f>
        <v>0</v>
      </c>
      <c r="M45" s="209">
        <f>'6烧主抽电耗'!V45+'5烧主抽电耗'!V45</f>
        <v>0</v>
      </c>
      <c r="N45" s="210">
        <f t="shared" si="1"/>
        <v>0</v>
      </c>
    </row>
    <row r="46" spans="1:14">
      <c r="A46" s="133">
        <f t="shared" si="2"/>
        <v>43358</v>
      </c>
      <c r="B46" s="134">
        <f t="shared" si="3"/>
        <v>0.33333333333333298</v>
      </c>
      <c r="C46" s="133">
        <f t="shared" si="0"/>
        <v>43358.333333333336</v>
      </c>
      <c r="D46" s="134" t="str">
        <f t="shared" si="4"/>
        <v>白班</v>
      </c>
      <c r="E46" s="143">
        <f>'6烧主抽电耗'!E46</f>
        <v>4</v>
      </c>
      <c r="F46" s="128" t="str">
        <f>'6烧主抽电耗'!F46</f>
        <v>丁班</v>
      </c>
      <c r="G46" s="144">
        <f>'5烧主抽电耗'!I46+'6烧主抽电耗'!I46</f>
        <v>0</v>
      </c>
      <c r="H46" s="102">
        <f>'5烧主抽电耗'!M46+'6烧主抽电耗'!M46</f>
        <v>0</v>
      </c>
      <c r="I46" s="102">
        <f>'5烧主抽电耗'!N46+'6烧主抽电耗'!N46</f>
        <v>0</v>
      </c>
      <c r="J46" s="102">
        <f>主抽数据!AJ48</f>
        <v>0</v>
      </c>
      <c r="K46" s="102">
        <f>主抽数据!AM48</f>
        <v>0</v>
      </c>
      <c r="L46" s="102">
        <f>主抽数据!AJ48+主抽数据!AM48</f>
        <v>0</v>
      </c>
      <c r="M46" s="209">
        <f>'6烧主抽电耗'!V46+'5烧主抽电耗'!V46</f>
        <v>0</v>
      </c>
      <c r="N46" s="210">
        <f t="shared" si="1"/>
        <v>0</v>
      </c>
    </row>
    <row r="47" spans="1:14">
      <c r="A47" s="133">
        <f t="shared" si="2"/>
        <v>43358</v>
      </c>
      <c r="B47" s="134">
        <f t="shared" si="3"/>
        <v>0.66666666666666696</v>
      </c>
      <c r="C47" s="133">
        <f t="shared" si="0"/>
        <v>43358.666666666664</v>
      </c>
      <c r="D47" s="134" t="str">
        <f t="shared" si="4"/>
        <v>中班</v>
      </c>
      <c r="E47" s="143">
        <f>'6烧主抽电耗'!E47</f>
        <v>1</v>
      </c>
      <c r="F47" s="128" t="str">
        <f>'6烧主抽电耗'!F47</f>
        <v>甲班</v>
      </c>
      <c r="G47" s="144">
        <f>'5烧主抽电耗'!I47+'6烧主抽电耗'!I47</f>
        <v>0</v>
      </c>
      <c r="H47" s="102">
        <f>'5烧主抽电耗'!M47+'6烧主抽电耗'!M47</f>
        <v>0</v>
      </c>
      <c r="I47" s="102">
        <f>'5烧主抽电耗'!N47+'6烧主抽电耗'!N47</f>
        <v>0</v>
      </c>
      <c r="J47" s="102">
        <f>主抽数据!AJ49</f>
        <v>0</v>
      </c>
      <c r="K47" s="102">
        <f>主抽数据!AM49</f>
        <v>0</v>
      </c>
      <c r="L47" s="102">
        <f>主抽数据!AJ49+主抽数据!AM49</f>
        <v>0</v>
      </c>
      <c r="M47" s="209">
        <f>'6烧主抽电耗'!V47+'5烧主抽电耗'!V47</f>
        <v>0</v>
      </c>
      <c r="N47" s="210">
        <f t="shared" si="1"/>
        <v>0</v>
      </c>
    </row>
    <row r="48" spans="1:14">
      <c r="A48" s="133">
        <f t="shared" si="2"/>
        <v>43359</v>
      </c>
      <c r="B48" s="134">
        <f t="shared" si="3"/>
        <v>0</v>
      </c>
      <c r="C48" s="133">
        <f t="shared" si="0"/>
        <v>43359</v>
      </c>
      <c r="D48" s="134" t="str">
        <f t="shared" si="4"/>
        <v>夜班</v>
      </c>
      <c r="E48" s="143">
        <f>'6烧主抽电耗'!E48</f>
        <v>2</v>
      </c>
      <c r="F48" s="128" t="str">
        <f>'6烧主抽电耗'!F48</f>
        <v>乙班</v>
      </c>
      <c r="G48" s="144">
        <f>'5烧主抽电耗'!I48+'6烧主抽电耗'!I48</f>
        <v>0</v>
      </c>
      <c r="H48" s="102">
        <f>'5烧主抽电耗'!M48+'6烧主抽电耗'!M48</f>
        <v>0</v>
      </c>
      <c r="I48" s="102">
        <f>'5烧主抽电耗'!N48+'6烧主抽电耗'!N48</f>
        <v>0</v>
      </c>
      <c r="J48" s="102">
        <f>主抽数据!AJ50</f>
        <v>0</v>
      </c>
      <c r="K48" s="102">
        <f>主抽数据!AM50</f>
        <v>0</v>
      </c>
      <c r="L48" s="102">
        <f>主抽数据!AJ50+主抽数据!AM50</f>
        <v>0</v>
      </c>
      <c r="M48" s="209">
        <f>'6烧主抽电耗'!V48+'5烧主抽电耗'!V48</f>
        <v>0</v>
      </c>
      <c r="N48" s="210">
        <f t="shared" si="1"/>
        <v>0</v>
      </c>
    </row>
    <row r="49" spans="1:14">
      <c r="A49" s="133">
        <f t="shared" si="2"/>
        <v>43359</v>
      </c>
      <c r="B49" s="134">
        <f t="shared" si="3"/>
        <v>0.33333333333333298</v>
      </c>
      <c r="C49" s="133">
        <f t="shared" si="0"/>
        <v>43359.333333333336</v>
      </c>
      <c r="D49" s="134" t="str">
        <f t="shared" si="4"/>
        <v>白班</v>
      </c>
      <c r="E49" s="143">
        <f>'6烧主抽电耗'!E49</f>
        <v>3</v>
      </c>
      <c r="F49" s="128" t="str">
        <f>'6烧主抽电耗'!F49</f>
        <v>丙班</v>
      </c>
      <c r="G49" s="144">
        <f>'5烧主抽电耗'!I49+'6烧主抽电耗'!I49</f>
        <v>0</v>
      </c>
      <c r="H49" s="102">
        <f>'5烧主抽电耗'!M49+'6烧主抽电耗'!M49</f>
        <v>0</v>
      </c>
      <c r="I49" s="102">
        <f>'5烧主抽电耗'!N49+'6烧主抽电耗'!N49</f>
        <v>0</v>
      </c>
      <c r="J49" s="102">
        <f>主抽数据!AJ51</f>
        <v>0</v>
      </c>
      <c r="K49" s="102">
        <f>主抽数据!AM51</f>
        <v>0</v>
      </c>
      <c r="L49" s="102">
        <f>主抽数据!AJ51+主抽数据!AM51</f>
        <v>0</v>
      </c>
      <c r="M49" s="209">
        <f>'6烧主抽电耗'!V49+'5烧主抽电耗'!V49</f>
        <v>0</v>
      </c>
      <c r="N49" s="210">
        <f t="shared" si="1"/>
        <v>0</v>
      </c>
    </row>
    <row r="50" spans="1:14">
      <c r="A50" s="133">
        <f t="shared" si="2"/>
        <v>43359</v>
      </c>
      <c r="B50" s="134">
        <f t="shared" si="3"/>
        <v>0.66666666666666696</v>
      </c>
      <c r="C50" s="133">
        <f t="shared" si="0"/>
        <v>43359.666666666664</v>
      </c>
      <c r="D50" s="134" t="str">
        <f t="shared" si="4"/>
        <v>中班</v>
      </c>
      <c r="E50" s="143">
        <f>'6烧主抽电耗'!E50</f>
        <v>4</v>
      </c>
      <c r="F50" s="128" t="str">
        <f>'6烧主抽电耗'!F50</f>
        <v>丁班</v>
      </c>
      <c r="G50" s="144">
        <f>'5烧主抽电耗'!I50+'6烧主抽电耗'!I50</f>
        <v>0</v>
      </c>
      <c r="H50" s="102">
        <f>'5烧主抽电耗'!M50+'6烧主抽电耗'!M50</f>
        <v>0</v>
      </c>
      <c r="I50" s="102">
        <f>'5烧主抽电耗'!N50+'6烧主抽电耗'!N50</f>
        <v>0</v>
      </c>
      <c r="J50" s="102">
        <f>主抽数据!AJ52</f>
        <v>0</v>
      </c>
      <c r="K50" s="102">
        <f>主抽数据!AM52</f>
        <v>0</v>
      </c>
      <c r="L50" s="102">
        <f>主抽数据!AJ52+主抽数据!AM52</f>
        <v>0</v>
      </c>
      <c r="M50" s="209">
        <f>'6烧主抽电耗'!V50+'5烧主抽电耗'!V50</f>
        <v>0</v>
      </c>
      <c r="N50" s="210">
        <f t="shared" si="1"/>
        <v>0</v>
      </c>
    </row>
    <row r="51" spans="1:14">
      <c r="A51" s="133">
        <f t="shared" si="2"/>
        <v>43360</v>
      </c>
      <c r="B51" s="134">
        <f t="shared" si="3"/>
        <v>0</v>
      </c>
      <c r="C51" s="133">
        <f t="shared" si="0"/>
        <v>43360</v>
      </c>
      <c r="D51" s="134" t="str">
        <f t="shared" si="4"/>
        <v>夜班</v>
      </c>
      <c r="E51" s="143">
        <f>'6烧主抽电耗'!E51</f>
        <v>2</v>
      </c>
      <c r="F51" s="128" t="str">
        <f>'6烧主抽电耗'!F51</f>
        <v>乙班</v>
      </c>
      <c r="G51" s="144">
        <f>'5烧主抽电耗'!I51+'6烧主抽电耗'!I51</f>
        <v>0</v>
      </c>
      <c r="H51" s="102">
        <f>'5烧主抽电耗'!M51+'6烧主抽电耗'!M51</f>
        <v>0</v>
      </c>
      <c r="I51" s="102">
        <f>'5烧主抽电耗'!N51+'6烧主抽电耗'!N51</f>
        <v>0</v>
      </c>
      <c r="J51" s="102">
        <f>主抽数据!AJ53</f>
        <v>0</v>
      </c>
      <c r="K51" s="102">
        <f>主抽数据!AM53</f>
        <v>0</v>
      </c>
      <c r="L51" s="102">
        <f>主抽数据!AJ53+主抽数据!AM53</f>
        <v>0</v>
      </c>
      <c r="M51" s="209">
        <f>'6烧主抽电耗'!V51+'5烧主抽电耗'!V51</f>
        <v>0</v>
      </c>
      <c r="N51" s="210">
        <f t="shared" si="1"/>
        <v>0</v>
      </c>
    </row>
    <row r="52" spans="1:14">
      <c r="A52" s="133">
        <f t="shared" si="2"/>
        <v>43360</v>
      </c>
      <c r="B52" s="134">
        <f t="shared" si="3"/>
        <v>0.33333333333333298</v>
      </c>
      <c r="C52" s="133">
        <f t="shared" si="0"/>
        <v>43360.333333333336</v>
      </c>
      <c r="D52" s="134" t="str">
        <f t="shared" si="4"/>
        <v>白班</v>
      </c>
      <c r="E52" s="143">
        <f>'6烧主抽电耗'!E52</f>
        <v>3</v>
      </c>
      <c r="F52" s="128" t="str">
        <f>'6烧主抽电耗'!F52</f>
        <v>丙班</v>
      </c>
      <c r="G52" s="144">
        <f>'5烧主抽电耗'!I52+'6烧主抽电耗'!I52</f>
        <v>0</v>
      </c>
      <c r="H52" s="102">
        <f>'5烧主抽电耗'!M52+'6烧主抽电耗'!M52</f>
        <v>0</v>
      </c>
      <c r="I52" s="102">
        <f>'5烧主抽电耗'!N52+'6烧主抽电耗'!N52</f>
        <v>0</v>
      </c>
      <c r="J52" s="102">
        <f>主抽数据!AJ54</f>
        <v>0</v>
      </c>
      <c r="K52" s="102">
        <f>主抽数据!AM54</f>
        <v>0</v>
      </c>
      <c r="L52" s="102">
        <f>主抽数据!AJ54+主抽数据!AM54</f>
        <v>0</v>
      </c>
      <c r="M52" s="209">
        <f>'6烧主抽电耗'!V52+'5烧主抽电耗'!V52</f>
        <v>0</v>
      </c>
      <c r="N52" s="210">
        <f t="shared" si="1"/>
        <v>0</v>
      </c>
    </row>
    <row r="53" spans="1:14">
      <c r="A53" s="133">
        <f t="shared" si="2"/>
        <v>43360</v>
      </c>
      <c r="B53" s="134">
        <f t="shared" si="3"/>
        <v>0.66666666666666696</v>
      </c>
      <c r="C53" s="133">
        <f t="shared" si="0"/>
        <v>43360.666666666664</v>
      </c>
      <c r="D53" s="134" t="str">
        <f t="shared" si="4"/>
        <v>中班</v>
      </c>
      <c r="E53" s="143">
        <f>'6烧主抽电耗'!E53</f>
        <v>4</v>
      </c>
      <c r="F53" s="128" t="str">
        <f>'6烧主抽电耗'!F53</f>
        <v>丁班</v>
      </c>
      <c r="G53" s="144">
        <f>'5烧主抽电耗'!I53+'6烧主抽电耗'!I53</f>
        <v>0</v>
      </c>
      <c r="H53" s="102">
        <f>'5烧主抽电耗'!M53+'6烧主抽电耗'!M53</f>
        <v>0</v>
      </c>
      <c r="I53" s="102">
        <f>'5烧主抽电耗'!N53+'6烧主抽电耗'!N53</f>
        <v>0</v>
      </c>
      <c r="J53" s="102">
        <f>主抽数据!AJ55</f>
        <v>0</v>
      </c>
      <c r="K53" s="102">
        <f>主抽数据!AM55</f>
        <v>0</v>
      </c>
      <c r="L53" s="102">
        <f>主抽数据!AJ55+主抽数据!AM55</f>
        <v>0</v>
      </c>
      <c r="M53" s="209">
        <f>'6烧主抽电耗'!V53+'5烧主抽电耗'!V53</f>
        <v>0</v>
      </c>
      <c r="N53" s="210">
        <f t="shared" si="1"/>
        <v>0</v>
      </c>
    </row>
    <row r="54" spans="1:14">
      <c r="A54" s="133">
        <f t="shared" si="2"/>
        <v>43361</v>
      </c>
      <c r="B54" s="134">
        <f t="shared" si="3"/>
        <v>0</v>
      </c>
      <c r="C54" s="133">
        <f t="shared" si="0"/>
        <v>43361</v>
      </c>
      <c r="D54" s="134" t="str">
        <f t="shared" si="4"/>
        <v>夜班</v>
      </c>
      <c r="E54" s="143">
        <f>'6烧主抽电耗'!E54</f>
        <v>1</v>
      </c>
      <c r="F54" s="128" t="str">
        <f>'6烧主抽电耗'!F54</f>
        <v>甲班</v>
      </c>
      <c r="G54" s="144">
        <f>'5烧主抽电耗'!I54+'6烧主抽电耗'!I54</f>
        <v>0</v>
      </c>
      <c r="H54" s="102">
        <f>'5烧主抽电耗'!M54+'6烧主抽电耗'!M54</f>
        <v>0</v>
      </c>
      <c r="I54" s="102">
        <f>'5烧主抽电耗'!N54+'6烧主抽电耗'!N54</f>
        <v>0</v>
      </c>
      <c r="J54" s="102">
        <f>主抽数据!AJ56</f>
        <v>0</v>
      </c>
      <c r="K54" s="102">
        <f>主抽数据!AM56</f>
        <v>0</v>
      </c>
      <c r="L54" s="102">
        <f>主抽数据!AJ56+主抽数据!AM56</f>
        <v>0</v>
      </c>
      <c r="M54" s="209">
        <f>'6烧主抽电耗'!V54+'5烧主抽电耗'!V54</f>
        <v>0</v>
      </c>
      <c r="N54" s="210">
        <f t="shared" si="1"/>
        <v>0</v>
      </c>
    </row>
    <row r="55" spans="1:14">
      <c r="A55" s="133">
        <f t="shared" si="2"/>
        <v>43361</v>
      </c>
      <c r="B55" s="134">
        <f t="shared" si="3"/>
        <v>0.33333333333333298</v>
      </c>
      <c r="C55" s="133">
        <f t="shared" si="0"/>
        <v>43361.333333333336</v>
      </c>
      <c r="D55" s="134" t="str">
        <f t="shared" si="4"/>
        <v>白班</v>
      </c>
      <c r="E55" s="143">
        <f>'6烧主抽电耗'!E55</f>
        <v>2</v>
      </c>
      <c r="F55" s="128" t="str">
        <f>'6烧主抽电耗'!F55</f>
        <v>乙班</v>
      </c>
      <c r="G55" s="144">
        <f>'5烧主抽电耗'!I55+'6烧主抽电耗'!I55</f>
        <v>0</v>
      </c>
      <c r="H55" s="102">
        <f>'5烧主抽电耗'!M55+'6烧主抽电耗'!M55</f>
        <v>0</v>
      </c>
      <c r="I55" s="102">
        <f>'5烧主抽电耗'!N55+'6烧主抽电耗'!N55</f>
        <v>0</v>
      </c>
      <c r="J55" s="102">
        <f>主抽数据!AJ57</f>
        <v>0</v>
      </c>
      <c r="K55" s="102">
        <f>主抽数据!AM57</f>
        <v>0</v>
      </c>
      <c r="L55" s="102">
        <f>主抽数据!AJ57+主抽数据!AM57</f>
        <v>0</v>
      </c>
      <c r="M55" s="209">
        <f>'6烧主抽电耗'!V55+'5烧主抽电耗'!V55</f>
        <v>0</v>
      </c>
      <c r="N55" s="210">
        <f t="shared" si="1"/>
        <v>0</v>
      </c>
    </row>
    <row r="56" spans="1:14">
      <c r="A56" s="133">
        <f t="shared" si="2"/>
        <v>43361</v>
      </c>
      <c r="B56" s="134">
        <f t="shared" si="3"/>
        <v>0.66666666666666696</v>
      </c>
      <c r="C56" s="133">
        <f t="shared" si="0"/>
        <v>43361.666666666664</v>
      </c>
      <c r="D56" s="134" t="str">
        <f t="shared" si="4"/>
        <v>中班</v>
      </c>
      <c r="E56" s="143">
        <f>'6烧主抽电耗'!E56</f>
        <v>3</v>
      </c>
      <c r="F56" s="128" t="str">
        <f>'6烧主抽电耗'!F56</f>
        <v>丙班</v>
      </c>
      <c r="G56" s="144">
        <f>'5烧主抽电耗'!I56+'6烧主抽电耗'!I56</f>
        <v>0</v>
      </c>
      <c r="H56" s="102">
        <f>'5烧主抽电耗'!M56+'6烧主抽电耗'!M56</f>
        <v>0</v>
      </c>
      <c r="I56" s="102">
        <f>'5烧主抽电耗'!N56+'6烧主抽电耗'!N56</f>
        <v>0</v>
      </c>
      <c r="J56" s="102">
        <f>主抽数据!AJ58</f>
        <v>0</v>
      </c>
      <c r="K56" s="102">
        <f>主抽数据!AM58</f>
        <v>0</v>
      </c>
      <c r="L56" s="102">
        <f>主抽数据!AJ58+主抽数据!AM58</f>
        <v>0</v>
      </c>
      <c r="M56" s="209">
        <f>'6烧主抽电耗'!V56+'5烧主抽电耗'!V56</f>
        <v>0</v>
      </c>
      <c r="N56" s="210">
        <f t="shared" si="1"/>
        <v>0</v>
      </c>
    </row>
    <row r="57" spans="1:14">
      <c r="A57" s="133">
        <f t="shared" si="2"/>
        <v>43362</v>
      </c>
      <c r="B57" s="134">
        <f t="shared" si="3"/>
        <v>0</v>
      </c>
      <c r="C57" s="133">
        <f t="shared" si="0"/>
        <v>43362</v>
      </c>
      <c r="D57" s="134" t="str">
        <f t="shared" si="4"/>
        <v>夜班</v>
      </c>
      <c r="E57" s="143">
        <f>'6烧主抽电耗'!E57</f>
        <v>1</v>
      </c>
      <c r="F57" s="128" t="str">
        <f>'6烧主抽电耗'!F57</f>
        <v>甲班</v>
      </c>
      <c r="G57" s="144">
        <f>'5烧主抽电耗'!I57+'6烧主抽电耗'!I57</f>
        <v>0</v>
      </c>
      <c r="H57" s="102">
        <f>'5烧主抽电耗'!M57+'6烧主抽电耗'!M57</f>
        <v>0</v>
      </c>
      <c r="I57" s="102">
        <f>'5烧主抽电耗'!N57+'6烧主抽电耗'!N57</f>
        <v>0</v>
      </c>
      <c r="J57" s="102">
        <f>主抽数据!AJ59</f>
        <v>0</v>
      </c>
      <c r="K57" s="102">
        <f>主抽数据!AM59</f>
        <v>0</v>
      </c>
      <c r="L57" s="102">
        <f>主抽数据!AJ59+主抽数据!AM59</f>
        <v>0</v>
      </c>
      <c r="M57" s="209">
        <f>'6烧主抽电耗'!V57+'5烧主抽电耗'!V57</f>
        <v>0</v>
      </c>
      <c r="N57" s="210">
        <f t="shared" si="1"/>
        <v>0</v>
      </c>
    </row>
    <row r="58" spans="1:14">
      <c r="A58" s="133">
        <f t="shared" si="2"/>
        <v>43362</v>
      </c>
      <c r="B58" s="134">
        <f t="shared" si="3"/>
        <v>0.33333333333333298</v>
      </c>
      <c r="C58" s="133">
        <f t="shared" si="0"/>
        <v>43362.333333333336</v>
      </c>
      <c r="D58" s="134" t="str">
        <f t="shared" si="4"/>
        <v>白班</v>
      </c>
      <c r="E58" s="143">
        <f>'6烧主抽电耗'!E58</f>
        <v>2</v>
      </c>
      <c r="F58" s="128" t="str">
        <f>'6烧主抽电耗'!F58</f>
        <v>乙班</v>
      </c>
      <c r="G58" s="144">
        <f>'5烧主抽电耗'!I58+'6烧主抽电耗'!I58</f>
        <v>0</v>
      </c>
      <c r="H58" s="102">
        <f>'5烧主抽电耗'!M58+'6烧主抽电耗'!M58</f>
        <v>0</v>
      </c>
      <c r="I58" s="102">
        <f>'5烧主抽电耗'!N58+'6烧主抽电耗'!N58</f>
        <v>0</v>
      </c>
      <c r="J58" s="102">
        <f>主抽数据!AJ60</f>
        <v>0</v>
      </c>
      <c r="K58" s="102">
        <f>主抽数据!AM60</f>
        <v>0</v>
      </c>
      <c r="L58" s="102">
        <f>主抽数据!AJ60+主抽数据!AM60</f>
        <v>0</v>
      </c>
      <c r="M58" s="209">
        <f>'6烧主抽电耗'!V58+'5烧主抽电耗'!V58</f>
        <v>0</v>
      </c>
      <c r="N58" s="210">
        <f t="shared" si="1"/>
        <v>0</v>
      </c>
    </row>
    <row r="59" spans="1:14">
      <c r="A59" s="133">
        <f t="shared" si="2"/>
        <v>43362</v>
      </c>
      <c r="B59" s="134">
        <f t="shared" si="3"/>
        <v>0.66666666666666696</v>
      </c>
      <c r="C59" s="133">
        <f t="shared" si="0"/>
        <v>43362.666666666664</v>
      </c>
      <c r="D59" s="134" t="str">
        <f t="shared" si="4"/>
        <v>中班</v>
      </c>
      <c r="E59" s="143">
        <f>'6烧主抽电耗'!E59</f>
        <v>3</v>
      </c>
      <c r="F59" s="128" t="str">
        <f>'6烧主抽电耗'!F59</f>
        <v>丙班</v>
      </c>
      <c r="G59" s="144">
        <f>'5烧主抽电耗'!I59+'6烧主抽电耗'!I59</f>
        <v>0</v>
      </c>
      <c r="H59" s="102">
        <f>'5烧主抽电耗'!M59+'6烧主抽电耗'!M59</f>
        <v>0</v>
      </c>
      <c r="I59" s="102">
        <f>'5烧主抽电耗'!N59+'6烧主抽电耗'!N59</f>
        <v>0</v>
      </c>
      <c r="J59" s="102">
        <f>主抽数据!AJ61</f>
        <v>0</v>
      </c>
      <c r="K59" s="102">
        <f>主抽数据!AM61</f>
        <v>0</v>
      </c>
      <c r="L59" s="102">
        <f>主抽数据!AJ61+主抽数据!AM61</f>
        <v>0</v>
      </c>
      <c r="M59" s="209">
        <f>'6烧主抽电耗'!V59+'5烧主抽电耗'!V59</f>
        <v>0</v>
      </c>
      <c r="N59" s="210">
        <f t="shared" si="1"/>
        <v>0</v>
      </c>
    </row>
    <row r="60" spans="1:14">
      <c r="A60" s="133">
        <f t="shared" si="2"/>
        <v>43363</v>
      </c>
      <c r="B60" s="134">
        <f t="shared" si="3"/>
        <v>0</v>
      </c>
      <c r="C60" s="133">
        <f t="shared" si="0"/>
        <v>43363</v>
      </c>
      <c r="D60" s="134" t="str">
        <f t="shared" si="4"/>
        <v>夜班</v>
      </c>
      <c r="E60" s="143">
        <f>'6烧主抽电耗'!E60</f>
        <v>4</v>
      </c>
      <c r="F60" s="128" t="str">
        <f>'6烧主抽电耗'!F60</f>
        <v>丁班</v>
      </c>
      <c r="G60" s="144">
        <f>'5烧主抽电耗'!I60+'6烧主抽电耗'!I60</f>
        <v>0</v>
      </c>
      <c r="H60" s="102">
        <f>'5烧主抽电耗'!M60+'6烧主抽电耗'!M60</f>
        <v>0</v>
      </c>
      <c r="I60" s="102">
        <f>'5烧主抽电耗'!N60+'6烧主抽电耗'!N60</f>
        <v>0</v>
      </c>
      <c r="J60" s="102">
        <f>主抽数据!AJ62</f>
        <v>0</v>
      </c>
      <c r="K60" s="102">
        <f>主抽数据!AM62</f>
        <v>0</v>
      </c>
      <c r="L60" s="102">
        <f>主抽数据!AJ62+主抽数据!AM62</f>
        <v>0</v>
      </c>
      <c r="M60" s="209">
        <f>'6烧主抽电耗'!V60+'5烧主抽电耗'!V60</f>
        <v>0</v>
      </c>
      <c r="N60" s="210">
        <f t="shared" si="1"/>
        <v>0</v>
      </c>
    </row>
    <row r="61" spans="1:14">
      <c r="A61" s="133">
        <f t="shared" si="2"/>
        <v>43363</v>
      </c>
      <c r="B61" s="134">
        <f t="shared" si="3"/>
        <v>0.33333333333333298</v>
      </c>
      <c r="C61" s="133">
        <f t="shared" si="0"/>
        <v>43363.333333333336</v>
      </c>
      <c r="D61" s="134" t="str">
        <f t="shared" si="4"/>
        <v>白班</v>
      </c>
      <c r="E61" s="143">
        <f>'6烧主抽电耗'!E61</f>
        <v>1</v>
      </c>
      <c r="F61" s="128" t="str">
        <f>'6烧主抽电耗'!F61</f>
        <v>甲班</v>
      </c>
      <c r="G61" s="144">
        <f>'5烧主抽电耗'!I61+'6烧主抽电耗'!I61</f>
        <v>0</v>
      </c>
      <c r="H61" s="102">
        <f>'5烧主抽电耗'!M61+'6烧主抽电耗'!M61</f>
        <v>0</v>
      </c>
      <c r="I61" s="102">
        <f>'5烧主抽电耗'!N61+'6烧主抽电耗'!N61</f>
        <v>0</v>
      </c>
      <c r="J61" s="102">
        <f>主抽数据!AJ63</f>
        <v>0</v>
      </c>
      <c r="K61" s="102">
        <f>主抽数据!AM63</f>
        <v>0</v>
      </c>
      <c r="L61" s="102">
        <f>主抽数据!AJ63+主抽数据!AM63</f>
        <v>0</v>
      </c>
      <c r="M61" s="209">
        <f>'6烧主抽电耗'!V61+'5烧主抽电耗'!V61</f>
        <v>0</v>
      </c>
      <c r="N61" s="210">
        <f t="shared" si="1"/>
        <v>0</v>
      </c>
    </row>
    <row r="62" spans="1:14">
      <c r="A62" s="133">
        <f t="shared" si="2"/>
        <v>43363</v>
      </c>
      <c r="B62" s="134">
        <f t="shared" si="3"/>
        <v>0.66666666666666696</v>
      </c>
      <c r="C62" s="133">
        <f t="shared" si="0"/>
        <v>43363.666666666664</v>
      </c>
      <c r="D62" s="134" t="str">
        <f t="shared" si="4"/>
        <v>中班</v>
      </c>
      <c r="E62" s="143">
        <f>'6烧主抽电耗'!E62</f>
        <v>2</v>
      </c>
      <c r="F62" s="128" t="str">
        <f>'6烧主抽电耗'!F62</f>
        <v>乙班</v>
      </c>
      <c r="G62" s="144">
        <f>'5烧主抽电耗'!I62+'6烧主抽电耗'!I62</f>
        <v>0</v>
      </c>
      <c r="H62" s="102">
        <f>'5烧主抽电耗'!M62+'6烧主抽电耗'!M62</f>
        <v>0</v>
      </c>
      <c r="I62" s="102">
        <f>'5烧主抽电耗'!N62+'6烧主抽电耗'!N62</f>
        <v>0</v>
      </c>
      <c r="J62" s="102">
        <f>主抽数据!AJ64</f>
        <v>0</v>
      </c>
      <c r="K62" s="102">
        <f>主抽数据!AM64</f>
        <v>0</v>
      </c>
      <c r="L62" s="102">
        <f>主抽数据!AJ64+主抽数据!AM64</f>
        <v>0</v>
      </c>
      <c r="M62" s="209">
        <f>'6烧主抽电耗'!V62+'5烧主抽电耗'!V62</f>
        <v>0</v>
      </c>
      <c r="N62" s="210">
        <f t="shared" si="1"/>
        <v>0</v>
      </c>
    </row>
    <row r="63" spans="1:14">
      <c r="A63" s="133">
        <f t="shared" si="2"/>
        <v>43364</v>
      </c>
      <c r="B63" s="134">
        <f t="shared" si="3"/>
        <v>0</v>
      </c>
      <c r="C63" s="133">
        <f t="shared" si="0"/>
        <v>43364</v>
      </c>
      <c r="D63" s="134" t="str">
        <f t="shared" si="4"/>
        <v>夜班</v>
      </c>
      <c r="E63" s="143">
        <f>'6烧主抽电耗'!E63</f>
        <v>4</v>
      </c>
      <c r="F63" s="128" t="str">
        <f>'6烧主抽电耗'!F63</f>
        <v>丁班</v>
      </c>
      <c r="G63" s="144">
        <f>'5烧主抽电耗'!I63+'6烧主抽电耗'!I63</f>
        <v>0</v>
      </c>
      <c r="H63" s="102">
        <f>'5烧主抽电耗'!M63+'6烧主抽电耗'!M63</f>
        <v>0</v>
      </c>
      <c r="I63" s="102">
        <f>'5烧主抽电耗'!N63+'6烧主抽电耗'!N63</f>
        <v>0</v>
      </c>
      <c r="J63" s="102">
        <f>主抽数据!AJ65</f>
        <v>0</v>
      </c>
      <c r="K63" s="102">
        <f>主抽数据!AM65</f>
        <v>0</v>
      </c>
      <c r="L63" s="102">
        <f>主抽数据!AJ65+主抽数据!AM65</f>
        <v>0</v>
      </c>
      <c r="M63" s="209">
        <f>'6烧主抽电耗'!V63+'5烧主抽电耗'!V63</f>
        <v>0</v>
      </c>
      <c r="N63" s="210">
        <f t="shared" si="1"/>
        <v>0</v>
      </c>
    </row>
    <row r="64" spans="1:14">
      <c r="A64" s="133">
        <f t="shared" si="2"/>
        <v>43364</v>
      </c>
      <c r="B64" s="134">
        <f t="shared" si="3"/>
        <v>0.33333333333333298</v>
      </c>
      <c r="C64" s="133">
        <f t="shared" si="0"/>
        <v>43364.333333333336</v>
      </c>
      <c r="D64" s="134" t="str">
        <f t="shared" si="4"/>
        <v>白班</v>
      </c>
      <c r="E64" s="143">
        <f>'6烧主抽电耗'!E64</f>
        <v>1</v>
      </c>
      <c r="F64" s="128" t="str">
        <f>'6烧主抽电耗'!F64</f>
        <v>甲班</v>
      </c>
      <c r="G64" s="144">
        <f>'5烧主抽电耗'!I64+'6烧主抽电耗'!I64</f>
        <v>0</v>
      </c>
      <c r="H64" s="102">
        <f>'5烧主抽电耗'!M64+'6烧主抽电耗'!M64</f>
        <v>0</v>
      </c>
      <c r="I64" s="102">
        <f>'5烧主抽电耗'!N64+'6烧主抽电耗'!N64</f>
        <v>0</v>
      </c>
      <c r="J64" s="102">
        <f>主抽数据!AJ66</f>
        <v>0</v>
      </c>
      <c r="K64" s="102">
        <f>主抽数据!AM66</f>
        <v>0</v>
      </c>
      <c r="L64" s="102">
        <f>主抽数据!AJ66+主抽数据!AM66</f>
        <v>0</v>
      </c>
      <c r="M64" s="209">
        <f>'6烧主抽电耗'!V64+'5烧主抽电耗'!V64</f>
        <v>0</v>
      </c>
      <c r="N64" s="210">
        <f t="shared" si="1"/>
        <v>0</v>
      </c>
    </row>
    <row r="65" spans="1:14">
      <c r="A65" s="133">
        <f t="shared" si="2"/>
        <v>43364</v>
      </c>
      <c r="B65" s="134">
        <f t="shared" si="3"/>
        <v>0.66666666666666696</v>
      </c>
      <c r="C65" s="133">
        <f t="shared" si="0"/>
        <v>43364.666666666664</v>
      </c>
      <c r="D65" s="134" t="str">
        <f t="shared" si="4"/>
        <v>中班</v>
      </c>
      <c r="E65" s="143">
        <f>'6烧主抽电耗'!E65</f>
        <v>2</v>
      </c>
      <c r="F65" s="128" t="str">
        <f>'6烧主抽电耗'!F65</f>
        <v>乙班</v>
      </c>
      <c r="G65" s="144">
        <f>'5烧主抽电耗'!I65+'6烧主抽电耗'!I65</f>
        <v>0</v>
      </c>
      <c r="H65" s="102">
        <f>'5烧主抽电耗'!M65+'6烧主抽电耗'!M65</f>
        <v>0</v>
      </c>
      <c r="I65" s="102">
        <f>'5烧主抽电耗'!N65+'6烧主抽电耗'!N65</f>
        <v>0</v>
      </c>
      <c r="J65" s="102">
        <f>主抽数据!AJ67</f>
        <v>0</v>
      </c>
      <c r="K65" s="102">
        <f>主抽数据!AM67</f>
        <v>0</v>
      </c>
      <c r="L65" s="102">
        <f>主抽数据!AJ67+主抽数据!AM67</f>
        <v>0</v>
      </c>
      <c r="M65" s="209">
        <f>'6烧主抽电耗'!V65+'5烧主抽电耗'!V65</f>
        <v>0</v>
      </c>
      <c r="N65" s="210">
        <f t="shared" si="1"/>
        <v>0</v>
      </c>
    </row>
    <row r="66" spans="1:14">
      <c r="A66" s="133">
        <f t="shared" si="2"/>
        <v>43365</v>
      </c>
      <c r="B66" s="134">
        <f t="shared" si="3"/>
        <v>0</v>
      </c>
      <c r="C66" s="133">
        <f t="shared" si="0"/>
        <v>43365</v>
      </c>
      <c r="D66" s="134" t="str">
        <f t="shared" si="4"/>
        <v>夜班</v>
      </c>
      <c r="E66" s="143">
        <f>'6烧主抽电耗'!E66</f>
        <v>3</v>
      </c>
      <c r="F66" s="128" t="str">
        <f>'6烧主抽电耗'!F66</f>
        <v>丙班</v>
      </c>
      <c r="G66" s="144">
        <f>'5烧主抽电耗'!I66+'6烧主抽电耗'!I66</f>
        <v>0</v>
      </c>
      <c r="H66" s="102">
        <f>'5烧主抽电耗'!M66+'6烧主抽电耗'!M66</f>
        <v>0</v>
      </c>
      <c r="I66" s="102">
        <f>'5烧主抽电耗'!N66+'6烧主抽电耗'!N66</f>
        <v>0</v>
      </c>
      <c r="J66" s="102">
        <f>主抽数据!AJ68</f>
        <v>0</v>
      </c>
      <c r="K66" s="102">
        <f>主抽数据!AM68</f>
        <v>0</v>
      </c>
      <c r="L66" s="102">
        <f>主抽数据!AJ68+主抽数据!AM68</f>
        <v>0</v>
      </c>
      <c r="M66" s="209">
        <f>'6烧主抽电耗'!V66+'5烧主抽电耗'!V66</f>
        <v>0</v>
      </c>
      <c r="N66" s="210">
        <f t="shared" si="1"/>
        <v>0</v>
      </c>
    </row>
    <row r="67" spans="1:14">
      <c r="A67" s="133">
        <f t="shared" si="2"/>
        <v>43365</v>
      </c>
      <c r="B67" s="134">
        <f t="shared" si="3"/>
        <v>0.33333333333333298</v>
      </c>
      <c r="C67" s="133">
        <f t="shared" si="0"/>
        <v>43365.333333333336</v>
      </c>
      <c r="D67" s="134" t="str">
        <f t="shared" si="4"/>
        <v>白班</v>
      </c>
      <c r="E67" s="143">
        <f>'6烧主抽电耗'!E67</f>
        <v>4</v>
      </c>
      <c r="F67" s="128" t="str">
        <f>'6烧主抽电耗'!F67</f>
        <v>丁班</v>
      </c>
      <c r="G67" s="144">
        <f>'5烧主抽电耗'!I67+'6烧主抽电耗'!I67</f>
        <v>0</v>
      </c>
      <c r="H67" s="102">
        <f>'5烧主抽电耗'!M67+'6烧主抽电耗'!M67</f>
        <v>0</v>
      </c>
      <c r="I67" s="102">
        <f>'5烧主抽电耗'!N67+'6烧主抽电耗'!N67</f>
        <v>0</v>
      </c>
      <c r="J67" s="102">
        <f>主抽数据!AJ69</f>
        <v>0</v>
      </c>
      <c r="K67" s="102">
        <f>主抽数据!AM69</f>
        <v>0</v>
      </c>
      <c r="L67" s="102">
        <f>主抽数据!AJ69+主抽数据!AM69</f>
        <v>0</v>
      </c>
      <c r="M67" s="209">
        <f>'6烧主抽电耗'!V67+'5烧主抽电耗'!V67</f>
        <v>0</v>
      </c>
      <c r="N67" s="210">
        <f t="shared" si="1"/>
        <v>0</v>
      </c>
    </row>
    <row r="68" spans="1:14">
      <c r="A68" s="133">
        <f t="shared" si="2"/>
        <v>43365</v>
      </c>
      <c r="B68" s="134">
        <f t="shared" si="3"/>
        <v>0.66666666666666696</v>
      </c>
      <c r="C68" s="133">
        <f t="shared" ref="C68:C96" si="5">A68+B68</f>
        <v>43365.666666666664</v>
      </c>
      <c r="D68" s="134" t="str">
        <f t="shared" si="4"/>
        <v>中班</v>
      </c>
      <c r="E68" s="143">
        <f>'6烧主抽电耗'!E68</f>
        <v>1</v>
      </c>
      <c r="F68" s="128" t="str">
        <f>'6烧主抽电耗'!F68</f>
        <v>甲班</v>
      </c>
      <c r="G68" s="144">
        <f>'5烧主抽电耗'!I68+'6烧主抽电耗'!I68</f>
        <v>0</v>
      </c>
      <c r="H68" s="102">
        <f>'5烧主抽电耗'!M68+'6烧主抽电耗'!M68</f>
        <v>0</v>
      </c>
      <c r="I68" s="102">
        <f>'5烧主抽电耗'!N68+'6烧主抽电耗'!N68</f>
        <v>0</v>
      </c>
      <c r="J68" s="102">
        <f>主抽数据!AJ70</f>
        <v>0</v>
      </c>
      <c r="K68" s="102">
        <f>主抽数据!AM70</f>
        <v>0</v>
      </c>
      <c r="L68" s="102">
        <f>主抽数据!AJ70+主抽数据!AM70</f>
        <v>0</v>
      </c>
      <c r="M68" s="209">
        <f>'6烧主抽电耗'!V68+'5烧主抽电耗'!V68</f>
        <v>0</v>
      </c>
      <c r="N68" s="210">
        <f t="shared" ref="N68:N95" si="6">L68-M68</f>
        <v>0</v>
      </c>
    </row>
    <row r="69" spans="1:14">
      <c r="A69" s="133">
        <f t="shared" si="2"/>
        <v>43366</v>
      </c>
      <c r="B69" s="134">
        <f t="shared" si="3"/>
        <v>0</v>
      </c>
      <c r="C69" s="133">
        <f t="shared" si="5"/>
        <v>43366</v>
      </c>
      <c r="D69" s="134" t="str">
        <f t="shared" si="4"/>
        <v>夜班</v>
      </c>
      <c r="E69" s="143">
        <f>'6烧主抽电耗'!E69</f>
        <v>3</v>
      </c>
      <c r="F69" s="128" t="str">
        <f>'6烧主抽电耗'!F69</f>
        <v>丙班</v>
      </c>
      <c r="G69" s="144">
        <f>'5烧主抽电耗'!I69+'6烧主抽电耗'!I69</f>
        <v>0</v>
      </c>
      <c r="H69" s="102">
        <f>'5烧主抽电耗'!M69+'6烧主抽电耗'!M69</f>
        <v>0</v>
      </c>
      <c r="I69" s="102">
        <f>'5烧主抽电耗'!N69+'6烧主抽电耗'!N69</f>
        <v>0</v>
      </c>
      <c r="J69" s="102">
        <f>主抽数据!AJ71</f>
        <v>0</v>
      </c>
      <c r="K69" s="102">
        <f>主抽数据!AM71</f>
        <v>0</v>
      </c>
      <c r="L69" s="102">
        <f>主抽数据!AJ71+主抽数据!AM71</f>
        <v>0</v>
      </c>
      <c r="M69" s="209">
        <f>'6烧主抽电耗'!V69+'5烧主抽电耗'!V69</f>
        <v>0</v>
      </c>
      <c r="N69" s="210">
        <f t="shared" si="6"/>
        <v>0</v>
      </c>
    </row>
    <row r="70" spans="1:14">
      <c r="A70" s="133">
        <f t="shared" si="2"/>
        <v>43366</v>
      </c>
      <c r="B70" s="134">
        <f t="shared" si="3"/>
        <v>0.33333333333333298</v>
      </c>
      <c r="C70" s="133">
        <f t="shared" si="5"/>
        <v>43366.333333333336</v>
      </c>
      <c r="D70" s="134" t="str">
        <f t="shared" si="4"/>
        <v>白班</v>
      </c>
      <c r="E70" s="143">
        <f>'6烧主抽电耗'!E70</f>
        <v>4</v>
      </c>
      <c r="F70" s="128" t="str">
        <f>'6烧主抽电耗'!F70</f>
        <v>丁班</v>
      </c>
      <c r="G70" s="144">
        <f>'5烧主抽电耗'!I70+'6烧主抽电耗'!I70</f>
        <v>0</v>
      </c>
      <c r="H70" s="102">
        <f>'5烧主抽电耗'!M70+'6烧主抽电耗'!M70</f>
        <v>0</v>
      </c>
      <c r="I70" s="102">
        <f>'5烧主抽电耗'!N70+'6烧主抽电耗'!N70</f>
        <v>0</v>
      </c>
      <c r="J70" s="102">
        <f>主抽数据!AJ72</f>
        <v>0</v>
      </c>
      <c r="K70" s="102">
        <f>主抽数据!AM72</f>
        <v>0</v>
      </c>
      <c r="L70" s="102">
        <f>主抽数据!AJ72+主抽数据!AM72</f>
        <v>0</v>
      </c>
      <c r="M70" s="209">
        <f>'6烧主抽电耗'!V70+'5烧主抽电耗'!V70</f>
        <v>0</v>
      </c>
      <c r="N70" s="210">
        <f t="shared" si="6"/>
        <v>0</v>
      </c>
    </row>
    <row r="71" spans="1:14">
      <c r="A71" s="133">
        <f t="shared" ref="A71:A96" si="7">A68+1</f>
        <v>43366</v>
      </c>
      <c r="B71" s="134">
        <f t="shared" ref="B71:B96" si="8">B68</f>
        <v>0.66666666666666696</v>
      </c>
      <c r="C71" s="133">
        <f t="shared" si="5"/>
        <v>43366.666666666664</v>
      </c>
      <c r="D71" s="134" t="str">
        <f t="shared" ref="D71:D96" si="9">D68</f>
        <v>中班</v>
      </c>
      <c r="E71" s="143">
        <f>'6烧主抽电耗'!E71</f>
        <v>1</v>
      </c>
      <c r="F71" s="128" t="str">
        <f>'6烧主抽电耗'!F71</f>
        <v>甲班</v>
      </c>
      <c r="G71" s="144">
        <f>'5烧主抽电耗'!I71+'6烧主抽电耗'!I71</f>
        <v>0</v>
      </c>
      <c r="H71" s="102">
        <f>'5烧主抽电耗'!M71+'6烧主抽电耗'!M71</f>
        <v>0</v>
      </c>
      <c r="I71" s="102">
        <f>'5烧主抽电耗'!N71+'6烧主抽电耗'!N71</f>
        <v>0</v>
      </c>
      <c r="J71" s="102">
        <f>主抽数据!AJ73</f>
        <v>0</v>
      </c>
      <c r="K71" s="102">
        <f>主抽数据!AM73</f>
        <v>0</v>
      </c>
      <c r="L71" s="102">
        <f>主抽数据!AJ73+主抽数据!AM73</f>
        <v>0</v>
      </c>
      <c r="M71" s="209">
        <f>'6烧主抽电耗'!V71+'5烧主抽电耗'!V71</f>
        <v>0</v>
      </c>
      <c r="N71" s="210">
        <f t="shared" si="6"/>
        <v>0</v>
      </c>
    </row>
    <row r="72" spans="1:14">
      <c r="A72" s="133">
        <f t="shared" si="7"/>
        <v>43367</v>
      </c>
      <c r="B72" s="134">
        <f t="shared" si="8"/>
        <v>0</v>
      </c>
      <c r="C72" s="133">
        <f t="shared" si="5"/>
        <v>43367</v>
      </c>
      <c r="D72" s="134" t="str">
        <f t="shared" si="9"/>
        <v>夜班</v>
      </c>
      <c r="E72" s="143">
        <f>'6烧主抽电耗'!E72</f>
        <v>2</v>
      </c>
      <c r="F72" s="128" t="str">
        <f>'6烧主抽电耗'!F72</f>
        <v>乙班</v>
      </c>
      <c r="G72" s="144">
        <f>'5烧主抽电耗'!I72+'6烧主抽电耗'!I72</f>
        <v>0</v>
      </c>
      <c r="H72" s="102">
        <f>'5烧主抽电耗'!M72+'6烧主抽电耗'!M72</f>
        <v>0</v>
      </c>
      <c r="I72" s="102">
        <f>'5烧主抽电耗'!N72+'6烧主抽电耗'!N72</f>
        <v>0</v>
      </c>
      <c r="J72" s="102">
        <f>主抽数据!AJ74</f>
        <v>0</v>
      </c>
      <c r="K72" s="102">
        <f>主抽数据!AM74</f>
        <v>0</v>
      </c>
      <c r="L72" s="102">
        <f>主抽数据!AJ74+主抽数据!AM74</f>
        <v>0</v>
      </c>
      <c r="M72" s="209">
        <f>'6烧主抽电耗'!V72+'5烧主抽电耗'!V72</f>
        <v>0</v>
      </c>
      <c r="N72" s="210">
        <f t="shared" si="6"/>
        <v>0</v>
      </c>
    </row>
    <row r="73" spans="1:14">
      <c r="A73" s="133">
        <f t="shared" si="7"/>
        <v>43367</v>
      </c>
      <c r="B73" s="134">
        <f t="shared" si="8"/>
        <v>0.33333333333333298</v>
      </c>
      <c r="C73" s="133">
        <f t="shared" si="5"/>
        <v>43367.333333333336</v>
      </c>
      <c r="D73" s="134" t="str">
        <f t="shared" si="9"/>
        <v>白班</v>
      </c>
      <c r="E73" s="143">
        <f>'6烧主抽电耗'!E73</f>
        <v>3</v>
      </c>
      <c r="F73" s="128" t="str">
        <f>'6烧主抽电耗'!F73</f>
        <v>丙班</v>
      </c>
      <c r="G73" s="144">
        <f>'5烧主抽电耗'!I73+'6烧主抽电耗'!I73</f>
        <v>0</v>
      </c>
      <c r="H73" s="102">
        <f>'5烧主抽电耗'!M73+'6烧主抽电耗'!M73</f>
        <v>0</v>
      </c>
      <c r="I73" s="102">
        <f>'5烧主抽电耗'!N73+'6烧主抽电耗'!N73</f>
        <v>0</v>
      </c>
      <c r="J73" s="102">
        <f>主抽数据!AJ75</f>
        <v>0</v>
      </c>
      <c r="K73" s="102">
        <f>主抽数据!AM75</f>
        <v>0</v>
      </c>
      <c r="L73" s="102">
        <f>主抽数据!AJ75+主抽数据!AM75</f>
        <v>0</v>
      </c>
      <c r="M73" s="209">
        <f>'6烧主抽电耗'!V73+'5烧主抽电耗'!V73</f>
        <v>0</v>
      </c>
      <c r="N73" s="210">
        <f t="shared" si="6"/>
        <v>0</v>
      </c>
    </row>
    <row r="74" spans="1:14">
      <c r="A74" s="133">
        <f t="shared" si="7"/>
        <v>43367</v>
      </c>
      <c r="B74" s="134">
        <f t="shared" si="8"/>
        <v>0.66666666666666696</v>
      </c>
      <c r="C74" s="133">
        <f t="shared" si="5"/>
        <v>43367.666666666664</v>
      </c>
      <c r="D74" s="134" t="str">
        <f t="shared" si="9"/>
        <v>中班</v>
      </c>
      <c r="E74" s="143">
        <f>'6烧主抽电耗'!E74</f>
        <v>4</v>
      </c>
      <c r="F74" s="128" t="str">
        <f>'6烧主抽电耗'!F74</f>
        <v>丁班</v>
      </c>
      <c r="G74" s="144">
        <f>'5烧主抽电耗'!I74+'6烧主抽电耗'!I74</f>
        <v>0</v>
      </c>
      <c r="H74" s="102">
        <f>'5烧主抽电耗'!M74+'6烧主抽电耗'!M74</f>
        <v>0</v>
      </c>
      <c r="I74" s="102">
        <f>'5烧主抽电耗'!N74+'6烧主抽电耗'!N74</f>
        <v>0</v>
      </c>
      <c r="J74" s="102">
        <f>主抽数据!AJ76</f>
        <v>0</v>
      </c>
      <c r="K74" s="102">
        <f>主抽数据!AM76</f>
        <v>0</v>
      </c>
      <c r="L74" s="102">
        <f>主抽数据!AJ76+主抽数据!AM76</f>
        <v>0</v>
      </c>
      <c r="M74" s="209">
        <f>'6烧主抽电耗'!V74+'5烧主抽电耗'!V74</f>
        <v>0</v>
      </c>
      <c r="N74" s="210">
        <f t="shared" si="6"/>
        <v>0</v>
      </c>
    </row>
    <row r="75" spans="1:14">
      <c r="A75" s="133">
        <f t="shared" si="7"/>
        <v>43368</v>
      </c>
      <c r="B75" s="134">
        <f t="shared" si="8"/>
        <v>0</v>
      </c>
      <c r="C75" s="133">
        <f t="shared" si="5"/>
        <v>43368</v>
      </c>
      <c r="D75" s="134" t="str">
        <f t="shared" si="9"/>
        <v>夜班</v>
      </c>
      <c r="E75" s="143">
        <f>'6烧主抽电耗'!E75</f>
        <v>2</v>
      </c>
      <c r="F75" s="128" t="str">
        <f>'6烧主抽电耗'!F75</f>
        <v>乙班</v>
      </c>
      <c r="G75" s="144">
        <f>'5烧主抽电耗'!I75+'6烧主抽电耗'!I75</f>
        <v>0</v>
      </c>
      <c r="H75" s="102">
        <f>'5烧主抽电耗'!M75+'6烧主抽电耗'!M75</f>
        <v>0</v>
      </c>
      <c r="I75" s="102">
        <f>'5烧主抽电耗'!N75+'6烧主抽电耗'!N75</f>
        <v>0</v>
      </c>
      <c r="J75" s="102">
        <f>主抽数据!AJ77</f>
        <v>0</v>
      </c>
      <c r="K75" s="102">
        <f>主抽数据!AM77</f>
        <v>0</v>
      </c>
      <c r="L75" s="102">
        <f>主抽数据!AJ77+主抽数据!AM77</f>
        <v>0</v>
      </c>
      <c r="M75" s="209">
        <f>'6烧主抽电耗'!V75+'5烧主抽电耗'!V75</f>
        <v>0</v>
      </c>
      <c r="N75" s="210">
        <f t="shared" si="6"/>
        <v>0</v>
      </c>
    </row>
    <row r="76" spans="1:14">
      <c r="A76" s="133">
        <f t="shared" si="7"/>
        <v>43368</v>
      </c>
      <c r="B76" s="134">
        <f t="shared" si="8"/>
        <v>0.33333333333333298</v>
      </c>
      <c r="C76" s="133">
        <f t="shared" si="5"/>
        <v>43368.333333333336</v>
      </c>
      <c r="D76" s="134" t="str">
        <f t="shared" si="9"/>
        <v>白班</v>
      </c>
      <c r="E76" s="143">
        <f>'6烧主抽电耗'!E76</f>
        <v>3</v>
      </c>
      <c r="F76" s="128" t="str">
        <f>'6烧主抽电耗'!F76</f>
        <v>丙班</v>
      </c>
      <c r="G76" s="144">
        <f>'5烧主抽电耗'!I76+'6烧主抽电耗'!I76</f>
        <v>0</v>
      </c>
      <c r="H76" s="102">
        <f>'5烧主抽电耗'!M76+'6烧主抽电耗'!M76</f>
        <v>0</v>
      </c>
      <c r="I76" s="102">
        <f>'5烧主抽电耗'!N76+'6烧主抽电耗'!N76</f>
        <v>0</v>
      </c>
      <c r="J76" s="102">
        <f>主抽数据!AJ78</f>
        <v>0</v>
      </c>
      <c r="K76" s="102">
        <f>主抽数据!AM78</f>
        <v>0</v>
      </c>
      <c r="L76" s="102">
        <f>主抽数据!AJ78+主抽数据!AM78</f>
        <v>0</v>
      </c>
      <c r="M76" s="209">
        <f>'6烧主抽电耗'!V76+'5烧主抽电耗'!V76</f>
        <v>0</v>
      </c>
      <c r="N76" s="210">
        <f t="shared" si="6"/>
        <v>0</v>
      </c>
    </row>
    <row r="77" spans="1:14">
      <c r="A77" s="133">
        <f t="shared" si="7"/>
        <v>43368</v>
      </c>
      <c r="B77" s="134">
        <f t="shared" si="8"/>
        <v>0.66666666666666696</v>
      </c>
      <c r="C77" s="133">
        <f t="shared" si="5"/>
        <v>43368.666666666664</v>
      </c>
      <c r="D77" s="134" t="str">
        <f t="shared" si="9"/>
        <v>中班</v>
      </c>
      <c r="E77" s="143">
        <f>'6烧主抽电耗'!E77</f>
        <v>4</v>
      </c>
      <c r="F77" s="128" t="str">
        <f>'6烧主抽电耗'!F77</f>
        <v>丁班</v>
      </c>
      <c r="G77" s="144">
        <f>'5烧主抽电耗'!I77+'6烧主抽电耗'!I77</f>
        <v>0</v>
      </c>
      <c r="H77" s="102">
        <f>'5烧主抽电耗'!M77+'6烧主抽电耗'!M77</f>
        <v>0</v>
      </c>
      <c r="I77" s="102">
        <f>'5烧主抽电耗'!N77+'6烧主抽电耗'!N77</f>
        <v>0</v>
      </c>
      <c r="J77" s="102">
        <f>主抽数据!AJ79</f>
        <v>0</v>
      </c>
      <c r="K77" s="102">
        <f>主抽数据!AM79</f>
        <v>0</v>
      </c>
      <c r="L77" s="102">
        <f>主抽数据!AJ79+主抽数据!AM79</f>
        <v>0</v>
      </c>
      <c r="M77" s="209">
        <f>'6烧主抽电耗'!V77+'5烧主抽电耗'!V77</f>
        <v>0</v>
      </c>
      <c r="N77" s="210">
        <f t="shared" si="6"/>
        <v>0</v>
      </c>
    </row>
    <row r="78" spans="1:14">
      <c r="A78" s="133">
        <f t="shared" si="7"/>
        <v>43369</v>
      </c>
      <c r="B78" s="134">
        <f t="shared" si="8"/>
        <v>0</v>
      </c>
      <c r="C78" s="133">
        <f t="shared" si="5"/>
        <v>43369</v>
      </c>
      <c r="D78" s="134" t="str">
        <f t="shared" si="9"/>
        <v>夜班</v>
      </c>
      <c r="E78" s="143">
        <f>'6烧主抽电耗'!E78</f>
        <v>1</v>
      </c>
      <c r="F78" s="128" t="str">
        <f>'6烧主抽电耗'!F78</f>
        <v>甲班</v>
      </c>
      <c r="G78" s="144">
        <f>'5烧主抽电耗'!I78+'6烧主抽电耗'!I78</f>
        <v>0</v>
      </c>
      <c r="H78" s="102">
        <f>'5烧主抽电耗'!M78+'6烧主抽电耗'!M78</f>
        <v>0</v>
      </c>
      <c r="I78" s="102">
        <f>'5烧主抽电耗'!N78+'6烧主抽电耗'!N78</f>
        <v>0</v>
      </c>
      <c r="J78" s="102">
        <f>主抽数据!AJ80</f>
        <v>0</v>
      </c>
      <c r="K78" s="102">
        <f>主抽数据!AM80</f>
        <v>0</v>
      </c>
      <c r="L78" s="102">
        <f>主抽数据!AJ80+主抽数据!AM80</f>
        <v>0</v>
      </c>
      <c r="M78" s="209">
        <f>'6烧主抽电耗'!V78+'5烧主抽电耗'!V78</f>
        <v>0</v>
      </c>
      <c r="N78" s="210">
        <f t="shared" si="6"/>
        <v>0</v>
      </c>
    </row>
    <row r="79" spans="1:14">
      <c r="A79" s="133">
        <f t="shared" si="7"/>
        <v>43369</v>
      </c>
      <c r="B79" s="134">
        <f t="shared" si="8"/>
        <v>0.33333333333333298</v>
      </c>
      <c r="C79" s="133">
        <f t="shared" si="5"/>
        <v>43369.333333333336</v>
      </c>
      <c r="D79" s="134" t="str">
        <f t="shared" si="9"/>
        <v>白班</v>
      </c>
      <c r="E79" s="143">
        <f>'6烧主抽电耗'!E79</f>
        <v>2</v>
      </c>
      <c r="F79" s="128" t="str">
        <f>'6烧主抽电耗'!F79</f>
        <v>乙班</v>
      </c>
      <c r="G79" s="144">
        <f>'5烧主抽电耗'!I79+'6烧主抽电耗'!I79</f>
        <v>0</v>
      </c>
      <c r="H79" s="102">
        <f>'5烧主抽电耗'!M79+'6烧主抽电耗'!M79</f>
        <v>0</v>
      </c>
      <c r="I79" s="102">
        <f>'5烧主抽电耗'!N79+'6烧主抽电耗'!N79</f>
        <v>0</v>
      </c>
      <c r="J79" s="102">
        <f>主抽数据!AJ81</f>
        <v>0</v>
      </c>
      <c r="K79" s="102">
        <f>主抽数据!AM81</f>
        <v>0</v>
      </c>
      <c r="L79" s="102">
        <f>主抽数据!AJ81+主抽数据!AM81</f>
        <v>0</v>
      </c>
      <c r="M79" s="209">
        <f>'6烧主抽电耗'!V79+'5烧主抽电耗'!V79</f>
        <v>0</v>
      </c>
      <c r="N79" s="210">
        <f t="shared" si="6"/>
        <v>0</v>
      </c>
    </row>
    <row r="80" spans="1:14">
      <c r="A80" s="133">
        <f t="shared" si="7"/>
        <v>43369</v>
      </c>
      <c r="B80" s="134">
        <f t="shared" si="8"/>
        <v>0.66666666666666696</v>
      </c>
      <c r="C80" s="133">
        <f t="shared" si="5"/>
        <v>43369.666666666664</v>
      </c>
      <c r="D80" s="134" t="str">
        <f t="shared" si="9"/>
        <v>中班</v>
      </c>
      <c r="E80" s="143">
        <f>'6烧主抽电耗'!E80</f>
        <v>3</v>
      </c>
      <c r="F80" s="128" t="str">
        <f>'6烧主抽电耗'!F80</f>
        <v>丙班</v>
      </c>
      <c r="G80" s="144">
        <f>'5烧主抽电耗'!I80+'6烧主抽电耗'!I80</f>
        <v>0</v>
      </c>
      <c r="H80" s="102">
        <f>'5烧主抽电耗'!M80+'6烧主抽电耗'!M80</f>
        <v>0</v>
      </c>
      <c r="I80" s="102">
        <f>'5烧主抽电耗'!N80+'6烧主抽电耗'!N80</f>
        <v>0</v>
      </c>
      <c r="J80" s="102">
        <f>主抽数据!AJ82</f>
        <v>0</v>
      </c>
      <c r="K80" s="102">
        <f>主抽数据!AM82</f>
        <v>0</v>
      </c>
      <c r="L80" s="102">
        <f>主抽数据!AJ82+主抽数据!AM82</f>
        <v>0</v>
      </c>
      <c r="M80" s="209">
        <f>'6烧主抽电耗'!V80+'5烧主抽电耗'!V80</f>
        <v>0</v>
      </c>
      <c r="N80" s="210">
        <f t="shared" si="6"/>
        <v>0</v>
      </c>
    </row>
    <row r="81" spans="1:14">
      <c r="A81" s="133">
        <f t="shared" si="7"/>
        <v>43370</v>
      </c>
      <c r="B81" s="134">
        <f t="shared" si="8"/>
        <v>0</v>
      </c>
      <c r="C81" s="133">
        <f t="shared" si="5"/>
        <v>43370</v>
      </c>
      <c r="D81" s="134" t="str">
        <f t="shared" si="9"/>
        <v>夜班</v>
      </c>
      <c r="E81" s="143">
        <f>'6烧主抽电耗'!E81</f>
        <v>1</v>
      </c>
      <c r="F81" s="128" t="str">
        <f>'6烧主抽电耗'!F81</f>
        <v>甲班</v>
      </c>
      <c r="G81" s="144">
        <f>'5烧主抽电耗'!I81+'6烧主抽电耗'!I81</f>
        <v>0</v>
      </c>
      <c r="H81" s="102">
        <f>'5烧主抽电耗'!M81+'6烧主抽电耗'!M81</f>
        <v>0</v>
      </c>
      <c r="I81" s="102">
        <f>'5烧主抽电耗'!N81+'6烧主抽电耗'!N81</f>
        <v>0</v>
      </c>
      <c r="J81" s="102">
        <f>主抽数据!AJ83</f>
        <v>0</v>
      </c>
      <c r="K81" s="102">
        <f>主抽数据!AM83</f>
        <v>0</v>
      </c>
      <c r="L81" s="102">
        <f>主抽数据!AJ83+主抽数据!AM83</f>
        <v>0</v>
      </c>
      <c r="M81" s="209">
        <f>'6烧主抽电耗'!V81+'5烧主抽电耗'!V81</f>
        <v>0</v>
      </c>
      <c r="N81" s="210">
        <f t="shared" si="6"/>
        <v>0</v>
      </c>
    </row>
    <row r="82" spans="1:14">
      <c r="A82" s="133">
        <f t="shared" si="7"/>
        <v>43370</v>
      </c>
      <c r="B82" s="134">
        <f t="shared" si="8"/>
        <v>0.33333333333333298</v>
      </c>
      <c r="C82" s="133">
        <f t="shared" si="5"/>
        <v>43370.333333333336</v>
      </c>
      <c r="D82" s="134" t="str">
        <f t="shared" si="9"/>
        <v>白班</v>
      </c>
      <c r="E82" s="143">
        <f>'6烧主抽电耗'!E82</f>
        <v>2</v>
      </c>
      <c r="F82" s="128" t="str">
        <f>'6烧主抽电耗'!F82</f>
        <v>乙班</v>
      </c>
      <c r="G82" s="144">
        <f>'5烧主抽电耗'!I82+'6烧主抽电耗'!I82</f>
        <v>0</v>
      </c>
      <c r="H82" s="102">
        <f>'5烧主抽电耗'!M82+'6烧主抽电耗'!M82</f>
        <v>0</v>
      </c>
      <c r="I82" s="102">
        <f>'5烧主抽电耗'!N82+'6烧主抽电耗'!N82</f>
        <v>0</v>
      </c>
      <c r="J82" s="102">
        <f>主抽数据!AJ84</f>
        <v>0</v>
      </c>
      <c r="K82" s="102">
        <f>主抽数据!AM84</f>
        <v>0</v>
      </c>
      <c r="L82" s="102">
        <f>主抽数据!AJ84+主抽数据!AM84</f>
        <v>0</v>
      </c>
      <c r="M82" s="209">
        <f>'6烧主抽电耗'!V82+'5烧主抽电耗'!V82</f>
        <v>0</v>
      </c>
      <c r="N82" s="210">
        <f t="shared" si="6"/>
        <v>0</v>
      </c>
    </row>
    <row r="83" spans="1:14">
      <c r="A83" s="133">
        <f t="shared" si="7"/>
        <v>43370</v>
      </c>
      <c r="B83" s="134">
        <f t="shared" si="8"/>
        <v>0.66666666666666696</v>
      </c>
      <c r="C83" s="133">
        <f t="shared" si="5"/>
        <v>43370.666666666664</v>
      </c>
      <c r="D83" s="134" t="str">
        <f t="shared" si="9"/>
        <v>中班</v>
      </c>
      <c r="E83" s="143">
        <f>'6烧主抽电耗'!E83</f>
        <v>3</v>
      </c>
      <c r="F83" s="128" t="str">
        <f>'6烧主抽电耗'!F83</f>
        <v>丙班</v>
      </c>
      <c r="G83" s="144">
        <f>'5烧主抽电耗'!I83+'6烧主抽电耗'!I83</f>
        <v>0</v>
      </c>
      <c r="H83" s="102">
        <f>'5烧主抽电耗'!M83+'6烧主抽电耗'!M83</f>
        <v>0</v>
      </c>
      <c r="I83" s="102">
        <f>'5烧主抽电耗'!N83+'6烧主抽电耗'!N83</f>
        <v>0</v>
      </c>
      <c r="J83" s="102">
        <f>主抽数据!AJ85</f>
        <v>0</v>
      </c>
      <c r="K83" s="102">
        <f>主抽数据!AM85</f>
        <v>0</v>
      </c>
      <c r="L83" s="102">
        <f>主抽数据!AJ85+主抽数据!AM85</f>
        <v>0</v>
      </c>
      <c r="M83" s="209">
        <f>'6烧主抽电耗'!V83+'5烧主抽电耗'!V83</f>
        <v>0</v>
      </c>
      <c r="N83" s="210">
        <f t="shared" si="6"/>
        <v>0</v>
      </c>
    </row>
    <row r="84" spans="1:14">
      <c r="A84" s="133">
        <f t="shared" si="7"/>
        <v>43371</v>
      </c>
      <c r="B84" s="134">
        <f t="shared" si="8"/>
        <v>0</v>
      </c>
      <c r="C84" s="133">
        <f t="shared" si="5"/>
        <v>43371</v>
      </c>
      <c r="D84" s="134" t="str">
        <f t="shared" si="9"/>
        <v>夜班</v>
      </c>
      <c r="E84" s="143">
        <f>'6烧主抽电耗'!E84</f>
        <v>4</v>
      </c>
      <c r="F84" s="128" t="str">
        <f>'6烧主抽电耗'!F84</f>
        <v>丁班</v>
      </c>
      <c r="G84" s="144">
        <f>'5烧主抽电耗'!I84+'6烧主抽电耗'!I84</f>
        <v>0</v>
      </c>
      <c r="H84" s="102">
        <f>'5烧主抽电耗'!M84+'6烧主抽电耗'!M84</f>
        <v>0</v>
      </c>
      <c r="I84" s="102">
        <f>'5烧主抽电耗'!N84+'6烧主抽电耗'!N84</f>
        <v>0</v>
      </c>
      <c r="J84" s="102">
        <f>主抽数据!AJ86</f>
        <v>0</v>
      </c>
      <c r="K84" s="102">
        <f>主抽数据!AM86</f>
        <v>0</v>
      </c>
      <c r="L84" s="102">
        <f>主抽数据!AJ86+主抽数据!AM86</f>
        <v>0</v>
      </c>
      <c r="M84" s="209">
        <f>'6烧主抽电耗'!V84+'5烧主抽电耗'!V84</f>
        <v>0</v>
      </c>
      <c r="N84" s="210">
        <f t="shared" si="6"/>
        <v>0</v>
      </c>
    </row>
    <row r="85" spans="1:14">
      <c r="A85" s="133">
        <f t="shared" si="7"/>
        <v>43371</v>
      </c>
      <c r="B85" s="134">
        <f t="shared" si="8"/>
        <v>0.33333333333333298</v>
      </c>
      <c r="C85" s="133">
        <f t="shared" si="5"/>
        <v>43371.333333333336</v>
      </c>
      <c r="D85" s="134" t="str">
        <f t="shared" si="9"/>
        <v>白班</v>
      </c>
      <c r="E85" s="143">
        <f>'6烧主抽电耗'!E85</f>
        <v>1</v>
      </c>
      <c r="F85" s="128" t="str">
        <f>'6烧主抽电耗'!F85</f>
        <v>甲班</v>
      </c>
      <c r="G85" s="144">
        <f>'5烧主抽电耗'!I85+'6烧主抽电耗'!I85</f>
        <v>0</v>
      </c>
      <c r="H85" s="102">
        <f>'5烧主抽电耗'!M85+'6烧主抽电耗'!M85</f>
        <v>0</v>
      </c>
      <c r="I85" s="102">
        <f>'5烧主抽电耗'!N85+'6烧主抽电耗'!N85</f>
        <v>0</v>
      </c>
      <c r="J85" s="102">
        <f>主抽数据!AJ87</f>
        <v>0</v>
      </c>
      <c r="K85" s="102">
        <f>主抽数据!AM87</f>
        <v>0</v>
      </c>
      <c r="L85" s="102">
        <f>主抽数据!AJ87+主抽数据!AM87</f>
        <v>0</v>
      </c>
      <c r="M85" s="209">
        <f>'6烧主抽电耗'!V85+'5烧主抽电耗'!V85</f>
        <v>0</v>
      </c>
      <c r="N85" s="210">
        <f t="shared" si="6"/>
        <v>0</v>
      </c>
    </row>
    <row r="86" spans="1:14">
      <c r="A86" s="133">
        <f t="shared" si="7"/>
        <v>43371</v>
      </c>
      <c r="B86" s="134">
        <f t="shared" si="8"/>
        <v>0.66666666666666696</v>
      </c>
      <c r="C86" s="133">
        <f t="shared" si="5"/>
        <v>43371.666666666664</v>
      </c>
      <c r="D86" s="134" t="str">
        <f t="shared" si="9"/>
        <v>中班</v>
      </c>
      <c r="E86" s="143">
        <f>'6烧主抽电耗'!E86</f>
        <v>2</v>
      </c>
      <c r="F86" s="128" t="str">
        <f>'6烧主抽电耗'!F86</f>
        <v>乙班</v>
      </c>
      <c r="G86" s="144">
        <f>'5烧主抽电耗'!I86+'6烧主抽电耗'!I86</f>
        <v>0</v>
      </c>
      <c r="H86" s="102">
        <f>'5烧主抽电耗'!M86+'6烧主抽电耗'!M86</f>
        <v>0</v>
      </c>
      <c r="I86" s="102">
        <f>'5烧主抽电耗'!N86+'6烧主抽电耗'!N86</f>
        <v>0</v>
      </c>
      <c r="J86" s="102">
        <f>主抽数据!AJ88</f>
        <v>0</v>
      </c>
      <c r="K86" s="102">
        <f>主抽数据!AM88</f>
        <v>0</v>
      </c>
      <c r="L86" s="102">
        <f>主抽数据!AJ88+主抽数据!AM88</f>
        <v>0</v>
      </c>
      <c r="M86" s="209">
        <f>'6烧主抽电耗'!V86+'5烧主抽电耗'!V86</f>
        <v>0</v>
      </c>
      <c r="N86" s="210">
        <f t="shared" si="6"/>
        <v>0</v>
      </c>
    </row>
    <row r="87" spans="1:14">
      <c r="A87" s="133">
        <f t="shared" si="7"/>
        <v>43372</v>
      </c>
      <c r="B87" s="134">
        <f t="shared" si="8"/>
        <v>0</v>
      </c>
      <c r="C87" s="133">
        <f t="shared" si="5"/>
        <v>43372</v>
      </c>
      <c r="D87" s="134" t="str">
        <f t="shared" si="9"/>
        <v>夜班</v>
      </c>
      <c r="E87" s="143">
        <f>'6烧主抽电耗'!E87</f>
        <v>4</v>
      </c>
      <c r="F87" s="128" t="str">
        <f>'6烧主抽电耗'!F87</f>
        <v>丁班</v>
      </c>
      <c r="G87" s="144">
        <f>'5烧主抽电耗'!I87+'6烧主抽电耗'!I87</f>
        <v>0</v>
      </c>
      <c r="H87" s="102">
        <f>'5烧主抽电耗'!M87+'6烧主抽电耗'!M87</f>
        <v>0</v>
      </c>
      <c r="I87" s="102">
        <f>'5烧主抽电耗'!N87+'6烧主抽电耗'!N87</f>
        <v>0</v>
      </c>
      <c r="J87" s="102">
        <f>主抽数据!AJ89</f>
        <v>0</v>
      </c>
      <c r="K87" s="102">
        <f>主抽数据!AM89</f>
        <v>0</v>
      </c>
      <c r="L87" s="102">
        <f>主抽数据!AJ89+主抽数据!AM89</f>
        <v>0</v>
      </c>
      <c r="M87" s="209">
        <f>'6烧主抽电耗'!V87+'5烧主抽电耗'!V87</f>
        <v>0</v>
      </c>
      <c r="N87" s="210">
        <f t="shared" si="6"/>
        <v>0</v>
      </c>
    </row>
    <row r="88" spans="1:14">
      <c r="A88" s="133">
        <f t="shared" si="7"/>
        <v>43372</v>
      </c>
      <c r="B88" s="134">
        <f t="shared" si="8"/>
        <v>0.33333333333333298</v>
      </c>
      <c r="C88" s="133">
        <f t="shared" si="5"/>
        <v>43372.333333333336</v>
      </c>
      <c r="D88" s="134" t="str">
        <f t="shared" si="9"/>
        <v>白班</v>
      </c>
      <c r="E88" s="143">
        <f>'6烧主抽电耗'!E88</f>
        <v>1</v>
      </c>
      <c r="F88" s="128" t="str">
        <f>'6烧主抽电耗'!F88</f>
        <v>甲班</v>
      </c>
      <c r="G88" s="144">
        <f>'5烧主抽电耗'!I88+'6烧主抽电耗'!I88</f>
        <v>0</v>
      </c>
      <c r="H88" s="102">
        <f>'5烧主抽电耗'!M88+'6烧主抽电耗'!M88</f>
        <v>0</v>
      </c>
      <c r="I88" s="102">
        <f>'5烧主抽电耗'!N88+'6烧主抽电耗'!N88</f>
        <v>0</v>
      </c>
      <c r="J88" s="102">
        <f>主抽数据!AJ90</f>
        <v>0</v>
      </c>
      <c r="K88" s="102">
        <f>主抽数据!AM90</f>
        <v>0</v>
      </c>
      <c r="L88" s="102">
        <f>主抽数据!AJ90+主抽数据!AM90</f>
        <v>0</v>
      </c>
      <c r="M88" s="209">
        <f>'6烧主抽电耗'!V88+'5烧主抽电耗'!V88</f>
        <v>0</v>
      </c>
      <c r="N88" s="210">
        <f t="shared" si="6"/>
        <v>0</v>
      </c>
    </row>
    <row r="89" spans="1:14">
      <c r="A89" s="133">
        <f t="shared" si="7"/>
        <v>43372</v>
      </c>
      <c r="B89" s="134">
        <f t="shared" si="8"/>
        <v>0.66666666666666696</v>
      </c>
      <c r="C89" s="133">
        <f t="shared" si="5"/>
        <v>43372.666666666664</v>
      </c>
      <c r="D89" s="134" t="str">
        <f t="shared" si="9"/>
        <v>中班</v>
      </c>
      <c r="E89" s="143">
        <f>'6烧主抽电耗'!E89</f>
        <v>2</v>
      </c>
      <c r="F89" s="128" t="str">
        <f>'6烧主抽电耗'!F89</f>
        <v>乙班</v>
      </c>
      <c r="G89" s="144">
        <f>'5烧主抽电耗'!I89+'6烧主抽电耗'!I89</f>
        <v>0</v>
      </c>
      <c r="H89" s="102">
        <f>'5烧主抽电耗'!M89+'6烧主抽电耗'!M89</f>
        <v>0</v>
      </c>
      <c r="I89" s="102">
        <f>'5烧主抽电耗'!N89+'6烧主抽电耗'!N89</f>
        <v>0</v>
      </c>
      <c r="J89" s="102">
        <f>主抽数据!AJ91</f>
        <v>0</v>
      </c>
      <c r="K89" s="102">
        <f>主抽数据!AM91</f>
        <v>0</v>
      </c>
      <c r="L89" s="102">
        <f>主抽数据!AJ91+主抽数据!AM91</f>
        <v>0</v>
      </c>
      <c r="M89" s="209">
        <f>'6烧主抽电耗'!V89+'5烧主抽电耗'!V89</f>
        <v>0</v>
      </c>
      <c r="N89" s="210">
        <f t="shared" si="6"/>
        <v>0</v>
      </c>
    </row>
    <row r="90" spans="1:14">
      <c r="A90" s="133">
        <f t="shared" si="7"/>
        <v>43373</v>
      </c>
      <c r="B90" s="134">
        <f t="shared" si="8"/>
        <v>0</v>
      </c>
      <c r="C90" s="133">
        <f t="shared" si="5"/>
        <v>43373</v>
      </c>
      <c r="D90" s="134" t="str">
        <f t="shared" si="9"/>
        <v>夜班</v>
      </c>
      <c r="E90" s="143">
        <f>'6烧主抽电耗'!E90</f>
        <v>3</v>
      </c>
      <c r="F90" s="128" t="str">
        <f>'6烧主抽电耗'!F90</f>
        <v>丙班</v>
      </c>
      <c r="G90" s="144">
        <f>'5烧主抽电耗'!I90+'6烧主抽电耗'!I90</f>
        <v>0</v>
      </c>
      <c r="H90" s="102">
        <f>'5烧主抽电耗'!M90+'6烧主抽电耗'!M90</f>
        <v>0</v>
      </c>
      <c r="I90" s="102">
        <f>'5烧主抽电耗'!N90+'6烧主抽电耗'!N90</f>
        <v>0</v>
      </c>
      <c r="J90" s="102">
        <f>主抽数据!AJ92</f>
        <v>0</v>
      </c>
      <c r="K90" s="102">
        <f>主抽数据!AM92</f>
        <v>0</v>
      </c>
      <c r="L90" s="102">
        <f>主抽数据!AJ92+主抽数据!AM92</f>
        <v>0</v>
      </c>
      <c r="M90" s="209">
        <f>'6烧主抽电耗'!V90+'5烧主抽电耗'!V90</f>
        <v>0</v>
      </c>
      <c r="N90" s="210">
        <f t="shared" si="6"/>
        <v>0</v>
      </c>
    </row>
    <row r="91" spans="1:14">
      <c r="A91" s="133">
        <f t="shared" si="7"/>
        <v>43373</v>
      </c>
      <c r="B91" s="134">
        <f t="shared" si="8"/>
        <v>0.33333333333333298</v>
      </c>
      <c r="C91" s="133">
        <f t="shared" si="5"/>
        <v>43373.333333333336</v>
      </c>
      <c r="D91" s="134" t="str">
        <f t="shared" si="9"/>
        <v>白班</v>
      </c>
      <c r="E91" s="143">
        <f>'6烧主抽电耗'!E91</f>
        <v>4</v>
      </c>
      <c r="F91" s="128" t="str">
        <f>'6烧主抽电耗'!F91</f>
        <v>丁班</v>
      </c>
      <c r="G91" s="144">
        <f>'5烧主抽电耗'!I91+'6烧主抽电耗'!I91</f>
        <v>0</v>
      </c>
      <c r="H91" s="102">
        <f>'5烧主抽电耗'!M91+'6烧主抽电耗'!M91</f>
        <v>0</v>
      </c>
      <c r="I91" s="102">
        <f>'5烧主抽电耗'!N91+'6烧主抽电耗'!N91</f>
        <v>0</v>
      </c>
      <c r="J91" s="102">
        <f>主抽数据!AJ93</f>
        <v>0</v>
      </c>
      <c r="K91" s="102">
        <f>主抽数据!AM93</f>
        <v>0</v>
      </c>
      <c r="L91" s="102">
        <f>主抽数据!AJ93+主抽数据!AM93</f>
        <v>0</v>
      </c>
      <c r="M91" s="209">
        <f>'6烧主抽电耗'!V91+'5烧主抽电耗'!V91</f>
        <v>0</v>
      </c>
      <c r="N91" s="210">
        <f t="shared" si="6"/>
        <v>0</v>
      </c>
    </row>
    <row r="92" spans="1:14">
      <c r="A92" s="133">
        <f t="shared" si="7"/>
        <v>43373</v>
      </c>
      <c r="B92" s="134">
        <f t="shared" si="8"/>
        <v>0.66666666666666696</v>
      </c>
      <c r="C92" s="133">
        <f t="shared" si="5"/>
        <v>43373.666666666664</v>
      </c>
      <c r="D92" s="134" t="str">
        <f t="shared" si="9"/>
        <v>中班</v>
      </c>
      <c r="E92" s="143">
        <f>'6烧主抽电耗'!E92</f>
        <v>1</v>
      </c>
      <c r="F92" s="128" t="str">
        <f>'6烧主抽电耗'!F92</f>
        <v>甲班</v>
      </c>
      <c r="G92" s="144">
        <f>'5烧主抽电耗'!I92+'6烧主抽电耗'!I92</f>
        <v>0</v>
      </c>
      <c r="H92" s="102">
        <f>'5烧主抽电耗'!M92+'6烧主抽电耗'!M92</f>
        <v>0</v>
      </c>
      <c r="I92" s="102">
        <f>'5烧主抽电耗'!N92+'6烧主抽电耗'!N92</f>
        <v>0</v>
      </c>
      <c r="J92" s="102">
        <f>主抽数据!AJ94</f>
        <v>0</v>
      </c>
      <c r="K92" s="102">
        <f>主抽数据!AM94</f>
        <v>0</v>
      </c>
      <c r="L92" s="102">
        <f>主抽数据!AJ94+主抽数据!AM94</f>
        <v>0</v>
      </c>
      <c r="M92" s="209">
        <f>'6烧主抽电耗'!V92+'5烧主抽电耗'!V92</f>
        <v>0</v>
      </c>
      <c r="N92" s="210">
        <f t="shared" si="6"/>
        <v>0</v>
      </c>
    </row>
    <row r="93" spans="1:14">
      <c r="A93" s="133">
        <f t="shared" si="7"/>
        <v>43374</v>
      </c>
      <c r="B93" s="134">
        <f t="shared" si="8"/>
        <v>0</v>
      </c>
      <c r="C93" s="133">
        <f t="shared" si="5"/>
        <v>43374</v>
      </c>
      <c r="D93" s="134" t="str">
        <f t="shared" si="9"/>
        <v>夜班</v>
      </c>
      <c r="E93" s="143">
        <f>'6烧主抽电耗'!E93</f>
        <v>3</v>
      </c>
      <c r="F93" s="128" t="str">
        <f>'6烧主抽电耗'!F93</f>
        <v>丙班</v>
      </c>
      <c r="G93" s="144">
        <f>'5烧主抽电耗'!I93+'6烧主抽电耗'!I93</f>
        <v>0</v>
      </c>
      <c r="H93" s="102">
        <f>'5烧主抽电耗'!M93+'6烧主抽电耗'!M93</f>
        <v>0</v>
      </c>
      <c r="I93" s="102">
        <f>'5烧主抽电耗'!N93+'6烧主抽电耗'!N93</f>
        <v>0</v>
      </c>
      <c r="J93" s="102">
        <f>主抽数据!AJ95</f>
        <v>0</v>
      </c>
      <c r="K93" s="102">
        <f>主抽数据!AM95</f>
        <v>0</v>
      </c>
      <c r="L93" s="102">
        <f>主抽数据!AJ95+主抽数据!AM95</f>
        <v>0</v>
      </c>
      <c r="M93" s="209">
        <f>'6烧主抽电耗'!V93+'5烧主抽电耗'!V93</f>
        <v>0</v>
      </c>
      <c r="N93" s="210">
        <f t="shared" si="6"/>
        <v>0</v>
      </c>
    </row>
    <row r="94" spans="1:14">
      <c r="A94" s="133">
        <f t="shared" si="7"/>
        <v>43374</v>
      </c>
      <c r="B94" s="134">
        <f t="shared" si="8"/>
        <v>0.33333333333333298</v>
      </c>
      <c r="C94" s="133">
        <f t="shared" si="5"/>
        <v>43374.333333333336</v>
      </c>
      <c r="D94" s="134" t="str">
        <f t="shared" si="9"/>
        <v>白班</v>
      </c>
      <c r="E94" s="143">
        <f>'6烧主抽电耗'!E94</f>
        <v>4</v>
      </c>
      <c r="F94" s="128" t="str">
        <f>'6烧主抽电耗'!F94</f>
        <v>丁班</v>
      </c>
      <c r="G94" s="144">
        <f>'5烧主抽电耗'!I94+'6烧主抽电耗'!I94</f>
        <v>0</v>
      </c>
      <c r="H94" s="102">
        <f>'5烧主抽电耗'!M94+'6烧主抽电耗'!M94</f>
        <v>0</v>
      </c>
      <c r="I94" s="102">
        <f>'5烧主抽电耗'!N94+'6烧主抽电耗'!N94</f>
        <v>0</v>
      </c>
      <c r="J94" s="102">
        <f>主抽数据!AJ96</f>
        <v>0</v>
      </c>
      <c r="K94" s="102" t="e">
        <f>主抽数据!AM96</f>
        <v>#REF!</v>
      </c>
      <c r="L94" s="102" t="e">
        <f>主抽数据!AJ96+主抽数据!AM96</f>
        <v>#REF!</v>
      </c>
      <c r="M94" s="209">
        <f>'6烧主抽电耗'!V94+'5烧主抽电耗'!V94</f>
        <v>0</v>
      </c>
      <c r="N94" s="210" t="e">
        <f t="shared" si="6"/>
        <v>#REF!</v>
      </c>
    </row>
    <row r="95" spans="1:14">
      <c r="A95" s="133">
        <f t="shared" si="7"/>
        <v>43374</v>
      </c>
      <c r="B95" s="134">
        <f t="shared" si="8"/>
        <v>0.66666666666666696</v>
      </c>
      <c r="C95" s="133">
        <f t="shared" si="5"/>
        <v>43374.666666666664</v>
      </c>
      <c r="D95" s="134" t="str">
        <f t="shared" si="9"/>
        <v>中班</v>
      </c>
      <c r="E95" s="143">
        <f>'6烧主抽电耗'!E95</f>
        <v>1</v>
      </c>
      <c r="F95" s="128" t="str">
        <f>'6烧主抽电耗'!F95</f>
        <v>甲班</v>
      </c>
      <c r="G95" s="144">
        <f>'5烧主抽电耗'!I95+'6烧主抽电耗'!I95</f>
        <v>0</v>
      </c>
      <c r="H95" s="102">
        <f>'5烧主抽电耗'!M95+'6烧主抽电耗'!M95</f>
        <v>0</v>
      </c>
      <c r="I95" s="102">
        <f>'5烧主抽电耗'!N95+'6烧主抽电耗'!N95</f>
        <v>0</v>
      </c>
      <c r="J95" s="102">
        <f>主抽数据!AJ97</f>
        <v>0</v>
      </c>
      <c r="K95" s="102" t="e">
        <f>主抽数据!AM97</f>
        <v>#REF!</v>
      </c>
      <c r="L95" s="102" t="e">
        <f>主抽数据!AJ97+主抽数据!AM97</f>
        <v>#REF!</v>
      </c>
      <c r="M95" s="209">
        <f>'6烧主抽电耗'!V95+'5烧主抽电耗'!V95</f>
        <v>0</v>
      </c>
      <c r="N95" s="210" t="e">
        <f t="shared" si="6"/>
        <v>#REF!</v>
      </c>
    </row>
    <row r="96" spans="1:14">
      <c r="A96" s="133">
        <f t="shared" si="7"/>
        <v>43375</v>
      </c>
      <c r="B96" s="134">
        <f t="shared" si="8"/>
        <v>0</v>
      </c>
      <c r="C96" s="133">
        <f t="shared" si="5"/>
        <v>43375</v>
      </c>
      <c r="D96" s="134" t="str">
        <f t="shared" si="9"/>
        <v>夜班</v>
      </c>
      <c r="E96" s="143">
        <f>'6烧主抽电耗'!E96</f>
        <v>2</v>
      </c>
      <c r="F96" s="128"/>
      <c r="G96" s="144"/>
      <c r="H96" s="102"/>
      <c r="I96" s="102"/>
      <c r="J96" s="102"/>
      <c r="K96" s="102"/>
      <c r="L96" s="102"/>
      <c r="M96" s="209"/>
      <c r="N96" s="210"/>
    </row>
    <row r="97" spans="1:14">
      <c r="A97" s="211" t="s">
        <v>75</v>
      </c>
      <c r="B97" s="211"/>
      <c r="C97" s="211"/>
      <c r="D97" s="211"/>
      <c r="E97" s="211"/>
      <c r="F97" s="211"/>
      <c r="G97" s="144">
        <f>SUM(G3:G96)</f>
        <v>0</v>
      </c>
      <c r="H97" s="102">
        <f>'5烧主抽电耗'!M96+'6烧主抽电耗'!M96</f>
        <v>0</v>
      </c>
      <c r="I97" s="102">
        <f>'5烧主抽电耗'!N96+'6烧主抽电耗'!N96</f>
        <v>0</v>
      </c>
      <c r="J97" s="102"/>
      <c r="K97" s="102"/>
      <c r="L97" s="102" t="e">
        <f>#REF!*1000/I97/5.8</f>
        <v>#REF!</v>
      </c>
      <c r="M97" s="209">
        <v>13.05</v>
      </c>
      <c r="N97" s="210" t="e">
        <f>L97-M97</f>
        <v>#REF!</v>
      </c>
    </row>
  </sheetData>
  <mergeCells count="1">
    <mergeCell ref="A1:N1"/>
  </mergeCells>
  <phoneticPr fontId="53" type="noConversion"/>
  <pageMargins left="0.15902777777777799" right="0.15902777777777799" top="0.97916666666666696" bottom="0.97916666666666696" header="0.50902777777777797" footer="0.5090277777777779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D97"/>
  <sheetViews>
    <sheetView workbookViewId="0">
      <pane xSplit="1" ySplit="2" topLeftCell="B3" activePane="bottomRight" state="frozen"/>
      <selection pane="topRight"/>
      <selection pane="bottomLeft"/>
      <selection pane="bottomRight" activeCell="H9" sqref="H9"/>
    </sheetView>
  </sheetViews>
  <sheetFormatPr defaultColWidth="9" defaultRowHeight="20.25" customHeight="1"/>
  <cols>
    <col min="1" max="1" width="13" style="189"/>
    <col min="2" max="2" width="6.5" style="111"/>
    <col min="3" max="3" width="9.5" style="111"/>
    <col min="4" max="4" width="6" style="111"/>
    <col min="5" max="5" width="3.5" style="111"/>
    <col min="6" max="6" width="6" style="111"/>
    <col min="7" max="8" width="10.25" style="112"/>
    <col min="9" max="9" width="10.25" style="190"/>
    <col min="10" max="11" width="10.375" style="112"/>
    <col min="12" max="12" width="10.5" style="111" customWidth="1"/>
    <col min="13" max="13" width="11.625" style="114"/>
    <col min="14" max="14" width="9.5" style="112"/>
    <col min="15" max="15" width="10.5" style="115"/>
    <col min="16" max="16" width="9.5" style="117"/>
    <col min="17" max="17" width="9.5" style="191"/>
    <col min="18" max="18" width="9.5" style="117"/>
    <col min="19" max="19" width="9.5" style="191"/>
    <col min="20" max="20" width="11.625" style="115" customWidth="1"/>
    <col min="21" max="21" width="11.625" style="191" customWidth="1"/>
    <col min="22" max="22" width="14.125" style="117"/>
    <col min="23" max="23" width="12.875" style="118"/>
    <col min="24" max="24" width="8.5" style="119"/>
    <col min="25" max="25" width="17.5" style="120" customWidth="1"/>
    <col min="26" max="26" width="24.75" style="121" customWidth="1"/>
    <col min="27" max="28" width="9" style="118"/>
    <col min="29" max="29" width="10.125" style="122" customWidth="1"/>
    <col min="30" max="238" width="9" style="123"/>
  </cols>
  <sheetData>
    <row r="1" spans="1:34" ht="27" customHeight="1">
      <c r="A1" s="368" t="s">
        <v>76</v>
      </c>
      <c r="B1" s="369"/>
      <c r="C1" s="369"/>
      <c r="D1" s="369"/>
      <c r="E1" s="369"/>
      <c r="F1" s="369"/>
      <c r="G1" s="369"/>
      <c r="H1" s="369"/>
      <c r="I1" s="369"/>
      <c r="J1" s="369"/>
      <c r="K1" s="369"/>
      <c r="L1" s="369"/>
      <c r="M1" s="369"/>
      <c r="N1" s="369"/>
      <c r="O1" s="369"/>
      <c r="P1" s="370"/>
      <c r="Q1" s="369"/>
      <c r="R1" s="370"/>
      <c r="S1" s="369"/>
      <c r="T1" s="369"/>
      <c r="U1" s="369"/>
      <c r="V1" s="370"/>
      <c r="W1" s="370"/>
      <c r="X1" s="369"/>
      <c r="Y1" s="369"/>
      <c r="Z1" s="369"/>
    </row>
    <row r="2" spans="1:34" s="109" customFormat="1" ht="45" customHeight="1">
      <c r="A2" s="192" t="s">
        <v>66</v>
      </c>
      <c r="B2" s="125"/>
      <c r="C2" s="125"/>
      <c r="D2" s="125" t="s">
        <v>13</v>
      </c>
      <c r="E2" s="125"/>
      <c r="F2" s="125" t="s">
        <v>14</v>
      </c>
      <c r="G2" s="127" t="s">
        <v>77</v>
      </c>
      <c r="H2" s="127" t="s">
        <v>78</v>
      </c>
      <c r="I2" s="136" t="s">
        <v>79</v>
      </c>
      <c r="J2" s="137" t="s">
        <v>80</v>
      </c>
      <c r="K2" s="137" t="s">
        <v>81</v>
      </c>
      <c r="L2" s="138" t="s">
        <v>82</v>
      </c>
      <c r="M2" s="139" t="s">
        <v>68</v>
      </c>
      <c r="N2" s="137" t="s">
        <v>69</v>
      </c>
      <c r="O2" s="140" t="s">
        <v>83</v>
      </c>
      <c r="P2" s="139" t="s">
        <v>84</v>
      </c>
      <c r="Q2" s="137" t="s">
        <v>85</v>
      </c>
      <c r="R2" s="139" t="s">
        <v>86</v>
      </c>
      <c r="S2" s="137" t="s">
        <v>87</v>
      </c>
      <c r="T2" s="140" t="s">
        <v>88</v>
      </c>
      <c r="U2" s="140" t="s">
        <v>89</v>
      </c>
      <c r="V2" s="139" t="s">
        <v>90</v>
      </c>
      <c r="W2" s="139" t="s">
        <v>74</v>
      </c>
      <c r="X2" s="140" t="s">
        <v>91</v>
      </c>
      <c r="Y2" s="138" t="s">
        <v>92</v>
      </c>
      <c r="Z2" s="154" t="s">
        <v>93</v>
      </c>
      <c r="AA2" s="155" t="s">
        <v>94</v>
      </c>
      <c r="AB2" s="156" t="s">
        <v>95</v>
      </c>
      <c r="AC2" s="157" t="s">
        <v>96</v>
      </c>
      <c r="AE2" s="155" t="s">
        <v>97</v>
      </c>
      <c r="AF2" s="156" t="s">
        <v>98</v>
      </c>
      <c r="AG2" s="169" t="s">
        <v>99</v>
      </c>
      <c r="AH2" s="169" t="s">
        <v>100</v>
      </c>
    </row>
    <row r="3" spans="1:34" ht="27" customHeight="1">
      <c r="A3" s="193">
        <f>主抽数据!B3</f>
        <v>43344</v>
      </c>
      <c r="B3" s="129">
        <v>0</v>
      </c>
      <c r="C3" s="128">
        <f t="shared" ref="C3:C8" si="0">A3+B3</f>
        <v>43344</v>
      </c>
      <c r="D3" s="128" t="s">
        <v>37</v>
      </c>
      <c r="E3" s="143">
        <f>'6烧主抽电耗'!E3</f>
        <v>2</v>
      </c>
      <c r="F3" s="143" t="str">
        <f>'6烧主抽电耗'!F3</f>
        <v>乙班</v>
      </c>
      <c r="G3" s="132">
        <f>SUMPRODUCT((_5shaozhuchou_month_day!$A$3:$A$900&gt;=C3)*(_5shaozhuchou_month_day!$A$3:$A$900&lt;C4),_5shaozhuchou_month_day!$Y$3:$Y$900)/8</f>
        <v>0</v>
      </c>
      <c r="H3" s="132">
        <f>(G3-G3*25%)*0.81*8</f>
        <v>0</v>
      </c>
      <c r="I3" s="195">
        <f t="shared" ref="I3:I11" si="1">X3</f>
        <v>0</v>
      </c>
      <c r="J3" s="196">
        <f>SUMPRODUCT((主抽数据!$AU$5:$AU$97=$A3)*(主抽数据!$AV$5:$AV$97=$F3),主抽数据!$AH$5:$AH$97)</f>
        <v>42534</v>
      </c>
      <c r="K3" s="196">
        <f>SUMPRODUCT((主抽数据!$AU$5:$AU$97=$A3)*(主抽数据!$AV$5:$AV$97=$F3),主抽数据!$AI$5:$AI$97)</f>
        <v>36957</v>
      </c>
      <c r="L3" s="143">
        <f>J3+K3</f>
        <v>79491</v>
      </c>
      <c r="M3" s="143">
        <f>SUMPRODUCT((_5shaozhuchou_month_day!$A$3:$A$900&gt;=C3)*(_5shaozhuchou_month_day!$A$3:$A$900&lt;C4),_5shaozhuchou_month_day!$Z$3:$Z$900)</f>
        <v>0</v>
      </c>
      <c r="N3" s="132">
        <f>M3*查询与汇总!$F$1</f>
        <v>0</v>
      </c>
      <c r="O3" s="144">
        <f>IF(N3=0,0,L3/N3)</f>
        <v>0</v>
      </c>
      <c r="P3" s="143">
        <f>IF(G3=0,0,SUMPRODUCT((_5shaozhuchou_month_day!$A$3:$A$900&gt;=$C3)*(_5shaozhuchou_month_day!$A$3:$A$900&lt;$C4),_5shaozhuchou_month_day!T$3:T$900)/SUMPRODUCT((_5shaozhuchou_month_day!$A$3:$A$900&gt;=$C3)*(_5shaozhuchou_month_day!$A$3:$A$900&lt;$C4)*(_5shaozhuchou_month_day!T$3:T$900&gt;0)))</f>
        <v>0</v>
      </c>
      <c r="Q3" s="145">
        <f>IF(G3=0,0,SUMPRODUCT((_5shaozhuchou_month_day!$A$3:$A$900&gt;=$C3)*(_5shaozhuchou_month_day!$A$3:$A$900&lt;$C4),_5shaozhuchou_month_day!U$3:U$900)/SUMPRODUCT((_5shaozhuchou_month_day!$A$3:$A$900&gt;=$C3)*(_5shaozhuchou_month_day!$A$3:$A$900&lt;$C4)*(_5shaozhuchou_month_day!U$3:U$900&lt;0)))</f>
        <v>0</v>
      </c>
      <c r="R3" s="143">
        <f>IF(G3=0,0,SUMPRODUCT((_5shaozhuchou_month_day!$A$3:$A$900&gt;=$C3)*(_5shaozhuchou_month_day!$A$3:$A$900&lt;$C4),_5shaozhuchou_month_day!V$3:V$900)/SUMPRODUCT((_5shaozhuchou_month_day!$A$3:$A$900&gt;=$C3)*(_5shaozhuchou_month_day!$A$3:$A$900&lt;$C4)*(_5shaozhuchou_month_day!V$3:V$900&gt;0)))</f>
        <v>0</v>
      </c>
      <c r="S3" s="145">
        <f>IF(G3=0,0,SUMPRODUCT((_5shaozhuchou_month_day!$A$3:$A$900&gt;=$C3)*(_5shaozhuchou_month_day!$A$3:$A$900&lt;$C4),_5shaozhuchou_month_day!W$3:W$900)/SUMPRODUCT((_5shaozhuchou_month_day!$A$3:$A$900&gt;=$C3)*(_5shaozhuchou_month_day!$A$3:$A$900&lt;$C4)*(_5shaozhuchou_month_day!W$3:W$900&lt;0)))</f>
        <v>0</v>
      </c>
      <c r="T3" s="145" t="str">
        <f>主抽数据!K5</f>
        <v/>
      </c>
      <c r="U3" s="132" t="str">
        <f>主抽数据!L5</f>
        <v/>
      </c>
      <c r="V3" s="148">
        <f>查询与汇总!$J$1*M3</f>
        <v>0</v>
      </c>
      <c r="W3" s="149">
        <f>L3-V3</f>
        <v>79491</v>
      </c>
      <c r="X3" s="150"/>
      <c r="Y3" s="198"/>
      <c r="Z3" s="159"/>
      <c r="AA3" s="160" t="str">
        <f>主抽数据!M5</f>
        <v/>
      </c>
      <c r="AB3" s="161" t="str">
        <f>主抽数据!N5</f>
        <v/>
      </c>
      <c r="AC3" s="162">
        <f>IF(V3=-W3,0,W3*0.6/10000)</f>
        <v>4.7694599999999996</v>
      </c>
      <c r="AE3" s="123" t="e">
        <f>AA3/10</f>
        <v>#VALUE!</v>
      </c>
      <c r="AF3" s="123" t="e">
        <f>AB3/10</f>
        <v>#VALUE!</v>
      </c>
      <c r="AG3" s="123">
        <f>-Q3</f>
        <v>0</v>
      </c>
      <c r="AH3" s="123">
        <f>-S3</f>
        <v>0</v>
      </c>
    </row>
    <row r="4" spans="1:34" ht="20.25" customHeight="1">
      <c r="A4" s="194">
        <f>A3</f>
        <v>43344</v>
      </c>
      <c r="B4" s="134">
        <v>0.33333333333333298</v>
      </c>
      <c r="C4" s="133">
        <f t="shared" si="0"/>
        <v>43344.333333333336</v>
      </c>
      <c r="D4" s="133" t="s">
        <v>39</v>
      </c>
      <c r="E4" s="143">
        <f>'6烧主抽电耗'!E4</f>
        <v>3</v>
      </c>
      <c r="F4" s="143" t="str">
        <f>'6烧主抽电耗'!F4</f>
        <v>丙班</v>
      </c>
      <c r="G4" s="132">
        <f>SUMPRODUCT((_5shaozhuchou_month_day!$A$3:$A$900&gt;=C4)*(_5shaozhuchou_month_day!$A$3:$A$900&lt;C5),_5shaozhuchou_month_day!$Y$3:$Y$900)/8</f>
        <v>0</v>
      </c>
      <c r="H4" s="132">
        <f t="shared" ref="H4:H67" si="2">(G4-G4*25%)*0.81*8</f>
        <v>0</v>
      </c>
      <c r="I4" s="195">
        <f t="shared" si="1"/>
        <v>0</v>
      </c>
      <c r="J4" s="196">
        <f>SUMPRODUCT((主抽数据!$AU$5:$AU$97=$A4)*(主抽数据!$AV$5:$AV$97=$F4),主抽数据!$AH$5:$AH$97)</f>
        <v>38481</v>
      </c>
      <c r="K4" s="196">
        <f>SUMPRODUCT((主抽数据!$AU$5:$AU$97=$A4)*(主抽数据!$AV$5:$AV$97=$F4),主抽数据!$AI$5:$AI$97)</f>
        <v>35424</v>
      </c>
      <c r="L4" s="143">
        <f t="shared" ref="L4:L35" si="3">J4+K4</f>
        <v>73905</v>
      </c>
      <c r="M4" s="143">
        <f>SUMPRODUCT((_5shaozhuchou_month_day!$A$3:$A$900&gt;=C4)*(_5shaozhuchou_month_day!$A$3:$A$900&lt;C5),_5shaozhuchou_month_day!$Z$3:$Z$900)</f>
        <v>0</v>
      </c>
      <c r="N4" s="132">
        <f>M4*查询与汇总!$F$1</f>
        <v>0</v>
      </c>
      <c r="O4" s="144">
        <f t="shared" ref="O4:O35" si="4">IF(N4=0,0,L4/N4)</f>
        <v>0</v>
      </c>
      <c r="P4" s="143">
        <f>IF(G4=0,0,SUMPRODUCT((_5shaozhuchou_month_day!$A$3:$A$900&gt;=$C4)*(_5shaozhuchou_month_day!$A$3:$A$900&lt;$C5),_5shaozhuchou_month_day!T$3:T$900)/SUMPRODUCT((_5shaozhuchou_month_day!$A$3:$A$900&gt;=$C4)*(_5shaozhuchou_month_day!$A$3:$A$900&lt;$C5)*(_5shaozhuchou_month_day!T$3:T$900&gt;0)))</f>
        <v>0</v>
      </c>
      <c r="Q4" s="145">
        <f>IF(G4=0,0,SUMPRODUCT((_5shaozhuchou_month_day!$A$3:$A$900&gt;=$C4)*(_5shaozhuchou_month_day!$A$3:$A$900&lt;$C5),_5shaozhuchou_month_day!U$3:U$900)/SUMPRODUCT((_5shaozhuchou_month_day!$A$3:$A$900&gt;=$C4)*(_5shaozhuchou_month_day!$A$3:$A$900&lt;$C5)*(_5shaozhuchou_month_day!U$3:U$900&lt;0)))</f>
        <v>0</v>
      </c>
      <c r="R4" s="143">
        <f>IF(G4=0,0,SUMPRODUCT((_5shaozhuchou_month_day!$A$3:$A$900&gt;=$C4)*(_5shaozhuchou_month_day!$A$3:$A$900&lt;$C5),_5shaozhuchou_month_day!V$3:V$900)/SUMPRODUCT((_5shaozhuchou_month_day!$A$3:$A$900&gt;=$C4)*(_5shaozhuchou_month_day!$A$3:$A$900&lt;$C5)*(_5shaozhuchou_month_day!V$3:V$900&gt;0)))</f>
        <v>0</v>
      </c>
      <c r="S4" s="145">
        <f>IF(G4=0,0,SUMPRODUCT((_5shaozhuchou_month_day!$A$3:$A$900&gt;=$C4)*(_5shaozhuchou_month_day!$A$3:$A$900&lt;$C5),_5shaozhuchou_month_day!W$3:W$900)/SUMPRODUCT((_5shaozhuchou_month_day!$A$3:$A$900&gt;=$C4)*(_5shaozhuchou_month_day!$A$3:$A$900&lt;$C5)*(_5shaozhuchou_month_day!W$3:W$900&lt;0)))</f>
        <v>0</v>
      </c>
      <c r="T4" s="145" t="str">
        <f>主抽数据!K6</f>
        <v/>
      </c>
      <c r="U4" s="132" t="str">
        <f>主抽数据!L6</f>
        <v/>
      </c>
      <c r="V4" s="148">
        <f>查询与汇总!$J$1*M4</f>
        <v>0</v>
      </c>
      <c r="W4" s="149">
        <f t="shared" ref="W4:W35" si="5">L4-V4</f>
        <v>73905</v>
      </c>
      <c r="X4" s="151"/>
      <c r="Y4" s="198"/>
      <c r="Z4" s="159"/>
      <c r="AA4" s="160" t="str">
        <f>主抽数据!M6</f>
        <v/>
      </c>
      <c r="AB4" s="161" t="str">
        <f>主抽数据!N6</f>
        <v/>
      </c>
      <c r="AC4" s="162">
        <f t="shared" ref="AC4:AC35" si="6">IF(V4=-W4,0,W4*0.6/10000)</f>
        <v>4.4343000000000004</v>
      </c>
      <c r="AE4" s="123" t="e">
        <f t="shared" ref="AE4:AE35" si="7">AA4/10</f>
        <v>#VALUE!</v>
      </c>
      <c r="AF4" s="123" t="e">
        <f t="shared" ref="AF4:AF35" si="8">AB4/10</f>
        <v>#VALUE!</v>
      </c>
      <c r="AG4" s="123">
        <f t="shared" ref="AG4:AG67" si="9">-Q4</f>
        <v>0</v>
      </c>
      <c r="AH4" s="123">
        <f t="shared" ref="AH4:AH67" si="10">-S4</f>
        <v>0</v>
      </c>
    </row>
    <row r="5" spans="1:34" ht="20.25" customHeight="1">
      <c r="A5" s="194">
        <f>A4</f>
        <v>43344</v>
      </c>
      <c r="B5" s="134">
        <v>0.66666666666666696</v>
      </c>
      <c r="C5" s="133">
        <f t="shared" si="0"/>
        <v>43344.666666666664</v>
      </c>
      <c r="D5" s="133" t="s">
        <v>41</v>
      </c>
      <c r="E5" s="143">
        <f>'6烧主抽电耗'!E5</f>
        <v>4</v>
      </c>
      <c r="F5" s="143" t="str">
        <f>'6烧主抽电耗'!F5</f>
        <v>丁班</v>
      </c>
      <c r="G5" s="132">
        <f>SUMPRODUCT((_5shaozhuchou_month_day!$A$3:$A$900&gt;=C5)*(_5shaozhuchou_month_day!$A$3:$A$900&lt;C6),_5shaozhuchou_month_day!$Y$3:$Y$900)/8</f>
        <v>0</v>
      </c>
      <c r="H5" s="132">
        <f t="shared" si="2"/>
        <v>0</v>
      </c>
      <c r="I5" s="195">
        <f t="shared" si="1"/>
        <v>0</v>
      </c>
      <c r="J5" s="196">
        <f>SUMPRODUCT((主抽数据!$AU$5:$AU$97=$A5)*(主抽数据!$AV$5:$AV$97=$F5),主抽数据!$AH$5:$AH$97)</f>
        <v>39807</v>
      </c>
      <c r="K5" s="196">
        <f>SUMPRODUCT((主抽数据!$AU$5:$AU$97=$A5)*(主抽数据!$AV$5:$AV$97=$F5),主抽数据!$AI$5:$AI$97)</f>
        <v>33681</v>
      </c>
      <c r="L5" s="143">
        <f t="shared" si="3"/>
        <v>73488</v>
      </c>
      <c r="M5" s="143">
        <f>SUMPRODUCT((_5shaozhuchou_month_day!$A$3:$A$900&gt;=C5)*(_5shaozhuchou_month_day!$A$3:$A$900&lt;C6),_5shaozhuchou_month_day!$Z$3:$Z$900)</f>
        <v>0</v>
      </c>
      <c r="N5" s="132">
        <f>M5*查询与汇总!$F$1</f>
        <v>0</v>
      </c>
      <c r="O5" s="144">
        <f t="shared" si="4"/>
        <v>0</v>
      </c>
      <c r="P5" s="143">
        <f>IF(G5=0,0,SUMPRODUCT((_5shaozhuchou_month_day!$A$3:$A$900&gt;=$C5)*(_5shaozhuchou_month_day!$A$3:$A$900&lt;$C6),_5shaozhuchou_month_day!T$3:T$900)/SUMPRODUCT((_5shaozhuchou_month_day!$A$3:$A$900&gt;=$C5)*(_5shaozhuchou_month_day!$A$3:$A$900&lt;$C6)*(_5shaozhuchou_month_day!T$3:T$900&gt;0)))</f>
        <v>0</v>
      </c>
      <c r="Q5" s="145">
        <f>IF(G5=0,0,SUMPRODUCT((_5shaozhuchou_month_day!$A$3:$A$900&gt;=$C5)*(_5shaozhuchou_month_day!$A$3:$A$900&lt;$C6),_5shaozhuchou_month_day!U$3:U$900)/SUMPRODUCT((_5shaozhuchou_month_day!$A$3:$A$900&gt;=$C5)*(_5shaozhuchou_month_day!$A$3:$A$900&lt;$C6)*(_5shaozhuchou_month_day!U$3:U$900&lt;0)))</f>
        <v>0</v>
      </c>
      <c r="R5" s="143">
        <f>IF(G5=0,0,SUMPRODUCT((_5shaozhuchou_month_day!$A$3:$A$900&gt;=$C5)*(_5shaozhuchou_month_day!$A$3:$A$900&lt;$C6),_5shaozhuchou_month_day!V$3:V$900)/SUMPRODUCT((_5shaozhuchou_month_day!$A$3:$A$900&gt;=$C5)*(_5shaozhuchou_month_day!$A$3:$A$900&lt;$C6)*(_5shaozhuchou_month_day!V$3:V$900&gt;0)))</f>
        <v>0</v>
      </c>
      <c r="S5" s="145">
        <f>IF(G5=0,0,SUMPRODUCT((_5shaozhuchou_month_day!$A$3:$A$900&gt;=$C5)*(_5shaozhuchou_month_day!$A$3:$A$900&lt;$C6),_5shaozhuchou_month_day!W$3:W$900)/SUMPRODUCT((_5shaozhuchou_month_day!$A$3:$A$900&gt;=$C5)*(_5shaozhuchou_month_day!$A$3:$A$900&lt;$C6)*(_5shaozhuchou_month_day!W$3:W$900&lt;0)))</f>
        <v>0</v>
      </c>
      <c r="T5" s="145" t="str">
        <f>主抽数据!K7</f>
        <v/>
      </c>
      <c r="U5" s="132" t="str">
        <f>主抽数据!L7</f>
        <v/>
      </c>
      <c r="V5" s="148">
        <f>查询与汇总!$J$1*M5</f>
        <v>0</v>
      </c>
      <c r="W5" s="149">
        <f t="shared" si="5"/>
        <v>73488</v>
      </c>
      <c r="X5" s="151"/>
      <c r="Y5" s="198"/>
      <c r="Z5" s="159"/>
      <c r="AA5" s="160" t="str">
        <f>主抽数据!M7</f>
        <v/>
      </c>
      <c r="AB5" s="161" t="str">
        <f>主抽数据!N7</f>
        <v/>
      </c>
      <c r="AC5" s="162">
        <f t="shared" si="6"/>
        <v>4.4092799999999999</v>
      </c>
      <c r="AE5" s="123" t="e">
        <f t="shared" si="7"/>
        <v>#VALUE!</v>
      </c>
      <c r="AF5" s="123" t="e">
        <f t="shared" si="8"/>
        <v>#VALUE!</v>
      </c>
      <c r="AG5" s="123">
        <f t="shared" si="9"/>
        <v>0</v>
      </c>
      <c r="AH5" s="123">
        <f t="shared" si="10"/>
        <v>0</v>
      </c>
    </row>
    <row r="6" spans="1:34" ht="27.95" customHeight="1">
      <c r="A6" s="194">
        <f>A3+1</f>
        <v>43345</v>
      </c>
      <c r="B6" s="134">
        <f>B3</f>
        <v>0</v>
      </c>
      <c r="C6" s="133">
        <f t="shared" si="0"/>
        <v>43345</v>
      </c>
      <c r="D6" s="134" t="str">
        <f>D3</f>
        <v>夜班</v>
      </c>
      <c r="E6" s="143">
        <f>'6烧主抽电耗'!E6</f>
        <v>1</v>
      </c>
      <c r="F6" s="143" t="str">
        <f>'6烧主抽电耗'!F6</f>
        <v>甲班</v>
      </c>
      <c r="G6" s="132">
        <f>SUMPRODUCT((_5shaozhuchou_month_day!$A$3:$A$900&gt;=C6)*(_5shaozhuchou_month_day!$A$3:$A$900&lt;C7),_5shaozhuchou_month_day!$Y$3:$Y$900)/8</f>
        <v>0</v>
      </c>
      <c r="H6" s="132">
        <f t="shared" si="2"/>
        <v>0</v>
      </c>
      <c r="I6" s="195">
        <f t="shared" si="1"/>
        <v>0</v>
      </c>
      <c r="J6" s="196">
        <f>SUMPRODUCT((主抽数据!$AU$5:$AU$97=$A6)*(主抽数据!$AV$5:$AV$97=$F6),主抽数据!$AH$5:$AH$97)</f>
        <v>41409</v>
      </c>
      <c r="K6" s="196">
        <f>SUMPRODUCT((主抽数据!$AU$5:$AU$97=$A6)*(主抽数据!$AV$5:$AV$97=$F6),主抽数据!$AI$5:$AI$97)</f>
        <v>35067</v>
      </c>
      <c r="L6" s="143">
        <f t="shared" si="3"/>
        <v>76476</v>
      </c>
      <c r="M6" s="143">
        <f>SUMPRODUCT((_5shaozhuchou_month_day!$A$3:$A$900&gt;=C6)*(_5shaozhuchou_month_day!$A$3:$A$900&lt;C7),_5shaozhuchou_month_day!$Z$3:$Z$900)</f>
        <v>0</v>
      </c>
      <c r="N6" s="132">
        <f>M6*查询与汇总!$F$1</f>
        <v>0</v>
      </c>
      <c r="O6" s="144">
        <f t="shared" si="4"/>
        <v>0</v>
      </c>
      <c r="P6" s="143">
        <f>IF(G6=0,0,SUMPRODUCT((_5shaozhuchou_month_day!$A$3:$A$900&gt;=$C6)*(_5shaozhuchou_month_day!$A$3:$A$900&lt;$C7),_5shaozhuchou_month_day!T$3:T$900)/SUMPRODUCT((_5shaozhuchou_month_day!$A$3:$A$900&gt;=$C6)*(_5shaozhuchou_month_day!$A$3:$A$900&lt;$C7)*(_5shaozhuchou_month_day!T$3:T$900&gt;0)))</f>
        <v>0</v>
      </c>
      <c r="Q6" s="145">
        <f>IF(G6=0,0,SUMPRODUCT((_5shaozhuchou_month_day!$A$3:$A$900&gt;=$C6)*(_5shaozhuchou_month_day!$A$3:$A$900&lt;$C7),_5shaozhuchou_month_day!U$3:U$900)/SUMPRODUCT((_5shaozhuchou_month_day!$A$3:$A$900&gt;=$C6)*(_5shaozhuchou_month_day!$A$3:$A$900&lt;$C7)*(_5shaozhuchou_month_day!U$3:U$900&lt;0)))</f>
        <v>0</v>
      </c>
      <c r="R6" s="143">
        <f>IF(G6=0,0,SUMPRODUCT((_5shaozhuchou_month_day!$A$3:$A$900&gt;=$C6)*(_5shaozhuchou_month_day!$A$3:$A$900&lt;$C7),_5shaozhuchou_month_day!V$3:V$900)/SUMPRODUCT((_5shaozhuchou_month_day!$A$3:$A$900&gt;=$C6)*(_5shaozhuchou_month_day!$A$3:$A$900&lt;$C7)*(_5shaozhuchou_month_day!V$3:V$900&gt;0)))</f>
        <v>0</v>
      </c>
      <c r="S6" s="145">
        <f>IF(G6=0,0,SUMPRODUCT((_5shaozhuchou_month_day!$A$3:$A$900&gt;=$C6)*(_5shaozhuchou_month_day!$A$3:$A$900&lt;$C7),_5shaozhuchou_month_day!W$3:W$900)/SUMPRODUCT((_5shaozhuchou_month_day!$A$3:$A$900&gt;=$C6)*(_5shaozhuchou_month_day!$A$3:$A$900&lt;$C7)*(_5shaozhuchou_month_day!W$3:W$900&lt;0)))</f>
        <v>0</v>
      </c>
      <c r="T6" s="145" t="str">
        <f>主抽数据!K8</f>
        <v/>
      </c>
      <c r="U6" s="132" t="str">
        <f>主抽数据!L8</f>
        <v/>
      </c>
      <c r="V6" s="148">
        <f>查询与汇总!$J$1*M6</f>
        <v>0</v>
      </c>
      <c r="W6" s="149">
        <f t="shared" si="5"/>
        <v>76476</v>
      </c>
      <c r="X6" s="151"/>
      <c r="Y6" s="164"/>
      <c r="Z6" s="163"/>
      <c r="AA6" s="160" t="str">
        <f>主抽数据!M8</f>
        <v/>
      </c>
      <c r="AB6" s="161" t="str">
        <f>主抽数据!N8</f>
        <v/>
      </c>
      <c r="AC6" s="162">
        <f t="shared" si="6"/>
        <v>4.5885600000000002</v>
      </c>
      <c r="AE6" s="123" t="e">
        <f t="shared" si="7"/>
        <v>#VALUE!</v>
      </c>
      <c r="AF6" s="123" t="e">
        <f t="shared" si="8"/>
        <v>#VALUE!</v>
      </c>
      <c r="AG6" s="123">
        <f t="shared" si="9"/>
        <v>0</v>
      </c>
      <c r="AH6" s="123">
        <f t="shared" si="10"/>
        <v>0</v>
      </c>
    </row>
    <row r="7" spans="1:34" ht="26.1" customHeight="1">
      <c r="A7" s="194">
        <f t="shared" ref="A7:A70" si="11">A4+1</f>
        <v>43345</v>
      </c>
      <c r="B7" s="134">
        <f t="shared" ref="B7:B70" si="12">B4</f>
        <v>0.33333333333333298</v>
      </c>
      <c r="C7" s="133">
        <f t="shared" si="0"/>
        <v>43345.333333333336</v>
      </c>
      <c r="D7" s="134" t="str">
        <f t="shared" ref="D7:D70" si="13">D4</f>
        <v>白班</v>
      </c>
      <c r="E7" s="143">
        <f>'6烧主抽电耗'!E7</f>
        <v>2</v>
      </c>
      <c r="F7" s="143" t="str">
        <f>'6烧主抽电耗'!F7</f>
        <v>乙班</v>
      </c>
      <c r="G7" s="132">
        <f>SUMPRODUCT((_5shaozhuchou_month_day!$A$3:$A$900&gt;=C7)*(_5shaozhuchou_month_day!$A$3:$A$900&lt;C8),_5shaozhuchou_month_day!$Y$3:$Y$900)/8</f>
        <v>0</v>
      </c>
      <c r="H7" s="132">
        <f t="shared" si="2"/>
        <v>0</v>
      </c>
      <c r="I7" s="195">
        <f t="shared" si="1"/>
        <v>0</v>
      </c>
      <c r="J7" s="196">
        <f>SUMPRODUCT((主抽数据!$AU$5:$AU$97=$A7)*(主抽数据!$AV$5:$AV$97=$F7),主抽数据!$AH$5:$AH$97)</f>
        <v>43668</v>
      </c>
      <c r="K7" s="196">
        <f>SUMPRODUCT((主抽数据!$AU$5:$AU$97=$A7)*(主抽数据!$AV$5:$AV$97=$F7),主抽数据!$AI$5:$AI$97)</f>
        <v>37290</v>
      </c>
      <c r="L7" s="143">
        <f t="shared" si="3"/>
        <v>80958</v>
      </c>
      <c r="M7" s="143">
        <f>SUMPRODUCT((_5shaozhuchou_month_day!$A$3:$A$900&gt;=C7)*(_5shaozhuchou_month_day!$A$3:$A$900&lt;C8),_5shaozhuchou_month_day!$Z$3:$Z$900)</f>
        <v>0</v>
      </c>
      <c r="N7" s="132">
        <f>M7*查询与汇总!$F$1</f>
        <v>0</v>
      </c>
      <c r="O7" s="144">
        <f t="shared" si="4"/>
        <v>0</v>
      </c>
      <c r="P7" s="143">
        <f>IF(G7=0,0,SUMPRODUCT((_5shaozhuchou_month_day!$A$3:$A$900&gt;=$C7)*(_5shaozhuchou_month_day!$A$3:$A$900&lt;$C8),_5shaozhuchou_month_day!T$3:T$900)/SUMPRODUCT((_5shaozhuchou_month_day!$A$3:$A$900&gt;=$C7)*(_5shaozhuchou_month_day!$A$3:$A$900&lt;$C8)*(_5shaozhuchou_month_day!T$3:T$900&gt;0)))</f>
        <v>0</v>
      </c>
      <c r="Q7" s="145">
        <f>IF(G7=0,0,SUMPRODUCT((_5shaozhuchou_month_day!$A$3:$A$900&gt;=$C7)*(_5shaozhuchou_month_day!$A$3:$A$900&lt;$C8),_5shaozhuchou_month_day!U$3:U$900)/SUMPRODUCT((_5shaozhuchou_month_day!$A$3:$A$900&gt;=$C7)*(_5shaozhuchou_month_day!$A$3:$A$900&lt;$C8)*(_5shaozhuchou_month_day!U$3:U$900&lt;0)))</f>
        <v>0</v>
      </c>
      <c r="R7" s="143">
        <f>IF(G7=0,0,SUMPRODUCT((_5shaozhuchou_month_day!$A$3:$A$900&gt;=$C7)*(_5shaozhuchou_month_day!$A$3:$A$900&lt;$C8),_5shaozhuchou_month_day!V$3:V$900)/SUMPRODUCT((_5shaozhuchou_month_day!$A$3:$A$900&gt;=$C7)*(_5shaozhuchou_month_day!$A$3:$A$900&lt;$C8)*(_5shaozhuchou_month_day!V$3:V$900&gt;0)))</f>
        <v>0</v>
      </c>
      <c r="S7" s="145">
        <f>IF(G7=0,0,SUMPRODUCT((_5shaozhuchou_month_day!$A$3:$A$900&gt;=$C7)*(_5shaozhuchou_month_day!$A$3:$A$900&lt;$C8),_5shaozhuchou_month_day!W$3:W$900)/SUMPRODUCT((_5shaozhuchou_month_day!$A$3:$A$900&gt;=$C7)*(_5shaozhuchou_month_day!$A$3:$A$900&lt;$C8)*(_5shaozhuchou_month_day!W$3:W$900&lt;0)))</f>
        <v>0</v>
      </c>
      <c r="T7" s="145" t="str">
        <f>主抽数据!K9</f>
        <v/>
      </c>
      <c r="U7" s="132" t="str">
        <f>主抽数据!L9</f>
        <v/>
      </c>
      <c r="V7" s="148">
        <f>查询与汇总!$J$1*M7</f>
        <v>0</v>
      </c>
      <c r="W7" s="149">
        <f t="shared" si="5"/>
        <v>80958</v>
      </c>
      <c r="X7" s="151"/>
      <c r="Y7" s="164"/>
      <c r="Z7" s="163"/>
      <c r="AA7" s="160" t="str">
        <f>主抽数据!M9</f>
        <v/>
      </c>
      <c r="AB7" s="161" t="str">
        <f>主抽数据!N9</f>
        <v/>
      </c>
      <c r="AC7" s="162">
        <f t="shared" si="6"/>
        <v>4.8574799999999998</v>
      </c>
      <c r="AE7" s="123" t="e">
        <f t="shared" si="7"/>
        <v>#VALUE!</v>
      </c>
      <c r="AF7" s="123" t="e">
        <f t="shared" si="8"/>
        <v>#VALUE!</v>
      </c>
      <c r="AG7" s="123">
        <f t="shared" si="9"/>
        <v>0</v>
      </c>
      <c r="AH7" s="123">
        <f t="shared" si="10"/>
        <v>0</v>
      </c>
    </row>
    <row r="8" spans="1:34" ht="33.950000000000003" customHeight="1">
      <c r="A8" s="194">
        <f t="shared" si="11"/>
        <v>43345</v>
      </c>
      <c r="B8" s="134">
        <f t="shared" si="12"/>
        <v>0.66666666666666696</v>
      </c>
      <c r="C8" s="133">
        <f t="shared" si="0"/>
        <v>43345.666666666664</v>
      </c>
      <c r="D8" s="134" t="str">
        <f t="shared" si="13"/>
        <v>中班</v>
      </c>
      <c r="E8" s="143">
        <f>'6烧主抽电耗'!E8</f>
        <v>3</v>
      </c>
      <c r="F8" s="143" t="str">
        <f>'6烧主抽电耗'!F8</f>
        <v>丙班</v>
      </c>
      <c r="G8" s="132">
        <f>SUMPRODUCT((_5shaozhuchou_month_day!$A$3:$A$900&gt;=C8)*(_5shaozhuchou_month_day!$A$3:$A$900&lt;C9),_5shaozhuchou_month_day!$Y$3:$Y$900)/8</f>
        <v>0</v>
      </c>
      <c r="H8" s="132">
        <f t="shared" si="2"/>
        <v>0</v>
      </c>
      <c r="I8" s="195">
        <f t="shared" si="1"/>
        <v>0</v>
      </c>
      <c r="J8" s="196">
        <f>SUMPRODUCT((主抽数据!$AU$5:$AU$97=$A8)*(主抽数据!$AV$5:$AV$97=$F8),主抽数据!$AH$5:$AH$97)</f>
        <v>39174</v>
      </c>
      <c r="K8" s="196">
        <f>SUMPRODUCT((主抽数据!$AU$5:$AU$97=$A8)*(主抽数据!$AV$5:$AV$97=$F8),主抽数据!$AI$5:$AI$97)</f>
        <v>33855</v>
      </c>
      <c r="L8" s="143">
        <f t="shared" si="3"/>
        <v>73029</v>
      </c>
      <c r="M8" s="143">
        <f>SUMPRODUCT((_5shaozhuchou_month_day!$A$3:$A$900&gt;=C8)*(_5shaozhuchou_month_day!$A$3:$A$900&lt;C9),_5shaozhuchou_month_day!$Z$3:$Z$900)</f>
        <v>0</v>
      </c>
      <c r="N8" s="132">
        <f>M8*查询与汇总!$F$1</f>
        <v>0</v>
      </c>
      <c r="O8" s="144">
        <f t="shared" si="4"/>
        <v>0</v>
      </c>
      <c r="P8" s="143">
        <f>IF(G8=0,0,SUMPRODUCT((_5shaozhuchou_month_day!$A$3:$A$900&gt;=$C8)*(_5shaozhuchou_month_day!$A$3:$A$900&lt;$C9),_5shaozhuchou_month_day!T$3:T$900)/SUMPRODUCT((_5shaozhuchou_month_day!$A$3:$A$900&gt;=$C8)*(_5shaozhuchou_month_day!$A$3:$A$900&lt;$C9)*(_5shaozhuchou_month_day!T$3:T$900&gt;0)))</f>
        <v>0</v>
      </c>
      <c r="Q8" s="145">
        <f>IF(G8=0,0,SUMPRODUCT((_5shaozhuchou_month_day!$A$3:$A$900&gt;=$C8)*(_5shaozhuchou_month_day!$A$3:$A$900&lt;$C9),_5shaozhuchou_month_day!U$3:U$900)/SUMPRODUCT((_5shaozhuchou_month_day!$A$3:$A$900&gt;=$C8)*(_5shaozhuchou_month_day!$A$3:$A$900&lt;$C9)*(_5shaozhuchou_month_day!U$3:U$900&lt;0)))</f>
        <v>0</v>
      </c>
      <c r="R8" s="143">
        <f>IF(G8=0,0,SUMPRODUCT((_5shaozhuchou_month_day!$A$3:$A$900&gt;=$C8)*(_5shaozhuchou_month_day!$A$3:$A$900&lt;$C9),_5shaozhuchou_month_day!V$3:V$900)/SUMPRODUCT((_5shaozhuchou_month_day!$A$3:$A$900&gt;=$C8)*(_5shaozhuchou_month_day!$A$3:$A$900&lt;$C9)*(_5shaozhuchou_month_day!V$3:V$900&gt;0)))</f>
        <v>0</v>
      </c>
      <c r="S8" s="145">
        <f>IF(G8=0,0,SUMPRODUCT((_5shaozhuchou_month_day!$A$3:$A$900&gt;=$C8)*(_5shaozhuchou_month_day!$A$3:$A$900&lt;$C9),_5shaozhuchou_month_day!W$3:W$900)/SUMPRODUCT((_5shaozhuchou_month_day!$A$3:$A$900&gt;=$C8)*(_5shaozhuchou_month_day!$A$3:$A$900&lt;$C9)*(_5shaozhuchou_month_day!W$3:W$900&lt;0)))</f>
        <v>0</v>
      </c>
      <c r="T8" s="145" t="str">
        <f>主抽数据!K10</f>
        <v/>
      </c>
      <c r="U8" s="132" t="str">
        <f>主抽数据!L10</f>
        <v/>
      </c>
      <c r="V8" s="148">
        <f>查询与汇总!$J$1*M8</f>
        <v>0</v>
      </c>
      <c r="W8" s="149">
        <f t="shared" si="5"/>
        <v>73029</v>
      </c>
      <c r="X8" s="151"/>
      <c r="Y8" s="164"/>
      <c r="Z8" s="165"/>
      <c r="AA8" s="160" t="str">
        <f>主抽数据!M10</f>
        <v/>
      </c>
      <c r="AB8" s="161" t="str">
        <f>主抽数据!N10</f>
        <v/>
      </c>
      <c r="AC8" s="162">
        <f t="shared" si="6"/>
        <v>4.3817399999999997</v>
      </c>
      <c r="AE8" s="123" t="e">
        <f t="shared" si="7"/>
        <v>#VALUE!</v>
      </c>
      <c r="AF8" s="123" t="e">
        <f t="shared" si="8"/>
        <v>#VALUE!</v>
      </c>
      <c r="AG8" s="123">
        <f t="shared" si="9"/>
        <v>0</v>
      </c>
      <c r="AH8" s="123">
        <f t="shared" si="10"/>
        <v>0</v>
      </c>
    </row>
    <row r="9" spans="1:34" ht="20.25" customHeight="1">
      <c r="A9" s="194">
        <f t="shared" si="11"/>
        <v>43346</v>
      </c>
      <c r="B9" s="134">
        <f t="shared" si="12"/>
        <v>0</v>
      </c>
      <c r="C9" s="133">
        <f t="shared" ref="C9:C72" si="14">A9+B9</f>
        <v>43346</v>
      </c>
      <c r="D9" s="134" t="str">
        <f t="shared" si="13"/>
        <v>夜班</v>
      </c>
      <c r="E9" s="143">
        <f>'6烧主抽电耗'!E9</f>
        <v>1</v>
      </c>
      <c r="F9" s="143" t="str">
        <f>'6烧主抽电耗'!F9</f>
        <v>甲班</v>
      </c>
      <c r="G9" s="132">
        <f>SUMPRODUCT((_5shaozhuchou_month_day!$A$3:$A$900&gt;=C9)*(_5shaozhuchou_month_day!$A$3:$A$900&lt;C10),_5shaozhuchou_month_day!$Y$3:$Y$900)/8</f>
        <v>0</v>
      </c>
      <c r="H9" s="132">
        <f t="shared" si="2"/>
        <v>0</v>
      </c>
      <c r="I9" s="195">
        <f t="shared" si="1"/>
        <v>0</v>
      </c>
      <c r="J9" s="196">
        <f>SUMPRODUCT((主抽数据!$AU$5:$AU$97=$A9)*(主抽数据!$AV$5:$AV$97=$F9),主抽数据!$AH$5:$AH$97)</f>
        <v>41733</v>
      </c>
      <c r="K9" s="196">
        <f>SUMPRODUCT((主抽数据!$AU$5:$AU$97=$A9)*(主抽数据!$AV$5:$AV$97=$F9),主抽数据!$AI$5:$AI$97)</f>
        <v>35610</v>
      </c>
      <c r="L9" s="143">
        <f t="shared" si="3"/>
        <v>77343</v>
      </c>
      <c r="M9" s="143">
        <f>SUMPRODUCT((_5shaozhuchou_month_day!$A$3:$A$900&gt;=C9)*(_5shaozhuchou_month_day!$A$3:$A$900&lt;C10),_5shaozhuchou_month_day!$Z$3:$Z$900)</f>
        <v>0</v>
      </c>
      <c r="N9" s="132">
        <f>M9*查询与汇总!$F$1</f>
        <v>0</v>
      </c>
      <c r="O9" s="144">
        <f t="shared" si="4"/>
        <v>0</v>
      </c>
      <c r="P9" s="143">
        <f>IF(G9=0,0,SUMPRODUCT((_5shaozhuchou_month_day!$A$3:$A$900&gt;=$C9)*(_5shaozhuchou_month_day!$A$3:$A$900&lt;$C10),_5shaozhuchou_month_day!T$3:T$900)/SUMPRODUCT((_5shaozhuchou_month_day!$A$3:$A$900&gt;=$C9)*(_5shaozhuchou_month_day!$A$3:$A$900&lt;$C10)*(_5shaozhuchou_month_day!T$3:T$900&gt;0)))</f>
        <v>0</v>
      </c>
      <c r="Q9" s="145">
        <f>IF(G9=0,0,SUMPRODUCT((_5shaozhuchou_month_day!$A$3:$A$900&gt;=$C9)*(_5shaozhuchou_month_day!$A$3:$A$900&lt;$C10),_5shaozhuchou_month_day!U$3:U$900)/SUMPRODUCT((_5shaozhuchou_month_day!$A$3:$A$900&gt;=$C9)*(_5shaozhuchou_month_day!$A$3:$A$900&lt;$C10)*(_5shaozhuchou_month_day!U$3:U$900&lt;0)))</f>
        <v>0</v>
      </c>
      <c r="R9" s="143">
        <f>IF(G9=0,0,SUMPRODUCT((_5shaozhuchou_month_day!$A$3:$A$900&gt;=$C9)*(_5shaozhuchou_month_day!$A$3:$A$900&lt;$C10),_5shaozhuchou_month_day!V$3:V$900)/SUMPRODUCT((_5shaozhuchou_month_day!$A$3:$A$900&gt;=$C9)*(_5shaozhuchou_month_day!$A$3:$A$900&lt;$C10)*(_5shaozhuchou_month_day!V$3:V$900&gt;0)))</f>
        <v>0</v>
      </c>
      <c r="S9" s="145">
        <f>IF(G9=0,0,SUMPRODUCT((_5shaozhuchou_month_day!$A$3:$A$900&gt;=$C9)*(_5shaozhuchou_month_day!$A$3:$A$900&lt;$C10),_5shaozhuchou_month_day!W$3:W$900)/SUMPRODUCT((_5shaozhuchou_month_day!$A$3:$A$900&gt;=$C9)*(_5shaozhuchou_month_day!$A$3:$A$900&lt;$C10)*(_5shaozhuchou_month_day!W$3:W$900&lt;0)))</f>
        <v>0</v>
      </c>
      <c r="T9" s="145" t="str">
        <f>主抽数据!K11</f>
        <v/>
      </c>
      <c r="U9" s="132" t="str">
        <f>主抽数据!L11</f>
        <v/>
      </c>
      <c r="V9" s="148">
        <f>查询与汇总!$J$1*M9</f>
        <v>0</v>
      </c>
      <c r="W9" s="149">
        <f t="shared" si="5"/>
        <v>77343</v>
      </c>
      <c r="X9" s="151"/>
      <c r="Y9" s="164"/>
      <c r="Z9" s="199"/>
      <c r="AA9" s="160" t="str">
        <f>主抽数据!M11</f>
        <v/>
      </c>
      <c r="AB9" s="161" t="str">
        <f>主抽数据!N11</f>
        <v/>
      </c>
      <c r="AC9" s="162">
        <f t="shared" si="6"/>
        <v>4.6405799999999999</v>
      </c>
      <c r="AE9" s="123" t="e">
        <f t="shared" si="7"/>
        <v>#VALUE!</v>
      </c>
      <c r="AF9" s="123" t="e">
        <f t="shared" si="8"/>
        <v>#VALUE!</v>
      </c>
      <c r="AG9" s="123">
        <f t="shared" si="9"/>
        <v>0</v>
      </c>
      <c r="AH9" s="123">
        <f t="shared" si="10"/>
        <v>0</v>
      </c>
    </row>
    <row r="10" spans="1:34" ht="41.25" customHeight="1">
      <c r="A10" s="194">
        <f t="shared" si="11"/>
        <v>43346</v>
      </c>
      <c r="B10" s="134">
        <f t="shared" si="12"/>
        <v>0.33333333333333298</v>
      </c>
      <c r="C10" s="133">
        <f t="shared" si="14"/>
        <v>43346.333333333336</v>
      </c>
      <c r="D10" s="134" t="str">
        <f t="shared" si="13"/>
        <v>白班</v>
      </c>
      <c r="E10" s="143">
        <f>'6烧主抽电耗'!E10</f>
        <v>2</v>
      </c>
      <c r="F10" s="143" t="str">
        <f>'6烧主抽电耗'!F10</f>
        <v>乙班</v>
      </c>
      <c r="G10" s="132">
        <f>SUMPRODUCT((_5shaozhuchou_month_day!$A$3:$A$900&gt;=C10)*(_5shaozhuchou_month_day!$A$3:$A$900&lt;C11),_5shaozhuchou_month_day!$Y$3:$Y$900)/8</f>
        <v>0</v>
      </c>
      <c r="H10" s="132">
        <f t="shared" si="2"/>
        <v>0</v>
      </c>
      <c r="I10" s="195">
        <f t="shared" si="1"/>
        <v>0</v>
      </c>
      <c r="J10" s="196">
        <f>SUMPRODUCT((主抽数据!$AU$5:$AU$97=$A10)*(主抽数据!$AV$5:$AV$97=$F10),主抽数据!$AH$5:$AH$97)</f>
        <v>43785</v>
      </c>
      <c r="K10" s="196">
        <f>SUMPRODUCT((主抽数据!$AU$5:$AU$97=$A10)*(主抽数据!$AV$5:$AV$97=$F10),主抽数据!$AI$5:$AI$97)</f>
        <v>37680</v>
      </c>
      <c r="L10" s="143">
        <f t="shared" si="3"/>
        <v>81465</v>
      </c>
      <c r="M10" s="143">
        <f>SUMPRODUCT((_5shaozhuchou_month_day!$A$3:$A$900&gt;=C10)*(_5shaozhuchou_month_day!$A$3:$A$900&lt;C11),_5shaozhuchou_month_day!$Z$3:$Z$900)</f>
        <v>0</v>
      </c>
      <c r="N10" s="132">
        <f>M10*查询与汇总!$F$1</f>
        <v>0</v>
      </c>
      <c r="O10" s="144">
        <f t="shared" si="4"/>
        <v>0</v>
      </c>
      <c r="P10" s="143">
        <f>IF(G10=0,0,SUMPRODUCT((_5shaozhuchou_month_day!$A$3:$A$900&gt;=$C10)*(_5shaozhuchou_month_day!$A$3:$A$900&lt;$C11),_5shaozhuchou_month_day!T$3:T$900)/SUMPRODUCT((_5shaozhuchou_month_day!$A$3:$A$900&gt;=$C10)*(_5shaozhuchou_month_day!$A$3:$A$900&lt;$C11)*(_5shaozhuchou_month_day!T$3:T$900&gt;0)))</f>
        <v>0</v>
      </c>
      <c r="Q10" s="145">
        <f>IF(G10=0,0,SUMPRODUCT((_5shaozhuchou_month_day!$A$3:$A$900&gt;=$C10)*(_5shaozhuchou_month_day!$A$3:$A$900&lt;$C11),_5shaozhuchou_month_day!U$3:U$900)/SUMPRODUCT((_5shaozhuchou_month_day!$A$3:$A$900&gt;=$C10)*(_5shaozhuchou_month_day!$A$3:$A$900&lt;$C11)*(_5shaozhuchou_month_day!U$3:U$900&lt;0)))</f>
        <v>0</v>
      </c>
      <c r="R10" s="143">
        <f>IF(G10=0,0,SUMPRODUCT((_5shaozhuchou_month_day!$A$3:$A$900&gt;=$C10)*(_5shaozhuchou_month_day!$A$3:$A$900&lt;$C11),_5shaozhuchou_month_day!V$3:V$900)/SUMPRODUCT((_5shaozhuchou_month_day!$A$3:$A$900&gt;=$C10)*(_5shaozhuchou_month_day!$A$3:$A$900&lt;$C11)*(_5shaozhuchou_month_day!V$3:V$900&gt;0)))</f>
        <v>0</v>
      </c>
      <c r="S10" s="145">
        <f>IF(G10=0,0,SUMPRODUCT((_5shaozhuchou_month_day!$A$3:$A$900&gt;=$C10)*(_5shaozhuchou_month_day!$A$3:$A$900&lt;$C11),_5shaozhuchou_month_day!W$3:W$900)/SUMPRODUCT((_5shaozhuchou_month_day!$A$3:$A$900&gt;=$C10)*(_5shaozhuchou_month_day!$A$3:$A$900&lt;$C11)*(_5shaozhuchou_month_day!W$3:W$900&lt;0)))</f>
        <v>0</v>
      </c>
      <c r="T10" s="145" t="str">
        <f>主抽数据!K12</f>
        <v/>
      </c>
      <c r="U10" s="132" t="str">
        <f>主抽数据!L12</f>
        <v/>
      </c>
      <c r="V10" s="148">
        <f>查询与汇总!$J$1*M10</f>
        <v>0</v>
      </c>
      <c r="W10" s="149">
        <f t="shared" si="5"/>
        <v>81465</v>
      </c>
      <c r="X10" s="151"/>
      <c r="Y10" s="164"/>
      <c r="Z10" s="165"/>
      <c r="AA10" s="160" t="str">
        <f>主抽数据!M12</f>
        <v/>
      </c>
      <c r="AB10" s="161" t="str">
        <f>主抽数据!N12</f>
        <v/>
      </c>
      <c r="AC10" s="162">
        <f t="shared" si="6"/>
        <v>4.8879000000000001</v>
      </c>
      <c r="AE10" s="123" t="e">
        <f t="shared" si="7"/>
        <v>#VALUE!</v>
      </c>
      <c r="AF10" s="123" t="e">
        <f t="shared" si="8"/>
        <v>#VALUE!</v>
      </c>
      <c r="AG10" s="123">
        <f t="shared" si="9"/>
        <v>0</v>
      </c>
      <c r="AH10" s="123">
        <f t="shared" si="10"/>
        <v>0</v>
      </c>
    </row>
    <row r="11" spans="1:34" ht="42" customHeight="1">
      <c r="A11" s="194">
        <f t="shared" si="11"/>
        <v>43346</v>
      </c>
      <c r="B11" s="134">
        <f t="shared" si="12"/>
        <v>0.66666666666666696</v>
      </c>
      <c r="C11" s="133">
        <f t="shared" si="14"/>
        <v>43346.666666666664</v>
      </c>
      <c r="D11" s="134" t="str">
        <f t="shared" si="13"/>
        <v>中班</v>
      </c>
      <c r="E11" s="143">
        <f>'6烧主抽电耗'!E11</f>
        <v>3</v>
      </c>
      <c r="F11" s="143" t="str">
        <f>'6烧主抽电耗'!F11</f>
        <v>丙班</v>
      </c>
      <c r="G11" s="132">
        <f>SUMPRODUCT((_5shaozhuchou_month_day!$A$3:$A$900&gt;=C11)*(_5shaozhuchou_month_day!$A$3:$A$900&lt;C12),_5shaozhuchou_month_day!$Y$3:$Y$900)/8</f>
        <v>0</v>
      </c>
      <c r="H11" s="132">
        <f t="shared" si="2"/>
        <v>0</v>
      </c>
      <c r="I11" s="195">
        <f t="shared" si="1"/>
        <v>0</v>
      </c>
      <c r="J11" s="196">
        <f>SUMPRODUCT((主抽数据!$AU$5:$AU$97=$A11)*(主抽数据!$AV$5:$AV$97=$F11),主抽数据!$AH$5:$AH$97)</f>
        <v>42264</v>
      </c>
      <c r="K11" s="196">
        <f>SUMPRODUCT((主抽数据!$AU$5:$AU$97=$A11)*(主抽数据!$AV$5:$AV$97=$F11),主抽数据!$AI$5:$AI$97)</f>
        <v>35526</v>
      </c>
      <c r="L11" s="143">
        <f t="shared" si="3"/>
        <v>77790</v>
      </c>
      <c r="M11" s="143">
        <f>SUMPRODUCT((_5shaozhuchou_month_day!$A$3:$A$900&gt;=C11)*(_5shaozhuchou_month_day!$A$3:$A$900&lt;C12),_5shaozhuchou_month_day!$Z$3:$Z$900)</f>
        <v>0</v>
      </c>
      <c r="N11" s="132">
        <f>M11*查询与汇总!$F$1</f>
        <v>0</v>
      </c>
      <c r="O11" s="144">
        <f t="shared" si="4"/>
        <v>0</v>
      </c>
      <c r="P11" s="143">
        <f>IF(G11=0,0,SUMPRODUCT((_5shaozhuchou_month_day!$A$3:$A$900&gt;=$C11)*(_5shaozhuchou_month_day!$A$3:$A$900&lt;$C12),_5shaozhuchou_month_day!T$3:T$900)/SUMPRODUCT((_5shaozhuchou_month_day!$A$3:$A$900&gt;=$C11)*(_5shaozhuchou_month_day!$A$3:$A$900&lt;$C12)*(_5shaozhuchou_month_day!T$3:T$900&gt;0)))</f>
        <v>0</v>
      </c>
      <c r="Q11" s="145">
        <f>IF(G11=0,0,SUMPRODUCT((_5shaozhuchou_month_day!$A$3:$A$900&gt;=$C11)*(_5shaozhuchou_month_day!$A$3:$A$900&lt;$C12),_5shaozhuchou_month_day!U$3:U$900)/SUMPRODUCT((_5shaozhuchou_month_day!$A$3:$A$900&gt;=$C11)*(_5shaozhuchou_month_day!$A$3:$A$900&lt;$C12)*(_5shaozhuchou_month_day!U$3:U$900&lt;0)))</f>
        <v>0</v>
      </c>
      <c r="R11" s="143">
        <f>IF(G11=0,0,SUMPRODUCT((_5shaozhuchou_month_day!$A$3:$A$900&gt;=$C11)*(_5shaozhuchou_month_day!$A$3:$A$900&lt;$C12),_5shaozhuchou_month_day!V$3:V$900)/SUMPRODUCT((_5shaozhuchou_month_day!$A$3:$A$900&gt;=$C11)*(_5shaozhuchou_month_day!$A$3:$A$900&lt;$C12)*(_5shaozhuchou_month_day!V$3:V$900&gt;0)))</f>
        <v>0</v>
      </c>
      <c r="S11" s="145">
        <f>IF(G11=0,0,SUMPRODUCT((_5shaozhuchou_month_day!$A$3:$A$900&gt;=$C11)*(_5shaozhuchou_month_day!$A$3:$A$900&lt;$C12),_5shaozhuchou_month_day!W$3:W$900)/SUMPRODUCT((_5shaozhuchou_month_day!$A$3:$A$900&gt;=$C11)*(_5shaozhuchou_month_day!$A$3:$A$900&lt;$C12)*(_5shaozhuchou_month_day!W$3:W$900&lt;0)))</f>
        <v>0</v>
      </c>
      <c r="T11" s="145" t="str">
        <f>主抽数据!K13</f>
        <v/>
      </c>
      <c r="U11" s="132" t="str">
        <f>主抽数据!L13</f>
        <v/>
      </c>
      <c r="V11" s="148">
        <f>查询与汇总!$J$1*M11</f>
        <v>0</v>
      </c>
      <c r="W11" s="149">
        <f t="shared" si="5"/>
        <v>77790</v>
      </c>
      <c r="X11" s="151"/>
      <c r="Y11" s="164"/>
      <c r="Z11" s="165"/>
      <c r="AA11" s="160" t="str">
        <f>主抽数据!M13</f>
        <v/>
      </c>
      <c r="AB11" s="161" t="str">
        <f>主抽数据!N13</f>
        <v/>
      </c>
      <c r="AC11" s="162">
        <f t="shared" si="6"/>
        <v>4.6673999999999998</v>
      </c>
      <c r="AE11" s="123" t="e">
        <f t="shared" si="7"/>
        <v>#VALUE!</v>
      </c>
      <c r="AF11" s="123" t="e">
        <f t="shared" si="8"/>
        <v>#VALUE!</v>
      </c>
      <c r="AG11" s="123">
        <f t="shared" si="9"/>
        <v>0</v>
      </c>
      <c r="AH11" s="123">
        <f t="shared" si="10"/>
        <v>0</v>
      </c>
    </row>
    <row r="12" spans="1:34" ht="27" customHeight="1">
      <c r="A12" s="194">
        <f t="shared" si="11"/>
        <v>43347</v>
      </c>
      <c r="B12" s="134">
        <f t="shared" si="12"/>
        <v>0</v>
      </c>
      <c r="C12" s="133">
        <f t="shared" si="14"/>
        <v>43347</v>
      </c>
      <c r="D12" s="134" t="str">
        <f t="shared" si="13"/>
        <v>夜班</v>
      </c>
      <c r="E12" s="143">
        <f>'6烧主抽电耗'!E12</f>
        <v>4</v>
      </c>
      <c r="F12" s="143" t="str">
        <f>'6烧主抽电耗'!F12</f>
        <v>丁班</v>
      </c>
      <c r="G12" s="132">
        <f>SUMPRODUCT((_5shaozhuchou_month_day!$A$3:$A$900&gt;=C12)*(_5shaozhuchou_month_day!$A$3:$A$900&lt;C13),_5shaozhuchou_month_day!$Y$3:$Y$900)/8</f>
        <v>0</v>
      </c>
      <c r="H12" s="132">
        <f t="shared" si="2"/>
        <v>0</v>
      </c>
      <c r="I12" s="195">
        <f t="shared" ref="I12:I43" si="15">X12</f>
        <v>0</v>
      </c>
      <c r="J12" s="196">
        <f>SUMPRODUCT((主抽数据!$AU$5:$AU$97=$A12)*(主抽数据!$AV$5:$AV$97=$F12),主抽数据!$AH$5:$AH$97)</f>
        <v>41034</v>
      </c>
      <c r="K12" s="196">
        <f>SUMPRODUCT((主抽数据!$AU$5:$AU$97=$A12)*(主抽数据!$AV$5:$AV$97=$F12),主抽数据!$AI$5:$AI$97)</f>
        <v>35406</v>
      </c>
      <c r="L12" s="143">
        <f t="shared" si="3"/>
        <v>76440</v>
      </c>
      <c r="M12" s="143">
        <f>SUMPRODUCT((_5shaozhuchou_month_day!$A$3:$A$900&gt;=C12)*(_5shaozhuchou_month_day!$A$3:$A$900&lt;C13),_5shaozhuchou_month_day!$Z$3:$Z$900)</f>
        <v>0</v>
      </c>
      <c r="N12" s="132">
        <f>M12*查询与汇总!$F$1</f>
        <v>0</v>
      </c>
      <c r="O12" s="144">
        <f t="shared" si="4"/>
        <v>0</v>
      </c>
      <c r="P12" s="143">
        <f>IF(G12=0,0,SUMPRODUCT((_5shaozhuchou_month_day!$A$3:$A$900&gt;=$C12)*(_5shaozhuchou_month_day!$A$3:$A$900&lt;$C13),_5shaozhuchou_month_day!T$3:T$900)/SUMPRODUCT((_5shaozhuchou_month_day!$A$3:$A$900&gt;=$C12)*(_5shaozhuchou_month_day!$A$3:$A$900&lt;$C13)*(_5shaozhuchou_month_day!T$3:T$900&gt;0)))</f>
        <v>0</v>
      </c>
      <c r="Q12" s="145">
        <f>IF(G12=0,0,SUMPRODUCT((_5shaozhuchou_month_day!$A$3:$A$900&gt;=$C12)*(_5shaozhuchou_month_day!$A$3:$A$900&lt;$C13),_5shaozhuchou_month_day!U$3:U$900)/SUMPRODUCT((_5shaozhuchou_month_day!$A$3:$A$900&gt;=$C12)*(_5shaozhuchou_month_day!$A$3:$A$900&lt;$C13)*(_5shaozhuchou_month_day!U$3:U$900&lt;0)))</f>
        <v>0</v>
      </c>
      <c r="R12" s="143">
        <f>IF(G12=0,0,SUMPRODUCT((_5shaozhuchou_month_day!$A$3:$A$900&gt;=$C12)*(_5shaozhuchou_month_day!$A$3:$A$900&lt;$C13),_5shaozhuchou_month_day!V$3:V$900)/SUMPRODUCT((_5shaozhuchou_month_day!$A$3:$A$900&gt;=$C12)*(_5shaozhuchou_month_day!$A$3:$A$900&lt;$C13)*(_5shaozhuchou_month_day!V$3:V$900&gt;0)))</f>
        <v>0</v>
      </c>
      <c r="S12" s="145">
        <f>IF(G12=0,0,SUMPRODUCT((_5shaozhuchou_month_day!$A$3:$A$900&gt;=$C12)*(_5shaozhuchou_month_day!$A$3:$A$900&lt;$C13),_5shaozhuchou_month_day!W$3:W$900)/SUMPRODUCT((_5shaozhuchou_month_day!$A$3:$A$900&gt;=$C12)*(_5shaozhuchou_month_day!$A$3:$A$900&lt;$C13)*(_5shaozhuchou_month_day!W$3:W$900&lt;0)))</f>
        <v>0</v>
      </c>
      <c r="T12" s="145" t="str">
        <f>主抽数据!K14</f>
        <v/>
      </c>
      <c r="U12" s="132" t="str">
        <f>主抽数据!L14</f>
        <v/>
      </c>
      <c r="V12" s="148">
        <f>查询与汇总!$J$1*M12</f>
        <v>0</v>
      </c>
      <c r="W12" s="149">
        <f t="shared" si="5"/>
        <v>76440</v>
      </c>
      <c r="X12" s="151"/>
      <c r="Y12" s="164"/>
      <c r="Z12" s="199"/>
      <c r="AA12" s="160" t="str">
        <f>主抽数据!M14</f>
        <v/>
      </c>
      <c r="AB12" s="161" t="str">
        <f>主抽数据!N14</f>
        <v/>
      </c>
      <c r="AC12" s="162">
        <f t="shared" si="6"/>
        <v>4.5864000000000003</v>
      </c>
      <c r="AE12" s="123" t="e">
        <f t="shared" si="7"/>
        <v>#VALUE!</v>
      </c>
      <c r="AF12" s="123" t="e">
        <f t="shared" si="8"/>
        <v>#VALUE!</v>
      </c>
      <c r="AG12" s="123">
        <f t="shared" si="9"/>
        <v>0</v>
      </c>
      <c r="AH12" s="123">
        <f t="shared" si="10"/>
        <v>0</v>
      </c>
    </row>
    <row r="13" spans="1:34" ht="24" customHeight="1">
      <c r="A13" s="194">
        <f t="shared" si="11"/>
        <v>43347</v>
      </c>
      <c r="B13" s="134">
        <f t="shared" si="12"/>
        <v>0.33333333333333298</v>
      </c>
      <c r="C13" s="133">
        <f t="shared" si="14"/>
        <v>43347.333333333336</v>
      </c>
      <c r="D13" s="134" t="str">
        <f t="shared" si="13"/>
        <v>白班</v>
      </c>
      <c r="E13" s="143">
        <f>'6烧主抽电耗'!E13</f>
        <v>1</v>
      </c>
      <c r="F13" s="143" t="str">
        <f>'6烧主抽电耗'!F13</f>
        <v>甲班</v>
      </c>
      <c r="G13" s="132">
        <f>SUMPRODUCT((_5shaozhuchou_month_day!$A$3:$A$900&gt;=C13)*(_5shaozhuchou_month_day!$A$3:$A$900&lt;C14),_5shaozhuchou_month_day!$Y$3:$Y$900)/8</f>
        <v>0</v>
      </c>
      <c r="H13" s="132">
        <f t="shared" si="2"/>
        <v>0</v>
      </c>
      <c r="I13" s="195">
        <f t="shared" si="15"/>
        <v>0</v>
      </c>
      <c r="J13" s="196">
        <f>SUMPRODUCT((主抽数据!$AU$5:$AU$97=$A13)*(主抽数据!$AV$5:$AV$97=$F13),主抽数据!$AH$5:$AH$97)</f>
        <v>42198</v>
      </c>
      <c r="K13" s="196">
        <f>SUMPRODUCT((主抽数据!$AU$5:$AU$97=$A13)*(主抽数据!$AV$5:$AV$97=$F13),主抽数据!$AI$5:$AI$97)</f>
        <v>36954</v>
      </c>
      <c r="L13" s="143">
        <f t="shared" si="3"/>
        <v>79152</v>
      </c>
      <c r="M13" s="143">
        <f>SUMPRODUCT((_5shaozhuchou_month_day!$A$3:$A$900&gt;=C13)*(_5shaozhuchou_month_day!$A$3:$A$900&lt;C14),_5shaozhuchou_month_day!$Z$3:$Z$900)</f>
        <v>0</v>
      </c>
      <c r="N13" s="132">
        <f>M13*查询与汇总!$F$1</f>
        <v>0</v>
      </c>
      <c r="O13" s="144">
        <f t="shared" si="4"/>
        <v>0</v>
      </c>
      <c r="P13" s="143">
        <f>IF(G13=0,0,SUMPRODUCT((_5shaozhuchou_month_day!$A$3:$A$900&gt;=$C13)*(_5shaozhuchou_month_day!$A$3:$A$900&lt;$C14),_5shaozhuchou_month_day!T$3:T$900)/SUMPRODUCT((_5shaozhuchou_month_day!$A$3:$A$900&gt;=$C13)*(_5shaozhuchou_month_day!$A$3:$A$900&lt;$C14)*(_5shaozhuchou_month_day!T$3:T$900&gt;0)))</f>
        <v>0</v>
      </c>
      <c r="Q13" s="145">
        <f>IF(G13=0,0,SUMPRODUCT((_5shaozhuchou_month_day!$A$3:$A$900&gt;=$C13)*(_5shaozhuchou_month_day!$A$3:$A$900&lt;$C14),_5shaozhuchou_month_day!U$3:U$900)/SUMPRODUCT((_5shaozhuchou_month_day!$A$3:$A$900&gt;=$C13)*(_5shaozhuchou_month_day!$A$3:$A$900&lt;$C14)*(_5shaozhuchou_month_day!U$3:U$900&lt;0)))</f>
        <v>0</v>
      </c>
      <c r="R13" s="143">
        <f>IF(G13=0,0,SUMPRODUCT((_5shaozhuchou_month_day!$A$3:$A$900&gt;=$C13)*(_5shaozhuchou_month_day!$A$3:$A$900&lt;$C14),_5shaozhuchou_month_day!V$3:V$900)/SUMPRODUCT((_5shaozhuchou_month_day!$A$3:$A$900&gt;=$C13)*(_5shaozhuchou_month_day!$A$3:$A$900&lt;$C14)*(_5shaozhuchou_month_day!V$3:V$900&gt;0)))</f>
        <v>0</v>
      </c>
      <c r="S13" s="145">
        <f>IF(G13=0,0,SUMPRODUCT((_5shaozhuchou_month_day!$A$3:$A$900&gt;=$C13)*(_5shaozhuchou_month_day!$A$3:$A$900&lt;$C14),_5shaozhuchou_month_day!W$3:W$900)/SUMPRODUCT((_5shaozhuchou_month_day!$A$3:$A$900&gt;=$C13)*(_5shaozhuchou_month_day!$A$3:$A$900&lt;$C14)*(_5shaozhuchou_month_day!W$3:W$900&lt;0)))</f>
        <v>0</v>
      </c>
      <c r="T13" s="145" t="str">
        <f>主抽数据!K15</f>
        <v/>
      </c>
      <c r="U13" s="132" t="str">
        <f>主抽数据!L15</f>
        <v/>
      </c>
      <c r="V13" s="148">
        <f>查询与汇总!$J$1*M13</f>
        <v>0</v>
      </c>
      <c r="W13" s="149">
        <f t="shared" si="5"/>
        <v>79152</v>
      </c>
      <c r="X13" s="151"/>
      <c r="Y13" s="164"/>
      <c r="Z13" s="165"/>
      <c r="AA13" s="160" t="str">
        <f>主抽数据!M15</f>
        <v/>
      </c>
      <c r="AB13" s="161" t="str">
        <f>主抽数据!N15</f>
        <v/>
      </c>
      <c r="AC13" s="162">
        <f t="shared" si="6"/>
        <v>4.7491199999999996</v>
      </c>
      <c r="AE13" s="123" t="e">
        <f t="shared" si="7"/>
        <v>#VALUE!</v>
      </c>
      <c r="AF13" s="123" t="e">
        <f t="shared" si="8"/>
        <v>#VALUE!</v>
      </c>
      <c r="AG13" s="123">
        <f t="shared" si="9"/>
        <v>0</v>
      </c>
      <c r="AH13" s="123">
        <f t="shared" si="10"/>
        <v>0</v>
      </c>
    </row>
    <row r="14" spans="1:34" ht="20.25" customHeight="1">
      <c r="A14" s="194">
        <f t="shared" si="11"/>
        <v>43347</v>
      </c>
      <c r="B14" s="134">
        <f t="shared" si="12"/>
        <v>0.66666666666666696</v>
      </c>
      <c r="C14" s="133">
        <f t="shared" si="14"/>
        <v>43347.666666666664</v>
      </c>
      <c r="D14" s="134" t="str">
        <f t="shared" si="13"/>
        <v>中班</v>
      </c>
      <c r="E14" s="143">
        <f>'6烧主抽电耗'!E14</f>
        <v>2</v>
      </c>
      <c r="F14" s="143" t="str">
        <f>'6烧主抽电耗'!F14</f>
        <v>乙班</v>
      </c>
      <c r="G14" s="132">
        <f>SUMPRODUCT((_5shaozhuchou_month_day!$A$3:$A$900&gt;=C14)*(_5shaozhuchou_month_day!$A$3:$A$900&lt;C15),_5shaozhuchou_month_day!$Y$3:$Y$900)/8</f>
        <v>0</v>
      </c>
      <c r="H14" s="132">
        <f t="shared" si="2"/>
        <v>0</v>
      </c>
      <c r="I14" s="195">
        <f t="shared" si="15"/>
        <v>0</v>
      </c>
      <c r="J14" s="196">
        <f>SUMPRODUCT((主抽数据!$AU$5:$AU$97=$A14)*(主抽数据!$AV$5:$AV$97=$F14),主抽数据!$AH$5:$AH$97)</f>
        <v>38820</v>
      </c>
      <c r="K14" s="196">
        <f>SUMPRODUCT((主抽数据!$AU$5:$AU$97=$A14)*(主抽数据!$AV$5:$AV$97=$F14),主抽数据!$AI$5:$AI$97)</f>
        <v>33522</v>
      </c>
      <c r="L14" s="143">
        <f t="shared" si="3"/>
        <v>72342</v>
      </c>
      <c r="M14" s="143">
        <f>SUMPRODUCT((_5shaozhuchou_month_day!$A$3:$A$900&gt;=C14)*(_5shaozhuchou_month_day!$A$3:$A$900&lt;C15),_5shaozhuchou_month_day!$Z$3:$Z$900)</f>
        <v>0</v>
      </c>
      <c r="N14" s="132">
        <f>M14*查询与汇总!$F$1</f>
        <v>0</v>
      </c>
      <c r="O14" s="144">
        <f t="shared" si="4"/>
        <v>0</v>
      </c>
      <c r="P14" s="143">
        <f>IF(G14=0,0,SUMPRODUCT((_5shaozhuchou_month_day!$A$3:$A$900&gt;=$C14)*(_5shaozhuchou_month_day!$A$3:$A$900&lt;$C15),_5shaozhuchou_month_day!T$3:T$900)/SUMPRODUCT((_5shaozhuchou_month_day!$A$3:$A$900&gt;=$C14)*(_5shaozhuchou_month_day!$A$3:$A$900&lt;$C15)*(_5shaozhuchou_month_day!T$3:T$900&gt;0)))</f>
        <v>0</v>
      </c>
      <c r="Q14" s="145">
        <f>IF(G14=0,0,SUMPRODUCT((_5shaozhuchou_month_day!$A$3:$A$900&gt;=$C14)*(_5shaozhuchou_month_day!$A$3:$A$900&lt;$C15),_5shaozhuchou_month_day!U$3:U$900)/SUMPRODUCT((_5shaozhuchou_month_day!$A$3:$A$900&gt;=$C14)*(_5shaozhuchou_month_day!$A$3:$A$900&lt;$C15)*(_5shaozhuchou_month_day!U$3:U$900&lt;0)))</f>
        <v>0</v>
      </c>
      <c r="R14" s="143">
        <f>IF(G14=0,0,SUMPRODUCT((_5shaozhuchou_month_day!$A$3:$A$900&gt;=$C14)*(_5shaozhuchou_month_day!$A$3:$A$900&lt;$C15),_5shaozhuchou_month_day!V$3:V$900)/SUMPRODUCT((_5shaozhuchou_month_day!$A$3:$A$900&gt;=$C14)*(_5shaozhuchou_month_day!$A$3:$A$900&lt;$C15)*(_5shaozhuchou_month_day!V$3:V$900&gt;0)))</f>
        <v>0</v>
      </c>
      <c r="S14" s="145">
        <f>IF(G14=0,0,SUMPRODUCT((_5shaozhuchou_month_day!$A$3:$A$900&gt;=$C14)*(_5shaozhuchou_month_day!$A$3:$A$900&lt;$C15),_5shaozhuchou_month_day!W$3:W$900)/SUMPRODUCT((_5shaozhuchou_month_day!$A$3:$A$900&gt;=$C14)*(_5shaozhuchou_month_day!$A$3:$A$900&lt;$C15)*(_5shaozhuchou_month_day!W$3:W$900&lt;0)))</f>
        <v>0</v>
      </c>
      <c r="T14" s="145" t="str">
        <f>主抽数据!K16</f>
        <v/>
      </c>
      <c r="U14" s="132" t="str">
        <f>主抽数据!L16</f>
        <v/>
      </c>
      <c r="V14" s="148">
        <f>查询与汇总!$J$1*M14</f>
        <v>0</v>
      </c>
      <c r="W14" s="149">
        <f t="shared" si="5"/>
        <v>72342</v>
      </c>
      <c r="X14" s="151"/>
      <c r="Y14" s="164"/>
      <c r="Z14" s="165"/>
      <c r="AA14" s="160" t="str">
        <f>主抽数据!M16</f>
        <v/>
      </c>
      <c r="AB14" s="161" t="str">
        <f>主抽数据!N16</f>
        <v/>
      </c>
      <c r="AC14" s="162">
        <f t="shared" si="6"/>
        <v>4.3405199999999997</v>
      </c>
      <c r="AE14" s="123" t="e">
        <f t="shared" si="7"/>
        <v>#VALUE!</v>
      </c>
      <c r="AF14" s="123" t="e">
        <f t="shared" si="8"/>
        <v>#VALUE!</v>
      </c>
      <c r="AG14" s="123">
        <f t="shared" si="9"/>
        <v>0</v>
      </c>
      <c r="AH14" s="123">
        <f t="shared" si="10"/>
        <v>0</v>
      </c>
    </row>
    <row r="15" spans="1:34" ht="20.25" customHeight="1">
      <c r="A15" s="194">
        <f t="shared" si="11"/>
        <v>43348</v>
      </c>
      <c r="B15" s="134">
        <f t="shared" si="12"/>
        <v>0</v>
      </c>
      <c r="C15" s="133">
        <f t="shared" si="14"/>
        <v>43348</v>
      </c>
      <c r="D15" s="134" t="str">
        <f t="shared" si="13"/>
        <v>夜班</v>
      </c>
      <c r="E15" s="143">
        <f>'6烧主抽电耗'!E15</f>
        <v>4</v>
      </c>
      <c r="F15" s="143" t="str">
        <f>'6烧主抽电耗'!F15</f>
        <v>丁班</v>
      </c>
      <c r="G15" s="132">
        <f>SUMPRODUCT((_5shaozhuchou_month_day!$A$3:$A$900&gt;=C15)*(_5shaozhuchou_month_day!$A$3:$A$900&lt;C16),_5shaozhuchou_month_day!$Y$3:$Y$900)/8</f>
        <v>0</v>
      </c>
      <c r="H15" s="132">
        <f t="shared" si="2"/>
        <v>0</v>
      </c>
      <c r="I15" s="195">
        <f t="shared" si="15"/>
        <v>0</v>
      </c>
      <c r="J15" s="196">
        <f>SUMPRODUCT((主抽数据!$AU$5:$AU$97=$A15)*(主抽数据!$AV$5:$AV$97=$F15),主抽数据!$AH$5:$AH$97)</f>
        <v>40512</v>
      </c>
      <c r="K15" s="196">
        <f>SUMPRODUCT((主抽数据!$AU$5:$AU$97=$A15)*(主抽数据!$AV$5:$AV$97=$F15),主抽数据!$AI$5:$AI$97)</f>
        <v>35367</v>
      </c>
      <c r="L15" s="143">
        <f t="shared" si="3"/>
        <v>75879</v>
      </c>
      <c r="M15" s="143">
        <f>SUMPRODUCT((_5shaozhuchou_month_day!$A$3:$A$900&gt;=C15)*(_5shaozhuchou_month_day!$A$3:$A$900&lt;C16),_5shaozhuchou_month_day!$Z$3:$Z$900)</f>
        <v>0</v>
      </c>
      <c r="N15" s="132">
        <f>M15*查询与汇总!$F$1</f>
        <v>0</v>
      </c>
      <c r="O15" s="144">
        <f t="shared" si="4"/>
        <v>0</v>
      </c>
      <c r="P15" s="143">
        <f>IF(G15=0,0,SUMPRODUCT((_5shaozhuchou_month_day!$A$3:$A$900&gt;=$C15)*(_5shaozhuchou_month_day!$A$3:$A$900&lt;$C16),_5shaozhuchou_month_day!T$3:T$900)/SUMPRODUCT((_5shaozhuchou_month_day!$A$3:$A$900&gt;=$C15)*(_5shaozhuchou_month_day!$A$3:$A$900&lt;$C16)*(_5shaozhuchou_month_day!T$3:T$900&gt;0)))</f>
        <v>0</v>
      </c>
      <c r="Q15" s="145">
        <f>IF(G15=0,0,SUMPRODUCT((_5shaozhuchou_month_day!$A$3:$A$900&gt;=$C15)*(_5shaozhuchou_month_day!$A$3:$A$900&lt;$C16),_5shaozhuchou_month_day!U$3:U$900)/SUMPRODUCT((_5shaozhuchou_month_day!$A$3:$A$900&gt;=$C15)*(_5shaozhuchou_month_day!$A$3:$A$900&lt;$C16)*(_5shaozhuchou_month_day!U$3:U$900&lt;0)))</f>
        <v>0</v>
      </c>
      <c r="R15" s="143">
        <f>IF(G15=0,0,SUMPRODUCT((_5shaozhuchou_month_day!$A$3:$A$900&gt;=$C15)*(_5shaozhuchou_month_day!$A$3:$A$900&lt;$C16),_5shaozhuchou_month_day!V$3:V$900)/SUMPRODUCT((_5shaozhuchou_month_day!$A$3:$A$900&gt;=$C15)*(_5shaozhuchou_month_day!$A$3:$A$900&lt;$C16)*(_5shaozhuchou_month_day!V$3:V$900&gt;0)))</f>
        <v>0</v>
      </c>
      <c r="S15" s="145">
        <f>IF(G15=0,0,SUMPRODUCT((_5shaozhuchou_month_day!$A$3:$A$900&gt;=$C15)*(_5shaozhuchou_month_day!$A$3:$A$900&lt;$C16),_5shaozhuchou_month_day!W$3:W$900)/SUMPRODUCT((_5shaozhuchou_month_day!$A$3:$A$900&gt;=$C15)*(_5shaozhuchou_month_day!$A$3:$A$900&lt;$C16)*(_5shaozhuchou_month_day!W$3:W$900&lt;0)))</f>
        <v>0</v>
      </c>
      <c r="T15" s="145" t="str">
        <f>主抽数据!K17</f>
        <v/>
      </c>
      <c r="U15" s="132" t="str">
        <f>主抽数据!L17</f>
        <v/>
      </c>
      <c r="V15" s="148">
        <f>查询与汇总!$J$1*M15</f>
        <v>0</v>
      </c>
      <c r="W15" s="149">
        <f t="shared" si="5"/>
        <v>75879</v>
      </c>
      <c r="X15" s="151"/>
      <c r="Y15" s="164"/>
      <c r="Z15" s="199"/>
      <c r="AA15" s="160" t="str">
        <f>主抽数据!M17</f>
        <v/>
      </c>
      <c r="AB15" s="161" t="str">
        <f>主抽数据!N17</f>
        <v/>
      </c>
      <c r="AC15" s="162">
        <f t="shared" si="6"/>
        <v>4.55274</v>
      </c>
      <c r="AE15" s="123" t="e">
        <f t="shared" si="7"/>
        <v>#VALUE!</v>
      </c>
      <c r="AF15" s="123" t="e">
        <f t="shared" si="8"/>
        <v>#VALUE!</v>
      </c>
      <c r="AG15" s="123">
        <f t="shared" si="9"/>
        <v>0</v>
      </c>
      <c r="AH15" s="123">
        <f t="shared" si="10"/>
        <v>0</v>
      </c>
    </row>
    <row r="16" spans="1:34" ht="33" customHeight="1">
      <c r="A16" s="194">
        <f t="shared" si="11"/>
        <v>43348</v>
      </c>
      <c r="B16" s="134">
        <f t="shared" si="12"/>
        <v>0.33333333333333298</v>
      </c>
      <c r="C16" s="133">
        <f t="shared" si="14"/>
        <v>43348.333333333336</v>
      </c>
      <c r="D16" s="134" t="str">
        <f t="shared" si="13"/>
        <v>白班</v>
      </c>
      <c r="E16" s="143">
        <f>'6烧主抽电耗'!E16</f>
        <v>1</v>
      </c>
      <c r="F16" s="143" t="str">
        <f>'6烧主抽电耗'!F16</f>
        <v>甲班</v>
      </c>
      <c r="G16" s="132">
        <f>SUMPRODUCT((_5shaozhuchou_month_day!$A$3:$A$900&gt;=C16)*(_5shaozhuchou_month_day!$A$3:$A$900&lt;C17),_5shaozhuchou_month_day!$Y$3:$Y$900)/8</f>
        <v>0</v>
      </c>
      <c r="H16" s="132">
        <f t="shared" si="2"/>
        <v>0</v>
      </c>
      <c r="I16" s="195">
        <f t="shared" si="15"/>
        <v>0</v>
      </c>
      <c r="J16" s="196">
        <f>SUMPRODUCT((主抽数据!$AU$5:$AU$97=$A16)*(主抽数据!$AV$5:$AV$97=$F16),主抽数据!$AH$5:$AH$97)</f>
        <v>41913</v>
      </c>
      <c r="K16" s="196">
        <f>SUMPRODUCT((主抽数据!$AU$5:$AU$97=$A16)*(主抽数据!$AV$5:$AV$97=$F16),主抽数据!$AI$5:$AI$97)</f>
        <v>35589</v>
      </c>
      <c r="L16" s="143">
        <f t="shared" si="3"/>
        <v>77502</v>
      </c>
      <c r="M16" s="143">
        <f>SUMPRODUCT((_5shaozhuchou_month_day!$A$3:$A$900&gt;=C16)*(_5shaozhuchou_month_day!$A$3:$A$900&lt;C17),_5shaozhuchou_month_day!$Z$3:$Z$900)</f>
        <v>0</v>
      </c>
      <c r="N16" s="132">
        <f>M16*查询与汇总!$F$1</f>
        <v>0</v>
      </c>
      <c r="O16" s="144">
        <f t="shared" si="4"/>
        <v>0</v>
      </c>
      <c r="P16" s="143">
        <f>IF(G16=0,0,SUMPRODUCT((_5shaozhuchou_month_day!$A$3:$A$900&gt;=$C16)*(_5shaozhuchou_month_day!$A$3:$A$900&lt;$C17),_5shaozhuchou_month_day!T$3:T$900)/SUMPRODUCT((_5shaozhuchou_month_day!$A$3:$A$900&gt;=$C16)*(_5shaozhuchou_month_day!$A$3:$A$900&lt;$C17)*(_5shaozhuchou_month_day!T$3:T$900&gt;0)))</f>
        <v>0</v>
      </c>
      <c r="Q16" s="145">
        <f>IF(G16=0,0,SUMPRODUCT((_5shaozhuchou_month_day!$A$3:$A$900&gt;=$C16)*(_5shaozhuchou_month_day!$A$3:$A$900&lt;$C17),_5shaozhuchou_month_day!U$3:U$900)/SUMPRODUCT((_5shaozhuchou_month_day!$A$3:$A$900&gt;=$C16)*(_5shaozhuchou_month_day!$A$3:$A$900&lt;$C17)*(_5shaozhuchou_month_day!U$3:U$900&lt;0)))</f>
        <v>0</v>
      </c>
      <c r="R16" s="143">
        <f>IF(G16=0,0,SUMPRODUCT((_5shaozhuchou_month_day!$A$3:$A$900&gt;=$C16)*(_5shaozhuchou_month_day!$A$3:$A$900&lt;$C17),_5shaozhuchou_month_day!V$3:V$900)/SUMPRODUCT((_5shaozhuchou_month_day!$A$3:$A$900&gt;=$C16)*(_5shaozhuchou_month_day!$A$3:$A$900&lt;$C17)*(_5shaozhuchou_month_day!V$3:V$900&gt;0)))</f>
        <v>0</v>
      </c>
      <c r="S16" s="145">
        <f>IF(G16=0,0,SUMPRODUCT((_5shaozhuchou_month_day!$A$3:$A$900&gt;=$C16)*(_5shaozhuchou_month_day!$A$3:$A$900&lt;$C17),_5shaozhuchou_month_day!W$3:W$900)/SUMPRODUCT((_5shaozhuchou_month_day!$A$3:$A$900&gt;=$C16)*(_5shaozhuchou_month_day!$A$3:$A$900&lt;$C17)*(_5shaozhuchou_month_day!W$3:W$900&lt;0)))</f>
        <v>0</v>
      </c>
      <c r="T16" s="145" t="str">
        <f>主抽数据!K18</f>
        <v/>
      </c>
      <c r="U16" s="132" t="str">
        <f>主抽数据!L18</f>
        <v/>
      </c>
      <c r="V16" s="148">
        <f>查询与汇总!$J$1*M16</f>
        <v>0</v>
      </c>
      <c r="W16" s="149">
        <f t="shared" si="5"/>
        <v>77502</v>
      </c>
      <c r="X16" s="151"/>
      <c r="Y16" s="164"/>
      <c r="Z16" s="165"/>
      <c r="AA16" s="160" t="str">
        <f>主抽数据!M18</f>
        <v/>
      </c>
      <c r="AB16" s="161" t="str">
        <f>主抽数据!N18</f>
        <v/>
      </c>
      <c r="AC16" s="162">
        <f t="shared" si="6"/>
        <v>4.6501199999999994</v>
      </c>
      <c r="AE16" s="123" t="e">
        <f t="shared" si="7"/>
        <v>#VALUE!</v>
      </c>
      <c r="AF16" s="123" t="e">
        <f t="shared" si="8"/>
        <v>#VALUE!</v>
      </c>
      <c r="AG16" s="123">
        <f t="shared" si="9"/>
        <v>0</v>
      </c>
      <c r="AH16" s="123">
        <f t="shared" si="10"/>
        <v>0</v>
      </c>
    </row>
    <row r="17" spans="1:34" ht="36.950000000000003" customHeight="1">
      <c r="A17" s="194">
        <f t="shared" si="11"/>
        <v>43348</v>
      </c>
      <c r="B17" s="134">
        <f t="shared" si="12"/>
        <v>0.66666666666666696</v>
      </c>
      <c r="C17" s="133">
        <f t="shared" si="14"/>
        <v>43348.666666666664</v>
      </c>
      <c r="D17" s="134" t="str">
        <f t="shared" si="13"/>
        <v>中班</v>
      </c>
      <c r="E17" s="143">
        <f>'6烧主抽电耗'!E17</f>
        <v>2</v>
      </c>
      <c r="F17" s="143" t="str">
        <f>'6烧主抽电耗'!F17</f>
        <v>乙班</v>
      </c>
      <c r="G17" s="132">
        <f>SUMPRODUCT((_5shaozhuchou_month_day!$A$3:$A$900&gt;=C17)*(_5shaozhuchou_month_day!$A$3:$A$900&lt;C18),_5shaozhuchou_month_day!$Y$3:$Y$900)/8</f>
        <v>0</v>
      </c>
      <c r="H17" s="132">
        <f t="shared" si="2"/>
        <v>0</v>
      </c>
      <c r="I17" s="195">
        <f t="shared" si="15"/>
        <v>0</v>
      </c>
      <c r="J17" s="196">
        <f>SUMPRODUCT((主抽数据!$AU$5:$AU$97=$A17)*(主抽数据!$AV$5:$AV$97=$F17),主抽数据!$AH$5:$AH$97)</f>
        <v>38577</v>
      </c>
      <c r="K17" s="196">
        <f>SUMPRODUCT((主抽数据!$AU$5:$AU$97=$A17)*(主抽数据!$AV$5:$AV$97=$F17),主抽数据!$AI$5:$AI$97)</f>
        <v>33921</v>
      </c>
      <c r="L17" s="143">
        <f t="shared" si="3"/>
        <v>72498</v>
      </c>
      <c r="M17" s="143">
        <f>SUMPRODUCT((_5shaozhuchou_month_day!$A$3:$A$900&gt;=C17)*(_5shaozhuchou_month_day!$A$3:$A$900&lt;C18),_5shaozhuchou_month_day!$Z$3:$Z$900)</f>
        <v>0</v>
      </c>
      <c r="N17" s="132">
        <f>M17*查询与汇总!$F$1</f>
        <v>0</v>
      </c>
      <c r="O17" s="144">
        <f t="shared" si="4"/>
        <v>0</v>
      </c>
      <c r="P17" s="143">
        <f>IF(G17=0,0,SUMPRODUCT((_5shaozhuchou_month_day!$A$3:$A$900&gt;=$C17)*(_5shaozhuchou_month_day!$A$3:$A$900&lt;$C18),_5shaozhuchou_month_day!T$3:T$900)/SUMPRODUCT((_5shaozhuchou_month_day!$A$3:$A$900&gt;=$C17)*(_5shaozhuchou_month_day!$A$3:$A$900&lt;$C18)*(_5shaozhuchou_month_day!T$3:T$900&gt;0)))</f>
        <v>0</v>
      </c>
      <c r="Q17" s="145">
        <f>IF(G17=0,0,SUMPRODUCT((_5shaozhuchou_month_day!$A$3:$A$900&gt;=$C17)*(_5shaozhuchou_month_day!$A$3:$A$900&lt;$C18),_5shaozhuchou_month_day!U$3:U$900)/SUMPRODUCT((_5shaozhuchou_month_day!$A$3:$A$900&gt;=$C17)*(_5shaozhuchou_month_day!$A$3:$A$900&lt;$C18)*(_5shaozhuchou_month_day!U$3:U$900&lt;0)))</f>
        <v>0</v>
      </c>
      <c r="R17" s="143">
        <f>IF(G17=0,0,SUMPRODUCT((_5shaozhuchou_month_day!$A$3:$A$900&gt;=$C17)*(_5shaozhuchou_month_day!$A$3:$A$900&lt;$C18),_5shaozhuchou_month_day!V$3:V$900)/SUMPRODUCT((_5shaozhuchou_month_day!$A$3:$A$900&gt;=$C17)*(_5shaozhuchou_month_day!$A$3:$A$900&lt;$C18)*(_5shaozhuchou_month_day!V$3:V$900&gt;0)))</f>
        <v>0</v>
      </c>
      <c r="S17" s="145">
        <f>IF(G17=0,0,SUMPRODUCT((_5shaozhuchou_month_day!$A$3:$A$900&gt;=$C17)*(_5shaozhuchou_month_day!$A$3:$A$900&lt;$C18),_5shaozhuchou_month_day!W$3:W$900)/SUMPRODUCT((_5shaozhuchou_month_day!$A$3:$A$900&gt;=$C17)*(_5shaozhuchou_month_day!$A$3:$A$900&lt;$C18)*(_5shaozhuchou_month_day!W$3:W$900&lt;0)))</f>
        <v>0</v>
      </c>
      <c r="T17" s="145" t="str">
        <f>主抽数据!K19</f>
        <v/>
      </c>
      <c r="U17" s="132" t="str">
        <f>主抽数据!L19</f>
        <v/>
      </c>
      <c r="V17" s="148">
        <f>查询与汇总!$J$1*M17</f>
        <v>0</v>
      </c>
      <c r="W17" s="149">
        <f t="shared" si="5"/>
        <v>72498</v>
      </c>
      <c r="X17" s="151"/>
      <c r="Y17" s="164"/>
      <c r="Z17" s="163"/>
      <c r="AA17" s="160" t="str">
        <f>主抽数据!M19</f>
        <v/>
      </c>
      <c r="AB17" s="161" t="str">
        <f>主抽数据!N19</f>
        <v/>
      </c>
      <c r="AC17" s="162">
        <f t="shared" si="6"/>
        <v>4.3498799999999997</v>
      </c>
      <c r="AE17" s="123" t="e">
        <f t="shared" si="7"/>
        <v>#VALUE!</v>
      </c>
      <c r="AF17" s="123" t="e">
        <f t="shared" si="8"/>
        <v>#VALUE!</v>
      </c>
      <c r="AG17" s="123">
        <f t="shared" si="9"/>
        <v>0</v>
      </c>
      <c r="AH17" s="123">
        <f t="shared" si="10"/>
        <v>0</v>
      </c>
    </row>
    <row r="18" spans="1:34" ht="54" customHeight="1">
      <c r="A18" s="194">
        <f t="shared" si="11"/>
        <v>43349</v>
      </c>
      <c r="B18" s="134">
        <f t="shared" si="12"/>
        <v>0</v>
      </c>
      <c r="C18" s="133">
        <f t="shared" si="14"/>
        <v>43349</v>
      </c>
      <c r="D18" s="134" t="str">
        <f t="shared" si="13"/>
        <v>夜班</v>
      </c>
      <c r="E18" s="143">
        <f>'6烧主抽电耗'!E18</f>
        <v>3</v>
      </c>
      <c r="F18" s="143" t="str">
        <f>'6烧主抽电耗'!F18</f>
        <v>丙班</v>
      </c>
      <c r="G18" s="132">
        <f>SUMPRODUCT((_5shaozhuchou_month_day!$A$3:$A$900&gt;=C18)*(_5shaozhuchou_month_day!$A$3:$A$900&lt;C19),_5shaozhuchou_month_day!$Y$3:$Y$900)/8</f>
        <v>0</v>
      </c>
      <c r="H18" s="132">
        <f t="shared" si="2"/>
        <v>0</v>
      </c>
      <c r="I18" s="195">
        <f t="shared" si="15"/>
        <v>0</v>
      </c>
      <c r="J18" s="196">
        <f>SUMPRODUCT((主抽数据!$AU$5:$AU$97=$A18)*(主抽数据!$AV$5:$AV$97=$F18),主抽数据!$AH$5:$AH$97)</f>
        <v>39927</v>
      </c>
      <c r="K18" s="196">
        <f>SUMPRODUCT((主抽数据!$AU$5:$AU$97=$A18)*(主抽数据!$AV$5:$AV$97=$F18),主抽数据!$AI$5:$AI$97)</f>
        <v>33627</v>
      </c>
      <c r="L18" s="143">
        <f t="shared" si="3"/>
        <v>73554</v>
      </c>
      <c r="M18" s="143">
        <f>SUMPRODUCT((_5shaozhuchou_month_day!$A$3:$A$900&gt;=C18)*(_5shaozhuchou_month_day!$A$3:$A$900&lt;C19),_5shaozhuchou_month_day!$Z$3:$Z$900)</f>
        <v>0</v>
      </c>
      <c r="N18" s="132">
        <f>M18*查询与汇总!$F$1</f>
        <v>0</v>
      </c>
      <c r="O18" s="144">
        <f t="shared" si="4"/>
        <v>0</v>
      </c>
      <c r="P18" s="143">
        <f>IF(G18=0,0,SUMPRODUCT((_5shaozhuchou_month_day!$A$3:$A$900&gt;=$C18)*(_5shaozhuchou_month_day!$A$3:$A$900&lt;$C19),_5shaozhuchou_month_day!T$3:T$900)/SUMPRODUCT((_5shaozhuchou_month_day!$A$3:$A$900&gt;=$C18)*(_5shaozhuchou_month_day!$A$3:$A$900&lt;$C19)*(_5shaozhuchou_month_day!T$3:T$900&gt;0)))</f>
        <v>0</v>
      </c>
      <c r="Q18" s="145">
        <f>IF(G18=0,0,SUMPRODUCT((_5shaozhuchou_month_day!$A$3:$A$900&gt;=$C18)*(_5shaozhuchou_month_day!$A$3:$A$900&lt;$C19),_5shaozhuchou_month_day!U$3:U$900)/SUMPRODUCT((_5shaozhuchou_month_day!$A$3:$A$900&gt;=$C18)*(_5shaozhuchou_month_day!$A$3:$A$900&lt;$C19)*(_5shaozhuchou_month_day!U$3:U$900&lt;0)))</f>
        <v>0</v>
      </c>
      <c r="R18" s="143">
        <f>IF(G18=0,0,SUMPRODUCT((_5shaozhuchou_month_day!$A$3:$A$900&gt;=$C18)*(_5shaozhuchou_month_day!$A$3:$A$900&lt;$C19),_5shaozhuchou_month_day!V$3:V$900)/SUMPRODUCT((_5shaozhuchou_month_day!$A$3:$A$900&gt;=$C18)*(_5shaozhuchou_month_day!$A$3:$A$900&lt;$C19)*(_5shaozhuchou_month_day!V$3:V$900&gt;0)))</f>
        <v>0</v>
      </c>
      <c r="S18" s="145">
        <f>IF(G18=0,0,SUMPRODUCT((_5shaozhuchou_month_day!$A$3:$A$900&gt;=$C18)*(_5shaozhuchou_month_day!$A$3:$A$900&lt;$C19),_5shaozhuchou_month_day!W$3:W$900)/SUMPRODUCT((_5shaozhuchou_month_day!$A$3:$A$900&gt;=$C18)*(_5shaozhuchou_month_day!$A$3:$A$900&lt;$C19)*(_5shaozhuchou_month_day!W$3:W$900&lt;0)))</f>
        <v>0</v>
      </c>
      <c r="T18" s="145" t="str">
        <f>主抽数据!K20</f>
        <v/>
      </c>
      <c r="U18" s="132" t="str">
        <f>主抽数据!L20</f>
        <v/>
      </c>
      <c r="V18" s="148">
        <f>查询与汇总!$J$1*M18</f>
        <v>0</v>
      </c>
      <c r="W18" s="149">
        <f t="shared" si="5"/>
        <v>73554</v>
      </c>
      <c r="X18" s="151"/>
      <c r="Y18" s="164"/>
      <c r="Z18" s="199"/>
      <c r="AA18" s="160" t="str">
        <f>主抽数据!M20</f>
        <v/>
      </c>
      <c r="AB18" s="161" t="str">
        <f>主抽数据!N20</f>
        <v/>
      </c>
      <c r="AC18" s="162">
        <f t="shared" si="6"/>
        <v>4.4132400000000001</v>
      </c>
      <c r="AE18" s="123" t="e">
        <f t="shared" si="7"/>
        <v>#VALUE!</v>
      </c>
      <c r="AF18" s="123" t="e">
        <f t="shared" si="8"/>
        <v>#VALUE!</v>
      </c>
      <c r="AG18" s="123">
        <f t="shared" si="9"/>
        <v>0</v>
      </c>
      <c r="AH18" s="123">
        <f t="shared" si="10"/>
        <v>0</v>
      </c>
    </row>
    <row r="19" spans="1:34" ht="27" customHeight="1">
      <c r="A19" s="194">
        <f t="shared" si="11"/>
        <v>43349</v>
      </c>
      <c r="B19" s="134">
        <f t="shared" si="12"/>
        <v>0.33333333333333298</v>
      </c>
      <c r="C19" s="133">
        <f t="shared" si="14"/>
        <v>43349.333333333336</v>
      </c>
      <c r="D19" s="134" t="str">
        <f t="shared" si="13"/>
        <v>白班</v>
      </c>
      <c r="E19" s="143">
        <f>'6烧主抽电耗'!E19</f>
        <v>4</v>
      </c>
      <c r="F19" s="143" t="str">
        <f>'6烧主抽电耗'!F19</f>
        <v>丁班</v>
      </c>
      <c r="G19" s="132">
        <f>SUMPRODUCT((_5shaozhuchou_month_day!$A$3:$A$900&gt;=C19)*(_5shaozhuchou_month_day!$A$3:$A$900&lt;C20),_5shaozhuchou_month_day!$Y$3:$Y$900)/8</f>
        <v>0</v>
      </c>
      <c r="H19" s="132">
        <f t="shared" si="2"/>
        <v>0</v>
      </c>
      <c r="I19" s="195">
        <f t="shared" si="15"/>
        <v>0</v>
      </c>
      <c r="J19" s="196">
        <f>SUMPRODUCT((主抽数据!$AU$5:$AU$97=$A19)*(主抽数据!$AV$5:$AV$97=$F19),主抽数据!$AH$5:$AH$97)</f>
        <v>40206</v>
      </c>
      <c r="K19" s="196">
        <f>SUMPRODUCT((主抽数据!$AU$5:$AU$97=$A19)*(主抽数据!$AV$5:$AV$97=$F19),主抽数据!$AI$5:$AI$97)</f>
        <v>35115</v>
      </c>
      <c r="L19" s="143">
        <f t="shared" si="3"/>
        <v>75321</v>
      </c>
      <c r="M19" s="143">
        <f>SUMPRODUCT((_5shaozhuchou_month_day!$A$3:$A$900&gt;=C19)*(_5shaozhuchou_month_day!$A$3:$A$900&lt;C20),_5shaozhuchou_month_day!$Z$3:$Z$900)</f>
        <v>0</v>
      </c>
      <c r="N19" s="132">
        <f>M19*查询与汇总!$F$1</f>
        <v>0</v>
      </c>
      <c r="O19" s="144">
        <f t="shared" si="4"/>
        <v>0</v>
      </c>
      <c r="P19" s="143">
        <f>IF(G19=0,0,SUMPRODUCT((_5shaozhuchou_month_day!$A$3:$A$900&gt;=$C19)*(_5shaozhuchou_month_day!$A$3:$A$900&lt;$C20),_5shaozhuchou_month_day!T$3:T$900)/SUMPRODUCT((_5shaozhuchou_month_day!$A$3:$A$900&gt;=$C19)*(_5shaozhuchou_month_day!$A$3:$A$900&lt;$C20)*(_5shaozhuchou_month_day!T$3:T$900&gt;0)))</f>
        <v>0</v>
      </c>
      <c r="Q19" s="145">
        <f>IF(G19=0,0,SUMPRODUCT((_5shaozhuchou_month_day!$A$3:$A$900&gt;=$C19)*(_5shaozhuchou_month_day!$A$3:$A$900&lt;$C20),_5shaozhuchou_month_day!U$3:U$900)/SUMPRODUCT((_5shaozhuchou_month_day!$A$3:$A$900&gt;=$C19)*(_5shaozhuchou_month_day!$A$3:$A$900&lt;$C20)*(_5shaozhuchou_month_day!U$3:U$900&lt;0)))</f>
        <v>0</v>
      </c>
      <c r="R19" s="143">
        <f>IF(G19=0,0,SUMPRODUCT((_5shaozhuchou_month_day!$A$3:$A$900&gt;=$C19)*(_5shaozhuchou_month_day!$A$3:$A$900&lt;$C20),_5shaozhuchou_month_day!V$3:V$900)/SUMPRODUCT((_5shaozhuchou_month_day!$A$3:$A$900&gt;=$C19)*(_5shaozhuchou_month_day!$A$3:$A$900&lt;$C20)*(_5shaozhuchou_month_day!V$3:V$900&gt;0)))</f>
        <v>0</v>
      </c>
      <c r="S19" s="145">
        <f>IF(G19=0,0,SUMPRODUCT((_5shaozhuchou_month_day!$A$3:$A$900&gt;=$C19)*(_5shaozhuchou_month_day!$A$3:$A$900&lt;$C20),_5shaozhuchou_month_day!W$3:W$900)/SUMPRODUCT((_5shaozhuchou_month_day!$A$3:$A$900&gt;=$C19)*(_5shaozhuchou_month_day!$A$3:$A$900&lt;$C20)*(_5shaozhuchou_month_day!W$3:W$900&lt;0)))</f>
        <v>0</v>
      </c>
      <c r="T19" s="145" t="str">
        <f>主抽数据!K21</f>
        <v/>
      </c>
      <c r="U19" s="132" t="str">
        <f>主抽数据!L21</f>
        <v/>
      </c>
      <c r="V19" s="148">
        <f>查询与汇总!$J$1*M19</f>
        <v>0</v>
      </c>
      <c r="W19" s="149">
        <f t="shared" si="5"/>
        <v>75321</v>
      </c>
      <c r="X19" s="151"/>
      <c r="Y19" s="164"/>
      <c r="Z19" s="163"/>
      <c r="AA19" s="160" t="str">
        <f>主抽数据!M21</f>
        <v/>
      </c>
      <c r="AB19" s="161" t="str">
        <f>主抽数据!N21</f>
        <v/>
      </c>
      <c r="AC19" s="162">
        <f t="shared" si="6"/>
        <v>4.5192600000000001</v>
      </c>
      <c r="AE19" s="123" t="e">
        <f t="shared" si="7"/>
        <v>#VALUE!</v>
      </c>
      <c r="AF19" s="123" t="e">
        <f t="shared" si="8"/>
        <v>#VALUE!</v>
      </c>
      <c r="AG19" s="123">
        <f t="shared" si="9"/>
        <v>0</v>
      </c>
      <c r="AH19" s="123">
        <f t="shared" si="10"/>
        <v>0</v>
      </c>
    </row>
    <row r="20" spans="1:34" ht="29.1" customHeight="1">
      <c r="A20" s="194">
        <f t="shared" si="11"/>
        <v>43349</v>
      </c>
      <c r="B20" s="134">
        <f t="shared" si="12"/>
        <v>0.66666666666666696</v>
      </c>
      <c r="C20" s="133">
        <f t="shared" si="14"/>
        <v>43349.666666666664</v>
      </c>
      <c r="D20" s="134" t="str">
        <f t="shared" si="13"/>
        <v>中班</v>
      </c>
      <c r="E20" s="143">
        <f>'6烧主抽电耗'!E20</f>
        <v>1</v>
      </c>
      <c r="F20" s="143" t="str">
        <f>'6烧主抽电耗'!F20</f>
        <v>甲班</v>
      </c>
      <c r="G20" s="132">
        <f>SUMPRODUCT((_5shaozhuchou_month_day!$A$3:$A$900&gt;=C20)*(_5shaozhuchou_month_day!$A$3:$A$900&lt;C21),_5shaozhuchou_month_day!$Y$3:$Y$900)/8</f>
        <v>0</v>
      </c>
      <c r="H20" s="132">
        <f t="shared" si="2"/>
        <v>0</v>
      </c>
      <c r="I20" s="195">
        <f t="shared" si="15"/>
        <v>0</v>
      </c>
      <c r="J20" s="196">
        <f>SUMPRODUCT((主抽数据!$AU$5:$AU$97=$A20)*(主抽数据!$AV$5:$AV$97=$F20),主抽数据!$AH$5:$AH$97)</f>
        <v>43323</v>
      </c>
      <c r="K20" s="196">
        <f>SUMPRODUCT((主抽数据!$AU$5:$AU$97=$A20)*(主抽数据!$AV$5:$AV$97=$F20),主抽数据!$AI$5:$AI$97)</f>
        <v>37269</v>
      </c>
      <c r="L20" s="143">
        <f t="shared" si="3"/>
        <v>80592</v>
      </c>
      <c r="M20" s="143">
        <f>SUMPRODUCT((_5shaozhuchou_month_day!$A$3:$A$900&gt;=C20)*(_5shaozhuchou_month_day!$A$3:$A$900&lt;C21),_5shaozhuchou_month_day!$Z$3:$Z$900)</f>
        <v>0</v>
      </c>
      <c r="N20" s="132">
        <f>M20*查询与汇总!$F$1</f>
        <v>0</v>
      </c>
      <c r="O20" s="144">
        <f t="shared" si="4"/>
        <v>0</v>
      </c>
      <c r="P20" s="143">
        <f>IF(G20=0,0,SUMPRODUCT((_5shaozhuchou_month_day!$A$3:$A$900&gt;=$C20)*(_5shaozhuchou_month_day!$A$3:$A$900&lt;$C21),_5shaozhuchou_month_day!T$3:T$900)/SUMPRODUCT((_5shaozhuchou_month_day!$A$3:$A$900&gt;=$C20)*(_5shaozhuchou_month_day!$A$3:$A$900&lt;$C21)*(_5shaozhuchou_month_day!T$3:T$900&gt;0)))</f>
        <v>0</v>
      </c>
      <c r="Q20" s="145">
        <f>IF(G20=0,0,SUMPRODUCT((_5shaozhuchou_month_day!$A$3:$A$900&gt;=$C20)*(_5shaozhuchou_month_day!$A$3:$A$900&lt;$C21),_5shaozhuchou_month_day!U$3:U$900)/SUMPRODUCT((_5shaozhuchou_month_day!$A$3:$A$900&gt;=$C20)*(_5shaozhuchou_month_day!$A$3:$A$900&lt;$C21)*(_5shaozhuchou_month_day!U$3:U$900&lt;0)))</f>
        <v>0</v>
      </c>
      <c r="R20" s="143">
        <f>IF(G20=0,0,SUMPRODUCT((_5shaozhuchou_month_day!$A$3:$A$900&gt;=$C20)*(_5shaozhuchou_month_day!$A$3:$A$900&lt;$C21),_5shaozhuchou_month_day!V$3:V$900)/SUMPRODUCT((_5shaozhuchou_month_day!$A$3:$A$900&gt;=$C20)*(_5shaozhuchou_month_day!$A$3:$A$900&lt;$C21)*(_5shaozhuchou_month_day!V$3:V$900&gt;0)))</f>
        <v>0</v>
      </c>
      <c r="S20" s="145">
        <f>IF(G20=0,0,SUMPRODUCT((_5shaozhuchou_month_day!$A$3:$A$900&gt;=$C20)*(_5shaozhuchou_month_day!$A$3:$A$900&lt;$C21),_5shaozhuchou_month_day!W$3:W$900)/SUMPRODUCT((_5shaozhuchou_month_day!$A$3:$A$900&gt;=$C20)*(_5shaozhuchou_month_day!$A$3:$A$900&lt;$C21)*(_5shaozhuchou_month_day!W$3:W$900&lt;0)))</f>
        <v>0</v>
      </c>
      <c r="T20" s="145" t="str">
        <f>主抽数据!K22</f>
        <v/>
      </c>
      <c r="U20" s="132" t="str">
        <f>主抽数据!L22</f>
        <v/>
      </c>
      <c r="V20" s="148">
        <f>查询与汇总!$J$1*M20</f>
        <v>0</v>
      </c>
      <c r="W20" s="149">
        <f t="shared" si="5"/>
        <v>80592</v>
      </c>
      <c r="X20" s="151"/>
      <c r="Y20" s="164"/>
      <c r="Z20" s="163"/>
      <c r="AA20" s="160" t="str">
        <f>主抽数据!M22</f>
        <v/>
      </c>
      <c r="AB20" s="161" t="str">
        <f>主抽数据!N22</f>
        <v/>
      </c>
      <c r="AC20" s="162">
        <f t="shared" si="6"/>
        <v>4.8355199999999998</v>
      </c>
      <c r="AE20" s="123" t="e">
        <f t="shared" si="7"/>
        <v>#VALUE!</v>
      </c>
      <c r="AF20" s="123" t="e">
        <f t="shared" si="8"/>
        <v>#VALUE!</v>
      </c>
      <c r="AG20" s="123">
        <f t="shared" si="9"/>
        <v>0</v>
      </c>
      <c r="AH20" s="123">
        <f t="shared" si="10"/>
        <v>0</v>
      </c>
    </row>
    <row r="21" spans="1:34" ht="20.25" customHeight="1">
      <c r="A21" s="194">
        <f t="shared" si="11"/>
        <v>43350</v>
      </c>
      <c r="B21" s="134">
        <f t="shared" si="12"/>
        <v>0</v>
      </c>
      <c r="C21" s="133">
        <f t="shared" si="14"/>
        <v>43350</v>
      </c>
      <c r="D21" s="134" t="str">
        <f t="shared" si="13"/>
        <v>夜班</v>
      </c>
      <c r="E21" s="143">
        <f>'6烧主抽电耗'!E21</f>
        <v>3</v>
      </c>
      <c r="F21" s="143" t="str">
        <f>'6烧主抽电耗'!F21</f>
        <v>丙班</v>
      </c>
      <c r="G21" s="132">
        <f>SUMPRODUCT((_5shaozhuchou_month_day!$A$3:$A$900&gt;=C21)*(_5shaozhuchou_month_day!$A$3:$A$900&lt;C22),_5shaozhuchou_month_day!$Y$3:$Y$900)/8</f>
        <v>0</v>
      </c>
      <c r="H21" s="132">
        <f t="shared" si="2"/>
        <v>0</v>
      </c>
      <c r="I21" s="195">
        <f t="shared" si="15"/>
        <v>0</v>
      </c>
      <c r="J21" s="196">
        <f>SUMPRODUCT((主抽数据!$AU$5:$AU$97=$A21)*(主抽数据!$AV$5:$AV$97=$F21),主抽数据!$AH$5:$AH$97)</f>
        <v>39489</v>
      </c>
      <c r="K21" s="196">
        <f>SUMPRODUCT((主抽数据!$AU$5:$AU$97=$A21)*(主抽数据!$AV$5:$AV$97=$F21),主抽数据!$AI$5:$AI$97)</f>
        <v>34290</v>
      </c>
      <c r="L21" s="143">
        <f t="shared" si="3"/>
        <v>73779</v>
      </c>
      <c r="M21" s="143">
        <f>SUMPRODUCT((_5shaozhuchou_month_day!$A$3:$A$900&gt;=C21)*(_5shaozhuchou_month_day!$A$3:$A$900&lt;C22),_5shaozhuchou_month_day!$Z$3:$Z$900)</f>
        <v>0</v>
      </c>
      <c r="N21" s="132">
        <f>M21*查询与汇总!$F$1</f>
        <v>0</v>
      </c>
      <c r="O21" s="144">
        <f t="shared" si="4"/>
        <v>0</v>
      </c>
      <c r="P21" s="143">
        <f>IF(G21=0,0,SUMPRODUCT((_5shaozhuchou_month_day!$A$3:$A$900&gt;=$C21)*(_5shaozhuchou_month_day!$A$3:$A$900&lt;$C22),_5shaozhuchou_month_day!T$3:T$900)/SUMPRODUCT((_5shaozhuchou_month_day!$A$3:$A$900&gt;=$C21)*(_5shaozhuchou_month_day!$A$3:$A$900&lt;$C22)*(_5shaozhuchou_month_day!T$3:T$900&gt;0)))</f>
        <v>0</v>
      </c>
      <c r="Q21" s="145">
        <f>IF(G21=0,0,SUMPRODUCT((_5shaozhuchou_month_day!$A$3:$A$900&gt;=$C21)*(_5shaozhuchou_month_day!$A$3:$A$900&lt;$C22),_5shaozhuchou_month_day!U$3:U$900)/SUMPRODUCT((_5shaozhuchou_month_day!$A$3:$A$900&gt;=$C21)*(_5shaozhuchou_month_day!$A$3:$A$900&lt;$C22)*(_5shaozhuchou_month_day!U$3:U$900&lt;0)))</f>
        <v>0</v>
      </c>
      <c r="R21" s="143">
        <f>IF(G21=0,0,SUMPRODUCT((_5shaozhuchou_month_day!$A$3:$A$900&gt;=$C21)*(_5shaozhuchou_month_day!$A$3:$A$900&lt;$C22),_5shaozhuchou_month_day!V$3:V$900)/SUMPRODUCT((_5shaozhuchou_month_day!$A$3:$A$900&gt;=$C21)*(_5shaozhuchou_month_day!$A$3:$A$900&lt;$C22)*(_5shaozhuchou_month_day!V$3:V$900&gt;0)))</f>
        <v>0</v>
      </c>
      <c r="S21" s="145">
        <f>IF(G21=0,0,SUMPRODUCT((_5shaozhuchou_month_day!$A$3:$A$900&gt;=$C21)*(_5shaozhuchou_month_day!$A$3:$A$900&lt;$C22),_5shaozhuchou_month_day!W$3:W$900)/SUMPRODUCT((_5shaozhuchou_month_day!$A$3:$A$900&gt;=$C21)*(_5shaozhuchou_month_day!$A$3:$A$900&lt;$C22)*(_5shaozhuchou_month_day!W$3:W$900&lt;0)))</f>
        <v>0</v>
      </c>
      <c r="T21" s="145" t="str">
        <f>主抽数据!K23</f>
        <v/>
      </c>
      <c r="U21" s="132" t="str">
        <f>主抽数据!L23</f>
        <v/>
      </c>
      <c r="V21" s="148">
        <f>查询与汇总!$J$1*M21</f>
        <v>0</v>
      </c>
      <c r="W21" s="149">
        <f t="shared" si="5"/>
        <v>73779</v>
      </c>
      <c r="X21" s="151"/>
      <c r="Y21" s="164"/>
      <c r="Z21" s="163"/>
      <c r="AA21" s="160" t="str">
        <f>主抽数据!M23</f>
        <v/>
      </c>
      <c r="AB21" s="161" t="str">
        <f>主抽数据!N23</f>
        <v/>
      </c>
      <c r="AC21" s="162">
        <f t="shared" si="6"/>
        <v>4.4267400000000006</v>
      </c>
      <c r="AE21" s="123" t="e">
        <f t="shared" si="7"/>
        <v>#VALUE!</v>
      </c>
      <c r="AF21" s="123" t="e">
        <f t="shared" si="8"/>
        <v>#VALUE!</v>
      </c>
      <c r="AG21" s="123">
        <f t="shared" si="9"/>
        <v>0</v>
      </c>
      <c r="AH21" s="123">
        <f t="shared" si="10"/>
        <v>0</v>
      </c>
    </row>
    <row r="22" spans="1:34" ht="41.1" customHeight="1">
      <c r="A22" s="194">
        <f t="shared" si="11"/>
        <v>43350</v>
      </c>
      <c r="B22" s="134">
        <f t="shared" si="12"/>
        <v>0.33333333333333298</v>
      </c>
      <c r="C22" s="133">
        <f t="shared" si="14"/>
        <v>43350.333333333336</v>
      </c>
      <c r="D22" s="134" t="str">
        <f t="shared" si="13"/>
        <v>白班</v>
      </c>
      <c r="E22" s="143">
        <f>'6烧主抽电耗'!E22</f>
        <v>4</v>
      </c>
      <c r="F22" s="143" t="str">
        <f>'6烧主抽电耗'!F22</f>
        <v>丁班</v>
      </c>
      <c r="G22" s="132">
        <f>SUMPRODUCT((_5shaozhuchou_month_day!$A$3:$A$900&gt;=C22)*(_5shaozhuchou_month_day!$A$3:$A$900&lt;C23),_5shaozhuchou_month_day!$Y$3:$Y$900)/8</f>
        <v>0</v>
      </c>
      <c r="H22" s="132">
        <f t="shared" si="2"/>
        <v>0</v>
      </c>
      <c r="I22" s="195">
        <f t="shared" si="15"/>
        <v>0</v>
      </c>
      <c r="J22" s="196">
        <f>SUMPRODUCT((主抽数据!$AU$5:$AU$97=$A22)*(主抽数据!$AV$5:$AV$97=$F22),主抽数据!$AH$5:$AH$97)</f>
        <v>40629</v>
      </c>
      <c r="K22" s="196">
        <f>SUMPRODUCT((主抽数据!$AU$5:$AU$97=$A22)*(主抽数据!$AV$5:$AV$97=$F22),主抽数据!$AI$5:$AI$97)</f>
        <v>35418</v>
      </c>
      <c r="L22" s="143">
        <f t="shared" si="3"/>
        <v>76047</v>
      </c>
      <c r="M22" s="143">
        <f>SUMPRODUCT((_5shaozhuchou_month_day!$A$3:$A$900&gt;=C22)*(_5shaozhuchou_month_day!$A$3:$A$900&lt;C23),_5shaozhuchou_month_day!$Z$3:$Z$900)</f>
        <v>0</v>
      </c>
      <c r="N22" s="132">
        <f>M22*查询与汇总!$F$1</f>
        <v>0</v>
      </c>
      <c r="O22" s="144">
        <f t="shared" si="4"/>
        <v>0</v>
      </c>
      <c r="P22" s="143">
        <f>IF(G22=0,0,SUMPRODUCT((_5shaozhuchou_month_day!$A$3:$A$900&gt;=$C22)*(_5shaozhuchou_month_day!$A$3:$A$900&lt;$C23),_5shaozhuchou_month_day!T$3:T$900)/SUMPRODUCT((_5shaozhuchou_month_day!$A$3:$A$900&gt;=$C22)*(_5shaozhuchou_month_day!$A$3:$A$900&lt;$C23)*(_5shaozhuchou_month_day!T$3:T$900&gt;0)))</f>
        <v>0</v>
      </c>
      <c r="Q22" s="145">
        <f>IF(G22=0,0,SUMPRODUCT((_5shaozhuchou_month_day!$A$3:$A$900&gt;=$C22)*(_5shaozhuchou_month_day!$A$3:$A$900&lt;$C23),_5shaozhuchou_month_day!U$3:U$900)/SUMPRODUCT((_5shaozhuchou_month_day!$A$3:$A$900&gt;=$C22)*(_5shaozhuchou_month_day!$A$3:$A$900&lt;$C23)*(_5shaozhuchou_month_day!U$3:U$900&lt;0)))</f>
        <v>0</v>
      </c>
      <c r="R22" s="143">
        <f>IF(G22=0,0,SUMPRODUCT((_5shaozhuchou_month_day!$A$3:$A$900&gt;=$C22)*(_5shaozhuchou_month_day!$A$3:$A$900&lt;$C23),_5shaozhuchou_month_day!V$3:V$900)/SUMPRODUCT((_5shaozhuchou_month_day!$A$3:$A$900&gt;=$C22)*(_5shaozhuchou_month_day!$A$3:$A$900&lt;$C23)*(_5shaozhuchou_month_day!V$3:V$900&gt;0)))</f>
        <v>0</v>
      </c>
      <c r="S22" s="145">
        <f>IF(G22=0,0,SUMPRODUCT((_5shaozhuchou_month_day!$A$3:$A$900&gt;=$C22)*(_5shaozhuchou_month_day!$A$3:$A$900&lt;$C23),_5shaozhuchou_month_day!W$3:W$900)/SUMPRODUCT((_5shaozhuchou_month_day!$A$3:$A$900&gt;=$C22)*(_5shaozhuchou_month_day!$A$3:$A$900&lt;$C23)*(_5shaozhuchou_month_day!W$3:W$900&lt;0)))</f>
        <v>0</v>
      </c>
      <c r="T22" s="145" t="str">
        <f>主抽数据!K24</f>
        <v/>
      </c>
      <c r="U22" s="132" t="str">
        <f>主抽数据!L24</f>
        <v/>
      </c>
      <c r="V22" s="148">
        <f>查询与汇总!$J$1*M22</f>
        <v>0</v>
      </c>
      <c r="W22" s="149">
        <f t="shared" si="5"/>
        <v>76047</v>
      </c>
      <c r="X22" s="151"/>
      <c r="Y22" s="164"/>
      <c r="Z22" s="163"/>
      <c r="AA22" s="160" t="str">
        <f>主抽数据!M24</f>
        <v/>
      </c>
      <c r="AB22" s="161" t="str">
        <f>主抽数据!N24</f>
        <v/>
      </c>
      <c r="AC22" s="162">
        <f t="shared" si="6"/>
        <v>4.5628199999999994</v>
      </c>
      <c r="AE22" s="123" t="e">
        <f t="shared" si="7"/>
        <v>#VALUE!</v>
      </c>
      <c r="AF22" s="123" t="e">
        <f t="shared" si="8"/>
        <v>#VALUE!</v>
      </c>
      <c r="AG22" s="123">
        <f t="shared" si="9"/>
        <v>0</v>
      </c>
      <c r="AH22" s="123">
        <f t="shared" si="10"/>
        <v>0</v>
      </c>
    </row>
    <row r="23" spans="1:34" ht="30" customHeight="1">
      <c r="A23" s="194">
        <f t="shared" si="11"/>
        <v>43350</v>
      </c>
      <c r="B23" s="134">
        <f t="shared" si="12"/>
        <v>0.66666666666666696</v>
      </c>
      <c r="C23" s="133">
        <f t="shared" si="14"/>
        <v>43350.666666666664</v>
      </c>
      <c r="D23" s="134" t="str">
        <f t="shared" si="13"/>
        <v>中班</v>
      </c>
      <c r="E23" s="143">
        <f>'6烧主抽电耗'!E23</f>
        <v>1</v>
      </c>
      <c r="F23" s="143" t="str">
        <f>'6烧主抽电耗'!F23</f>
        <v>甲班</v>
      </c>
      <c r="G23" s="132">
        <f>SUMPRODUCT((_5shaozhuchou_month_day!$A$3:$A$900&gt;=C23)*(_5shaozhuchou_month_day!$A$3:$A$900&lt;C24),_5shaozhuchou_month_day!$Y$3:$Y$900)/8</f>
        <v>0</v>
      </c>
      <c r="H23" s="132">
        <f t="shared" si="2"/>
        <v>0</v>
      </c>
      <c r="I23" s="195">
        <f t="shared" si="15"/>
        <v>0</v>
      </c>
      <c r="J23" s="196">
        <f>SUMPRODUCT((主抽数据!$AU$5:$AU$97=$A23)*(主抽数据!$AV$5:$AV$97=$F23),主抽数据!$AH$5:$AH$97)</f>
        <v>42300</v>
      </c>
      <c r="K23" s="196">
        <f>SUMPRODUCT((主抽数据!$AU$5:$AU$97=$A23)*(主抽数据!$AV$5:$AV$97=$F23),主抽数据!$AI$5:$AI$97)</f>
        <v>37842</v>
      </c>
      <c r="L23" s="143">
        <f t="shared" si="3"/>
        <v>80142</v>
      </c>
      <c r="M23" s="143">
        <f>SUMPRODUCT((_5shaozhuchou_month_day!$A$3:$A$900&gt;=C23)*(_5shaozhuchou_month_day!$A$3:$A$900&lt;C24),_5shaozhuchou_month_day!$Z$3:$Z$900)</f>
        <v>0</v>
      </c>
      <c r="N23" s="132">
        <f>M23*查询与汇总!$F$1</f>
        <v>0</v>
      </c>
      <c r="O23" s="144">
        <f t="shared" si="4"/>
        <v>0</v>
      </c>
      <c r="P23" s="143">
        <f>IF(G23=0,0,SUMPRODUCT((_5shaozhuchou_month_day!$A$3:$A$900&gt;=$C23)*(_5shaozhuchou_month_day!$A$3:$A$900&lt;$C24),_5shaozhuchou_month_day!T$3:T$900)/SUMPRODUCT((_5shaozhuchou_month_day!$A$3:$A$900&gt;=$C23)*(_5shaozhuchou_month_day!$A$3:$A$900&lt;$C24)*(_5shaozhuchou_month_day!T$3:T$900&gt;0)))</f>
        <v>0</v>
      </c>
      <c r="Q23" s="145">
        <f>IF(G23=0,0,SUMPRODUCT((_5shaozhuchou_month_day!$A$3:$A$900&gt;=$C23)*(_5shaozhuchou_month_day!$A$3:$A$900&lt;$C24),_5shaozhuchou_month_day!U$3:U$900)/SUMPRODUCT((_5shaozhuchou_month_day!$A$3:$A$900&gt;=$C23)*(_5shaozhuchou_month_day!$A$3:$A$900&lt;$C24)*(_5shaozhuchou_month_day!U$3:U$900&lt;0)))</f>
        <v>0</v>
      </c>
      <c r="R23" s="143">
        <f>IF(G23=0,0,SUMPRODUCT((_5shaozhuchou_month_day!$A$3:$A$900&gt;=$C23)*(_5shaozhuchou_month_day!$A$3:$A$900&lt;$C24),_5shaozhuchou_month_day!V$3:V$900)/SUMPRODUCT((_5shaozhuchou_month_day!$A$3:$A$900&gt;=$C23)*(_5shaozhuchou_month_day!$A$3:$A$900&lt;$C24)*(_5shaozhuchou_month_day!V$3:V$900&gt;0)))</f>
        <v>0</v>
      </c>
      <c r="S23" s="145">
        <v>0</v>
      </c>
      <c r="T23" s="145" t="str">
        <f>主抽数据!K25</f>
        <v/>
      </c>
      <c r="U23" s="132" t="str">
        <f>主抽数据!L25</f>
        <v/>
      </c>
      <c r="V23" s="148">
        <f>查询与汇总!$J$1*M23</f>
        <v>0</v>
      </c>
      <c r="W23" s="149">
        <f t="shared" si="5"/>
        <v>80142</v>
      </c>
      <c r="X23" s="151"/>
      <c r="Y23" s="164"/>
      <c r="Z23" s="163"/>
      <c r="AA23" s="160" t="str">
        <f>主抽数据!M25</f>
        <v/>
      </c>
      <c r="AB23" s="161" t="str">
        <f>主抽数据!N25</f>
        <v/>
      </c>
      <c r="AC23" s="162">
        <f t="shared" si="6"/>
        <v>4.8085199999999997</v>
      </c>
      <c r="AE23" s="123" t="e">
        <f t="shared" si="7"/>
        <v>#VALUE!</v>
      </c>
      <c r="AF23" s="123" t="e">
        <f t="shared" si="8"/>
        <v>#VALUE!</v>
      </c>
      <c r="AG23" s="123">
        <f t="shared" si="9"/>
        <v>0</v>
      </c>
      <c r="AH23" s="123">
        <f t="shared" si="10"/>
        <v>0</v>
      </c>
    </row>
    <row r="24" spans="1:34" ht="48" customHeight="1">
      <c r="A24" s="194">
        <f t="shared" si="11"/>
        <v>43351</v>
      </c>
      <c r="B24" s="134">
        <f t="shared" si="12"/>
        <v>0</v>
      </c>
      <c r="C24" s="133">
        <f t="shared" si="14"/>
        <v>43351</v>
      </c>
      <c r="D24" s="134" t="str">
        <f t="shared" si="13"/>
        <v>夜班</v>
      </c>
      <c r="E24" s="143">
        <f>'6烧主抽电耗'!E24</f>
        <v>2</v>
      </c>
      <c r="F24" s="143" t="str">
        <f>'6烧主抽电耗'!F24</f>
        <v>乙班</v>
      </c>
      <c r="G24" s="132">
        <f>SUMPRODUCT((_5shaozhuchou_month_day!$A$3:$A$900&gt;=C24)*(_5shaozhuchou_month_day!$A$3:$A$900&lt;C25),_5shaozhuchou_month_day!$Y$3:$Y$900)/8</f>
        <v>0</v>
      </c>
      <c r="H24" s="132">
        <f t="shared" si="2"/>
        <v>0</v>
      </c>
      <c r="I24" s="195">
        <f t="shared" si="15"/>
        <v>0</v>
      </c>
      <c r="J24" s="196">
        <f>SUMPRODUCT((主抽数据!$AU$5:$AU$97=$A24)*(主抽数据!$AV$5:$AV$97=$F24),主抽数据!$AH$5:$AH$97)</f>
        <v>40836</v>
      </c>
      <c r="K24" s="196">
        <f>SUMPRODUCT((主抽数据!$AU$5:$AU$97=$A24)*(主抽数据!$AV$5:$AV$97=$F24),主抽数据!$AI$5:$AI$97)</f>
        <v>36438</v>
      </c>
      <c r="L24" s="143">
        <f t="shared" si="3"/>
        <v>77274</v>
      </c>
      <c r="M24" s="143">
        <f>SUMPRODUCT((_5shaozhuchou_month_day!$A$3:$A$900&gt;=C24)*(_5shaozhuchou_month_day!$A$3:$A$900&lt;C25),_5shaozhuchou_month_day!$Z$3:$Z$900)</f>
        <v>0</v>
      </c>
      <c r="N24" s="132">
        <f>M24*查询与汇总!$F$1</f>
        <v>0</v>
      </c>
      <c r="O24" s="144">
        <f t="shared" si="4"/>
        <v>0</v>
      </c>
      <c r="P24" s="143">
        <f>IF(G24=0,0,SUMPRODUCT((_5shaozhuchou_month_day!$A$3:$A$900&gt;=$C24)*(_5shaozhuchou_month_day!$A$3:$A$900&lt;$C25),_5shaozhuchou_month_day!T$3:T$900)/SUMPRODUCT((_5shaozhuchou_month_day!$A$3:$A$900&gt;=$C24)*(_5shaozhuchou_month_day!$A$3:$A$900&lt;$C25)*(_5shaozhuchou_month_day!T$3:T$900&gt;0)))</f>
        <v>0</v>
      </c>
      <c r="Q24" s="145">
        <f>IF(G24=0,0,SUMPRODUCT((_5shaozhuchou_month_day!$A$3:$A$900&gt;=$C24)*(_5shaozhuchou_month_day!$A$3:$A$900&lt;$C25),_5shaozhuchou_month_day!U$3:U$900)/SUMPRODUCT((_5shaozhuchou_month_day!$A$3:$A$900&gt;=$C24)*(_5shaozhuchou_month_day!$A$3:$A$900&lt;$C25)*(_5shaozhuchou_month_day!U$3:U$900&lt;0)))</f>
        <v>0</v>
      </c>
      <c r="R24" s="143">
        <f>IF(G24=0,0,SUMPRODUCT((_5shaozhuchou_month_day!$A$3:$A$900&gt;=$C24)*(_5shaozhuchou_month_day!$A$3:$A$900&lt;$C25),_5shaozhuchou_month_day!V$3:V$900)/SUMPRODUCT((_5shaozhuchou_month_day!$A$3:$A$900&gt;=$C24)*(_5shaozhuchou_month_day!$A$3:$A$900&lt;$C25)*(_5shaozhuchou_month_day!V$3:V$900&gt;0)))</f>
        <v>0</v>
      </c>
      <c r="S24" s="145">
        <f>IF(G24=0,0,SUMPRODUCT((_5shaozhuchou_month_day!$A$3:$A$900&gt;=$C24)*(_5shaozhuchou_month_day!$A$3:$A$900&lt;$C25),_5shaozhuchou_month_day!W$3:W$900)/SUMPRODUCT((_5shaozhuchou_month_day!$A$3:$A$900&gt;=$C24)*(_5shaozhuchou_month_day!$A$3:$A$900&lt;$C25)*(_5shaozhuchou_month_day!W$3:W$900&lt;0)))</f>
        <v>0</v>
      </c>
      <c r="T24" s="145" t="str">
        <f>主抽数据!K26</f>
        <v/>
      </c>
      <c r="U24" s="132" t="str">
        <f>主抽数据!L26</f>
        <v/>
      </c>
      <c r="V24" s="148">
        <f>查询与汇总!$J$1*M24</f>
        <v>0</v>
      </c>
      <c r="W24" s="149">
        <f t="shared" si="5"/>
        <v>77274</v>
      </c>
      <c r="X24" s="151"/>
      <c r="Y24" s="164"/>
      <c r="Z24" s="165"/>
      <c r="AA24" s="160" t="str">
        <f>主抽数据!M26</f>
        <v/>
      </c>
      <c r="AB24" s="161" t="str">
        <f>主抽数据!N26</f>
        <v/>
      </c>
      <c r="AC24" s="162">
        <f t="shared" si="6"/>
        <v>4.6364400000000003</v>
      </c>
      <c r="AE24" s="123" t="e">
        <f t="shared" si="7"/>
        <v>#VALUE!</v>
      </c>
      <c r="AF24" s="123" t="e">
        <f t="shared" si="8"/>
        <v>#VALUE!</v>
      </c>
      <c r="AG24" s="123">
        <f t="shared" si="9"/>
        <v>0</v>
      </c>
      <c r="AH24" s="123">
        <f t="shared" si="10"/>
        <v>0</v>
      </c>
    </row>
    <row r="25" spans="1:34" ht="52.5" customHeight="1">
      <c r="A25" s="194">
        <f t="shared" si="11"/>
        <v>43351</v>
      </c>
      <c r="B25" s="134">
        <f t="shared" si="12"/>
        <v>0.33333333333333298</v>
      </c>
      <c r="C25" s="133">
        <f t="shared" si="14"/>
        <v>43351.333333333336</v>
      </c>
      <c r="D25" s="134" t="str">
        <f t="shared" si="13"/>
        <v>白班</v>
      </c>
      <c r="E25" s="143">
        <f>'6烧主抽电耗'!E25</f>
        <v>3</v>
      </c>
      <c r="F25" s="143" t="str">
        <f>'6烧主抽电耗'!F25</f>
        <v>丙班</v>
      </c>
      <c r="G25" s="132">
        <f>SUMPRODUCT((_5shaozhuchou_month_day!$A$3:$A$900&gt;=C25)*(_5shaozhuchou_month_day!$A$3:$A$900&lt;C26),_5shaozhuchou_month_day!$Y$3:$Y$900)/8</f>
        <v>0</v>
      </c>
      <c r="H25" s="132">
        <f t="shared" si="2"/>
        <v>0</v>
      </c>
      <c r="I25" s="195">
        <f t="shared" si="15"/>
        <v>0</v>
      </c>
      <c r="J25" s="196">
        <f>SUMPRODUCT((主抽数据!$AU$5:$AU$97=$A25)*(主抽数据!$AV$5:$AV$97=$F25),主抽数据!$AH$5:$AH$97)</f>
        <v>40620</v>
      </c>
      <c r="K25" s="196">
        <f>SUMPRODUCT((主抽数据!$AU$5:$AU$97=$A25)*(主抽数据!$AV$5:$AV$97=$F25),主抽数据!$AI$5:$AI$97)</f>
        <v>36426</v>
      </c>
      <c r="L25" s="143">
        <f t="shared" si="3"/>
        <v>77046</v>
      </c>
      <c r="M25" s="143">
        <f>SUMPRODUCT((_5shaozhuchou_month_day!$A$3:$A$900&gt;=C25)*(_5shaozhuchou_month_day!$A$3:$A$900&lt;C26),_5shaozhuchou_month_day!$Z$3:$Z$900)</f>
        <v>0</v>
      </c>
      <c r="N25" s="132">
        <f>M25*查询与汇总!$F$1</f>
        <v>0</v>
      </c>
      <c r="O25" s="144">
        <f t="shared" si="4"/>
        <v>0</v>
      </c>
      <c r="P25" s="143">
        <f>IF(G25=0,0,SUMPRODUCT((_5shaozhuchou_month_day!$A$3:$A$900&gt;=$C25)*(_5shaozhuchou_month_day!$A$3:$A$900&lt;$C26),_5shaozhuchou_month_day!T$3:T$900)/SUMPRODUCT((_5shaozhuchou_month_day!$A$3:$A$900&gt;=$C25)*(_5shaozhuchou_month_day!$A$3:$A$900&lt;$C26)*(_5shaozhuchou_month_day!T$3:T$900&gt;0)))</f>
        <v>0</v>
      </c>
      <c r="Q25" s="145">
        <f>IF(G25=0,0,SUMPRODUCT((_5shaozhuchou_month_day!$A$3:$A$900&gt;=$C25)*(_5shaozhuchou_month_day!$A$3:$A$900&lt;$C26),_5shaozhuchou_month_day!U$3:U$900)/SUMPRODUCT((_5shaozhuchou_month_day!$A$3:$A$900&gt;=$C25)*(_5shaozhuchou_month_day!$A$3:$A$900&lt;$C26)*(_5shaozhuchou_month_day!U$3:U$900&lt;0)))</f>
        <v>0</v>
      </c>
      <c r="R25" s="143">
        <f>IF(G25=0,0,SUMPRODUCT((_5shaozhuchou_month_day!$A$3:$A$900&gt;=$C25)*(_5shaozhuchou_month_day!$A$3:$A$900&lt;$C26),_5shaozhuchou_month_day!V$3:V$900)/SUMPRODUCT((_5shaozhuchou_month_day!$A$3:$A$900&gt;=$C25)*(_5shaozhuchou_month_day!$A$3:$A$900&lt;$C26)*(_5shaozhuchou_month_day!V$3:V$900&gt;0)))</f>
        <v>0</v>
      </c>
      <c r="S25" s="145">
        <f>IF(G25=0,0,SUMPRODUCT((_5shaozhuchou_month_day!$A$3:$A$900&gt;=$C25)*(_5shaozhuchou_month_day!$A$3:$A$900&lt;$C26),_5shaozhuchou_month_day!W$3:W$900)/SUMPRODUCT((_5shaozhuchou_month_day!$A$3:$A$900&gt;=$C25)*(_5shaozhuchou_month_day!$A$3:$A$900&lt;$C26)*(_5shaozhuchou_month_day!W$3:W$900&lt;0)))</f>
        <v>0</v>
      </c>
      <c r="T25" s="145" t="str">
        <f>主抽数据!K27</f>
        <v/>
      </c>
      <c r="U25" s="132" t="str">
        <f>主抽数据!L27</f>
        <v/>
      </c>
      <c r="V25" s="148">
        <f>查询与汇总!$J$1*M25</f>
        <v>0</v>
      </c>
      <c r="W25" s="149">
        <f t="shared" si="5"/>
        <v>77046</v>
      </c>
      <c r="X25" s="151"/>
      <c r="Y25" s="164"/>
      <c r="Z25" s="163"/>
      <c r="AA25" s="160" t="str">
        <f>主抽数据!M27</f>
        <v/>
      </c>
      <c r="AB25" s="161" t="str">
        <f>主抽数据!N27</f>
        <v/>
      </c>
      <c r="AC25" s="162">
        <f t="shared" si="6"/>
        <v>4.6227599999999995</v>
      </c>
      <c r="AE25" s="123" t="e">
        <f t="shared" si="7"/>
        <v>#VALUE!</v>
      </c>
      <c r="AF25" s="123" t="e">
        <f t="shared" si="8"/>
        <v>#VALUE!</v>
      </c>
      <c r="AG25" s="123">
        <f t="shared" si="9"/>
        <v>0</v>
      </c>
      <c r="AH25" s="123">
        <f t="shared" si="10"/>
        <v>0</v>
      </c>
    </row>
    <row r="26" spans="1:34" ht="24" customHeight="1">
      <c r="A26" s="194">
        <f t="shared" si="11"/>
        <v>43351</v>
      </c>
      <c r="B26" s="134">
        <f t="shared" si="12"/>
        <v>0.66666666666666696</v>
      </c>
      <c r="C26" s="133">
        <f t="shared" si="14"/>
        <v>43351.666666666664</v>
      </c>
      <c r="D26" s="134" t="str">
        <f t="shared" si="13"/>
        <v>中班</v>
      </c>
      <c r="E26" s="143">
        <f>'6烧主抽电耗'!E26</f>
        <v>4</v>
      </c>
      <c r="F26" s="143" t="str">
        <f>'6烧主抽电耗'!F26</f>
        <v>丁班</v>
      </c>
      <c r="G26" s="132">
        <f>SUMPRODUCT((_5shaozhuchou_month_day!$A$3:$A$900&gt;=C26)*(_5shaozhuchou_month_day!$A$3:$A$900&lt;C27),_5shaozhuchou_month_day!$Y$3:$Y$900)/8</f>
        <v>0</v>
      </c>
      <c r="H26" s="132">
        <f t="shared" si="2"/>
        <v>0</v>
      </c>
      <c r="I26" s="195">
        <f t="shared" si="15"/>
        <v>0</v>
      </c>
      <c r="J26" s="196">
        <f>SUMPRODUCT((主抽数据!$AU$5:$AU$97=$A26)*(主抽数据!$AV$5:$AV$97=$F26),主抽数据!$AH$5:$AH$97)</f>
        <v>41415</v>
      </c>
      <c r="K26" s="196">
        <f>SUMPRODUCT((主抽数据!$AU$5:$AU$97=$A26)*(主抽数据!$AV$5:$AV$97=$F26),主抽数据!$AI$5:$AI$97)</f>
        <v>36216</v>
      </c>
      <c r="L26" s="143">
        <f t="shared" si="3"/>
        <v>77631</v>
      </c>
      <c r="M26" s="143">
        <f>SUMPRODUCT((_5shaozhuchou_month_day!$A$3:$A$900&gt;=C26)*(_5shaozhuchou_month_day!$A$3:$A$900&lt;C27),_5shaozhuchou_month_day!$Z$3:$Z$900)</f>
        <v>0</v>
      </c>
      <c r="N26" s="132">
        <f>M26*查询与汇总!$F$1</f>
        <v>0</v>
      </c>
      <c r="O26" s="144">
        <f t="shared" si="4"/>
        <v>0</v>
      </c>
      <c r="P26" s="143">
        <f>IF(G26=0,0,SUMPRODUCT((_5shaozhuchou_month_day!$A$3:$A$900&gt;=$C26)*(_5shaozhuchou_month_day!$A$3:$A$900&lt;$C27),_5shaozhuchou_month_day!T$3:T$900)/SUMPRODUCT((_5shaozhuchou_month_day!$A$3:$A$900&gt;=$C26)*(_5shaozhuchou_month_day!$A$3:$A$900&lt;$C27)*(_5shaozhuchou_month_day!T$3:T$900&gt;0)))</f>
        <v>0</v>
      </c>
      <c r="Q26" s="145">
        <f>IF(G26=0,0,SUMPRODUCT((_5shaozhuchou_month_day!$A$3:$A$900&gt;=$C26)*(_5shaozhuchou_month_day!$A$3:$A$900&lt;$C27),_5shaozhuchou_month_day!U$3:U$900)/SUMPRODUCT((_5shaozhuchou_month_day!$A$3:$A$900&gt;=$C26)*(_5shaozhuchou_month_day!$A$3:$A$900&lt;$C27)*(_5shaozhuchou_month_day!U$3:U$900&lt;0)))</f>
        <v>0</v>
      </c>
      <c r="R26" s="143">
        <f>IF(G26=0,0,SUMPRODUCT((_5shaozhuchou_month_day!$A$3:$A$900&gt;=$C26)*(_5shaozhuchou_month_day!$A$3:$A$900&lt;$C27),_5shaozhuchou_month_day!V$3:V$900)/SUMPRODUCT((_5shaozhuchou_month_day!$A$3:$A$900&gt;=$C26)*(_5shaozhuchou_month_day!$A$3:$A$900&lt;$C27)*(_5shaozhuchou_month_day!V$3:V$900&gt;0)))</f>
        <v>0</v>
      </c>
      <c r="S26" s="145">
        <f>IF(G26=0,0,SUMPRODUCT((_5shaozhuchou_month_day!$A$3:$A$900&gt;=$C26)*(_5shaozhuchou_month_day!$A$3:$A$900&lt;$C27),_5shaozhuchou_month_day!W$3:W$900)/SUMPRODUCT((_5shaozhuchou_month_day!$A$3:$A$900&gt;=$C26)*(_5shaozhuchou_month_day!$A$3:$A$900&lt;$C27)*(_5shaozhuchou_month_day!W$3:W$900&lt;0)))</f>
        <v>0</v>
      </c>
      <c r="T26" s="145" t="str">
        <f>主抽数据!K28</f>
        <v/>
      </c>
      <c r="U26" s="132" t="str">
        <f>主抽数据!L28</f>
        <v/>
      </c>
      <c r="V26" s="148">
        <f>查询与汇总!$J$1*M26</f>
        <v>0</v>
      </c>
      <c r="W26" s="149">
        <f t="shared" si="5"/>
        <v>77631</v>
      </c>
      <c r="X26" s="151"/>
      <c r="Y26" s="164"/>
      <c r="Z26" s="165"/>
      <c r="AA26" s="160" t="str">
        <f>主抽数据!M28</f>
        <v/>
      </c>
      <c r="AB26" s="161" t="str">
        <f>主抽数据!N28</f>
        <v/>
      </c>
      <c r="AC26" s="162">
        <f t="shared" si="6"/>
        <v>4.6578599999999994</v>
      </c>
      <c r="AE26" s="123" t="e">
        <f t="shared" si="7"/>
        <v>#VALUE!</v>
      </c>
      <c r="AF26" s="123" t="e">
        <f t="shared" si="8"/>
        <v>#VALUE!</v>
      </c>
      <c r="AG26" s="123">
        <f t="shared" si="9"/>
        <v>0</v>
      </c>
      <c r="AH26" s="123">
        <f t="shared" si="10"/>
        <v>0</v>
      </c>
    </row>
    <row r="27" spans="1:34" ht="26.25" customHeight="1">
      <c r="A27" s="194">
        <f t="shared" si="11"/>
        <v>43352</v>
      </c>
      <c r="B27" s="134">
        <f t="shared" si="12"/>
        <v>0</v>
      </c>
      <c r="C27" s="133">
        <f t="shared" si="14"/>
        <v>43352</v>
      </c>
      <c r="D27" s="134" t="str">
        <f t="shared" si="13"/>
        <v>夜班</v>
      </c>
      <c r="E27" s="143">
        <f>'6烧主抽电耗'!E27</f>
        <v>2</v>
      </c>
      <c r="F27" s="143" t="str">
        <f>'6烧主抽电耗'!F27</f>
        <v>乙班</v>
      </c>
      <c r="G27" s="132">
        <f>SUMPRODUCT((_5shaozhuchou_month_day!$A$3:$A$900&gt;=C27)*(_5shaozhuchou_month_day!$A$3:$A$900&lt;C28),_5shaozhuchou_month_day!$Y$3:$Y$900)/8</f>
        <v>0</v>
      </c>
      <c r="H27" s="132">
        <f t="shared" si="2"/>
        <v>0</v>
      </c>
      <c r="I27" s="195">
        <f t="shared" si="15"/>
        <v>0</v>
      </c>
      <c r="J27" s="196">
        <f>SUMPRODUCT((主抽数据!$AU$5:$AU$97=$A27)*(主抽数据!$AV$5:$AV$97=$F27),主抽数据!$AH$5:$AH$97)</f>
        <v>39774</v>
      </c>
      <c r="K27" s="196">
        <f>SUMPRODUCT((主抽数据!$AU$5:$AU$97=$A27)*(主抽数据!$AV$5:$AV$97=$F27),主抽数据!$AI$5:$AI$97)</f>
        <v>34443</v>
      </c>
      <c r="L27" s="143">
        <f t="shared" si="3"/>
        <v>74217</v>
      </c>
      <c r="M27" s="143">
        <f>SUMPRODUCT((_5shaozhuchou_month_day!$A$3:$A$900&gt;=C27)*(_5shaozhuchou_month_day!$A$3:$A$900&lt;C28),_5shaozhuchou_month_day!$Z$3:$Z$900)</f>
        <v>0</v>
      </c>
      <c r="N27" s="132">
        <f>M27*查询与汇总!$F$1</f>
        <v>0</v>
      </c>
      <c r="O27" s="144">
        <f t="shared" si="4"/>
        <v>0</v>
      </c>
      <c r="P27" s="143">
        <f>IF(G27=0,0,SUMPRODUCT((_5shaozhuchou_month_day!$A$3:$A$900&gt;=$C27)*(_5shaozhuchou_month_day!$A$3:$A$900&lt;$C28),_5shaozhuchou_month_day!T$3:T$900)/SUMPRODUCT((_5shaozhuchou_month_day!$A$3:$A$900&gt;=$C27)*(_5shaozhuchou_month_day!$A$3:$A$900&lt;$C28)*(_5shaozhuchou_month_day!T$3:T$900&gt;0)))</f>
        <v>0</v>
      </c>
      <c r="Q27" s="145">
        <f>IF(G27=0,0,SUMPRODUCT((_5shaozhuchou_month_day!$A$3:$A$900&gt;=$C27)*(_5shaozhuchou_month_day!$A$3:$A$900&lt;$C28),_5shaozhuchou_month_day!U$3:U$900)/SUMPRODUCT((_5shaozhuchou_month_day!$A$3:$A$900&gt;=$C27)*(_5shaozhuchou_month_day!$A$3:$A$900&lt;$C28)*(_5shaozhuchou_month_day!U$3:U$900&lt;0)))</f>
        <v>0</v>
      </c>
      <c r="R27" s="143">
        <f>IF(G27=0,0,SUMPRODUCT((_5shaozhuchou_month_day!$A$3:$A$900&gt;=$C27)*(_5shaozhuchou_month_day!$A$3:$A$900&lt;$C28),_5shaozhuchou_month_day!V$3:V$900)/SUMPRODUCT((_5shaozhuchou_month_day!$A$3:$A$900&gt;=$C27)*(_5shaozhuchou_month_day!$A$3:$A$900&lt;$C28)*(_5shaozhuchou_month_day!V$3:V$900&gt;0)))</f>
        <v>0</v>
      </c>
      <c r="S27" s="145">
        <f>IF(G27=0,0,SUMPRODUCT((_5shaozhuchou_month_day!$A$3:$A$900&gt;=$C27)*(_5shaozhuchou_month_day!$A$3:$A$900&lt;$C28),_5shaozhuchou_month_day!W$3:W$900)/SUMPRODUCT((_5shaozhuchou_month_day!$A$3:$A$900&gt;=$C27)*(_5shaozhuchou_month_day!$A$3:$A$900&lt;$C28)*(_5shaozhuchou_month_day!W$3:W$900&lt;0)))</f>
        <v>0</v>
      </c>
      <c r="T27" s="145" t="str">
        <f>主抽数据!K29</f>
        <v/>
      </c>
      <c r="U27" s="132" t="str">
        <f>主抽数据!L29</f>
        <v/>
      </c>
      <c r="V27" s="148">
        <f>查询与汇总!$J$1*M27</f>
        <v>0</v>
      </c>
      <c r="W27" s="149">
        <f t="shared" si="5"/>
        <v>74217</v>
      </c>
      <c r="X27" s="151"/>
      <c r="Y27" s="164"/>
      <c r="Z27" s="163"/>
      <c r="AA27" s="160" t="str">
        <f>主抽数据!M29</f>
        <v/>
      </c>
      <c r="AB27" s="161" t="str">
        <f>主抽数据!N29</f>
        <v/>
      </c>
      <c r="AC27" s="162">
        <f t="shared" si="6"/>
        <v>4.4530199999999995</v>
      </c>
      <c r="AE27" s="123" t="e">
        <f t="shared" si="7"/>
        <v>#VALUE!</v>
      </c>
      <c r="AF27" s="123" t="e">
        <f t="shared" si="8"/>
        <v>#VALUE!</v>
      </c>
      <c r="AG27" s="123">
        <f t="shared" si="9"/>
        <v>0</v>
      </c>
      <c r="AH27" s="123">
        <f t="shared" si="10"/>
        <v>0</v>
      </c>
    </row>
    <row r="28" spans="1:34" ht="30" customHeight="1">
      <c r="A28" s="194">
        <f t="shared" si="11"/>
        <v>43352</v>
      </c>
      <c r="B28" s="134">
        <f t="shared" si="12"/>
        <v>0.33333333333333298</v>
      </c>
      <c r="C28" s="133">
        <f t="shared" si="14"/>
        <v>43352.333333333336</v>
      </c>
      <c r="D28" s="134" t="str">
        <f t="shared" si="13"/>
        <v>白班</v>
      </c>
      <c r="E28" s="143">
        <f>'6烧主抽电耗'!E28</f>
        <v>3</v>
      </c>
      <c r="F28" s="143" t="str">
        <f>'6烧主抽电耗'!F28</f>
        <v>丙班</v>
      </c>
      <c r="G28" s="132">
        <f>SUMPRODUCT((_5shaozhuchou_month_day!$A$3:$A$900&gt;=C28)*(_5shaozhuchou_month_day!$A$3:$A$900&lt;C29),_5shaozhuchou_month_day!$Y$3:$Y$900)/8</f>
        <v>0</v>
      </c>
      <c r="H28" s="132">
        <f t="shared" si="2"/>
        <v>0</v>
      </c>
      <c r="I28" s="195">
        <f t="shared" si="15"/>
        <v>0</v>
      </c>
      <c r="J28" s="196">
        <f>SUMPRODUCT((主抽数据!$AU$5:$AU$97=$A28)*(主抽数据!$AV$5:$AV$97=$F28),主抽数据!$AH$5:$AH$97)</f>
        <v>42777</v>
      </c>
      <c r="K28" s="196">
        <f>SUMPRODUCT((主抽数据!$AU$5:$AU$97=$A28)*(主抽数据!$AV$5:$AV$97=$F28),主抽数据!$AI$5:$AI$97)</f>
        <v>37743</v>
      </c>
      <c r="L28" s="143">
        <f t="shared" si="3"/>
        <v>80520</v>
      </c>
      <c r="M28" s="143">
        <f>SUMPRODUCT((_5shaozhuchou_month_day!$A$3:$A$900&gt;=C28)*(_5shaozhuchou_month_day!$A$3:$A$900&lt;C29),_5shaozhuchou_month_day!$Z$3:$Z$900)</f>
        <v>0</v>
      </c>
      <c r="N28" s="132">
        <f>M28*查询与汇总!$F$1</f>
        <v>0</v>
      </c>
      <c r="O28" s="144">
        <f t="shared" si="4"/>
        <v>0</v>
      </c>
      <c r="P28" s="143">
        <f>IF(G28=0,0,SUMPRODUCT((_5shaozhuchou_month_day!$A$3:$A$900&gt;=$C28)*(_5shaozhuchou_month_day!$A$3:$A$900&lt;$C29),_5shaozhuchou_month_day!T$3:T$900)/SUMPRODUCT((_5shaozhuchou_month_day!$A$3:$A$900&gt;=$C28)*(_5shaozhuchou_month_day!$A$3:$A$900&lt;$C29)*(_5shaozhuchou_month_day!T$3:T$900&gt;0)))</f>
        <v>0</v>
      </c>
      <c r="Q28" s="145">
        <f>IF(G28=0,0,SUMPRODUCT((_5shaozhuchou_month_day!$A$3:$A$900&gt;=$C28)*(_5shaozhuchou_month_day!$A$3:$A$900&lt;$C29),_5shaozhuchou_month_day!U$3:U$900)/SUMPRODUCT((_5shaozhuchou_month_day!$A$3:$A$900&gt;=$C28)*(_5shaozhuchou_month_day!$A$3:$A$900&lt;$C29)*(_5shaozhuchou_month_day!U$3:U$900&lt;0)))</f>
        <v>0</v>
      </c>
      <c r="R28" s="143">
        <f>IF(G28=0,0,SUMPRODUCT((_5shaozhuchou_month_day!$A$3:$A$900&gt;=$C28)*(_5shaozhuchou_month_day!$A$3:$A$900&lt;$C29),_5shaozhuchou_month_day!V$3:V$900)/SUMPRODUCT((_5shaozhuchou_month_day!$A$3:$A$900&gt;=$C28)*(_5shaozhuchou_month_day!$A$3:$A$900&lt;$C29)*(_5shaozhuchou_month_day!V$3:V$900&gt;0)))</f>
        <v>0</v>
      </c>
      <c r="S28" s="145">
        <f>IF(G28=0,0,SUMPRODUCT((_5shaozhuchou_month_day!$A$3:$A$900&gt;=$C28)*(_5shaozhuchou_month_day!$A$3:$A$900&lt;$C29),_5shaozhuchou_month_day!W$3:W$900)/SUMPRODUCT((_5shaozhuchou_month_day!$A$3:$A$900&gt;=$C28)*(_5shaozhuchou_month_day!$A$3:$A$900&lt;$C29)*(_5shaozhuchou_month_day!W$3:W$900&lt;0)))</f>
        <v>0</v>
      </c>
      <c r="T28" s="145" t="str">
        <f>主抽数据!K30</f>
        <v/>
      </c>
      <c r="U28" s="132" t="str">
        <f>主抽数据!L30</f>
        <v/>
      </c>
      <c r="V28" s="148">
        <f>查询与汇总!$J$1*M28</f>
        <v>0</v>
      </c>
      <c r="W28" s="149">
        <f t="shared" si="5"/>
        <v>80520</v>
      </c>
      <c r="X28" s="151"/>
      <c r="Y28" s="164"/>
      <c r="Z28" s="165"/>
      <c r="AA28" s="160" t="str">
        <f>主抽数据!M30</f>
        <v/>
      </c>
      <c r="AB28" s="161" t="str">
        <f>主抽数据!N30</f>
        <v/>
      </c>
      <c r="AC28" s="162">
        <f t="shared" si="6"/>
        <v>4.8311999999999999</v>
      </c>
      <c r="AE28" s="123" t="e">
        <f t="shared" si="7"/>
        <v>#VALUE!</v>
      </c>
      <c r="AF28" s="123" t="e">
        <f t="shared" si="8"/>
        <v>#VALUE!</v>
      </c>
      <c r="AG28" s="123">
        <f t="shared" si="9"/>
        <v>0</v>
      </c>
      <c r="AH28" s="123">
        <f t="shared" si="10"/>
        <v>0</v>
      </c>
    </row>
    <row r="29" spans="1:34" ht="30" customHeight="1">
      <c r="A29" s="194">
        <f t="shared" si="11"/>
        <v>43352</v>
      </c>
      <c r="B29" s="134">
        <f t="shared" si="12"/>
        <v>0.66666666666666696</v>
      </c>
      <c r="C29" s="133">
        <f t="shared" si="14"/>
        <v>43352.666666666664</v>
      </c>
      <c r="D29" s="134" t="str">
        <f t="shared" si="13"/>
        <v>中班</v>
      </c>
      <c r="E29" s="143">
        <f>'6烧主抽电耗'!E29</f>
        <v>4</v>
      </c>
      <c r="F29" s="143" t="str">
        <f>'6烧主抽电耗'!F29</f>
        <v>丁班</v>
      </c>
      <c r="G29" s="132">
        <f>SUMPRODUCT((_5shaozhuchou_month_day!$A$3:$A$900&gt;=C29)*(_5shaozhuchou_month_day!$A$3:$A$900&lt;C30),_5shaozhuchou_month_day!$Y$3:$Y$900)/8</f>
        <v>0</v>
      </c>
      <c r="H29" s="132">
        <f t="shared" si="2"/>
        <v>0</v>
      </c>
      <c r="I29" s="195">
        <f t="shared" si="15"/>
        <v>0</v>
      </c>
      <c r="J29" s="196">
        <f>SUMPRODUCT((主抽数据!$AU$5:$AU$97=$A29)*(主抽数据!$AV$5:$AV$97=$F29),主抽数据!$AH$5:$AH$97)</f>
        <v>40059</v>
      </c>
      <c r="K29" s="196">
        <f>SUMPRODUCT((主抽数据!$AU$5:$AU$97=$A29)*(主抽数据!$AV$5:$AV$97=$F29),主抽数据!$AI$5:$AI$97)</f>
        <v>34881</v>
      </c>
      <c r="L29" s="143">
        <f t="shared" si="3"/>
        <v>74940</v>
      </c>
      <c r="M29" s="143">
        <f>SUMPRODUCT((_5shaozhuchou_month_day!$A$3:$A$900&gt;=C29)*(_5shaozhuchou_month_day!$A$3:$A$900&lt;C30),_5shaozhuchou_month_day!$Z$3:$Z$900)</f>
        <v>0</v>
      </c>
      <c r="N29" s="132">
        <f>M29*查询与汇总!$F$1</f>
        <v>0</v>
      </c>
      <c r="O29" s="144">
        <f t="shared" si="4"/>
        <v>0</v>
      </c>
      <c r="P29" s="143">
        <f>IF(G29=0,0,SUMPRODUCT((_5shaozhuchou_month_day!$A$3:$A$900&gt;=$C29)*(_5shaozhuchou_month_day!$A$3:$A$900&lt;$C30),_5shaozhuchou_month_day!T$3:T$900)/SUMPRODUCT((_5shaozhuchou_month_day!$A$3:$A$900&gt;=$C29)*(_5shaozhuchou_month_day!$A$3:$A$900&lt;$C30)*(_5shaozhuchou_month_day!T$3:T$900&gt;0)))</f>
        <v>0</v>
      </c>
      <c r="Q29" s="145">
        <f>IF(G29=0,0,SUMPRODUCT((_5shaozhuchou_month_day!$A$3:$A$900&gt;=$C29)*(_5shaozhuchou_month_day!$A$3:$A$900&lt;$C30),_5shaozhuchou_month_day!U$3:U$900)/SUMPRODUCT((_5shaozhuchou_month_day!$A$3:$A$900&gt;=$C29)*(_5shaozhuchou_month_day!$A$3:$A$900&lt;$C30)*(_5shaozhuchou_month_day!U$3:U$900&lt;0)))</f>
        <v>0</v>
      </c>
      <c r="R29" s="143">
        <f>IF(G29=0,0,SUMPRODUCT((_5shaozhuchou_month_day!$A$3:$A$900&gt;=$C29)*(_5shaozhuchou_month_day!$A$3:$A$900&lt;$C30),_5shaozhuchou_month_day!V$3:V$900)/SUMPRODUCT((_5shaozhuchou_month_day!$A$3:$A$900&gt;=$C29)*(_5shaozhuchou_month_day!$A$3:$A$900&lt;$C30)*(_5shaozhuchou_month_day!V$3:V$900&gt;0)))</f>
        <v>0</v>
      </c>
      <c r="S29" s="145">
        <f>IF(G29=0,0,SUMPRODUCT((_5shaozhuchou_month_day!$A$3:$A$900&gt;=$C29)*(_5shaozhuchou_month_day!$A$3:$A$900&lt;$C30),_5shaozhuchou_month_day!W$3:W$900)/SUMPRODUCT((_5shaozhuchou_month_day!$A$3:$A$900&gt;=$C29)*(_5shaozhuchou_month_day!$A$3:$A$900&lt;$C30)*(_5shaozhuchou_month_day!W$3:W$900&lt;0)))</f>
        <v>0</v>
      </c>
      <c r="T29" s="145" t="str">
        <f>主抽数据!K31</f>
        <v/>
      </c>
      <c r="U29" s="132" t="str">
        <f>主抽数据!L31</f>
        <v/>
      </c>
      <c r="V29" s="148">
        <f>查询与汇总!$J$1*M29</f>
        <v>0</v>
      </c>
      <c r="W29" s="149">
        <f t="shared" si="5"/>
        <v>74940</v>
      </c>
      <c r="X29" s="151"/>
      <c r="Y29" s="164"/>
      <c r="Z29" s="165"/>
      <c r="AA29" s="160" t="str">
        <f>主抽数据!M31</f>
        <v/>
      </c>
      <c r="AB29" s="161" t="str">
        <f>主抽数据!N31</f>
        <v/>
      </c>
      <c r="AC29" s="162">
        <f t="shared" si="6"/>
        <v>4.4964000000000004</v>
      </c>
      <c r="AE29" s="123" t="e">
        <f t="shared" si="7"/>
        <v>#VALUE!</v>
      </c>
      <c r="AF29" s="123" t="e">
        <f t="shared" si="8"/>
        <v>#VALUE!</v>
      </c>
      <c r="AG29" s="123">
        <f t="shared" si="9"/>
        <v>0</v>
      </c>
      <c r="AH29" s="123">
        <f t="shared" si="10"/>
        <v>0</v>
      </c>
    </row>
    <row r="30" spans="1:34" ht="29.1" customHeight="1">
      <c r="A30" s="194">
        <f t="shared" si="11"/>
        <v>43353</v>
      </c>
      <c r="B30" s="134">
        <f t="shared" si="12"/>
        <v>0</v>
      </c>
      <c r="C30" s="133">
        <f t="shared" si="14"/>
        <v>43353</v>
      </c>
      <c r="D30" s="134" t="str">
        <f t="shared" si="13"/>
        <v>夜班</v>
      </c>
      <c r="E30" s="143">
        <f>'6烧主抽电耗'!E30</f>
        <v>1</v>
      </c>
      <c r="F30" s="143" t="str">
        <f>'6烧主抽电耗'!F30</f>
        <v>甲班</v>
      </c>
      <c r="G30" s="132">
        <f>SUMPRODUCT((_5shaozhuchou_month_day!$A$3:$A$900&gt;=C30)*(_5shaozhuchou_month_day!$A$3:$A$900&lt;C31),_5shaozhuchou_month_day!$Y$3:$Y$900)/8</f>
        <v>0</v>
      </c>
      <c r="H30" s="132">
        <f t="shared" si="2"/>
        <v>0</v>
      </c>
      <c r="I30" s="195">
        <f t="shared" si="15"/>
        <v>0</v>
      </c>
      <c r="J30" s="196">
        <f>SUMPRODUCT((主抽数据!$AU$5:$AU$97=$A30)*(主抽数据!$AV$5:$AV$97=$F30),主抽数据!$AH$5:$AH$97)</f>
        <v>41229</v>
      </c>
      <c r="K30" s="196">
        <f>SUMPRODUCT((主抽数据!$AU$5:$AU$97=$A30)*(主抽数据!$AV$5:$AV$97=$F30),主抽数据!$AI$5:$AI$97)</f>
        <v>35124</v>
      </c>
      <c r="L30" s="143">
        <f t="shared" si="3"/>
        <v>76353</v>
      </c>
      <c r="M30" s="143">
        <f>SUMPRODUCT((_5shaozhuchou_month_day!$A$3:$A$900&gt;=C30)*(_5shaozhuchou_month_day!$A$3:$A$900&lt;C31),_5shaozhuchou_month_day!$Z$3:$Z$900)</f>
        <v>0</v>
      </c>
      <c r="N30" s="132">
        <f>M30*查询与汇总!$F$1</f>
        <v>0</v>
      </c>
      <c r="O30" s="144">
        <f t="shared" si="4"/>
        <v>0</v>
      </c>
      <c r="P30" s="143">
        <f>IF(G30=0,0,SUMPRODUCT((_5shaozhuchou_month_day!$A$3:$A$900&gt;=$C30)*(_5shaozhuchou_month_day!$A$3:$A$900&lt;$C31),_5shaozhuchou_month_day!T$3:T$900)/SUMPRODUCT((_5shaozhuchou_month_day!$A$3:$A$900&gt;=$C30)*(_5shaozhuchou_month_day!$A$3:$A$900&lt;$C31)*(_5shaozhuchou_month_day!T$3:T$900&gt;0)))</f>
        <v>0</v>
      </c>
      <c r="Q30" s="145">
        <f>IF(G30=0,0,SUMPRODUCT((_5shaozhuchou_month_day!$A$3:$A$900&gt;=$C30)*(_5shaozhuchou_month_day!$A$3:$A$900&lt;$C31),_5shaozhuchou_month_day!U$3:U$900)/SUMPRODUCT((_5shaozhuchou_month_day!$A$3:$A$900&gt;=$C30)*(_5shaozhuchou_month_day!$A$3:$A$900&lt;$C31)*(_5shaozhuchou_month_day!U$3:U$900&lt;0)))</f>
        <v>0</v>
      </c>
      <c r="R30" s="143">
        <f>IF(G30=0,0,SUMPRODUCT((_5shaozhuchou_month_day!$A$3:$A$900&gt;=$C30)*(_5shaozhuchou_month_day!$A$3:$A$900&lt;$C31),_5shaozhuchou_month_day!V$3:V$900)/SUMPRODUCT((_5shaozhuchou_month_day!$A$3:$A$900&gt;=$C30)*(_5shaozhuchou_month_day!$A$3:$A$900&lt;$C31)*(_5shaozhuchou_month_day!V$3:V$900&gt;0)))</f>
        <v>0</v>
      </c>
      <c r="S30" s="145">
        <f>IF(G30=0,0,SUMPRODUCT((_5shaozhuchou_month_day!$A$3:$A$900&gt;=$C30)*(_5shaozhuchou_month_day!$A$3:$A$900&lt;$C31),_5shaozhuchou_month_day!W$3:W$900)/SUMPRODUCT((_5shaozhuchou_month_day!$A$3:$A$900&gt;=$C30)*(_5shaozhuchou_month_day!$A$3:$A$900&lt;$C31)*(_5shaozhuchou_month_day!W$3:W$900&lt;0)))</f>
        <v>0</v>
      </c>
      <c r="T30" s="145" t="str">
        <f>主抽数据!K32</f>
        <v/>
      </c>
      <c r="U30" s="132" t="str">
        <f>主抽数据!L32</f>
        <v/>
      </c>
      <c r="V30" s="148">
        <f>查询与汇总!$J$1*M30</f>
        <v>0</v>
      </c>
      <c r="W30" s="149">
        <f t="shared" si="5"/>
        <v>76353</v>
      </c>
      <c r="X30" s="151"/>
      <c r="Y30" s="164"/>
      <c r="Z30" s="163"/>
      <c r="AA30" s="160" t="str">
        <f>主抽数据!M32</f>
        <v/>
      </c>
      <c r="AB30" s="161" t="str">
        <f>主抽数据!N32</f>
        <v/>
      </c>
      <c r="AC30" s="162">
        <f t="shared" si="6"/>
        <v>4.5811799999999998</v>
      </c>
      <c r="AE30" s="123" t="e">
        <f t="shared" si="7"/>
        <v>#VALUE!</v>
      </c>
      <c r="AF30" s="123" t="e">
        <f t="shared" si="8"/>
        <v>#VALUE!</v>
      </c>
      <c r="AG30" s="123">
        <f t="shared" si="9"/>
        <v>0</v>
      </c>
      <c r="AH30" s="123">
        <f t="shared" si="10"/>
        <v>0</v>
      </c>
    </row>
    <row r="31" spans="1:34" ht="39" customHeight="1">
      <c r="A31" s="194">
        <f t="shared" si="11"/>
        <v>43353</v>
      </c>
      <c r="B31" s="134">
        <f t="shared" si="12"/>
        <v>0.33333333333333298</v>
      </c>
      <c r="C31" s="133">
        <f t="shared" si="14"/>
        <v>43353.333333333336</v>
      </c>
      <c r="D31" s="134" t="str">
        <f t="shared" si="13"/>
        <v>白班</v>
      </c>
      <c r="E31" s="143">
        <f>'6烧主抽电耗'!E31</f>
        <v>2</v>
      </c>
      <c r="F31" s="143" t="str">
        <f>'6烧主抽电耗'!F31</f>
        <v>乙班</v>
      </c>
      <c r="G31" s="132">
        <f>SUMPRODUCT((_5shaozhuchou_month_day!$A$3:$A$900&gt;=C31)*(_5shaozhuchou_month_day!$A$3:$A$900&lt;C32),_5shaozhuchou_month_day!$Y$3:$Y$900)/8</f>
        <v>0</v>
      </c>
      <c r="H31" s="132">
        <f t="shared" si="2"/>
        <v>0</v>
      </c>
      <c r="I31" s="195">
        <f t="shared" si="15"/>
        <v>0</v>
      </c>
      <c r="J31" s="196">
        <f>SUMPRODUCT((主抽数据!$AU$5:$AU$97=$A31)*(主抽数据!$AV$5:$AV$97=$F31),主抽数据!$AH$5:$AH$97)</f>
        <v>44808</v>
      </c>
      <c r="K31" s="196">
        <f>SUMPRODUCT((主抽数据!$AU$5:$AU$97=$A31)*(主抽数据!$AV$5:$AV$97=$F31),主抽数据!$AI$5:$AI$97)</f>
        <v>38793</v>
      </c>
      <c r="L31" s="143">
        <f t="shared" si="3"/>
        <v>83601</v>
      </c>
      <c r="M31" s="143">
        <f>SUMPRODUCT((_5shaozhuchou_month_day!$A$3:$A$900&gt;=C31)*(_5shaozhuchou_month_day!$A$3:$A$900&lt;C32),_5shaozhuchou_month_day!$Z$3:$Z$900)</f>
        <v>0</v>
      </c>
      <c r="N31" s="132">
        <f>M31*查询与汇总!$F$1</f>
        <v>0</v>
      </c>
      <c r="O31" s="144">
        <f t="shared" si="4"/>
        <v>0</v>
      </c>
      <c r="P31" s="143">
        <f>IF(G31=0,0,SUMPRODUCT((_5shaozhuchou_month_day!$A$3:$A$900&gt;=$C31)*(_5shaozhuchou_month_day!$A$3:$A$900&lt;$C32),_5shaozhuchou_month_day!T$3:T$900)/SUMPRODUCT((_5shaozhuchou_month_day!$A$3:$A$900&gt;=$C31)*(_5shaozhuchou_month_day!$A$3:$A$900&lt;$C32)*(_5shaozhuchou_month_day!T$3:T$900&gt;0)))</f>
        <v>0</v>
      </c>
      <c r="Q31" s="145">
        <f>IF(G31=0,0,SUMPRODUCT((_5shaozhuchou_month_day!$A$3:$A$900&gt;=$C31)*(_5shaozhuchou_month_day!$A$3:$A$900&lt;$C32),_5shaozhuchou_month_day!U$3:U$900)/SUMPRODUCT((_5shaozhuchou_month_day!$A$3:$A$900&gt;=$C31)*(_5shaozhuchou_month_day!$A$3:$A$900&lt;$C32)*(_5shaozhuchou_month_day!U$3:U$900&lt;0)))</f>
        <v>0</v>
      </c>
      <c r="R31" s="143">
        <f>IF(G31=0,0,SUMPRODUCT((_5shaozhuchou_month_day!$A$3:$A$900&gt;=$C31)*(_5shaozhuchou_month_day!$A$3:$A$900&lt;$C32),_5shaozhuchou_month_day!V$3:V$900)/SUMPRODUCT((_5shaozhuchou_month_day!$A$3:$A$900&gt;=$C31)*(_5shaozhuchou_month_day!$A$3:$A$900&lt;$C32)*(_5shaozhuchou_month_day!V$3:V$900&gt;0)))</f>
        <v>0</v>
      </c>
      <c r="S31" s="145">
        <f>IF(G31=0,0,SUMPRODUCT((_5shaozhuchou_month_day!$A$3:$A$900&gt;=$C31)*(_5shaozhuchou_month_day!$A$3:$A$900&lt;$C32),_5shaozhuchou_month_day!W$3:W$900)/SUMPRODUCT((_5shaozhuchou_month_day!$A$3:$A$900&gt;=$C31)*(_5shaozhuchou_month_day!$A$3:$A$900&lt;$C32)*(_5shaozhuchou_month_day!W$3:W$900&lt;0)))</f>
        <v>0</v>
      </c>
      <c r="T31" s="145" t="str">
        <f>主抽数据!K33</f>
        <v/>
      </c>
      <c r="U31" s="132" t="str">
        <f>主抽数据!L33</f>
        <v/>
      </c>
      <c r="V31" s="148">
        <f>查询与汇总!$J$1*M31</f>
        <v>0</v>
      </c>
      <c r="W31" s="149">
        <f t="shared" si="5"/>
        <v>83601</v>
      </c>
      <c r="X31" s="151"/>
      <c r="Y31" s="164"/>
      <c r="Z31" s="165"/>
      <c r="AA31" s="160" t="str">
        <f>主抽数据!M33</f>
        <v/>
      </c>
      <c r="AB31" s="161" t="str">
        <f>主抽数据!N33</f>
        <v/>
      </c>
      <c r="AC31" s="162">
        <f t="shared" si="6"/>
        <v>5.0160599999999995</v>
      </c>
      <c r="AE31" s="123" t="e">
        <f t="shared" si="7"/>
        <v>#VALUE!</v>
      </c>
      <c r="AF31" s="123" t="e">
        <f t="shared" si="8"/>
        <v>#VALUE!</v>
      </c>
      <c r="AG31" s="123">
        <f t="shared" si="9"/>
        <v>0</v>
      </c>
      <c r="AH31" s="123">
        <f t="shared" si="10"/>
        <v>0</v>
      </c>
    </row>
    <row r="32" spans="1:34" ht="48" customHeight="1">
      <c r="A32" s="194">
        <f t="shared" si="11"/>
        <v>43353</v>
      </c>
      <c r="B32" s="134">
        <f t="shared" si="12"/>
        <v>0.66666666666666696</v>
      </c>
      <c r="C32" s="133">
        <f t="shared" si="14"/>
        <v>43353.666666666664</v>
      </c>
      <c r="D32" s="134" t="str">
        <f t="shared" si="13"/>
        <v>中班</v>
      </c>
      <c r="E32" s="143">
        <f>'6烧主抽电耗'!E32</f>
        <v>3</v>
      </c>
      <c r="F32" s="143" t="str">
        <f>'6烧主抽电耗'!F32</f>
        <v>丙班</v>
      </c>
      <c r="G32" s="132">
        <f>SUMPRODUCT((_5shaozhuchou_month_day!$A$3:$A$900&gt;=C32)*(_5shaozhuchou_month_day!$A$3:$A$900&lt;C33),_5shaozhuchou_month_day!$Y$3:$Y$900)/8</f>
        <v>0</v>
      </c>
      <c r="H32" s="132">
        <f t="shared" si="2"/>
        <v>0</v>
      </c>
      <c r="I32" s="195">
        <f t="shared" si="15"/>
        <v>0</v>
      </c>
      <c r="J32" s="196">
        <f>SUMPRODUCT((主抽数据!$AU$5:$AU$97=$A32)*(主抽数据!$AV$5:$AV$97=$F32),主抽数据!$AH$5:$AH$97)</f>
        <v>41217</v>
      </c>
      <c r="K32" s="196">
        <f>SUMPRODUCT((主抽数据!$AU$5:$AU$97=$A32)*(主抽数据!$AV$5:$AV$97=$F32),主抽数据!$AI$5:$AI$97)</f>
        <v>35286</v>
      </c>
      <c r="L32" s="143">
        <f t="shared" si="3"/>
        <v>76503</v>
      </c>
      <c r="M32" s="143">
        <f>SUMPRODUCT((_5shaozhuchou_month_day!$A$3:$A$900&gt;=C32)*(_5shaozhuchou_month_day!$A$3:$A$900&lt;C33),_5shaozhuchou_month_day!$Z$3:$Z$900)</f>
        <v>0</v>
      </c>
      <c r="N32" s="132">
        <f>M32*查询与汇总!$F$1</f>
        <v>0</v>
      </c>
      <c r="O32" s="144">
        <f t="shared" si="4"/>
        <v>0</v>
      </c>
      <c r="P32" s="143">
        <f>IF(G32=0,0,SUMPRODUCT((_5shaozhuchou_month_day!$A$3:$A$900&gt;=$C32)*(_5shaozhuchou_month_day!$A$3:$A$900&lt;$C33),_5shaozhuchou_month_day!T$3:T$900)/SUMPRODUCT((_5shaozhuchou_month_day!$A$3:$A$900&gt;=$C32)*(_5shaozhuchou_month_day!$A$3:$A$900&lt;$C33)*(_5shaozhuchou_month_day!T$3:T$900&gt;0)))</f>
        <v>0</v>
      </c>
      <c r="Q32" s="145">
        <f>IF(G32=0,0,SUMPRODUCT((_5shaozhuchou_month_day!$A$3:$A$900&gt;=$C32)*(_5shaozhuchou_month_day!$A$3:$A$900&lt;$C33),_5shaozhuchou_month_day!U$3:U$900)/SUMPRODUCT((_5shaozhuchou_month_day!$A$3:$A$900&gt;=$C32)*(_5shaozhuchou_month_day!$A$3:$A$900&lt;$C33)*(_5shaozhuchou_month_day!U$3:U$900&lt;0)))</f>
        <v>0</v>
      </c>
      <c r="R32" s="143">
        <f>IF(G32=0,0,SUMPRODUCT((_5shaozhuchou_month_day!$A$3:$A$900&gt;=$C32)*(_5shaozhuchou_month_day!$A$3:$A$900&lt;$C33),_5shaozhuchou_month_day!V$3:V$900)/SUMPRODUCT((_5shaozhuchou_month_day!$A$3:$A$900&gt;=$C32)*(_5shaozhuchou_month_day!$A$3:$A$900&lt;$C33)*(_5shaozhuchou_month_day!V$3:V$900&gt;0)))</f>
        <v>0</v>
      </c>
      <c r="S32" s="145">
        <f>IF(G32=0,0,SUMPRODUCT((_5shaozhuchou_month_day!$A$3:$A$900&gt;=$C32)*(_5shaozhuchou_month_day!$A$3:$A$900&lt;$C33),_5shaozhuchou_month_day!W$3:W$900)/SUMPRODUCT((_5shaozhuchou_month_day!$A$3:$A$900&gt;=$C32)*(_5shaozhuchou_month_day!$A$3:$A$900&lt;$C33)*(_5shaozhuchou_month_day!W$3:W$900&lt;0)))</f>
        <v>0</v>
      </c>
      <c r="T32" s="145" t="str">
        <f>主抽数据!K34</f>
        <v/>
      </c>
      <c r="U32" s="132" t="str">
        <f>主抽数据!L34</f>
        <v/>
      </c>
      <c r="V32" s="148">
        <f>查询与汇总!$J$1*M32</f>
        <v>0</v>
      </c>
      <c r="W32" s="149">
        <f t="shared" si="5"/>
        <v>76503</v>
      </c>
      <c r="X32" s="151"/>
      <c r="Y32" s="164"/>
      <c r="Z32" s="165"/>
      <c r="AA32" s="160" t="str">
        <f>主抽数据!M34</f>
        <v/>
      </c>
      <c r="AB32" s="161" t="str">
        <f>主抽数据!N34</f>
        <v/>
      </c>
      <c r="AC32" s="162">
        <f t="shared" si="6"/>
        <v>4.5901799999999993</v>
      </c>
      <c r="AE32" s="123" t="e">
        <f t="shared" si="7"/>
        <v>#VALUE!</v>
      </c>
      <c r="AF32" s="123" t="e">
        <f t="shared" si="8"/>
        <v>#VALUE!</v>
      </c>
      <c r="AG32" s="123">
        <f t="shared" si="9"/>
        <v>0</v>
      </c>
      <c r="AH32" s="123">
        <f t="shared" si="10"/>
        <v>0</v>
      </c>
    </row>
    <row r="33" spans="1:34" ht="27" customHeight="1">
      <c r="A33" s="194">
        <f t="shared" si="11"/>
        <v>43354</v>
      </c>
      <c r="B33" s="134">
        <f t="shared" si="12"/>
        <v>0</v>
      </c>
      <c r="C33" s="133">
        <f t="shared" si="14"/>
        <v>43354</v>
      </c>
      <c r="D33" s="134" t="str">
        <f t="shared" si="13"/>
        <v>夜班</v>
      </c>
      <c r="E33" s="143">
        <f>'6烧主抽电耗'!E33</f>
        <v>1</v>
      </c>
      <c r="F33" s="143" t="str">
        <f>'6烧主抽电耗'!F33</f>
        <v>甲班</v>
      </c>
      <c r="G33" s="132">
        <f>SUMPRODUCT((_5shaozhuchou_month_day!$A$3:$A$900&gt;=C33)*(_5shaozhuchou_month_day!$A$3:$A$900&lt;C34),_5shaozhuchou_month_day!$Y$3:$Y$900)/8</f>
        <v>0</v>
      </c>
      <c r="H33" s="132">
        <f t="shared" si="2"/>
        <v>0</v>
      </c>
      <c r="I33" s="195">
        <f t="shared" si="15"/>
        <v>0</v>
      </c>
      <c r="J33" s="196">
        <f>SUMPRODUCT((主抽数据!$AU$5:$AU$97=$A33)*(主抽数据!$AV$5:$AV$97=$F33),主抽数据!$AH$5:$AH$97)</f>
        <v>41610</v>
      </c>
      <c r="K33" s="196">
        <f>SUMPRODUCT((主抽数据!$AU$5:$AU$97=$A33)*(主抽数据!$AV$5:$AV$97=$F33),主抽数据!$AI$5:$AI$97)</f>
        <v>36009</v>
      </c>
      <c r="L33" s="143">
        <f t="shared" si="3"/>
        <v>77619</v>
      </c>
      <c r="M33" s="143">
        <f>SUMPRODUCT((_5shaozhuchou_month_day!$A$3:$A$900&gt;=C33)*(_5shaozhuchou_month_day!$A$3:$A$900&lt;C34),_5shaozhuchou_month_day!$Z$3:$Z$900)</f>
        <v>0</v>
      </c>
      <c r="N33" s="132">
        <f>M33*查询与汇总!$F$1</f>
        <v>0</v>
      </c>
      <c r="O33" s="144">
        <f t="shared" si="4"/>
        <v>0</v>
      </c>
      <c r="P33" s="143">
        <f>IF(G33=0,0,SUMPRODUCT((_5shaozhuchou_month_day!$A$3:$A$900&gt;=$C33)*(_5shaozhuchou_month_day!$A$3:$A$900&lt;$C34),_5shaozhuchou_month_day!T$3:T$900)/SUMPRODUCT((_5shaozhuchou_month_day!$A$3:$A$900&gt;=$C33)*(_5shaozhuchou_month_day!$A$3:$A$900&lt;$C34)*(_5shaozhuchou_month_day!T$3:T$900&gt;0)))</f>
        <v>0</v>
      </c>
      <c r="Q33" s="145">
        <f>IF(G33=0,0,SUMPRODUCT((_5shaozhuchou_month_day!$A$3:$A$900&gt;=$C33)*(_5shaozhuchou_month_day!$A$3:$A$900&lt;$C34),_5shaozhuchou_month_day!U$3:U$900)/SUMPRODUCT((_5shaozhuchou_month_day!$A$3:$A$900&gt;=$C33)*(_5shaozhuchou_month_day!$A$3:$A$900&lt;$C34)*(_5shaozhuchou_month_day!U$3:U$900&lt;0)))</f>
        <v>0</v>
      </c>
      <c r="R33" s="143">
        <f>IF(G33=0,0,SUMPRODUCT((_5shaozhuchou_month_day!$A$3:$A$900&gt;=$C33)*(_5shaozhuchou_month_day!$A$3:$A$900&lt;$C34),_5shaozhuchou_month_day!V$3:V$900)/SUMPRODUCT((_5shaozhuchou_month_day!$A$3:$A$900&gt;=$C33)*(_5shaozhuchou_month_day!$A$3:$A$900&lt;$C34)*(_5shaozhuchou_month_day!V$3:V$900&gt;0)))</f>
        <v>0</v>
      </c>
      <c r="S33" s="145">
        <f>IF(G33=0,0,SUMPRODUCT((_5shaozhuchou_month_day!$A$3:$A$900&gt;=$C33)*(_5shaozhuchou_month_day!$A$3:$A$900&lt;$C34),_5shaozhuchou_month_day!W$3:W$900)/SUMPRODUCT((_5shaozhuchou_month_day!$A$3:$A$900&gt;=$C33)*(_5shaozhuchou_month_day!$A$3:$A$900&lt;$C34)*(_5shaozhuchou_month_day!W$3:W$900&lt;0)))</f>
        <v>0</v>
      </c>
      <c r="T33" s="145" t="str">
        <f>主抽数据!K35</f>
        <v/>
      </c>
      <c r="U33" s="132" t="str">
        <f>主抽数据!L35</f>
        <v/>
      </c>
      <c r="V33" s="148">
        <f>查询与汇总!$J$1*M33</f>
        <v>0</v>
      </c>
      <c r="W33" s="149">
        <f t="shared" si="5"/>
        <v>77619</v>
      </c>
      <c r="X33" s="151"/>
      <c r="Y33" s="164"/>
      <c r="Z33" s="163"/>
      <c r="AA33" s="160" t="str">
        <f>主抽数据!M35</f>
        <v/>
      </c>
      <c r="AB33" s="161" t="str">
        <f>主抽数据!N35</f>
        <v/>
      </c>
      <c r="AC33" s="162">
        <f t="shared" si="6"/>
        <v>4.6571400000000001</v>
      </c>
      <c r="AE33" s="123" t="e">
        <f t="shared" si="7"/>
        <v>#VALUE!</v>
      </c>
      <c r="AF33" s="123" t="e">
        <f t="shared" si="8"/>
        <v>#VALUE!</v>
      </c>
      <c r="AG33" s="123">
        <f t="shared" si="9"/>
        <v>0</v>
      </c>
      <c r="AH33" s="123">
        <f t="shared" si="10"/>
        <v>0</v>
      </c>
    </row>
    <row r="34" spans="1:34" ht="29.1" customHeight="1">
      <c r="A34" s="194">
        <f t="shared" si="11"/>
        <v>43354</v>
      </c>
      <c r="B34" s="134">
        <f t="shared" si="12"/>
        <v>0.33333333333333298</v>
      </c>
      <c r="C34" s="133">
        <f t="shared" si="14"/>
        <v>43354.333333333336</v>
      </c>
      <c r="D34" s="134" t="str">
        <f t="shared" si="13"/>
        <v>白班</v>
      </c>
      <c r="E34" s="143">
        <f>'6烧主抽电耗'!E34</f>
        <v>2</v>
      </c>
      <c r="F34" s="143" t="str">
        <f>'6烧主抽电耗'!F34</f>
        <v>乙班</v>
      </c>
      <c r="G34" s="132">
        <f>SUMPRODUCT((_5shaozhuchou_month_day!$A$3:$A$900&gt;=C34)*(_5shaozhuchou_month_day!$A$3:$A$900&lt;C35),_5shaozhuchou_month_day!$Y$3:$Y$900)/8</f>
        <v>0</v>
      </c>
      <c r="H34" s="132">
        <f t="shared" si="2"/>
        <v>0</v>
      </c>
      <c r="I34" s="195">
        <f t="shared" si="15"/>
        <v>0</v>
      </c>
      <c r="J34" s="196">
        <f>SUMPRODUCT((主抽数据!$AU$5:$AU$97=$A34)*(主抽数据!$AV$5:$AV$97=$F34),主抽数据!$AH$5:$AH$97)</f>
        <v>43680</v>
      </c>
      <c r="K34" s="196">
        <f>SUMPRODUCT((主抽数据!$AU$5:$AU$97=$A34)*(主抽数据!$AV$5:$AV$97=$F34),主抽数据!$AI$5:$AI$97)</f>
        <v>38004</v>
      </c>
      <c r="L34" s="143">
        <f t="shared" si="3"/>
        <v>81684</v>
      </c>
      <c r="M34" s="143">
        <f>SUMPRODUCT((_5shaozhuchou_month_day!$A$3:$A$900&gt;=C34)*(_5shaozhuchou_month_day!$A$3:$A$900&lt;C35),_5shaozhuchou_month_day!$Z$3:$Z$900)</f>
        <v>0</v>
      </c>
      <c r="N34" s="132">
        <f>M34*查询与汇总!$F$1</f>
        <v>0</v>
      </c>
      <c r="O34" s="144">
        <f t="shared" si="4"/>
        <v>0</v>
      </c>
      <c r="P34" s="143">
        <f>IF(G34=0,0,SUMPRODUCT((_5shaozhuchou_month_day!$A$3:$A$900&gt;=$C34)*(_5shaozhuchou_month_day!$A$3:$A$900&lt;$C35),_5shaozhuchou_month_day!T$3:T$900)/SUMPRODUCT((_5shaozhuchou_month_day!$A$3:$A$900&gt;=$C34)*(_5shaozhuchou_month_day!$A$3:$A$900&lt;$C35)*(_5shaozhuchou_month_day!T$3:T$900&gt;0)))</f>
        <v>0</v>
      </c>
      <c r="Q34" s="145">
        <f>IF(G34=0,0,SUMPRODUCT((_5shaozhuchou_month_day!$A$3:$A$900&gt;=$C34)*(_5shaozhuchou_month_day!$A$3:$A$900&lt;$C35),_5shaozhuchou_month_day!U$3:U$900)/SUMPRODUCT((_5shaozhuchou_month_day!$A$3:$A$900&gt;=$C34)*(_5shaozhuchou_month_day!$A$3:$A$900&lt;$C35)*(_5shaozhuchou_month_day!U$3:U$900&lt;0)))</f>
        <v>0</v>
      </c>
      <c r="R34" s="143">
        <f>IF(G34=0,0,SUMPRODUCT((_5shaozhuchou_month_day!$A$3:$A$900&gt;=$C34)*(_5shaozhuchou_month_day!$A$3:$A$900&lt;$C35),_5shaozhuchou_month_day!V$3:V$900)/SUMPRODUCT((_5shaozhuchou_month_day!$A$3:$A$900&gt;=$C34)*(_5shaozhuchou_month_day!$A$3:$A$900&lt;$C35)*(_5shaozhuchou_month_day!V$3:V$900&gt;0)))</f>
        <v>0</v>
      </c>
      <c r="S34" s="145">
        <f>IF(G34=0,0,SUMPRODUCT((_5shaozhuchou_month_day!$A$3:$A$900&gt;=$C34)*(_5shaozhuchou_month_day!$A$3:$A$900&lt;$C35),_5shaozhuchou_month_day!W$3:W$900)/SUMPRODUCT((_5shaozhuchou_month_day!$A$3:$A$900&gt;=$C34)*(_5shaozhuchou_month_day!$A$3:$A$900&lt;$C35)*(_5shaozhuchou_month_day!W$3:W$900&lt;0)))</f>
        <v>0</v>
      </c>
      <c r="T34" s="145" t="str">
        <f>主抽数据!K36</f>
        <v/>
      </c>
      <c r="U34" s="132" t="str">
        <f>主抽数据!L36</f>
        <v/>
      </c>
      <c r="V34" s="148">
        <f>查询与汇总!$J$1*M34</f>
        <v>0</v>
      </c>
      <c r="W34" s="149">
        <f t="shared" si="5"/>
        <v>81684</v>
      </c>
      <c r="X34" s="151"/>
      <c r="Y34" s="164"/>
      <c r="Z34" s="163"/>
      <c r="AA34" s="160" t="str">
        <f>主抽数据!M36</f>
        <v/>
      </c>
      <c r="AB34" s="161" t="str">
        <f>主抽数据!N36</f>
        <v/>
      </c>
      <c r="AC34" s="162">
        <f t="shared" si="6"/>
        <v>4.9010400000000001</v>
      </c>
      <c r="AE34" s="123" t="e">
        <f t="shared" si="7"/>
        <v>#VALUE!</v>
      </c>
      <c r="AF34" s="123" t="e">
        <f t="shared" si="8"/>
        <v>#VALUE!</v>
      </c>
      <c r="AG34" s="123">
        <f t="shared" si="9"/>
        <v>0</v>
      </c>
      <c r="AH34" s="123">
        <f t="shared" si="10"/>
        <v>0</v>
      </c>
    </row>
    <row r="35" spans="1:34" ht="30" customHeight="1">
      <c r="A35" s="194">
        <f t="shared" si="11"/>
        <v>43354</v>
      </c>
      <c r="B35" s="134">
        <f t="shared" si="12"/>
        <v>0.66666666666666696</v>
      </c>
      <c r="C35" s="133">
        <f t="shared" si="14"/>
        <v>43354.666666666664</v>
      </c>
      <c r="D35" s="134" t="str">
        <f t="shared" si="13"/>
        <v>中班</v>
      </c>
      <c r="E35" s="143">
        <f>'6烧主抽电耗'!E35</f>
        <v>3</v>
      </c>
      <c r="F35" s="143" t="str">
        <f>'6烧主抽电耗'!F35</f>
        <v>丙班</v>
      </c>
      <c r="G35" s="132">
        <f>SUMPRODUCT((_5shaozhuchou_month_day!$A$3:$A$900&gt;=C35)*(_5shaozhuchou_month_day!$A$3:$A$900&lt;C36),_5shaozhuchou_month_day!$Y$3:$Y$900)/8</f>
        <v>0</v>
      </c>
      <c r="H35" s="132">
        <f t="shared" si="2"/>
        <v>0</v>
      </c>
      <c r="I35" s="195">
        <f t="shared" si="15"/>
        <v>0</v>
      </c>
      <c r="J35" s="196">
        <f>SUMPRODUCT((主抽数据!$AU$5:$AU$97=$A35)*(主抽数据!$AV$5:$AV$97=$F35),主抽数据!$AH$5:$AH$97)</f>
        <v>40689</v>
      </c>
      <c r="K35" s="196">
        <f>SUMPRODUCT((主抽数据!$AU$5:$AU$97=$A35)*(主抽数据!$AV$5:$AV$97=$F35),主抽数据!$AI$5:$AI$97)</f>
        <v>34845</v>
      </c>
      <c r="L35" s="143">
        <f t="shared" si="3"/>
        <v>75534</v>
      </c>
      <c r="M35" s="143">
        <f>SUMPRODUCT((_5shaozhuchou_month_day!$A$3:$A$900&gt;=C35)*(_5shaozhuchou_month_day!$A$3:$A$900&lt;C36),_5shaozhuchou_month_day!$Z$3:$Z$900)</f>
        <v>0</v>
      </c>
      <c r="N35" s="132">
        <f>M35*查询与汇总!$F$1</f>
        <v>0</v>
      </c>
      <c r="O35" s="144">
        <f t="shared" si="4"/>
        <v>0</v>
      </c>
      <c r="P35" s="143">
        <f>IF(G35=0,0,SUMPRODUCT((_5shaozhuchou_month_day!$A$3:$A$900&gt;=$C35)*(_5shaozhuchou_month_day!$A$3:$A$900&lt;$C36),_5shaozhuchou_month_day!T$3:T$900)/SUMPRODUCT((_5shaozhuchou_month_day!$A$3:$A$900&gt;=$C35)*(_5shaozhuchou_month_day!$A$3:$A$900&lt;$C36)*(_5shaozhuchou_month_day!T$3:T$900&gt;0)))</f>
        <v>0</v>
      </c>
      <c r="Q35" s="145">
        <f>IF(G35=0,0,SUMPRODUCT((_5shaozhuchou_month_day!$A$3:$A$900&gt;=$C35)*(_5shaozhuchou_month_day!$A$3:$A$900&lt;$C36),_5shaozhuchou_month_day!U$3:U$900)/SUMPRODUCT((_5shaozhuchou_month_day!$A$3:$A$900&gt;=$C35)*(_5shaozhuchou_month_day!$A$3:$A$900&lt;$C36)*(_5shaozhuchou_month_day!U$3:U$900&lt;0)))</f>
        <v>0</v>
      </c>
      <c r="R35" s="143">
        <f>IF(G35=0,0,SUMPRODUCT((_5shaozhuchou_month_day!$A$3:$A$900&gt;=$C35)*(_5shaozhuchou_month_day!$A$3:$A$900&lt;$C36),_5shaozhuchou_month_day!V$3:V$900)/SUMPRODUCT((_5shaozhuchou_month_day!$A$3:$A$900&gt;=$C35)*(_5shaozhuchou_month_day!$A$3:$A$900&lt;$C36)*(_5shaozhuchou_month_day!V$3:V$900&gt;0)))</f>
        <v>0</v>
      </c>
      <c r="S35" s="145">
        <f>IF(G35=0,0,SUMPRODUCT((_5shaozhuchou_month_day!$A$3:$A$900&gt;=$C35)*(_5shaozhuchou_month_day!$A$3:$A$900&lt;$C36),_5shaozhuchou_month_day!W$3:W$900)/SUMPRODUCT((_5shaozhuchou_month_day!$A$3:$A$900&gt;=$C35)*(_5shaozhuchou_month_day!$A$3:$A$900&lt;$C36)*(_5shaozhuchou_month_day!W$3:W$900&lt;0)))</f>
        <v>0</v>
      </c>
      <c r="T35" s="145" t="str">
        <f>主抽数据!K37</f>
        <v/>
      </c>
      <c r="U35" s="132" t="str">
        <f>主抽数据!L37</f>
        <v/>
      </c>
      <c r="V35" s="148">
        <f>查询与汇总!$J$1*M35</f>
        <v>0</v>
      </c>
      <c r="W35" s="149">
        <f t="shared" si="5"/>
        <v>75534</v>
      </c>
      <c r="X35" s="151"/>
      <c r="Y35" s="164"/>
      <c r="Z35" s="165"/>
      <c r="AA35" s="160" t="str">
        <f>主抽数据!M37</f>
        <v/>
      </c>
      <c r="AB35" s="161" t="str">
        <f>主抽数据!N37</f>
        <v/>
      </c>
      <c r="AC35" s="162">
        <f t="shared" si="6"/>
        <v>4.5320400000000003</v>
      </c>
      <c r="AE35" s="123" t="e">
        <f t="shared" si="7"/>
        <v>#VALUE!</v>
      </c>
      <c r="AF35" s="123" t="e">
        <f t="shared" si="8"/>
        <v>#VALUE!</v>
      </c>
      <c r="AG35" s="123">
        <f t="shared" si="9"/>
        <v>0</v>
      </c>
      <c r="AH35" s="123">
        <f t="shared" si="10"/>
        <v>0</v>
      </c>
    </row>
    <row r="36" spans="1:34" ht="20.25" customHeight="1">
      <c r="A36" s="194">
        <f t="shared" si="11"/>
        <v>43355</v>
      </c>
      <c r="B36" s="134">
        <f t="shared" si="12"/>
        <v>0</v>
      </c>
      <c r="C36" s="133">
        <f t="shared" si="14"/>
        <v>43355</v>
      </c>
      <c r="D36" s="134" t="str">
        <f t="shared" si="13"/>
        <v>夜班</v>
      </c>
      <c r="E36" s="143">
        <f>'6烧主抽电耗'!E36</f>
        <v>4</v>
      </c>
      <c r="F36" s="143" t="str">
        <f>'6烧主抽电耗'!F36</f>
        <v>丁班</v>
      </c>
      <c r="G36" s="132">
        <f>SUMPRODUCT((_5shaozhuchou_month_day!$A$3:$A$900&gt;=C36)*(_5shaozhuchou_month_day!$A$3:$A$900&lt;C37),_5shaozhuchou_month_day!$Y$3:$Y$900)/8</f>
        <v>0</v>
      </c>
      <c r="H36" s="132">
        <f t="shared" si="2"/>
        <v>0</v>
      </c>
      <c r="I36" s="195">
        <f t="shared" si="15"/>
        <v>0</v>
      </c>
      <c r="J36" s="196">
        <f>SUMPRODUCT((主抽数据!$AU$5:$AU$97=$A36)*(主抽数据!$AV$5:$AV$97=$F36),主抽数据!$AH$5:$AH$97)</f>
        <v>43758</v>
      </c>
      <c r="K36" s="196">
        <f>SUMPRODUCT((主抽数据!$AU$5:$AU$97=$A36)*(主抽数据!$AV$5:$AV$97=$F36),主抽数据!$AI$5:$AI$97)</f>
        <v>36732</v>
      </c>
      <c r="L36" s="143">
        <f t="shared" ref="L36:L67" si="16">J36+K36</f>
        <v>80490</v>
      </c>
      <c r="M36" s="143">
        <f>SUMPRODUCT((_5shaozhuchou_month_day!$A$3:$A$900&gt;=C36)*(_5shaozhuchou_month_day!$A$3:$A$900&lt;C37),_5shaozhuchou_month_day!$Z$3:$Z$900)</f>
        <v>0</v>
      </c>
      <c r="N36" s="132">
        <f>M36*查询与汇总!$F$1</f>
        <v>0</v>
      </c>
      <c r="O36" s="144">
        <f t="shared" ref="O36:O67" si="17">IF(N36=0,0,L36/N36)</f>
        <v>0</v>
      </c>
      <c r="P36" s="143">
        <f>IF(G36=0,0,SUMPRODUCT((_5shaozhuchou_month_day!$A$3:$A$900&gt;=$C36)*(_5shaozhuchou_month_day!$A$3:$A$900&lt;$C37),_5shaozhuchou_month_day!T$3:T$900)/SUMPRODUCT((_5shaozhuchou_month_day!$A$3:$A$900&gt;=$C36)*(_5shaozhuchou_month_day!$A$3:$A$900&lt;$C37)*(_5shaozhuchou_month_day!T$3:T$900&gt;0)))</f>
        <v>0</v>
      </c>
      <c r="Q36" s="145">
        <f>IF(G36=0,0,SUMPRODUCT((_5shaozhuchou_month_day!$A$3:$A$900&gt;=$C36)*(_5shaozhuchou_month_day!$A$3:$A$900&lt;$C37),_5shaozhuchou_month_day!U$3:U$900)/SUMPRODUCT((_5shaozhuchou_month_day!$A$3:$A$900&gt;=$C36)*(_5shaozhuchou_month_day!$A$3:$A$900&lt;$C37)*(_5shaozhuchou_month_day!U$3:U$900&lt;0)))</f>
        <v>0</v>
      </c>
      <c r="R36" s="143">
        <f>IF(G36=0,0,SUMPRODUCT((_5shaozhuchou_month_day!$A$3:$A$900&gt;=$C36)*(_5shaozhuchou_month_day!$A$3:$A$900&lt;$C37),_5shaozhuchou_month_day!V$3:V$900)/SUMPRODUCT((_5shaozhuchou_month_day!$A$3:$A$900&gt;=$C36)*(_5shaozhuchou_month_day!$A$3:$A$900&lt;$C37)*(_5shaozhuchou_month_day!V$3:V$900&gt;0)))</f>
        <v>0</v>
      </c>
      <c r="S36" s="145">
        <f>IF(G36=0,0,SUMPRODUCT((_5shaozhuchou_month_day!$A$3:$A$900&gt;=$C36)*(_5shaozhuchou_month_day!$A$3:$A$900&lt;$C37),_5shaozhuchou_month_day!W$3:W$900)/SUMPRODUCT((_5shaozhuchou_month_day!$A$3:$A$900&gt;=$C36)*(_5shaozhuchou_month_day!$A$3:$A$900&lt;$C37)*(_5shaozhuchou_month_day!W$3:W$900&lt;0)))</f>
        <v>0</v>
      </c>
      <c r="T36" s="145" t="str">
        <f>主抽数据!K38</f>
        <v/>
      </c>
      <c r="U36" s="132" t="str">
        <f>主抽数据!L38</f>
        <v/>
      </c>
      <c r="V36" s="148">
        <f>查询与汇总!$J$1*M36</f>
        <v>0</v>
      </c>
      <c r="W36" s="149">
        <f t="shared" ref="W36:W67" si="18">L36-V36</f>
        <v>80490</v>
      </c>
      <c r="X36" s="151"/>
      <c r="Y36" s="164"/>
      <c r="Z36" s="163"/>
      <c r="AA36" s="160" t="str">
        <f>主抽数据!M38</f>
        <v/>
      </c>
      <c r="AB36" s="161" t="str">
        <f>主抽数据!N38</f>
        <v/>
      </c>
      <c r="AC36" s="162">
        <f>IF(V36=-W36,0,W36*0.65/10000)</f>
        <v>5.2318499999999997</v>
      </c>
      <c r="AE36" s="123" t="e">
        <f t="shared" ref="AE36:AE67" si="19">AA36/10</f>
        <v>#VALUE!</v>
      </c>
      <c r="AF36" s="123" t="e">
        <f t="shared" ref="AF36:AF67" si="20">AB36/10</f>
        <v>#VALUE!</v>
      </c>
      <c r="AG36" s="123">
        <f t="shared" si="9"/>
        <v>0</v>
      </c>
      <c r="AH36" s="123">
        <f t="shared" si="10"/>
        <v>0</v>
      </c>
    </row>
    <row r="37" spans="1:34" ht="20.25" customHeight="1">
      <c r="A37" s="194">
        <f t="shared" si="11"/>
        <v>43355</v>
      </c>
      <c r="B37" s="134">
        <f t="shared" si="12"/>
        <v>0.33333333333333298</v>
      </c>
      <c r="C37" s="133">
        <f t="shared" si="14"/>
        <v>43355.333333333336</v>
      </c>
      <c r="D37" s="134" t="str">
        <f t="shared" si="13"/>
        <v>白班</v>
      </c>
      <c r="E37" s="143">
        <f>'6烧主抽电耗'!E37</f>
        <v>1</v>
      </c>
      <c r="F37" s="143" t="str">
        <f>'6烧主抽电耗'!F37</f>
        <v>甲班</v>
      </c>
      <c r="G37" s="132">
        <f>SUMPRODUCT((_5shaozhuchou_month_day!$A$3:$A$900&gt;=C37)*(_5shaozhuchou_month_day!$A$3:$A$900&lt;C38),_5shaozhuchou_month_day!$Y$3:$Y$900)/8</f>
        <v>0</v>
      </c>
      <c r="H37" s="132">
        <f t="shared" si="2"/>
        <v>0</v>
      </c>
      <c r="I37" s="195">
        <f t="shared" si="15"/>
        <v>0</v>
      </c>
      <c r="J37" s="196">
        <f>SUMPRODUCT((主抽数据!$AU$5:$AU$97=$A37)*(主抽数据!$AV$5:$AV$97=$F37),主抽数据!$AH$5:$AH$97)</f>
        <v>43866</v>
      </c>
      <c r="K37" s="196">
        <f>SUMPRODUCT((主抽数据!$AU$5:$AU$97=$A37)*(主抽数据!$AV$5:$AV$97=$F37),主抽数据!$AI$5:$AI$97)</f>
        <v>37731</v>
      </c>
      <c r="L37" s="143">
        <f t="shared" si="16"/>
        <v>81597</v>
      </c>
      <c r="M37" s="143">
        <f>SUMPRODUCT((_5shaozhuchou_month_day!$A$3:$A$900&gt;=C37)*(_5shaozhuchou_month_day!$A$3:$A$900&lt;C38),_5shaozhuchou_month_day!$Z$3:$Z$900)</f>
        <v>0</v>
      </c>
      <c r="N37" s="132">
        <f>M37*查询与汇总!$F$1</f>
        <v>0</v>
      </c>
      <c r="O37" s="144">
        <f t="shared" si="17"/>
        <v>0</v>
      </c>
      <c r="P37" s="143">
        <f>IF(G37=0,0,SUMPRODUCT((_5shaozhuchou_month_day!$A$3:$A$900&gt;=$C37)*(_5shaozhuchou_month_day!$A$3:$A$900&lt;$C38),_5shaozhuchou_month_day!T$3:T$900)/SUMPRODUCT((_5shaozhuchou_month_day!$A$3:$A$900&gt;=$C37)*(_5shaozhuchou_month_day!$A$3:$A$900&lt;$C38)*(_5shaozhuchou_month_day!T$3:T$900&gt;0)))</f>
        <v>0</v>
      </c>
      <c r="Q37" s="145">
        <f>IF(G37=0,0,SUMPRODUCT((_5shaozhuchou_month_day!$A$3:$A$900&gt;=$C37)*(_5shaozhuchou_month_day!$A$3:$A$900&lt;$C38),_5shaozhuchou_month_day!U$3:U$900)/SUMPRODUCT((_5shaozhuchou_month_day!$A$3:$A$900&gt;=$C37)*(_5shaozhuchou_month_day!$A$3:$A$900&lt;$C38)*(_5shaozhuchou_month_day!U$3:U$900&lt;0)))</f>
        <v>0</v>
      </c>
      <c r="R37" s="143">
        <f>IF(G37=0,0,SUMPRODUCT((_5shaozhuchou_month_day!$A$3:$A$900&gt;=$C37)*(_5shaozhuchou_month_day!$A$3:$A$900&lt;$C38),_5shaozhuchou_month_day!V$3:V$900)/SUMPRODUCT((_5shaozhuchou_month_day!$A$3:$A$900&gt;=$C37)*(_5shaozhuchou_month_day!$A$3:$A$900&lt;$C38)*(_5shaozhuchou_month_day!V$3:V$900&gt;0)))</f>
        <v>0</v>
      </c>
      <c r="S37" s="145">
        <f>IF(G37=0,0,SUMPRODUCT((_5shaozhuchou_month_day!$A$3:$A$900&gt;=$C37)*(_5shaozhuchou_month_day!$A$3:$A$900&lt;$C38),_5shaozhuchou_month_day!W$3:W$900)/SUMPRODUCT((_5shaozhuchou_month_day!$A$3:$A$900&gt;=$C37)*(_5shaozhuchou_month_day!$A$3:$A$900&lt;$C38)*(_5shaozhuchou_month_day!W$3:W$900&lt;0)))</f>
        <v>0</v>
      </c>
      <c r="T37" s="145" t="str">
        <f>主抽数据!K39</f>
        <v/>
      </c>
      <c r="U37" s="132" t="str">
        <f>主抽数据!L39</f>
        <v/>
      </c>
      <c r="V37" s="148">
        <f>查询与汇总!$J$1*M37</f>
        <v>0</v>
      </c>
      <c r="W37" s="149">
        <f t="shared" si="18"/>
        <v>81597</v>
      </c>
      <c r="X37" s="151"/>
      <c r="Y37" s="164"/>
      <c r="Z37" s="163"/>
      <c r="AA37" s="160" t="str">
        <f>主抽数据!M39</f>
        <v/>
      </c>
      <c r="AB37" s="161" t="str">
        <f>主抽数据!N39</f>
        <v/>
      </c>
      <c r="AC37" s="162">
        <f t="shared" ref="AC37:AC68" si="21">IF(V37=-W37,0,W37*0.65/10000)</f>
        <v>5.3038050000000005</v>
      </c>
      <c r="AE37" s="123" t="e">
        <f t="shared" si="19"/>
        <v>#VALUE!</v>
      </c>
      <c r="AF37" s="123" t="e">
        <f t="shared" si="20"/>
        <v>#VALUE!</v>
      </c>
      <c r="AG37" s="123">
        <f t="shared" si="9"/>
        <v>0</v>
      </c>
      <c r="AH37" s="123">
        <f t="shared" si="10"/>
        <v>0</v>
      </c>
    </row>
    <row r="38" spans="1:34" ht="20.25" customHeight="1">
      <c r="A38" s="194">
        <f t="shared" si="11"/>
        <v>43355</v>
      </c>
      <c r="B38" s="134">
        <f t="shared" si="12"/>
        <v>0.66666666666666696</v>
      </c>
      <c r="C38" s="133">
        <f t="shared" si="14"/>
        <v>43355.666666666664</v>
      </c>
      <c r="D38" s="134" t="str">
        <f t="shared" si="13"/>
        <v>中班</v>
      </c>
      <c r="E38" s="143">
        <f>'6烧主抽电耗'!E38</f>
        <v>2</v>
      </c>
      <c r="F38" s="143" t="str">
        <f>'6烧主抽电耗'!F38</f>
        <v>乙班</v>
      </c>
      <c r="G38" s="132">
        <f>SUMPRODUCT((_5shaozhuchou_month_day!$A$3:$A$900&gt;=C38)*(_5shaozhuchou_month_day!$A$3:$A$900&lt;C39),_5shaozhuchou_month_day!$Y$3:$Y$900)/8</f>
        <v>0</v>
      </c>
      <c r="H38" s="132">
        <f t="shared" si="2"/>
        <v>0</v>
      </c>
      <c r="I38" s="195">
        <f t="shared" si="15"/>
        <v>0</v>
      </c>
      <c r="J38" s="196">
        <f>SUMPRODUCT((主抽数据!$AU$5:$AU$97=$A38)*(主抽数据!$AV$5:$AV$97=$F38),主抽数据!$AH$5:$AH$97)</f>
        <v>36543</v>
      </c>
      <c r="K38" s="196">
        <f>SUMPRODUCT((主抽数据!$AU$5:$AU$97=$A38)*(主抽数据!$AV$5:$AV$97=$F38),主抽数据!$AI$5:$AI$97)</f>
        <v>33954</v>
      </c>
      <c r="L38" s="143">
        <f t="shared" si="16"/>
        <v>70497</v>
      </c>
      <c r="M38" s="143">
        <f>SUMPRODUCT((_5shaozhuchou_month_day!$A$3:$A$900&gt;=C38)*(_5shaozhuchou_month_day!$A$3:$A$900&lt;C39),_5shaozhuchou_month_day!$Z$3:$Z$900)</f>
        <v>0</v>
      </c>
      <c r="N38" s="132">
        <f>M38*查询与汇总!$F$1</f>
        <v>0</v>
      </c>
      <c r="O38" s="144">
        <f t="shared" si="17"/>
        <v>0</v>
      </c>
      <c r="P38" s="143">
        <f>IF(G38=0,0,SUMPRODUCT((_5shaozhuchou_month_day!$A$3:$A$900&gt;=$C38)*(_5shaozhuchou_month_day!$A$3:$A$900&lt;$C39),_5shaozhuchou_month_day!T$3:T$900)/SUMPRODUCT((_5shaozhuchou_month_day!$A$3:$A$900&gt;=$C38)*(_5shaozhuchou_month_day!$A$3:$A$900&lt;$C39)*(_5shaozhuchou_month_day!T$3:T$900&gt;0)))</f>
        <v>0</v>
      </c>
      <c r="Q38" s="145">
        <f>IF(G38=0,0,SUMPRODUCT((_5shaozhuchou_month_day!$A$3:$A$900&gt;=$C38)*(_5shaozhuchou_month_day!$A$3:$A$900&lt;$C39),_5shaozhuchou_month_day!U$3:U$900)/SUMPRODUCT((_5shaozhuchou_month_day!$A$3:$A$900&gt;=$C38)*(_5shaozhuchou_month_day!$A$3:$A$900&lt;$C39)*(_5shaozhuchou_month_day!U$3:U$900&lt;0)))</f>
        <v>0</v>
      </c>
      <c r="R38" s="143">
        <f>IF(G38=0,0,SUMPRODUCT((_5shaozhuchou_month_day!$A$3:$A$900&gt;=$C38)*(_5shaozhuchou_month_day!$A$3:$A$900&lt;$C39),_5shaozhuchou_month_day!V$3:V$900)/SUMPRODUCT((_5shaozhuchou_month_day!$A$3:$A$900&gt;=$C38)*(_5shaozhuchou_month_day!$A$3:$A$900&lt;$C39)*(_5shaozhuchou_month_day!V$3:V$900&gt;0)))</f>
        <v>0</v>
      </c>
      <c r="S38" s="145">
        <f>IF(G38=0,0,SUMPRODUCT((_5shaozhuchou_month_day!$A$3:$A$900&gt;=$C38)*(_5shaozhuchou_month_day!$A$3:$A$900&lt;$C39),_5shaozhuchou_month_day!W$3:W$900)/SUMPRODUCT((_5shaozhuchou_month_day!$A$3:$A$900&gt;=$C38)*(_5shaozhuchou_month_day!$A$3:$A$900&lt;$C39)*(_5shaozhuchou_month_day!W$3:W$900&lt;0)))</f>
        <v>0</v>
      </c>
      <c r="T38" s="145" t="str">
        <f>主抽数据!K40</f>
        <v/>
      </c>
      <c r="U38" s="132" t="str">
        <f>主抽数据!L40</f>
        <v/>
      </c>
      <c r="V38" s="148">
        <f>查询与汇总!$J$1*M38</f>
        <v>0</v>
      </c>
      <c r="W38" s="149">
        <f t="shared" si="18"/>
        <v>70497</v>
      </c>
      <c r="X38" s="151"/>
      <c r="Y38" s="164"/>
      <c r="Z38" s="163"/>
      <c r="AA38" s="160" t="str">
        <f>主抽数据!M40</f>
        <v/>
      </c>
      <c r="AB38" s="161" t="str">
        <f>主抽数据!N40</f>
        <v/>
      </c>
      <c r="AC38" s="162">
        <f t="shared" si="21"/>
        <v>4.5823049999999999</v>
      </c>
      <c r="AE38" s="123" t="e">
        <f t="shared" si="19"/>
        <v>#VALUE!</v>
      </c>
      <c r="AF38" s="123" t="e">
        <f t="shared" si="20"/>
        <v>#VALUE!</v>
      </c>
      <c r="AG38" s="123">
        <f t="shared" si="9"/>
        <v>0</v>
      </c>
      <c r="AH38" s="123">
        <f t="shared" si="10"/>
        <v>0</v>
      </c>
    </row>
    <row r="39" spans="1:34" ht="20.25" customHeight="1">
      <c r="A39" s="194">
        <f t="shared" si="11"/>
        <v>43356</v>
      </c>
      <c r="B39" s="134">
        <f t="shared" si="12"/>
        <v>0</v>
      </c>
      <c r="C39" s="133">
        <f t="shared" si="14"/>
        <v>43356</v>
      </c>
      <c r="D39" s="134" t="str">
        <f t="shared" si="13"/>
        <v>夜班</v>
      </c>
      <c r="E39" s="143">
        <f>'6烧主抽电耗'!E39</f>
        <v>4</v>
      </c>
      <c r="F39" s="143" t="str">
        <f>'6烧主抽电耗'!F39</f>
        <v>丁班</v>
      </c>
      <c r="G39" s="132">
        <f>SUMPRODUCT((_5shaozhuchou_month_day!$A$3:$A$900&gt;=C39)*(_5shaozhuchou_month_day!$A$3:$A$900&lt;C40),_5shaozhuchou_month_day!$Y$3:$Y$900)/8</f>
        <v>0</v>
      </c>
      <c r="H39" s="132">
        <f t="shared" si="2"/>
        <v>0</v>
      </c>
      <c r="I39" s="195">
        <f t="shared" si="15"/>
        <v>0</v>
      </c>
      <c r="J39" s="196">
        <f>SUMPRODUCT((主抽数据!$AU$5:$AU$97=$A39)*(主抽数据!$AV$5:$AV$97=$F39),主抽数据!$AH$5:$AH$97)</f>
        <v>40548</v>
      </c>
      <c r="K39" s="196">
        <f>SUMPRODUCT((主抽数据!$AU$5:$AU$97=$A39)*(主抽数据!$AV$5:$AV$97=$F39),主抽数据!$AI$5:$AI$97)</f>
        <v>35898</v>
      </c>
      <c r="L39" s="143">
        <f t="shared" si="16"/>
        <v>76446</v>
      </c>
      <c r="M39" s="143">
        <f>SUMPRODUCT((_5shaozhuchou_month_day!$A$3:$A$900&gt;=C39)*(_5shaozhuchou_month_day!$A$3:$A$900&lt;C40),_5shaozhuchou_month_day!$Z$3:$Z$900)</f>
        <v>0</v>
      </c>
      <c r="N39" s="132">
        <f>M39*查询与汇总!$F$1</f>
        <v>0</v>
      </c>
      <c r="O39" s="144">
        <f t="shared" si="17"/>
        <v>0</v>
      </c>
      <c r="P39" s="143">
        <f>IF(G39=0,0,SUMPRODUCT((_5shaozhuchou_month_day!$A$3:$A$900&gt;=$C39)*(_5shaozhuchou_month_day!$A$3:$A$900&lt;$C40),_5shaozhuchou_month_day!T$3:T$900)/SUMPRODUCT((_5shaozhuchou_month_day!$A$3:$A$900&gt;=$C39)*(_5shaozhuchou_month_day!$A$3:$A$900&lt;$C40)*(_5shaozhuchou_month_day!T$3:T$900&gt;0)))</f>
        <v>0</v>
      </c>
      <c r="Q39" s="145">
        <f>IF(G39=0,0,SUMPRODUCT((_5shaozhuchou_month_day!$A$3:$A$900&gt;=$C39)*(_5shaozhuchou_month_day!$A$3:$A$900&lt;$C40),_5shaozhuchou_month_day!U$3:U$900)/SUMPRODUCT((_5shaozhuchou_month_day!$A$3:$A$900&gt;=$C39)*(_5shaozhuchou_month_day!$A$3:$A$900&lt;$C40)*(_5shaozhuchou_month_day!U$3:U$900&lt;0)))</f>
        <v>0</v>
      </c>
      <c r="R39" s="143">
        <f>IF(G39=0,0,SUMPRODUCT((_5shaozhuchou_month_day!$A$3:$A$900&gt;=$C39)*(_5shaozhuchou_month_day!$A$3:$A$900&lt;$C40),_5shaozhuchou_month_day!V$3:V$900)/SUMPRODUCT((_5shaozhuchou_month_day!$A$3:$A$900&gt;=$C39)*(_5shaozhuchou_month_day!$A$3:$A$900&lt;$C40)*(_5shaozhuchou_month_day!V$3:V$900&gt;0)))</f>
        <v>0</v>
      </c>
      <c r="S39" s="145">
        <f>IF(G39=0,0,SUMPRODUCT((_5shaozhuchou_month_day!$A$3:$A$900&gt;=$C39)*(_5shaozhuchou_month_day!$A$3:$A$900&lt;$C40),_5shaozhuchou_month_day!W$3:W$900)/SUMPRODUCT((_5shaozhuchou_month_day!$A$3:$A$900&gt;=$C39)*(_5shaozhuchou_month_day!$A$3:$A$900&lt;$C40)*(_5shaozhuchou_month_day!W$3:W$900&lt;0)))</f>
        <v>0</v>
      </c>
      <c r="T39" s="145" t="str">
        <f>主抽数据!K41</f>
        <v/>
      </c>
      <c r="U39" s="132" t="str">
        <f>主抽数据!L41</f>
        <v/>
      </c>
      <c r="V39" s="148">
        <f>查询与汇总!$J$1*M39</f>
        <v>0</v>
      </c>
      <c r="W39" s="149">
        <f t="shared" si="18"/>
        <v>76446</v>
      </c>
      <c r="X39" s="151"/>
      <c r="Y39" s="164"/>
      <c r="Z39" s="163"/>
      <c r="AA39" s="160" t="str">
        <f>主抽数据!M41</f>
        <v/>
      </c>
      <c r="AB39" s="161" t="str">
        <f>主抽数据!N41</f>
        <v/>
      </c>
      <c r="AC39" s="162">
        <f t="shared" si="21"/>
        <v>4.9689899999999998</v>
      </c>
      <c r="AE39" s="123" t="e">
        <f t="shared" si="19"/>
        <v>#VALUE!</v>
      </c>
      <c r="AF39" s="123" t="e">
        <f t="shared" si="20"/>
        <v>#VALUE!</v>
      </c>
      <c r="AG39" s="123">
        <f t="shared" si="9"/>
        <v>0</v>
      </c>
      <c r="AH39" s="123">
        <f t="shared" si="10"/>
        <v>0</v>
      </c>
    </row>
    <row r="40" spans="1:34" ht="30" customHeight="1">
      <c r="A40" s="194">
        <f t="shared" si="11"/>
        <v>43356</v>
      </c>
      <c r="B40" s="134">
        <f t="shared" si="12"/>
        <v>0.33333333333333298</v>
      </c>
      <c r="C40" s="133">
        <f t="shared" si="14"/>
        <v>43356.333333333336</v>
      </c>
      <c r="D40" s="134" t="str">
        <f t="shared" si="13"/>
        <v>白班</v>
      </c>
      <c r="E40" s="143">
        <f>'6烧主抽电耗'!E40</f>
        <v>1</v>
      </c>
      <c r="F40" s="143" t="str">
        <f>'6烧主抽电耗'!F40</f>
        <v>甲班</v>
      </c>
      <c r="G40" s="132">
        <f>SUMPRODUCT((_5shaozhuchou_month_day!$A$3:$A$900&gt;=C40)*(_5shaozhuchou_month_day!$A$3:$A$900&lt;C41),_5shaozhuchou_month_day!$Y$3:$Y$900)/8</f>
        <v>0</v>
      </c>
      <c r="H40" s="132">
        <f t="shared" si="2"/>
        <v>0</v>
      </c>
      <c r="I40" s="195">
        <f t="shared" si="15"/>
        <v>0</v>
      </c>
      <c r="J40" s="196">
        <f>SUMPRODUCT((主抽数据!$AU$5:$AU$97=$A40)*(主抽数据!$AV$5:$AV$97=$F40),主抽数据!$AH$5:$AH$97)</f>
        <v>44859</v>
      </c>
      <c r="K40" s="196">
        <f>SUMPRODUCT((主抽数据!$AU$5:$AU$97=$A40)*(主抽数据!$AV$5:$AV$97=$F40),主抽数据!$AI$5:$AI$97)</f>
        <v>38619</v>
      </c>
      <c r="L40" s="143">
        <f t="shared" si="16"/>
        <v>83478</v>
      </c>
      <c r="M40" s="143">
        <f>SUMPRODUCT((_5shaozhuchou_month_day!$A$3:$A$900&gt;=C40)*(_5shaozhuchou_month_day!$A$3:$A$900&lt;C41),_5shaozhuchou_month_day!$Z$3:$Z$900)</f>
        <v>0</v>
      </c>
      <c r="N40" s="132">
        <f>M40*查询与汇总!$F$1</f>
        <v>0</v>
      </c>
      <c r="O40" s="144">
        <f t="shared" si="17"/>
        <v>0</v>
      </c>
      <c r="P40" s="143">
        <f>IF(G40=0,0,SUMPRODUCT((_5shaozhuchou_month_day!$A$3:$A$900&gt;=$C40)*(_5shaozhuchou_month_day!$A$3:$A$900&lt;$C41),_5shaozhuchou_month_day!T$3:T$900)/SUMPRODUCT((_5shaozhuchou_month_day!$A$3:$A$900&gt;=$C40)*(_5shaozhuchou_month_day!$A$3:$A$900&lt;$C41)*(_5shaozhuchou_month_day!T$3:T$900&gt;0)))</f>
        <v>0</v>
      </c>
      <c r="Q40" s="145">
        <f>IF(G40=0,0,SUMPRODUCT((_5shaozhuchou_month_day!$A$3:$A$900&gt;=$C40)*(_5shaozhuchou_month_day!$A$3:$A$900&lt;$C41),_5shaozhuchou_month_day!U$3:U$900)/SUMPRODUCT((_5shaozhuchou_month_day!$A$3:$A$900&gt;=$C40)*(_5shaozhuchou_month_day!$A$3:$A$900&lt;$C41)*(_5shaozhuchou_month_day!U$3:U$900&lt;0)))</f>
        <v>0</v>
      </c>
      <c r="R40" s="143">
        <f>IF(G40=0,0,SUMPRODUCT((_5shaozhuchou_month_day!$A$3:$A$900&gt;=$C40)*(_5shaozhuchou_month_day!$A$3:$A$900&lt;$C41),_5shaozhuchou_month_day!V$3:V$900)/SUMPRODUCT((_5shaozhuchou_month_day!$A$3:$A$900&gt;=$C40)*(_5shaozhuchou_month_day!$A$3:$A$900&lt;$C41)*(_5shaozhuchou_month_day!V$3:V$900&gt;0)))</f>
        <v>0</v>
      </c>
      <c r="S40" s="145">
        <f>IF(G40=0,0,SUMPRODUCT((_5shaozhuchou_month_day!$A$3:$A$900&gt;=$C40)*(_5shaozhuchou_month_day!$A$3:$A$900&lt;$C41),_5shaozhuchou_month_day!W$3:W$900)/SUMPRODUCT((_5shaozhuchou_month_day!$A$3:$A$900&gt;=$C40)*(_5shaozhuchou_month_day!$A$3:$A$900&lt;$C41)*(_5shaozhuchou_month_day!W$3:W$900&lt;0)))</f>
        <v>0</v>
      </c>
      <c r="T40" s="145" t="str">
        <f>主抽数据!K42</f>
        <v/>
      </c>
      <c r="U40" s="132" t="str">
        <f>主抽数据!L42</f>
        <v/>
      </c>
      <c r="V40" s="148">
        <f>查询与汇总!$J$1*M40</f>
        <v>0</v>
      </c>
      <c r="W40" s="149">
        <f t="shared" si="18"/>
        <v>83478</v>
      </c>
      <c r="X40" s="151"/>
      <c r="Y40" s="164"/>
      <c r="Z40" s="163"/>
      <c r="AA40" s="160" t="str">
        <f>主抽数据!M42</f>
        <v/>
      </c>
      <c r="AB40" s="161" t="str">
        <f>主抽数据!N42</f>
        <v/>
      </c>
      <c r="AC40" s="162">
        <f t="shared" si="21"/>
        <v>5.4260700000000002</v>
      </c>
      <c r="AE40" s="123" t="e">
        <f t="shared" si="19"/>
        <v>#VALUE!</v>
      </c>
      <c r="AF40" s="123" t="e">
        <f t="shared" si="20"/>
        <v>#VALUE!</v>
      </c>
      <c r="AG40" s="123">
        <f t="shared" si="9"/>
        <v>0</v>
      </c>
      <c r="AH40" s="123">
        <f t="shared" si="10"/>
        <v>0</v>
      </c>
    </row>
    <row r="41" spans="1:34" ht="15.75" customHeight="1">
      <c r="A41" s="194">
        <f t="shared" si="11"/>
        <v>43356</v>
      </c>
      <c r="B41" s="134">
        <f t="shared" si="12"/>
        <v>0.66666666666666696</v>
      </c>
      <c r="C41" s="133">
        <f t="shared" si="14"/>
        <v>43356.666666666664</v>
      </c>
      <c r="D41" s="134" t="str">
        <f t="shared" si="13"/>
        <v>中班</v>
      </c>
      <c r="E41" s="143">
        <f>'6烧主抽电耗'!E41</f>
        <v>2</v>
      </c>
      <c r="F41" s="143" t="str">
        <f>'6烧主抽电耗'!F41</f>
        <v>乙班</v>
      </c>
      <c r="G41" s="132">
        <f>SUMPRODUCT((_5shaozhuchou_month_day!$A$3:$A$900&gt;=C41)*(_5shaozhuchou_month_day!$A$3:$A$900&lt;C42),_5shaozhuchou_month_day!$Y$3:$Y$900)/8</f>
        <v>0</v>
      </c>
      <c r="H41" s="132">
        <f t="shared" si="2"/>
        <v>0</v>
      </c>
      <c r="I41" s="195">
        <f t="shared" si="15"/>
        <v>0</v>
      </c>
      <c r="J41" s="196">
        <f>SUMPRODUCT((主抽数据!$AU$5:$AU$97=$A41)*(主抽数据!$AV$5:$AV$97=$F41),主抽数据!$AH$5:$AH$97)</f>
        <v>41883</v>
      </c>
      <c r="K41" s="196">
        <f>SUMPRODUCT((主抽数据!$AU$5:$AU$97=$A41)*(主抽数据!$AV$5:$AV$97=$F41),主抽数据!$AI$5:$AI$97)</f>
        <v>35352</v>
      </c>
      <c r="L41" s="143">
        <f t="shared" si="16"/>
        <v>77235</v>
      </c>
      <c r="M41" s="143">
        <f>SUMPRODUCT((_5shaozhuchou_month_day!$A$3:$A$900&gt;=C41)*(_5shaozhuchou_month_day!$A$3:$A$900&lt;C42),_5shaozhuchou_month_day!$Z$3:$Z$900)</f>
        <v>0</v>
      </c>
      <c r="N41" s="132">
        <f>M41*查询与汇总!$F$1</f>
        <v>0</v>
      </c>
      <c r="O41" s="144">
        <f t="shared" si="17"/>
        <v>0</v>
      </c>
      <c r="P41" s="143">
        <f>IF(G41=0,0,SUMPRODUCT((_5shaozhuchou_month_day!$A$3:$A$900&gt;=$C41)*(_5shaozhuchou_month_day!$A$3:$A$900&lt;$C42),_5shaozhuchou_month_day!T$3:T$900)/SUMPRODUCT((_5shaozhuchou_month_day!$A$3:$A$900&gt;=$C41)*(_5shaozhuchou_month_day!$A$3:$A$900&lt;$C42)*(_5shaozhuchou_month_day!T$3:T$900&gt;0)))</f>
        <v>0</v>
      </c>
      <c r="Q41" s="145">
        <f>IF(G41=0,0,SUMPRODUCT((_5shaozhuchou_month_day!$A$3:$A$900&gt;=$C41)*(_5shaozhuchou_month_day!$A$3:$A$900&lt;$C42),_5shaozhuchou_month_day!U$3:U$900)/SUMPRODUCT((_5shaozhuchou_month_day!$A$3:$A$900&gt;=$C41)*(_5shaozhuchou_month_day!$A$3:$A$900&lt;$C42)*(_5shaozhuchou_month_day!U$3:U$900&lt;0)))</f>
        <v>0</v>
      </c>
      <c r="R41" s="143">
        <f>IF(G41=0,0,SUMPRODUCT((_5shaozhuchou_month_day!$A$3:$A$900&gt;=$C41)*(_5shaozhuchou_month_day!$A$3:$A$900&lt;$C42),_5shaozhuchou_month_day!V$3:V$900)/SUMPRODUCT((_5shaozhuchou_month_day!$A$3:$A$900&gt;=$C41)*(_5shaozhuchou_month_day!$A$3:$A$900&lt;$C42)*(_5shaozhuchou_month_day!V$3:V$900&gt;0)))</f>
        <v>0</v>
      </c>
      <c r="S41" s="145">
        <f>IF(G41=0,0,SUMPRODUCT((_5shaozhuchou_month_day!$A$3:$A$900&gt;=$C41)*(_5shaozhuchou_month_day!$A$3:$A$900&lt;$C42),_5shaozhuchou_month_day!W$3:W$900)/SUMPRODUCT((_5shaozhuchou_month_day!$A$3:$A$900&gt;=$C41)*(_5shaozhuchou_month_day!$A$3:$A$900&lt;$C42)*(_5shaozhuchou_month_day!W$3:W$900&lt;0)))</f>
        <v>0</v>
      </c>
      <c r="T41" s="145" t="str">
        <f>主抽数据!K43</f>
        <v/>
      </c>
      <c r="U41" s="132" t="str">
        <f>主抽数据!L43</f>
        <v/>
      </c>
      <c r="V41" s="148">
        <f>查询与汇总!$J$1*M41</f>
        <v>0</v>
      </c>
      <c r="W41" s="149">
        <f t="shared" si="18"/>
        <v>77235</v>
      </c>
      <c r="X41" s="151"/>
      <c r="Y41" s="164"/>
      <c r="Z41" s="165"/>
      <c r="AA41" s="160" t="str">
        <f>主抽数据!M43</f>
        <v/>
      </c>
      <c r="AB41" s="161" t="str">
        <f>主抽数据!N43</f>
        <v/>
      </c>
      <c r="AC41" s="162">
        <f t="shared" si="21"/>
        <v>5.0202749999999998</v>
      </c>
      <c r="AE41" s="123" t="e">
        <f t="shared" si="19"/>
        <v>#VALUE!</v>
      </c>
      <c r="AF41" s="123" t="e">
        <f t="shared" si="20"/>
        <v>#VALUE!</v>
      </c>
      <c r="AG41" s="123">
        <f t="shared" si="9"/>
        <v>0</v>
      </c>
      <c r="AH41" s="123">
        <f t="shared" si="10"/>
        <v>0</v>
      </c>
    </row>
    <row r="42" spans="1:34" ht="20.25" customHeight="1">
      <c r="A42" s="194">
        <f t="shared" si="11"/>
        <v>43357</v>
      </c>
      <c r="B42" s="134">
        <f t="shared" si="12"/>
        <v>0</v>
      </c>
      <c r="C42" s="133">
        <f t="shared" si="14"/>
        <v>43357</v>
      </c>
      <c r="D42" s="134" t="str">
        <f t="shared" si="13"/>
        <v>夜班</v>
      </c>
      <c r="E42" s="143">
        <f>'6烧主抽电耗'!E42</f>
        <v>3</v>
      </c>
      <c r="F42" s="143" t="str">
        <f>'6烧主抽电耗'!F42</f>
        <v>丙班</v>
      </c>
      <c r="G42" s="132">
        <f>SUMPRODUCT((_5shaozhuchou_month_day!$A$3:$A$900&gt;=C42)*(_5shaozhuchou_month_day!$A$3:$A$900&lt;C43),_5shaozhuchou_month_day!$Y$3:$Y$900)/8</f>
        <v>0</v>
      </c>
      <c r="H42" s="132">
        <f t="shared" si="2"/>
        <v>0</v>
      </c>
      <c r="I42" s="195">
        <f t="shared" si="15"/>
        <v>0</v>
      </c>
      <c r="J42" s="196">
        <f>SUMPRODUCT((主抽数据!$AU$5:$AU$97=$A42)*(主抽数据!$AV$5:$AV$97=$F42),主抽数据!$AH$5:$AH$97)</f>
        <v>40563</v>
      </c>
      <c r="K42" s="196">
        <f>SUMPRODUCT((主抽数据!$AU$5:$AU$97=$A42)*(主抽数据!$AV$5:$AV$97=$F42),主抽数据!$AI$5:$AI$97)</f>
        <v>33927</v>
      </c>
      <c r="L42" s="143">
        <f t="shared" si="16"/>
        <v>74490</v>
      </c>
      <c r="M42" s="143">
        <f>SUMPRODUCT((_5shaozhuchou_month_day!$A$3:$A$900&gt;=C42)*(_5shaozhuchou_month_day!$A$3:$A$900&lt;C43),_5shaozhuchou_month_day!$Z$3:$Z$900)</f>
        <v>0</v>
      </c>
      <c r="N42" s="132">
        <f>M42*查询与汇总!$F$1</f>
        <v>0</v>
      </c>
      <c r="O42" s="144">
        <f t="shared" si="17"/>
        <v>0</v>
      </c>
      <c r="P42" s="143">
        <f>IF(G42=0,0,SUMPRODUCT((_5shaozhuchou_month_day!$A$3:$A$900&gt;=$C42)*(_5shaozhuchou_month_day!$A$3:$A$900&lt;$C43),_5shaozhuchou_month_day!T$3:T$900)/SUMPRODUCT((_5shaozhuchou_month_day!$A$3:$A$900&gt;=$C42)*(_5shaozhuchou_month_day!$A$3:$A$900&lt;$C43)*(_5shaozhuchou_month_day!T$3:T$900&gt;0)))</f>
        <v>0</v>
      </c>
      <c r="Q42" s="145">
        <f>IF(G42=0,0,SUMPRODUCT((_5shaozhuchou_month_day!$A$3:$A$900&gt;=$C42)*(_5shaozhuchou_month_day!$A$3:$A$900&lt;$C43),_5shaozhuchou_month_day!U$3:U$900)/SUMPRODUCT((_5shaozhuchou_month_day!$A$3:$A$900&gt;=$C42)*(_5shaozhuchou_month_day!$A$3:$A$900&lt;$C43)*(_5shaozhuchou_month_day!U$3:U$900&lt;0)))</f>
        <v>0</v>
      </c>
      <c r="R42" s="143">
        <f>IF(G42=0,0,SUMPRODUCT((_5shaozhuchou_month_day!$A$3:$A$900&gt;=$C42)*(_5shaozhuchou_month_day!$A$3:$A$900&lt;$C43),_5shaozhuchou_month_day!V$3:V$900)/SUMPRODUCT((_5shaozhuchou_month_day!$A$3:$A$900&gt;=$C42)*(_5shaozhuchou_month_day!$A$3:$A$900&lt;$C43)*(_5shaozhuchou_month_day!V$3:V$900&gt;0)))</f>
        <v>0</v>
      </c>
      <c r="S42" s="145">
        <f>IF(G42=0,0,SUMPRODUCT((_5shaozhuchou_month_day!$A$3:$A$900&gt;=$C42)*(_5shaozhuchou_month_day!$A$3:$A$900&lt;$C43),_5shaozhuchou_month_day!W$3:W$900)/SUMPRODUCT((_5shaozhuchou_month_day!$A$3:$A$900&gt;=$C42)*(_5shaozhuchou_month_day!$A$3:$A$900&lt;$C43)*(_5shaozhuchou_month_day!W$3:W$900&lt;0)))</f>
        <v>0</v>
      </c>
      <c r="T42" s="145" t="str">
        <f>主抽数据!K44</f>
        <v/>
      </c>
      <c r="U42" s="132" t="str">
        <f>主抽数据!L44</f>
        <v/>
      </c>
      <c r="V42" s="148">
        <f>查询与汇总!$J$1*M42</f>
        <v>0</v>
      </c>
      <c r="W42" s="149">
        <f t="shared" si="18"/>
        <v>74490</v>
      </c>
      <c r="X42" s="151"/>
      <c r="Y42" s="164"/>
      <c r="Z42" s="163"/>
      <c r="AA42" s="160" t="str">
        <f>主抽数据!M44</f>
        <v/>
      </c>
      <c r="AB42" s="161" t="str">
        <f>主抽数据!N44</f>
        <v/>
      </c>
      <c r="AC42" s="162">
        <f t="shared" si="21"/>
        <v>4.84185</v>
      </c>
      <c r="AE42" s="123" t="e">
        <f t="shared" si="19"/>
        <v>#VALUE!</v>
      </c>
      <c r="AF42" s="123" t="e">
        <f t="shared" si="20"/>
        <v>#VALUE!</v>
      </c>
      <c r="AG42" s="123">
        <f t="shared" si="9"/>
        <v>0</v>
      </c>
      <c r="AH42" s="123">
        <f t="shared" si="10"/>
        <v>0</v>
      </c>
    </row>
    <row r="43" spans="1:34" ht="27.95" customHeight="1">
      <c r="A43" s="194">
        <f t="shared" si="11"/>
        <v>43357</v>
      </c>
      <c r="B43" s="134">
        <f t="shared" si="12"/>
        <v>0.33333333333333298</v>
      </c>
      <c r="C43" s="133">
        <f t="shared" si="14"/>
        <v>43357.333333333336</v>
      </c>
      <c r="D43" s="134" t="str">
        <f t="shared" si="13"/>
        <v>白班</v>
      </c>
      <c r="E43" s="143">
        <f>'6烧主抽电耗'!E43</f>
        <v>4</v>
      </c>
      <c r="F43" s="143" t="str">
        <f>'6烧主抽电耗'!F43</f>
        <v>丁班</v>
      </c>
      <c r="G43" s="132">
        <f>SUMPRODUCT((_5shaozhuchou_month_day!$A$3:$A$900&gt;=C43)*(_5shaozhuchou_month_day!$A$3:$A$900&lt;C44),_5shaozhuchou_month_day!$Y$3:$Y$900)/8</f>
        <v>0</v>
      </c>
      <c r="H43" s="132">
        <f t="shared" si="2"/>
        <v>0</v>
      </c>
      <c r="I43" s="195">
        <f t="shared" si="15"/>
        <v>0</v>
      </c>
      <c r="J43" s="196">
        <f>SUMPRODUCT((主抽数据!$AU$5:$AU$97=$A43)*(主抽数据!$AV$5:$AV$97=$F43),主抽数据!$AH$5:$AH$97)</f>
        <v>-132285597</v>
      </c>
      <c r="K43" s="196">
        <f>SUMPRODUCT((主抽数据!$AU$5:$AU$97=$A43)*(主抽数据!$AV$5:$AV$97=$F43),主抽数据!$AI$5:$AI$97)</f>
        <v>-106491918</v>
      </c>
      <c r="L43" s="143">
        <f t="shared" si="16"/>
        <v>-238777515</v>
      </c>
      <c r="M43" s="143">
        <f>SUMPRODUCT((_5shaozhuchou_month_day!$A$3:$A$900&gt;=C43)*(_5shaozhuchou_month_day!$A$3:$A$900&lt;C44),_5shaozhuchou_month_day!$Z$3:$Z$900)</f>
        <v>0</v>
      </c>
      <c r="N43" s="132">
        <f>M43*查询与汇总!$F$1</f>
        <v>0</v>
      </c>
      <c r="O43" s="144">
        <f t="shared" si="17"/>
        <v>0</v>
      </c>
      <c r="P43" s="143">
        <f>IF(G43=0,0,SUMPRODUCT((_5shaozhuchou_month_day!$A$3:$A$900&gt;=$C43)*(_5shaozhuchou_month_day!$A$3:$A$900&lt;$C44),_5shaozhuchou_month_day!T$3:T$900)/SUMPRODUCT((_5shaozhuchou_month_day!$A$3:$A$900&gt;=$C43)*(_5shaozhuchou_month_day!$A$3:$A$900&lt;$C44)*(_5shaozhuchou_month_day!T$3:T$900&gt;0)))</f>
        <v>0</v>
      </c>
      <c r="Q43" s="145">
        <f>IF(G43=0,0,SUMPRODUCT((_5shaozhuchou_month_day!$A$3:$A$900&gt;=$C43)*(_5shaozhuchou_month_day!$A$3:$A$900&lt;$C44),_5shaozhuchou_month_day!U$3:U$900)/SUMPRODUCT((_5shaozhuchou_month_day!$A$3:$A$900&gt;=$C43)*(_5shaozhuchou_month_day!$A$3:$A$900&lt;$C44)*(_5shaozhuchou_month_day!U$3:U$900&lt;0)))</f>
        <v>0</v>
      </c>
      <c r="R43" s="143">
        <f>IF(G43=0,0,SUMPRODUCT((_5shaozhuchou_month_day!$A$3:$A$900&gt;=$C43)*(_5shaozhuchou_month_day!$A$3:$A$900&lt;$C44),_5shaozhuchou_month_day!V$3:V$900)/SUMPRODUCT((_5shaozhuchou_month_day!$A$3:$A$900&gt;=$C43)*(_5shaozhuchou_month_day!$A$3:$A$900&lt;$C44)*(_5shaozhuchou_month_day!V$3:V$900&gt;0)))</f>
        <v>0</v>
      </c>
      <c r="S43" s="145">
        <f>IF(G43=0,0,SUMPRODUCT((_5shaozhuchou_month_day!$A$3:$A$900&gt;=$C43)*(_5shaozhuchou_month_day!$A$3:$A$900&lt;$C44),_5shaozhuchou_month_day!W$3:W$900)/SUMPRODUCT((_5shaozhuchou_month_day!$A$3:$A$900&gt;=$C43)*(_5shaozhuchou_month_day!$A$3:$A$900&lt;$C44)*(_5shaozhuchou_month_day!W$3:W$900&lt;0)))</f>
        <v>0</v>
      </c>
      <c r="T43" s="145" t="str">
        <f>主抽数据!K45</f>
        <v/>
      </c>
      <c r="U43" s="132" t="str">
        <f>主抽数据!L45</f>
        <v/>
      </c>
      <c r="V43" s="148">
        <f>查询与汇总!$J$1*M43</f>
        <v>0</v>
      </c>
      <c r="W43" s="149">
        <f t="shared" si="18"/>
        <v>-238777515</v>
      </c>
      <c r="X43" s="151"/>
      <c r="Y43" s="164"/>
      <c r="Z43" s="165"/>
      <c r="AA43" s="160" t="str">
        <f>主抽数据!M45</f>
        <v/>
      </c>
      <c r="AB43" s="161" t="str">
        <f>主抽数据!N45</f>
        <v/>
      </c>
      <c r="AC43" s="162">
        <f t="shared" si="21"/>
        <v>-15520.538474999999</v>
      </c>
      <c r="AE43" s="123" t="e">
        <f t="shared" si="19"/>
        <v>#VALUE!</v>
      </c>
      <c r="AF43" s="123" t="e">
        <f t="shared" si="20"/>
        <v>#VALUE!</v>
      </c>
      <c r="AG43" s="123">
        <f t="shared" si="9"/>
        <v>0</v>
      </c>
      <c r="AH43" s="123">
        <f t="shared" si="10"/>
        <v>0</v>
      </c>
    </row>
    <row r="44" spans="1:34" ht="33" customHeight="1">
      <c r="A44" s="194">
        <f t="shared" si="11"/>
        <v>43357</v>
      </c>
      <c r="B44" s="134">
        <f t="shared" si="12"/>
        <v>0.66666666666666696</v>
      </c>
      <c r="C44" s="133">
        <f t="shared" si="14"/>
        <v>43357.666666666664</v>
      </c>
      <c r="D44" s="134" t="str">
        <f t="shared" si="13"/>
        <v>中班</v>
      </c>
      <c r="E44" s="143">
        <f>'6烧主抽电耗'!E44</f>
        <v>1</v>
      </c>
      <c r="F44" s="143" t="str">
        <f>'6烧主抽电耗'!F44</f>
        <v>甲班</v>
      </c>
      <c r="G44" s="132">
        <f>SUMPRODUCT((_5shaozhuchou_month_day!$A$3:$A$900&gt;=C44)*(_5shaozhuchou_month_day!$A$3:$A$900&lt;C45),_5shaozhuchou_month_day!$Y$3:$Y$900)/8</f>
        <v>0</v>
      </c>
      <c r="H44" s="132">
        <f t="shared" si="2"/>
        <v>0</v>
      </c>
      <c r="I44" s="195">
        <f t="shared" ref="I44:I75" si="22">X44</f>
        <v>0</v>
      </c>
      <c r="J44" s="196">
        <f>SUMPRODUCT((主抽数据!$AU$5:$AU$97=$A44)*(主抽数据!$AV$5:$AV$97=$F44),主抽数据!$AH$5:$AH$97)</f>
        <v>0</v>
      </c>
      <c r="K44" s="196">
        <f>SUMPRODUCT((主抽数据!$AU$5:$AU$97=$A44)*(主抽数据!$AV$5:$AV$97=$F44),主抽数据!$AI$5:$AI$97)</f>
        <v>0</v>
      </c>
      <c r="L44" s="143">
        <f t="shared" si="16"/>
        <v>0</v>
      </c>
      <c r="M44" s="143">
        <f>SUMPRODUCT((_5shaozhuchou_month_day!$A$3:$A$900&gt;=C44)*(_5shaozhuchou_month_day!$A$3:$A$900&lt;C45),_5shaozhuchou_month_day!$Z$3:$Z$900)</f>
        <v>0</v>
      </c>
      <c r="N44" s="132">
        <f>M44*查询与汇总!$F$1</f>
        <v>0</v>
      </c>
      <c r="O44" s="144">
        <f t="shared" si="17"/>
        <v>0</v>
      </c>
      <c r="P44" s="143">
        <f>IF(G44=0,0,SUMPRODUCT((_5shaozhuchou_month_day!$A$3:$A$900&gt;=$C44)*(_5shaozhuchou_month_day!$A$3:$A$900&lt;$C45),_5shaozhuchou_month_day!T$3:T$900)/SUMPRODUCT((_5shaozhuchou_month_day!$A$3:$A$900&gt;=$C44)*(_5shaozhuchou_month_day!$A$3:$A$900&lt;$C45)*(_5shaozhuchou_month_day!T$3:T$900&gt;0)))</f>
        <v>0</v>
      </c>
      <c r="Q44" s="145">
        <f>IF(G44=0,0,SUMPRODUCT((_5shaozhuchou_month_day!$A$3:$A$900&gt;=$C44)*(_5shaozhuchou_month_day!$A$3:$A$900&lt;$C45),_5shaozhuchou_month_day!U$3:U$900)/SUMPRODUCT((_5shaozhuchou_month_day!$A$3:$A$900&gt;=$C44)*(_5shaozhuchou_month_day!$A$3:$A$900&lt;$C45)*(_5shaozhuchou_month_day!U$3:U$900&lt;0)))</f>
        <v>0</v>
      </c>
      <c r="R44" s="143">
        <f>IF(G44=0,0,SUMPRODUCT((_5shaozhuchou_month_day!$A$3:$A$900&gt;=$C44)*(_5shaozhuchou_month_day!$A$3:$A$900&lt;$C45),_5shaozhuchou_month_day!V$3:V$900)/SUMPRODUCT((_5shaozhuchou_month_day!$A$3:$A$900&gt;=$C44)*(_5shaozhuchou_month_day!$A$3:$A$900&lt;$C45)*(_5shaozhuchou_month_day!V$3:V$900&gt;0)))</f>
        <v>0</v>
      </c>
      <c r="S44" s="145">
        <f>IF(G44=0,0,SUMPRODUCT((_5shaozhuchou_month_day!$A$3:$A$900&gt;=$C44)*(_5shaozhuchou_month_day!$A$3:$A$900&lt;$C45),_5shaozhuchou_month_day!W$3:W$900)/SUMPRODUCT((_5shaozhuchou_month_day!$A$3:$A$900&gt;=$C44)*(_5shaozhuchou_month_day!$A$3:$A$900&lt;$C45)*(_5shaozhuchou_month_day!W$3:W$900&lt;0)))</f>
        <v>0</v>
      </c>
      <c r="T44" s="145" t="str">
        <f>主抽数据!K46</f>
        <v/>
      </c>
      <c r="U44" s="132" t="str">
        <f>主抽数据!L46</f>
        <v/>
      </c>
      <c r="V44" s="148">
        <f>查询与汇总!$J$1*M44</f>
        <v>0</v>
      </c>
      <c r="W44" s="149">
        <f t="shared" si="18"/>
        <v>0</v>
      </c>
      <c r="X44" s="151"/>
      <c r="Y44" s="164"/>
      <c r="Z44" s="165"/>
      <c r="AA44" s="160" t="str">
        <f>主抽数据!M46</f>
        <v/>
      </c>
      <c r="AB44" s="161" t="str">
        <f>主抽数据!N46</f>
        <v/>
      </c>
      <c r="AC44" s="162">
        <f t="shared" si="21"/>
        <v>0</v>
      </c>
      <c r="AE44" s="123" t="e">
        <f t="shared" si="19"/>
        <v>#VALUE!</v>
      </c>
      <c r="AF44" s="123" t="e">
        <f t="shared" si="20"/>
        <v>#VALUE!</v>
      </c>
      <c r="AG44" s="123">
        <f t="shared" si="9"/>
        <v>0</v>
      </c>
      <c r="AH44" s="123">
        <f t="shared" si="10"/>
        <v>0</v>
      </c>
    </row>
    <row r="45" spans="1:34" ht="20.25" customHeight="1">
      <c r="A45" s="194">
        <f t="shared" si="11"/>
        <v>43358</v>
      </c>
      <c r="B45" s="134">
        <f t="shared" si="12"/>
        <v>0</v>
      </c>
      <c r="C45" s="133">
        <f t="shared" si="14"/>
        <v>43358</v>
      </c>
      <c r="D45" s="134" t="str">
        <f t="shared" si="13"/>
        <v>夜班</v>
      </c>
      <c r="E45" s="143">
        <f>'6烧主抽电耗'!E45</f>
        <v>3</v>
      </c>
      <c r="F45" s="143" t="str">
        <f>'6烧主抽电耗'!F45</f>
        <v>丙班</v>
      </c>
      <c r="G45" s="132">
        <f>SUMPRODUCT((_5shaozhuchou_month_day!$A$3:$A$900&gt;=C45)*(_5shaozhuchou_month_day!$A$3:$A$900&lt;C46),_5shaozhuchou_month_day!$Y$3:$Y$900)/8</f>
        <v>0</v>
      </c>
      <c r="H45" s="132">
        <f t="shared" si="2"/>
        <v>0</v>
      </c>
      <c r="I45" s="195">
        <f t="shared" si="22"/>
        <v>0</v>
      </c>
      <c r="J45" s="196">
        <f>SUMPRODUCT((主抽数据!$AU$5:$AU$97=$A45)*(主抽数据!$AV$5:$AV$97=$F45),主抽数据!$AH$5:$AH$97)</f>
        <v>0</v>
      </c>
      <c r="K45" s="196">
        <f>SUMPRODUCT((主抽数据!$AU$5:$AU$97=$A45)*(主抽数据!$AV$5:$AV$97=$F45),主抽数据!$AI$5:$AI$97)</f>
        <v>0</v>
      </c>
      <c r="L45" s="143">
        <f t="shared" si="16"/>
        <v>0</v>
      </c>
      <c r="M45" s="143">
        <f>SUMPRODUCT((_5shaozhuchou_month_day!$A$3:$A$900&gt;=C45)*(_5shaozhuchou_month_day!$A$3:$A$900&lt;C46),_5shaozhuchou_month_day!$Z$3:$Z$900)</f>
        <v>0</v>
      </c>
      <c r="N45" s="132">
        <f>M45*查询与汇总!$F$1</f>
        <v>0</v>
      </c>
      <c r="O45" s="144">
        <f t="shared" si="17"/>
        <v>0</v>
      </c>
      <c r="P45" s="143">
        <f>IF(G45=0,0,SUMPRODUCT((_5shaozhuchou_month_day!$A$3:$A$900&gt;=$C45)*(_5shaozhuchou_month_day!$A$3:$A$900&lt;$C46),_5shaozhuchou_month_day!T$3:T$900)/SUMPRODUCT((_5shaozhuchou_month_day!$A$3:$A$900&gt;=$C45)*(_5shaozhuchou_month_day!$A$3:$A$900&lt;$C46)*(_5shaozhuchou_month_day!T$3:T$900&gt;0)))</f>
        <v>0</v>
      </c>
      <c r="Q45" s="145">
        <f>IF(G45=0,0,SUMPRODUCT((_5shaozhuchou_month_day!$A$3:$A$900&gt;=$C45)*(_5shaozhuchou_month_day!$A$3:$A$900&lt;$C46),_5shaozhuchou_month_day!U$3:U$900)/SUMPRODUCT((_5shaozhuchou_month_day!$A$3:$A$900&gt;=$C45)*(_5shaozhuchou_month_day!$A$3:$A$900&lt;$C46)*(_5shaozhuchou_month_day!U$3:U$900&lt;0)))</f>
        <v>0</v>
      </c>
      <c r="R45" s="143">
        <f>IF(G45=0,0,SUMPRODUCT((_5shaozhuchou_month_day!$A$3:$A$900&gt;=$C45)*(_5shaozhuchou_month_day!$A$3:$A$900&lt;$C46),_5shaozhuchou_month_day!V$3:V$900)/SUMPRODUCT((_5shaozhuchou_month_day!$A$3:$A$900&gt;=$C45)*(_5shaozhuchou_month_day!$A$3:$A$900&lt;$C46)*(_5shaozhuchou_month_day!V$3:V$900&gt;0)))</f>
        <v>0</v>
      </c>
      <c r="S45" s="145">
        <f>IF(G45=0,0,SUMPRODUCT((_5shaozhuchou_month_day!$A$3:$A$900&gt;=$C45)*(_5shaozhuchou_month_day!$A$3:$A$900&lt;$C46),_5shaozhuchou_month_day!W$3:W$900)/SUMPRODUCT((_5shaozhuchou_month_day!$A$3:$A$900&gt;=$C45)*(_5shaozhuchou_month_day!$A$3:$A$900&lt;$C46)*(_5shaozhuchou_month_day!W$3:W$900&lt;0)))</f>
        <v>0</v>
      </c>
      <c r="T45" s="145" t="str">
        <f>主抽数据!K47</f>
        <v/>
      </c>
      <c r="U45" s="132" t="str">
        <f>主抽数据!L47</f>
        <v/>
      </c>
      <c r="V45" s="148">
        <f>查询与汇总!$J$1*M45</f>
        <v>0</v>
      </c>
      <c r="W45" s="149">
        <f t="shared" si="18"/>
        <v>0</v>
      </c>
      <c r="X45" s="151"/>
      <c r="Y45" s="164"/>
      <c r="Z45" s="163"/>
      <c r="AA45" s="160" t="str">
        <f>主抽数据!M47</f>
        <v/>
      </c>
      <c r="AB45" s="161" t="str">
        <f>主抽数据!N47</f>
        <v/>
      </c>
      <c r="AC45" s="162">
        <f t="shared" si="21"/>
        <v>0</v>
      </c>
      <c r="AE45" s="123" t="e">
        <f t="shared" si="19"/>
        <v>#VALUE!</v>
      </c>
      <c r="AF45" s="123" t="e">
        <f t="shared" si="20"/>
        <v>#VALUE!</v>
      </c>
      <c r="AG45" s="123">
        <f t="shared" si="9"/>
        <v>0</v>
      </c>
      <c r="AH45" s="123">
        <f t="shared" si="10"/>
        <v>0</v>
      </c>
    </row>
    <row r="46" spans="1:34" ht="30" customHeight="1">
      <c r="A46" s="194">
        <f t="shared" si="11"/>
        <v>43358</v>
      </c>
      <c r="B46" s="134">
        <f t="shared" si="12"/>
        <v>0.33333333333333298</v>
      </c>
      <c r="C46" s="133">
        <f t="shared" si="14"/>
        <v>43358.333333333336</v>
      </c>
      <c r="D46" s="134" t="str">
        <f t="shared" si="13"/>
        <v>白班</v>
      </c>
      <c r="E46" s="143">
        <f>'6烧主抽电耗'!E46</f>
        <v>4</v>
      </c>
      <c r="F46" s="143" t="str">
        <f>'6烧主抽电耗'!F46</f>
        <v>丁班</v>
      </c>
      <c r="G46" s="132">
        <f>SUMPRODUCT((_5shaozhuchou_month_day!$A$3:$A$900&gt;=C46)*(_5shaozhuchou_month_day!$A$3:$A$900&lt;C47),_5shaozhuchou_month_day!$Y$3:$Y$900)/8</f>
        <v>0</v>
      </c>
      <c r="H46" s="132">
        <f t="shared" si="2"/>
        <v>0</v>
      </c>
      <c r="I46" s="195">
        <f t="shared" si="22"/>
        <v>0</v>
      </c>
      <c r="J46" s="196">
        <f>SUMPRODUCT((主抽数据!$AU$5:$AU$97=$A46)*(主抽数据!$AV$5:$AV$97=$F46),主抽数据!$AH$5:$AH$97)</f>
        <v>0</v>
      </c>
      <c r="K46" s="196">
        <f>SUMPRODUCT((主抽数据!$AU$5:$AU$97=$A46)*(主抽数据!$AV$5:$AV$97=$F46),主抽数据!$AI$5:$AI$97)</f>
        <v>0</v>
      </c>
      <c r="L46" s="143">
        <f t="shared" si="16"/>
        <v>0</v>
      </c>
      <c r="M46" s="143">
        <f>SUMPRODUCT((_5shaozhuchou_month_day!$A$3:$A$900&gt;=C46)*(_5shaozhuchou_month_day!$A$3:$A$900&lt;C47),_5shaozhuchou_month_day!$Z$3:$Z$900)</f>
        <v>0</v>
      </c>
      <c r="N46" s="132">
        <f>M46*查询与汇总!$F$1</f>
        <v>0</v>
      </c>
      <c r="O46" s="144">
        <f t="shared" si="17"/>
        <v>0</v>
      </c>
      <c r="P46" s="143">
        <f>IF(G46=0,0,SUMPRODUCT((_5shaozhuchou_month_day!$A$3:$A$900&gt;=$C46)*(_5shaozhuchou_month_day!$A$3:$A$900&lt;$C47),_5shaozhuchou_month_day!T$3:T$900)/SUMPRODUCT((_5shaozhuchou_month_day!$A$3:$A$900&gt;=$C46)*(_5shaozhuchou_month_day!$A$3:$A$900&lt;$C47)*(_5shaozhuchou_month_day!T$3:T$900&gt;0)))</f>
        <v>0</v>
      </c>
      <c r="Q46" s="145">
        <f>IF(G46=0,0,SUMPRODUCT((_5shaozhuchou_month_day!$A$3:$A$900&gt;=$C46)*(_5shaozhuchou_month_day!$A$3:$A$900&lt;$C47),_5shaozhuchou_month_day!U$3:U$900)/SUMPRODUCT((_5shaozhuchou_month_day!$A$3:$A$900&gt;=$C46)*(_5shaozhuchou_month_day!$A$3:$A$900&lt;$C47)*(_5shaozhuchou_month_day!U$3:U$900&lt;0)))</f>
        <v>0</v>
      </c>
      <c r="R46" s="143">
        <f>IF(G46=0,0,SUMPRODUCT((_5shaozhuchou_month_day!$A$3:$A$900&gt;=$C46)*(_5shaozhuchou_month_day!$A$3:$A$900&lt;$C47),_5shaozhuchou_month_day!V$3:V$900)/SUMPRODUCT((_5shaozhuchou_month_day!$A$3:$A$900&gt;=$C46)*(_5shaozhuchou_month_day!$A$3:$A$900&lt;$C47)*(_5shaozhuchou_month_day!V$3:V$900&gt;0)))</f>
        <v>0</v>
      </c>
      <c r="S46" s="145">
        <f>IF(G46=0,0,SUMPRODUCT((_5shaozhuchou_month_day!$A$3:$A$900&gt;=$C46)*(_5shaozhuchou_month_day!$A$3:$A$900&lt;$C47),_5shaozhuchou_month_day!W$3:W$900)/SUMPRODUCT((_5shaozhuchou_month_day!$A$3:$A$900&gt;=$C46)*(_5shaozhuchou_month_day!$A$3:$A$900&lt;$C47)*(_5shaozhuchou_month_day!W$3:W$900&lt;0)))</f>
        <v>0</v>
      </c>
      <c r="T46" s="145" t="str">
        <f>主抽数据!K48</f>
        <v/>
      </c>
      <c r="U46" s="132" t="str">
        <f>主抽数据!L48</f>
        <v/>
      </c>
      <c r="V46" s="148">
        <f>查询与汇总!$J$1*M46</f>
        <v>0</v>
      </c>
      <c r="W46" s="149">
        <f t="shared" si="18"/>
        <v>0</v>
      </c>
      <c r="X46" s="151"/>
      <c r="Y46" s="164"/>
      <c r="Z46" s="165"/>
      <c r="AA46" s="160" t="str">
        <f>主抽数据!M48</f>
        <v/>
      </c>
      <c r="AB46" s="161" t="str">
        <f>主抽数据!N48</f>
        <v/>
      </c>
      <c r="AC46" s="162">
        <f t="shared" si="21"/>
        <v>0</v>
      </c>
      <c r="AE46" s="123" t="e">
        <f t="shared" si="19"/>
        <v>#VALUE!</v>
      </c>
      <c r="AF46" s="123" t="e">
        <f t="shared" si="20"/>
        <v>#VALUE!</v>
      </c>
      <c r="AG46" s="123">
        <f t="shared" si="9"/>
        <v>0</v>
      </c>
      <c r="AH46" s="123">
        <f t="shared" si="10"/>
        <v>0</v>
      </c>
    </row>
    <row r="47" spans="1:34" ht="54" customHeight="1">
      <c r="A47" s="194">
        <f t="shared" si="11"/>
        <v>43358</v>
      </c>
      <c r="B47" s="134">
        <f t="shared" si="12"/>
        <v>0.66666666666666696</v>
      </c>
      <c r="C47" s="133">
        <f t="shared" si="14"/>
        <v>43358.666666666664</v>
      </c>
      <c r="D47" s="134" t="str">
        <f t="shared" si="13"/>
        <v>中班</v>
      </c>
      <c r="E47" s="143">
        <f>'6烧主抽电耗'!E47</f>
        <v>1</v>
      </c>
      <c r="F47" s="143" t="str">
        <f>'6烧主抽电耗'!F47</f>
        <v>甲班</v>
      </c>
      <c r="G47" s="132">
        <f>SUMPRODUCT((_5shaozhuchou_month_day!$A$3:$A$900&gt;=C47)*(_5shaozhuchou_month_day!$A$3:$A$900&lt;C48),_5shaozhuchou_month_day!$Y$3:$Y$900)/8</f>
        <v>0</v>
      </c>
      <c r="H47" s="132">
        <f t="shared" si="2"/>
        <v>0</v>
      </c>
      <c r="I47" s="195">
        <f t="shared" si="22"/>
        <v>0</v>
      </c>
      <c r="J47" s="196">
        <f>SUMPRODUCT((主抽数据!$AU$5:$AU$97=$A47)*(主抽数据!$AV$5:$AV$97=$F47),主抽数据!$AH$5:$AH$97)</f>
        <v>0</v>
      </c>
      <c r="K47" s="196">
        <f>SUMPRODUCT((主抽数据!$AU$5:$AU$97=$A47)*(主抽数据!$AV$5:$AV$97=$F47),主抽数据!$AI$5:$AI$97)</f>
        <v>0</v>
      </c>
      <c r="L47" s="143">
        <f t="shared" si="16"/>
        <v>0</v>
      </c>
      <c r="M47" s="143">
        <f>SUMPRODUCT((_5shaozhuchou_month_day!$A$3:$A$900&gt;=C47)*(_5shaozhuchou_month_day!$A$3:$A$900&lt;C48),_5shaozhuchou_month_day!$Z$3:$Z$900)</f>
        <v>0</v>
      </c>
      <c r="N47" s="132">
        <f>M47*查询与汇总!$F$1</f>
        <v>0</v>
      </c>
      <c r="O47" s="144">
        <f t="shared" si="17"/>
        <v>0</v>
      </c>
      <c r="P47" s="143">
        <f>IF(G47=0,0,SUMPRODUCT((_5shaozhuchou_month_day!$A$3:$A$900&gt;=$C47)*(_5shaozhuchou_month_day!$A$3:$A$900&lt;$C48),_5shaozhuchou_month_day!T$3:T$900)/SUMPRODUCT((_5shaozhuchou_month_day!$A$3:$A$900&gt;=$C47)*(_5shaozhuchou_month_day!$A$3:$A$900&lt;$C48)*(_5shaozhuchou_month_day!T$3:T$900&gt;0)))</f>
        <v>0</v>
      </c>
      <c r="Q47" s="145">
        <f>IF(G47=0,0,SUMPRODUCT((_5shaozhuchou_month_day!$A$3:$A$900&gt;=$C47)*(_5shaozhuchou_month_day!$A$3:$A$900&lt;$C48),_5shaozhuchou_month_day!U$3:U$900)/SUMPRODUCT((_5shaozhuchou_month_day!$A$3:$A$900&gt;=$C47)*(_5shaozhuchou_month_day!$A$3:$A$900&lt;$C48)*(_5shaozhuchou_month_day!U$3:U$900&lt;0)))</f>
        <v>0</v>
      </c>
      <c r="R47" s="143">
        <f>IF(G47=0,0,SUMPRODUCT((_5shaozhuchou_month_day!$A$3:$A$900&gt;=$C47)*(_5shaozhuchou_month_day!$A$3:$A$900&lt;$C48),_5shaozhuchou_month_day!V$3:V$900)/SUMPRODUCT((_5shaozhuchou_month_day!$A$3:$A$900&gt;=$C47)*(_5shaozhuchou_month_day!$A$3:$A$900&lt;$C48)*(_5shaozhuchou_month_day!V$3:V$900&gt;0)))</f>
        <v>0</v>
      </c>
      <c r="S47" s="145">
        <f>IF(G47=0,0,SUMPRODUCT((_5shaozhuchou_month_day!$A$3:$A$900&gt;=$C47)*(_5shaozhuchou_month_day!$A$3:$A$900&lt;$C48),_5shaozhuchou_month_day!W$3:W$900)/SUMPRODUCT((_5shaozhuchou_month_day!$A$3:$A$900&gt;=$C47)*(_5shaozhuchou_month_day!$A$3:$A$900&lt;$C48)*(_5shaozhuchou_month_day!W$3:W$900&lt;0)))</f>
        <v>0</v>
      </c>
      <c r="T47" s="145" t="str">
        <f>主抽数据!K49</f>
        <v/>
      </c>
      <c r="U47" s="132" t="str">
        <f>主抽数据!L49</f>
        <v/>
      </c>
      <c r="V47" s="148">
        <f>查询与汇总!$J$1*M47</f>
        <v>0</v>
      </c>
      <c r="W47" s="149">
        <f t="shared" si="18"/>
        <v>0</v>
      </c>
      <c r="X47" s="151"/>
      <c r="Y47" s="164"/>
      <c r="Z47" s="165"/>
      <c r="AA47" s="160" t="str">
        <f>主抽数据!M49</f>
        <v/>
      </c>
      <c r="AB47" s="161" t="str">
        <f>主抽数据!N49</f>
        <v/>
      </c>
      <c r="AC47" s="162">
        <f t="shared" si="21"/>
        <v>0</v>
      </c>
      <c r="AE47" s="123" t="e">
        <f t="shared" si="19"/>
        <v>#VALUE!</v>
      </c>
      <c r="AF47" s="123" t="e">
        <f t="shared" si="20"/>
        <v>#VALUE!</v>
      </c>
      <c r="AG47" s="123">
        <f t="shared" si="9"/>
        <v>0</v>
      </c>
      <c r="AH47" s="123">
        <f t="shared" si="10"/>
        <v>0</v>
      </c>
    </row>
    <row r="48" spans="1:34" ht="20.25" customHeight="1">
      <c r="A48" s="194">
        <f t="shared" si="11"/>
        <v>43359</v>
      </c>
      <c r="B48" s="134">
        <f t="shared" si="12"/>
        <v>0</v>
      </c>
      <c r="C48" s="133">
        <f t="shared" si="14"/>
        <v>43359</v>
      </c>
      <c r="D48" s="134" t="str">
        <f t="shared" si="13"/>
        <v>夜班</v>
      </c>
      <c r="E48" s="143">
        <f>'6烧主抽电耗'!E48</f>
        <v>2</v>
      </c>
      <c r="F48" s="143" t="str">
        <f>'6烧主抽电耗'!F48</f>
        <v>乙班</v>
      </c>
      <c r="G48" s="132">
        <f>SUMPRODUCT((_5shaozhuchou_month_day!$A$3:$A$900&gt;=C48)*(_5shaozhuchou_month_day!$A$3:$A$900&lt;C49),_5shaozhuchou_month_day!$Y$3:$Y$900)/8</f>
        <v>0</v>
      </c>
      <c r="H48" s="132">
        <f t="shared" si="2"/>
        <v>0</v>
      </c>
      <c r="I48" s="195">
        <f t="shared" si="22"/>
        <v>0</v>
      </c>
      <c r="J48" s="196">
        <f>SUMPRODUCT((主抽数据!$AU$5:$AU$97=$A48)*(主抽数据!$AV$5:$AV$97=$F48),主抽数据!$AH$5:$AH$97)</f>
        <v>0</v>
      </c>
      <c r="K48" s="196">
        <f>SUMPRODUCT((主抽数据!$AU$5:$AU$97=$A48)*(主抽数据!$AV$5:$AV$97=$F48),主抽数据!$AI$5:$AI$97)</f>
        <v>0</v>
      </c>
      <c r="L48" s="143">
        <f t="shared" si="16"/>
        <v>0</v>
      </c>
      <c r="M48" s="143">
        <f>SUMPRODUCT((_5shaozhuchou_month_day!$A$3:$A$900&gt;=C48)*(_5shaozhuchou_month_day!$A$3:$A$900&lt;C49),_5shaozhuchou_month_day!$Z$3:$Z$900)</f>
        <v>0</v>
      </c>
      <c r="N48" s="132">
        <f>M48*查询与汇总!$F$1</f>
        <v>0</v>
      </c>
      <c r="O48" s="144">
        <f t="shared" si="17"/>
        <v>0</v>
      </c>
      <c r="P48" s="143">
        <f>IF(G48=0,0,SUMPRODUCT((_5shaozhuchou_month_day!$A$3:$A$900&gt;=$C48)*(_5shaozhuchou_month_day!$A$3:$A$900&lt;$C49),_5shaozhuchou_month_day!T$3:T$900)/SUMPRODUCT((_5shaozhuchou_month_day!$A$3:$A$900&gt;=$C48)*(_5shaozhuchou_month_day!$A$3:$A$900&lt;$C49)*(_5shaozhuchou_month_day!T$3:T$900&gt;0)))</f>
        <v>0</v>
      </c>
      <c r="Q48" s="145">
        <f>IF(G48=0,0,SUMPRODUCT((_5shaozhuchou_month_day!$A$3:$A$900&gt;=$C48)*(_5shaozhuchou_month_day!$A$3:$A$900&lt;$C49),_5shaozhuchou_month_day!U$3:U$900)/SUMPRODUCT((_5shaozhuchou_month_day!$A$3:$A$900&gt;=$C48)*(_5shaozhuchou_month_day!$A$3:$A$900&lt;$C49)*(_5shaozhuchou_month_day!U$3:U$900&lt;0)))</f>
        <v>0</v>
      </c>
      <c r="R48" s="143">
        <f>IF(G48=0,0,SUMPRODUCT((_5shaozhuchou_month_day!$A$3:$A$900&gt;=$C48)*(_5shaozhuchou_month_day!$A$3:$A$900&lt;$C49),_5shaozhuchou_month_day!V$3:V$900)/SUMPRODUCT((_5shaozhuchou_month_day!$A$3:$A$900&gt;=$C48)*(_5shaozhuchou_month_day!$A$3:$A$900&lt;$C49)*(_5shaozhuchou_month_day!V$3:V$900&gt;0)))</f>
        <v>0</v>
      </c>
      <c r="S48" s="145">
        <f>IF(G48=0,0,SUMPRODUCT((_5shaozhuchou_month_day!$A$3:$A$900&gt;=$C48)*(_5shaozhuchou_month_day!$A$3:$A$900&lt;$C49),_5shaozhuchou_month_day!W$3:W$900)/SUMPRODUCT((_5shaozhuchou_month_day!$A$3:$A$900&gt;=$C48)*(_5shaozhuchou_month_day!$A$3:$A$900&lt;$C49)*(_5shaozhuchou_month_day!W$3:W$900&lt;0)))</f>
        <v>0</v>
      </c>
      <c r="T48" s="145" t="str">
        <f>主抽数据!K50</f>
        <v/>
      </c>
      <c r="U48" s="132" t="str">
        <f>主抽数据!L50</f>
        <v/>
      </c>
      <c r="V48" s="148">
        <f>查询与汇总!$J$1*M48</f>
        <v>0</v>
      </c>
      <c r="W48" s="149">
        <f t="shared" si="18"/>
        <v>0</v>
      </c>
      <c r="X48" s="151"/>
      <c r="Y48" s="164"/>
      <c r="Z48" s="163"/>
      <c r="AA48" s="160" t="str">
        <f>主抽数据!M50</f>
        <v/>
      </c>
      <c r="AB48" s="161" t="str">
        <f>主抽数据!N50</f>
        <v/>
      </c>
      <c r="AC48" s="162">
        <f t="shared" si="21"/>
        <v>0</v>
      </c>
      <c r="AE48" s="123" t="e">
        <f t="shared" si="19"/>
        <v>#VALUE!</v>
      </c>
      <c r="AF48" s="123" t="e">
        <f t="shared" si="20"/>
        <v>#VALUE!</v>
      </c>
      <c r="AG48" s="123">
        <f t="shared" si="9"/>
        <v>0</v>
      </c>
      <c r="AH48" s="123">
        <f t="shared" si="10"/>
        <v>0</v>
      </c>
    </row>
    <row r="49" spans="1:34" ht="32.1" customHeight="1">
      <c r="A49" s="194">
        <f t="shared" si="11"/>
        <v>43359</v>
      </c>
      <c r="B49" s="134">
        <f t="shared" si="12"/>
        <v>0.33333333333333298</v>
      </c>
      <c r="C49" s="133">
        <f t="shared" si="14"/>
        <v>43359.333333333336</v>
      </c>
      <c r="D49" s="134" t="str">
        <f t="shared" si="13"/>
        <v>白班</v>
      </c>
      <c r="E49" s="143">
        <f>'6烧主抽电耗'!E49</f>
        <v>3</v>
      </c>
      <c r="F49" s="143" t="str">
        <f>'6烧主抽电耗'!F49</f>
        <v>丙班</v>
      </c>
      <c r="G49" s="132">
        <f>SUMPRODUCT((_5shaozhuchou_month_day!$A$3:$A$900&gt;=C49)*(_5shaozhuchou_month_day!$A$3:$A$900&lt;C50),_5shaozhuchou_month_day!$Y$3:$Y$900)/8</f>
        <v>0</v>
      </c>
      <c r="H49" s="132">
        <f t="shared" si="2"/>
        <v>0</v>
      </c>
      <c r="I49" s="195">
        <f t="shared" si="22"/>
        <v>0</v>
      </c>
      <c r="J49" s="196">
        <f>SUMPRODUCT((主抽数据!$AU$5:$AU$97=$A49)*(主抽数据!$AV$5:$AV$97=$F49),主抽数据!$AH$5:$AH$97)</f>
        <v>0</v>
      </c>
      <c r="K49" s="196">
        <f>SUMPRODUCT((主抽数据!$AU$5:$AU$97=$A49)*(主抽数据!$AV$5:$AV$97=$F49),主抽数据!$AI$5:$AI$97)</f>
        <v>0</v>
      </c>
      <c r="L49" s="143">
        <f t="shared" si="16"/>
        <v>0</v>
      </c>
      <c r="M49" s="143">
        <f>SUMPRODUCT((_5shaozhuchou_month_day!$A$3:$A$900&gt;=C49)*(_5shaozhuchou_month_day!$A$3:$A$900&lt;C50),_5shaozhuchou_month_day!$Z$3:$Z$900)</f>
        <v>0</v>
      </c>
      <c r="N49" s="132">
        <f>M49*查询与汇总!$F$1</f>
        <v>0</v>
      </c>
      <c r="O49" s="144">
        <f t="shared" si="17"/>
        <v>0</v>
      </c>
      <c r="P49" s="143">
        <f>IF(G49=0,0,SUMPRODUCT((_5shaozhuchou_month_day!$A$3:$A$900&gt;=$C49)*(_5shaozhuchou_month_day!$A$3:$A$900&lt;$C50),_5shaozhuchou_month_day!T$3:T$900)/SUMPRODUCT((_5shaozhuchou_month_day!$A$3:$A$900&gt;=$C49)*(_5shaozhuchou_month_day!$A$3:$A$900&lt;$C50)*(_5shaozhuchou_month_day!T$3:T$900&gt;0)))</f>
        <v>0</v>
      </c>
      <c r="Q49" s="145">
        <f>IF(G49=0,0,SUMPRODUCT((_5shaozhuchou_month_day!$A$3:$A$900&gt;=$C49)*(_5shaozhuchou_month_day!$A$3:$A$900&lt;$C50),_5shaozhuchou_month_day!U$3:U$900)/SUMPRODUCT((_5shaozhuchou_month_day!$A$3:$A$900&gt;=$C49)*(_5shaozhuchou_month_day!$A$3:$A$900&lt;$C50)*(_5shaozhuchou_month_day!U$3:U$900&lt;0)))</f>
        <v>0</v>
      </c>
      <c r="R49" s="143">
        <f>IF(G49=0,0,SUMPRODUCT((_5shaozhuchou_month_day!$A$3:$A$900&gt;=$C49)*(_5shaozhuchou_month_day!$A$3:$A$900&lt;$C50),_5shaozhuchou_month_day!V$3:V$900)/SUMPRODUCT((_5shaozhuchou_month_day!$A$3:$A$900&gt;=$C49)*(_5shaozhuchou_month_day!$A$3:$A$900&lt;$C50)*(_5shaozhuchou_month_day!V$3:V$900&gt;0)))</f>
        <v>0</v>
      </c>
      <c r="S49" s="145">
        <f>IF(G49=0,0,SUMPRODUCT((_5shaozhuchou_month_day!$A$3:$A$900&gt;=$C49)*(_5shaozhuchou_month_day!$A$3:$A$900&lt;$C50),_5shaozhuchou_month_day!W$3:W$900)/SUMPRODUCT((_5shaozhuchou_month_day!$A$3:$A$900&gt;=$C49)*(_5shaozhuchou_month_day!$A$3:$A$900&lt;$C50)*(_5shaozhuchou_month_day!W$3:W$900&lt;0)))</f>
        <v>0</v>
      </c>
      <c r="T49" s="145" t="str">
        <f>主抽数据!K51</f>
        <v/>
      </c>
      <c r="U49" s="132" t="str">
        <f>主抽数据!L51</f>
        <v/>
      </c>
      <c r="V49" s="148">
        <f>查询与汇总!$J$1*M49</f>
        <v>0</v>
      </c>
      <c r="W49" s="149">
        <f t="shared" si="18"/>
        <v>0</v>
      </c>
      <c r="X49" s="151"/>
      <c r="Y49" s="164"/>
      <c r="Z49" s="163"/>
      <c r="AA49" s="160" t="str">
        <f>主抽数据!M51</f>
        <v/>
      </c>
      <c r="AB49" s="161" t="str">
        <f>主抽数据!N51</f>
        <v/>
      </c>
      <c r="AC49" s="162">
        <f t="shared" si="21"/>
        <v>0</v>
      </c>
      <c r="AE49" s="123" t="e">
        <f t="shared" si="19"/>
        <v>#VALUE!</v>
      </c>
      <c r="AF49" s="123" t="e">
        <f t="shared" si="20"/>
        <v>#VALUE!</v>
      </c>
      <c r="AG49" s="123">
        <f t="shared" si="9"/>
        <v>0</v>
      </c>
      <c r="AH49" s="123">
        <f t="shared" si="10"/>
        <v>0</v>
      </c>
    </row>
    <row r="50" spans="1:34" ht="42" customHeight="1">
      <c r="A50" s="194">
        <f t="shared" si="11"/>
        <v>43359</v>
      </c>
      <c r="B50" s="134">
        <f t="shared" si="12"/>
        <v>0.66666666666666696</v>
      </c>
      <c r="C50" s="133">
        <f t="shared" si="14"/>
        <v>43359.666666666664</v>
      </c>
      <c r="D50" s="134" t="str">
        <f t="shared" si="13"/>
        <v>中班</v>
      </c>
      <c r="E50" s="143">
        <f>'6烧主抽电耗'!E50</f>
        <v>4</v>
      </c>
      <c r="F50" s="143" t="str">
        <f>'6烧主抽电耗'!F50</f>
        <v>丁班</v>
      </c>
      <c r="G50" s="132">
        <f>SUMPRODUCT((_5shaozhuchou_month_day!$A$3:$A$900&gt;=C50)*(_5shaozhuchou_month_day!$A$3:$A$900&lt;C51),_5shaozhuchou_month_day!$Y$3:$Y$900)/8</f>
        <v>0</v>
      </c>
      <c r="H50" s="132">
        <f t="shared" si="2"/>
        <v>0</v>
      </c>
      <c r="I50" s="195">
        <f t="shared" si="22"/>
        <v>0</v>
      </c>
      <c r="J50" s="196">
        <f>SUMPRODUCT((主抽数据!$AU$5:$AU$97=$A50)*(主抽数据!$AV$5:$AV$97=$F50),主抽数据!$AH$5:$AH$97)</f>
        <v>0</v>
      </c>
      <c r="K50" s="196">
        <f>SUMPRODUCT((主抽数据!$AU$5:$AU$97=$A50)*(主抽数据!$AV$5:$AV$97=$F50),主抽数据!$AI$5:$AI$97)</f>
        <v>0</v>
      </c>
      <c r="L50" s="143">
        <f t="shared" si="16"/>
        <v>0</v>
      </c>
      <c r="M50" s="143">
        <f>SUMPRODUCT((_5shaozhuchou_month_day!$A$3:$A$900&gt;=C50)*(_5shaozhuchou_month_day!$A$3:$A$900&lt;C51),_5shaozhuchou_month_day!$Z$3:$Z$900)</f>
        <v>0</v>
      </c>
      <c r="N50" s="132">
        <f>M50*查询与汇总!$F$1</f>
        <v>0</v>
      </c>
      <c r="O50" s="144">
        <f t="shared" si="17"/>
        <v>0</v>
      </c>
      <c r="P50" s="143">
        <f>IF(G50=0,0,SUMPRODUCT((_5shaozhuchou_month_day!$A$3:$A$900&gt;=$C50)*(_5shaozhuchou_month_day!$A$3:$A$900&lt;$C51),_5shaozhuchou_month_day!T$3:T$900)/SUMPRODUCT((_5shaozhuchou_month_day!$A$3:$A$900&gt;=$C50)*(_5shaozhuchou_month_day!$A$3:$A$900&lt;$C51)*(_5shaozhuchou_month_day!T$3:T$900&gt;0)))</f>
        <v>0</v>
      </c>
      <c r="Q50" s="145">
        <f>IF(G50=0,0,SUMPRODUCT((_5shaozhuchou_month_day!$A$3:$A$900&gt;=$C50)*(_5shaozhuchou_month_day!$A$3:$A$900&lt;$C51),_5shaozhuchou_month_day!U$3:U$900)/SUMPRODUCT((_5shaozhuchou_month_day!$A$3:$A$900&gt;=$C50)*(_5shaozhuchou_month_day!$A$3:$A$900&lt;$C51)*(_5shaozhuchou_month_day!U$3:U$900&lt;0)))</f>
        <v>0</v>
      </c>
      <c r="R50" s="143">
        <f>IF(G50=0,0,SUMPRODUCT((_5shaozhuchou_month_day!$A$3:$A$900&gt;=$C50)*(_5shaozhuchou_month_day!$A$3:$A$900&lt;$C51),_5shaozhuchou_month_day!V$3:V$900)/SUMPRODUCT((_5shaozhuchou_month_day!$A$3:$A$900&gt;=$C50)*(_5shaozhuchou_month_day!$A$3:$A$900&lt;$C51)*(_5shaozhuchou_month_day!V$3:V$900&gt;0)))</f>
        <v>0</v>
      </c>
      <c r="S50" s="145">
        <f>IF(G50=0,0,SUMPRODUCT((_5shaozhuchou_month_day!$A$3:$A$900&gt;=$C50)*(_5shaozhuchou_month_day!$A$3:$A$900&lt;$C51),_5shaozhuchou_month_day!W$3:W$900)/SUMPRODUCT((_5shaozhuchou_month_day!$A$3:$A$900&gt;=$C50)*(_5shaozhuchou_month_day!$A$3:$A$900&lt;$C51)*(_5shaozhuchou_month_day!W$3:W$900&lt;0)))</f>
        <v>0</v>
      </c>
      <c r="T50" s="145" t="str">
        <f>主抽数据!K52</f>
        <v/>
      </c>
      <c r="U50" s="132" t="str">
        <f>主抽数据!L52</f>
        <v/>
      </c>
      <c r="V50" s="148">
        <f>查询与汇总!$J$1*M50</f>
        <v>0</v>
      </c>
      <c r="W50" s="149">
        <f t="shared" si="18"/>
        <v>0</v>
      </c>
      <c r="X50" s="151"/>
      <c r="Y50" s="164"/>
      <c r="Z50" s="163"/>
      <c r="AA50" s="160" t="str">
        <f>主抽数据!M52</f>
        <v/>
      </c>
      <c r="AB50" s="161" t="str">
        <f>主抽数据!N52</f>
        <v/>
      </c>
      <c r="AC50" s="162">
        <f t="shared" si="21"/>
        <v>0</v>
      </c>
      <c r="AE50" s="123" t="e">
        <f t="shared" si="19"/>
        <v>#VALUE!</v>
      </c>
      <c r="AF50" s="123" t="e">
        <f t="shared" si="20"/>
        <v>#VALUE!</v>
      </c>
      <c r="AG50" s="123">
        <f t="shared" si="9"/>
        <v>0</v>
      </c>
      <c r="AH50" s="123">
        <f t="shared" si="10"/>
        <v>0</v>
      </c>
    </row>
    <row r="51" spans="1:34" ht="36" customHeight="1">
      <c r="A51" s="194">
        <f t="shared" si="11"/>
        <v>43360</v>
      </c>
      <c r="B51" s="134">
        <f t="shared" si="12"/>
        <v>0</v>
      </c>
      <c r="C51" s="133">
        <f t="shared" si="14"/>
        <v>43360</v>
      </c>
      <c r="D51" s="134" t="str">
        <f t="shared" si="13"/>
        <v>夜班</v>
      </c>
      <c r="E51" s="143">
        <f>'6烧主抽电耗'!E51</f>
        <v>2</v>
      </c>
      <c r="F51" s="143" t="str">
        <f>'6烧主抽电耗'!F51</f>
        <v>乙班</v>
      </c>
      <c r="G51" s="132">
        <f>SUMPRODUCT((_5shaozhuchou_month_day!$A$3:$A$900&gt;=C51)*(_5shaozhuchou_month_day!$A$3:$A$900&lt;C52),_5shaozhuchou_month_day!$Y$3:$Y$900)/8</f>
        <v>0</v>
      </c>
      <c r="H51" s="132">
        <f t="shared" si="2"/>
        <v>0</v>
      </c>
      <c r="I51" s="195">
        <f t="shared" si="22"/>
        <v>0</v>
      </c>
      <c r="J51" s="196">
        <f>SUMPRODUCT((主抽数据!$AU$5:$AU$97=$A51)*(主抽数据!$AV$5:$AV$97=$F51),主抽数据!$AH$5:$AH$97)</f>
        <v>0</v>
      </c>
      <c r="K51" s="196">
        <f>SUMPRODUCT((主抽数据!$AU$5:$AU$97=$A51)*(主抽数据!$AV$5:$AV$97=$F51),主抽数据!$AI$5:$AI$97)</f>
        <v>0</v>
      </c>
      <c r="L51" s="143">
        <f t="shared" si="16"/>
        <v>0</v>
      </c>
      <c r="M51" s="143">
        <f>SUMPRODUCT((_5shaozhuchou_month_day!$A$3:$A$900&gt;=C51)*(_5shaozhuchou_month_day!$A$3:$A$900&lt;C52),_5shaozhuchou_month_day!$Z$3:$Z$900)</f>
        <v>0</v>
      </c>
      <c r="N51" s="132">
        <f>M51*查询与汇总!$F$1</f>
        <v>0</v>
      </c>
      <c r="O51" s="144">
        <f t="shared" si="17"/>
        <v>0</v>
      </c>
      <c r="P51" s="143">
        <f>IF(G51=0,0,SUMPRODUCT((_5shaozhuchou_month_day!$A$3:$A$900&gt;=$C51)*(_5shaozhuchou_month_day!$A$3:$A$900&lt;$C52),_5shaozhuchou_month_day!T$3:T$900)/SUMPRODUCT((_5shaozhuchou_month_day!$A$3:$A$900&gt;=$C51)*(_5shaozhuchou_month_day!$A$3:$A$900&lt;$C52)*(_5shaozhuchou_month_day!T$3:T$900&gt;0)))</f>
        <v>0</v>
      </c>
      <c r="Q51" s="145">
        <f>IF(G51=0,0,SUMPRODUCT((_5shaozhuchou_month_day!$A$3:$A$900&gt;=$C51)*(_5shaozhuchou_month_day!$A$3:$A$900&lt;$C52),_5shaozhuchou_month_day!U$3:U$900)/SUMPRODUCT((_5shaozhuchou_month_day!$A$3:$A$900&gt;=$C51)*(_5shaozhuchou_month_day!$A$3:$A$900&lt;$C52)*(_5shaozhuchou_month_day!U$3:U$900&lt;0)))</f>
        <v>0</v>
      </c>
      <c r="R51" s="143">
        <f>IF(G51=0,0,SUMPRODUCT((_5shaozhuchou_month_day!$A$3:$A$900&gt;=$C51)*(_5shaozhuchou_month_day!$A$3:$A$900&lt;$C52),_5shaozhuchou_month_day!V$3:V$900)/SUMPRODUCT((_5shaozhuchou_month_day!$A$3:$A$900&gt;=$C51)*(_5shaozhuchou_month_day!$A$3:$A$900&lt;$C52)*(_5shaozhuchou_month_day!V$3:V$900&gt;0)))</f>
        <v>0</v>
      </c>
      <c r="S51" s="145">
        <f>IF(G51=0,0,SUMPRODUCT((_5shaozhuchou_month_day!$A$3:$A$900&gt;=$C51)*(_5shaozhuchou_month_day!$A$3:$A$900&lt;$C52),_5shaozhuchou_month_day!W$3:W$900)/SUMPRODUCT((_5shaozhuchou_month_day!$A$3:$A$900&gt;=$C51)*(_5shaozhuchou_month_day!$A$3:$A$900&lt;$C52)*(_5shaozhuchou_month_day!W$3:W$900&lt;0)))</f>
        <v>0</v>
      </c>
      <c r="T51" s="145" t="str">
        <f>主抽数据!K53</f>
        <v/>
      </c>
      <c r="U51" s="132" t="str">
        <f>主抽数据!L53</f>
        <v/>
      </c>
      <c r="V51" s="148">
        <f>查询与汇总!$J$1*M51</f>
        <v>0</v>
      </c>
      <c r="W51" s="149">
        <f t="shared" si="18"/>
        <v>0</v>
      </c>
      <c r="X51" s="197"/>
      <c r="Z51" s="163"/>
      <c r="AA51" s="160" t="str">
        <f>主抽数据!M53</f>
        <v/>
      </c>
      <c r="AB51" s="161" t="str">
        <f>主抽数据!N53</f>
        <v/>
      </c>
      <c r="AC51" s="162">
        <f t="shared" si="21"/>
        <v>0</v>
      </c>
      <c r="AE51" s="123" t="e">
        <f t="shared" si="19"/>
        <v>#VALUE!</v>
      </c>
      <c r="AF51" s="123" t="e">
        <f t="shared" si="20"/>
        <v>#VALUE!</v>
      </c>
      <c r="AG51" s="123">
        <f t="shared" si="9"/>
        <v>0</v>
      </c>
      <c r="AH51" s="123">
        <f t="shared" si="10"/>
        <v>0</v>
      </c>
    </row>
    <row r="52" spans="1:34" ht="33" customHeight="1">
      <c r="A52" s="194">
        <f t="shared" si="11"/>
        <v>43360</v>
      </c>
      <c r="B52" s="134">
        <f t="shared" si="12"/>
        <v>0.33333333333333298</v>
      </c>
      <c r="C52" s="133">
        <f t="shared" si="14"/>
        <v>43360.333333333336</v>
      </c>
      <c r="D52" s="134" t="str">
        <f t="shared" si="13"/>
        <v>白班</v>
      </c>
      <c r="E52" s="143">
        <f>'6烧主抽电耗'!E52</f>
        <v>3</v>
      </c>
      <c r="F52" s="143" t="str">
        <f>'6烧主抽电耗'!F52</f>
        <v>丙班</v>
      </c>
      <c r="G52" s="132">
        <f>SUMPRODUCT((_5shaozhuchou_month_day!$A$3:$A$900&gt;=C52)*(_5shaozhuchou_month_day!$A$3:$A$900&lt;C53),_5shaozhuchou_month_day!$Y$3:$Y$900)/8</f>
        <v>0</v>
      </c>
      <c r="H52" s="132">
        <f t="shared" si="2"/>
        <v>0</v>
      </c>
      <c r="I52" s="195">
        <f t="shared" si="22"/>
        <v>0</v>
      </c>
      <c r="J52" s="196">
        <f>SUMPRODUCT((主抽数据!$AU$5:$AU$97=$A52)*(主抽数据!$AV$5:$AV$97=$F52),主抽数据!$AH$5:$AH$97)</f>
        <v>0</v>
      </c>
      <c r="K52" s="196">
        <f>SUMPRODUCT((主抽数据!$AU$5:$AU$97=$A52)*(主抽数据!$AV$5:$AV$97=$F52),主抽数据!$AI$5:$AI$97)</f>
        <v>0</v>
      </c>
      <c r="L52" s="143">
        <f t="shared" si="16"/>
        <v>0</v>
      </c>
      <c r="M52" s="143">
        <f>SUMPRODUCT((_5shaozhuchou_month_day!$A$3:$A$900&gt;=C52)*(_5shaozhuchou_month_day!$A$3:$A$900&lt;C53),_5shaozhuchou_month_day!$Z$3:$Z$900)</f>
        <v>0</v>
      </c>
      <c r="N52" s="132">
        <f>M52*查询与汇总!$F$1</f>
        <v>0</v>
      </c>
      <c r="O52" s="144">
        <f t="shared" si="17"/>
        <v>0</v>
      </c>
      <c r="P52" s="143">
        <f>IF(G52=0,0,SUMPRODUCT((_5shaozhuchou_month_day!$A$3:$A$900&gt;=$C52)*(_5shaozhuchou_month_day!$A$3:$A$900&lt;$C53),_5shaozhuchou_month_day!T$3:T$900)/SUMPRODUCT((_5shaozhuchou_month_day!$A$3:$A$900&gt;=$C52)*(_5shaozhuchou_month_day!$A$3:$A$900&lt;$C53)*(_5shaozhuchou_month_day!T$3:T$900&gt;0)))</f>
        <v>0</v>
      </c>
      <c r="Q52" s="145">
        <f>IF(G52=0,0,SUMPRODUCT((_5shaozhuchou_month_day!$A$3:$A$900&gt;=$C52)*(_5shaozhuchou_month_day!$A$3:$A$900&lt;$C53),_5shaozhuchou_month_day!U$3:U$900)/SUMPRODUCT((_5shaozhuchou_month_day!$A$3:$A$900&gt;=$C52)*(_5shaozhuchou_month_day!$A$3:$A$900&lt;$C53)*(_5shaozhuchou_month_day!U$3:U$900&lt;0)))</f>
        <v>0</v>
      </c>
      <c r="R52" s="143">
        <f>IF(G52=0,0,SUMPRODUCT((_5shaozhuchou_month_day!$A$3:$A$900&gt;=$C52)*(_5shaozhuchou_month_day!$A$3:$A$900&lt;$C53),_5shaozhuchou_month_day!V$3:V$900)/SUMPRODUCT((_5shaozhuchou_month_day!$A$3:$A$900&gt;=$C52)*(_5shaozhuchou_month_day!$A$3:$A$900&lt;$C53)*(_5shaozhuchou_month_day!V$3:V$900&gt;0)))</f>
        <v>0</v>
      </c>
      <c r="S52" s="145">
        <f>IF(G52=0,0,SUMPRODUCT((_5shaozhuchou_month_day!$A$3:$A$900&gt;=$C52)*(_5shaozhuchou_month_day!$A$3:$A$900&lt;$C53),_5shaozhuchou_month_day!W$3:W$900)/SUMPRODUCT((_5shaozhuchou_month_day!$A$3:$A$900&gt;=$C52)*(_5shaozhuchou_month_day!$A$3:$A$900&lt;$C53)*(_5shaozhuchou_month_day!W$3:W$900&lt;0)))</f>
        <v>0</v>
      </c>
      <c r="T52" s="145" t="str">
        <f>主抽数据!K54</f>
        <v/>
      </c>
      <c r="U52" s="132" t="str">
        <f>主抽数据!L54</f>
        <v/>
      </c>
      <c r="V52" s="148">
        <f>查询与汇总!$J$1*M52</f>
        <v>0</v>
      </c>
      <c r="W52" s="149">
        <f t="shared" si="18"/>
        <v>0</v>
      </c>
      <c r="X52" s="151"/>
      <c r="Y52" s="164"/>
      <c r="Z52" s="163"/>
      <c r="AA52" s="160" t="str">
        <f>主抽数据!M54</f>
        <v/>
      </c>
      <c r="AB52" s="161" t="str">
        <f>主抽数据!N54</f>
        <v/>
      </c>
      <c r="AC52" s="162">
        <f t="shared" si="21"/>
        <v>0</v>
      </c>
      <c r="AE52" s="123" t="e">
        <f t="shared" si="19"/>
        <v>#VALUE!</v>
      </c>
      <c r="AF52" s="123" t="e">
        <f t="shared" si="20"/>
        <v>#VALUE!</v>
      </c>
      <c r="AG52" s="123">
        <f t="shared" si="9"/>
        <v>0</v>
      </c>
      <c r="AH52" s="123">
        <f t="shared" si="10"/>
        <v>0</v>
      </c>
    </row>
    <row r="53" spans="1:34" ht="27" customHeight="1">
      <c r="A53" s="194">
        <f t="shared" si="11"/>
        <v>43360</v>
      </c>
      <c r="B53" s="134">
        <f t="shared" si="12"/>
        <v>0.66666666666666696</v>
      </c>
      <c r="C53" s="133">
        <f t="shared" si="14"/>
        <v>43360.666666666664</v>
      </c>
      <c r="D53" s="134" t="str">
        <f t="shared" si="13"/>
        <v>中班</v>
      </c>
      <c r="E53" s="143">
        <f>'6烧主抽电耗'!E53</f>
        <v>4</v>
      </c>
      <c r="F53" s="143" t="str">
        <f>'6烧主抽电耗'!F53</f>
        <v>丁班</v>
      </c>
      <c r="G53" s="132">
        <f>SUMPRODUCT((_5shaozhuchou_month_day!$A$3:$A$900&gt;=C53)*(_5shaozhuchou_month_day!$A$3:$A$900&lt;C54),_5shaozhuchou_month_day!$Y$3:$Y$900)/8</f>
        <v>0</v>
      </c>
      <c r="H53" s="132">
        <f t="shared" si="2"/>
        <v>0</v>
      </c>
      <c r="I53" s="195">
        <f t="shared" si="22"/>
        <v>0</v>
      </c>
      <c r="J53" s="196">
        <f>SUMPRODUCT((主抽数据!$AU$5:$AU$97=$A53)*(主抽数据!$AV$5:$AV$97=$F53),主抽数据!$AH$5:$AH$97)</f>
        <v>0</v>
      </c>
      <c r="K53" s="196">
        <f>SUMPRODUCT((主抽数据!$AU$5:$AU$97=$A53)*(主抽数据!$AV$5:$AV$97=$F53),主抽数据!$AI$5:$AI$97)</f>
        <v>0</v>
      </c>
      <c r="L53" s="143">
        <f t="shared" si="16"/>
        <v>0</v>
      </c>
      <c r="M53" s="143">
        <f>SUMPRODUCT((_5shaozhuchou_month_day!$A$3:$A$900&gt;=C53)*(_5shaozhuchou_month_day!$A$3:$A$900&lt;C54),_5shaozhuchou_month_day!$Z$3:$Z$900)</f>
        <v>0</v>
      </c>
      <c r="N53" s="132">
        <f>M53*查询与汇总!$F$1</f>
        <v>0</v>
      </c>
      <c r="O53" s="144">
        <f t="shared" si="17"/>
        <v>0</v>
      </c>
      <c r="P53" s="143">
        <f>IF(G53=0,0,SUMPRODUCT((_5shaozhuchou_month_day!$A$3:$A$900&gt;=$C53)*(_5shaozhuchou_month_day!$A$3:$A$900&lt;$C54),_5shaozhuchou_month_day!T$3:T$900)/SUMPRODUCT((_5shaozhuchou_month_day!$A$3:$A$900&gt;=$C53)*(_5shaozhuchou_month_day!$A$3:$A$900&lt;$C54)*(_5shaozhuchou_month_day!T$3:T$900&gt;0)))</f>
        <v>0</v>
      </c>
      <c r="Q53" s="145">
        <f>IF(G53=0,0,SUMPRODUCT((_5shaozhuchou_month_day!$A$3:$A$900&gt;=$C53)*(_5shaozhuchou_month_day!$A$3:$A$900&lt;$C54),_5shaozhuchou_month_day!U$3:U$900)/SUMPRODUCT((_5shaozhuchou_month_day!$A$3:$A$900&gt;=$C53)*(_5shaozhuchou_month_day!$A$3:$A$900&lt;$C54)*(_5shaozhuchou_month_day!U$3:U$900&lt;0)))</f>
        <v>0</v>
      </c>
      <c r="R53" s="143">
        <f>IF(G53=0,0,SUMPRODUCT((_5shaozhuchou_month_day!$A$3:$A$900&gt;=$C53)*(_5shaozhuchou_month_day!$A$3:$A$900&lt;$C54),_5shaozhuchou_month_day!V$3:V$900)/SUMPRODUCT((_5shaozhuchou_month_day!$A$3:$A$900&gt;=$C53)*(_5shaozhuchou_month_day!$A$3:$A$900&lt;$C54)*(_5shaozhuchou_month_day!V$3:V$900&gt;0)))</f>
        <v>0</v>
      </c>
      <c r="S53" s="145">
        <f>IF(G53=0,0,SUMPRODUCT((_5shaozhuchou_month_day!$A$3:$A$900&gt;=$C53)*(_5shaozhuchou_month_day!$A$3:$A$900&lt;$C54),_5shaozhuchou_month_day!W$3:W$900)/SUMPRODUCT((_5shaozhuchou_month_day!$A$3:$A$900&gt;=$C53)*(_5shaozhuchou_month_day!$A$3:$A$900&lt;$C54)*(_5shaozhuchou_month_day!W$3:W$900&lt;0)))</f>
        <v>0</v>
      </c>
      <c r="T53" s="145" t="str">
        <f>主抽数据!K55</f>
        <v/>
      </c>
      <c r="U53" s="132" t="str">
        <f>主抽数据!L55</f>
        <v/>
      </c>
      <c r="V53" s="148">
        <f>查询与汇总!$J$1*M53</f>
        <v>0</v>
      </c>
      <c r="W53" s="149">
        <f t="shared" si="18"/>
        <v>0</v>
      </c>
      <c r="X53" s="151"/>
      <c r="Y53" s="164"/>
      <c r="Z53" s="163"/>
      <c r="AA53" s="160" t="str">
        <f>主抽数据!M55</f>
        <v/>
      </c>
      <c r="AB53" s="161" t="str">
        <f>主抽数据!N55</f>
        <v/>
      </c>
      <c r="AC53" s="162">
        <f t="shared" si="21"/>
        <v>0</v>
      </c>
      <c r="AE53" s="123" t="e">
        <f t="shared" si="19"/>
        <v>#VALUE!</v>
      </c>
      <c r="AF53" s="123" t="e">
        <f t="shared" si="20"/>
        <v>#VALUE!</v>
      </c>
      <c r="AG53" s="123">
        <f t="shared" si="9"/>
        <v>0</v>
      </c>
      <c r="AH53" s="123">
        <f t="shared" si="10"/>
        <v>0</v>
      </c>
    </row>
    <row r="54" spans="1:34" ht="27" customHeight="1">
      <c r="A54" s="194">
        <f t="shared" si="11"/>
        <v>43361</v>
      </c>
      <c r="B54" s="134">
        <f t="shared" si="12"/>
        <v>0</v>
      </c>
      <c r="C54" s="133">
        <f t="shared" si="14"/>
        <v>43361</v>
      </c>
      <c r="D54" s="134" t="str">
        <f t="shared" si="13"/>
        <v>夜班</v>
      </c>
      <c r="E54" s="143">
        <f>'6烧主抽电耗'!E54</f>
        <v>1</v>
      </c>
      <c r="F54" s="143" t="str">
        <f>'6烧主抽电耗'!F54</f>
        <v>甲班</v>
      </c>
      <c r="G54" s="132">
        <f>SUMPRODUCT((_5shaozhuchou_month_day!$A$3:$A$900&gt;=C54)*(_5shaozhuchou_month_day!$A$3:$A$900&lt;C55),_5shaozhuchou_month_day!$Y$3:$Y$900)/8</f>
        <v>0</v>
      </c>
      <c r="H54" s="132">
        <f t="shared" si="2"/>
        <v>0</v>
      </c>
      <c r="I54" s="195">
        <f t="shared" si="22"/>
        <v>0</v>
      </c>
      <c r="J54" s="196">
        <f>SUMPRODUCT((主抽数据!$AU$5:$AU$97=$A54)*(主抽数据!$AV$5:$AV$97=$F54),主抽数据!$AH$5:$AH$97)</f>
        <v>0</v>
      </c>
      <c r="K54" s="196">
        <f>SUMPRODUCT((主抽数据!$AU$5:$AU$97=$A54)*(主抽数据!$AV$5:$AV$97=$F54),主抽数据!$AI$5:$AI$97)</f>
        <v>0</v>
      </c>
      <c r="L54" s="143">
        <f t="shared" si="16"/>
        <v>0</v>
      </c>
      <c r="M54" s="143">
        <f>SUMPRODUCT((_5shaozhuchou_month_day!$A$3:$A$900&gt;=C54)*(_5shaozhuchou_month_day!$A$3:$A$900&lt;C55),_5shaozhuchou_month_day!$Z$3:$Z$900)</f>
        <v>0</v>
      </c>
      <c r="N54" s="132">
        <f>M54*查询与汇总!$F$1</f>
        <v>0</v>
      </c>
      <c r="O54" s="144">
        <f t="shared" si="17"/>
        <v>0</v>
      </c>
      <c r="P54" s="143">
        <f>IF(G54=0,0,SUMPRODUCT((_5shaozhuchou_month_day!$A$3:$A$900&gt;=$C54)*(_5shaozhuchou_month_day!$A$3:$A$900&lt;$C55),_5shaozhuchou_month_day!T$3:T$900)/SUMPRODUCT((_5shaozhuchou_month_day!$A$3:$A$900&gt;=$C54)*(_5shaozhuchou_month_day!$A$3:$A$900&lt;$C55)*(_5shaozhuchou_month_day!T$3:T$900&gt;0)))</f>
        <v>0</v>
      </c>
      <c r="Q54" s="145">
        <f>IF(G54=0,0,SUMPRODUCT((_5shaozhuchou_month_day!$A$3:$A$900&gt;=$C54)*(_5shaozhuchou_month_day!$A$3:$A$900&lt;$C55),_5shaozhuchou_month_day!U$3:U$900)/SUMPRODUCT((_5shaozhuchou_month_day!$A$3:$A$900&gt;=$C54)*(_5shaozhuchou_month_day!$A$3:$A$900&lt;$C55)*(_5shaozhuchou_month_day!U$3:U$900&lt;0)))</f>
        <v>0</v>
      </c>
      <c r="R54" s="143">
        <f>IF(G54=0,0,SUMPRODUCT((_5shaozhuchou_month_day!$A$3:$A$900&gt;=$C54)*(_5shaozhuchou_month_day!$A$3:$A$900&lt;$C55),_5shaozhuchou_month_day!V$3:V$900)/SUMPRODUCT((_5shaozhuchou_month_day!$A$3:$A$900&gt;=$C54)*(_5shaozhuchou_month_day!$A$3:$A$900&lt;$C55)*(_5shaozhuchou_month_day!V$3:V$900&gt;0)))</f>
        <v>0</v>
      </c>
      <c r="S54" s="145">
        <f>IF(G54=0,0,SUMPRODUCT((_5shaozhuchou_month_day!$A$3:$A$900&gt;=$C54)*(_5shaozhuchou_month_day!$A$3:$A$900&lt;$C55),_5shaozhuchou_month_day!W$3:W$900)/SUMPRODUCT((_5shaozhuchou_month_day!$A$3:$A$900&gt;=$C54)*(_5shaozhuchou_month_day!$A$3:$A$900&lt;$C55)*(_5shaozhuchou_month_day!W$3:W$900&lt;0)))</f>
        <v>0</v>
      </c>
      <c r="T54" s="145" t="str">
        <f>主抽数据!K56</f>
        <v/>
      </c>
      <c r="U54" s="132" t="str">
        <f>主抽数据!L56</f>
        <v/>
      </c>
      <c r="V54" s="148">
        <f>查询与汇总!$J$1*M54</f>
        <v>0</v>
      </c>
      <c r="W54" s="149">
        <f t="shared" si="18"/>
        <v>0</v>
      </c>
      <c r="X54" s="151"/>
      <c r="Y54" s="164"/>
      <c r="Z54" s="163"/>
      <c r="AA54" s="160" t="str">
        <f>主抽数据!M56</f>
        <v/>
      </c>
      <c r="AB54" s="161" t="str">
        <f>主抽数据!N56</f>
        <v/>
      </c>
      <c r="AC54" s="162">
        <f t="shared" si="21"/>
        <v>0</v>
      </c>
      <c r="AE54" s="123" t="e">
        <f t="shared" si="19"/>
        <v>#VALUE!</v>
      </c>
      <c r="AF54" s="123" t="e">
        <f t="shared" si="20"/>
        <v>#VALUE!</v>
      </c>
      <c r="AG54" s="123">
        <f t="shared" si="9"/>
        <v>0</v>
      </c>
      <c r="AH54" s="123">
        <f t="shared" si="10"/>
        <v>0</v>
      </c>
    </row>
    <row r="55" spans="1:34" ht="35.1" customHeight="1">
      <c r="A55" s="194">
        <f t="shared" si="11"/>
        <v>43361</v>
      </c>
      <c r="B55" s="134">
        <f t="shared" si="12"/>
        <v>0.33333333333333298</v>
      </c>
      <c r="C55" s="133">
        <f t="shared" si="14"/>
        <v>43361.333333333336</v>
      </c>
      <c r="D55" s="134" t="str">
        <f t="shared" si="13"/>
        <v>白班</v>
      </c>
      <c r="E55" s="143">
        <f>'6烧主抽电耗'!E55</f>
        <v>2</v>
      </c>
      <c r="F55" s="143" t="str">
        <f>'6烧主抽电耗'!F55</f>
        <v>乙班</v>
      </c>
      <c r="G55" s="132">
        <f>SUMPRODUCT((_5shaozhuchou_month_day!$A$3:$A$900&gt;=C55)*(_5shaozhuchou_month_day!$A$3:$A$900&lt;C56),_5shaozhuchou_month_day!$Y$3:$Y$900)/8</f>
        <v>0</v>
      </c>
      <c r="H55" s="132">
        <f t="shared" si="2"/>
        <v>0</v>
      </c>
      <c r="I55" s="195">
        <f t="shared" si="22"/>
        <v>0</v>
      </c>
      <c r="J55" s="196">
        <f>SUMPRODUCT((主抽数据!$AU$5:$AU$97=$A55)*(主抽数据!$AV$5:$AV$97=$F55),主抽数据!$AH$5:$AH$97)</f>
        <v>0</v>
      </c>
      <c r="K55" s="196">
        <f>SUMPRODUCT((主抽数据!$AU$5:$AU$97=$A55)*(主抽数据!$AV$5:$AV$97=$F55),主抽数据!$AI$5:$AI$97)</f>
        <v>0</v>
      </c>
      <c r="L55" s="143">
        <f t="shared" si="16"/>
        <v>0</v>
      </c>
      <c r="M55" s="143">
        <f>SUMPRODUCT((_5shaozhuchou_month_day!$A$3:$A$900&gt;=C55)*(_5shaozhuchou_month_day!$A$3:$A$900&lt;C56),_5shaozhuchou_month_day!$Z$3:$Z$900)</f>
        <v>0</v>
      </c>
      <c r="N55" s="132">
        <f>M55*查询与汇总!$F$1</f>
        <v>0</v>
      </c>
      <c r="O55" s="144">
        <f t="shared" si="17"/>
        <v>0</v>
      </c>
      <c r="P55" s="143">
        <f>IF(G55=0,0,SUMPRODUCT((_5shaozhuchou_month_day!$A$3:$A$900&gt;=$C55)*(_5shaozhuchou_month_day!$A$3:$A$900&lt;$C56),_5shaozhuchou_month_day!T$3:T$900)/SUMPRODUCT((_5shaozhuchou_month_day!$A$3:$A$900&gt;=$C55)*(_5shaozhuchou_month_day!$A$3:$A$900&lt;$C56)*(_5shaozhuchou_month_day!T$3:T$900&gt;0)))</f>
        <v>0</v>
      </c>
      <c r="Q55" s="145">
        <f>IF(G55=0,0,SUMPRODUCT((_5shaozhuchou_month_day!$A$3:$A$900&gt;=$C55)*(_5shaozhuchou_month_day!$A$3:$A$900&lt;$C56),_5shaozhuchou_month_day!U$3:U$900)/SUMPRODUCT((_5shaozhuchou_month_day!$A$3:$A$900&gt;=$C55)*(_5shaozhuchou_month_day!$A$3:$A$900&lt;$C56)*(_5shaozhuchou_month_day!U$3:U$900&lt;0)))</f>
        <v>0</v>
      </c>
      <c r="R55" s="143">
        <f>IF(G55=0,0,SUMPRODUCT((_5shaozhuchou_month_day!$A$3:$A$900&gt;=$C55)*(_5shaozhuchou_month_day!$A$3:$A$900&lt;$C56),_5shaozhuchou_month_day!V$3:V$900)/SUMPRODUCT((_5shaozhuchou_month_day!$A$3:$A$900&gt;=$C55)*(_5shaozhuchou_month_day!$A$3:$A$900&lt;$C56)*(_5shaozhuchou_month_day!V$3:V$900&gt;0)))</f>
        <v>0</v>
      </c>
      <c r="S55" s="145">
        <f>IF(G55=0,0,SUMPRODUCT((_5shaozhuchou_month_day!$A$3:$A$900&gt;=$C55)*(_5shaozhuchou_month_day!$A$3:$A$900&lt;$C56),_5shaozhuchou_month_day!W$3:W$900)/SUMPRODUCT((_5shaozhuchou_month_day!$A$3:$A$900&gt;=$C55)*(_5shaozhuchou_month_day!$A$3:$A$900&lt;$C56)*(_5shaozhuchou_month_day!W$3:W$900&lt;0)))</f>
        <v>0</v>
      </c>
      <c r="T55" s="145" t="str">
        <f>主抽数据!K57</f>
        <v/>
      </c>
      <c r="U55" s="132" t="str">
        <f>主抽数据!L57</f>
        <v/>
      </c>
      <c r="V55" s="148">
        <f>查询与汇总!$J$1*M55</f>
        <v>0</v>
      </c>
      <c r="W55" s="149">
        <f t="shared" si="18"/>
        <v>0</v>
      </c>
      <c r="X55" s="151"/>
      <c r="Y55" s="164"/>
      <c r="Z55" s="163"/>
      <c r="AA55" s="160" t="str">
        <f>主抽数据!M57</f>
        <v/>
      </c>
      <c r="AB55" s="161" t="str">
        <f>主抽数据!N57</f>
        <v/>
      </c>
      <c r="AC55" s="162">
        <f t="shared" si="21"/>
        <v>0</v>
      </c>
      <c r="AE55" s="123" t="e">
        <f t="shared" si="19"/>
        <v>#VALUE!</v>
      </c>
      <c r="AF55" s="123" t="e">
        <f t="shared" si="20"/>
        <v>#VALUE!</v>
      </c>
      <c r="AG55" s="123">
        <f t="shared" si="9"/>
        <v>0</v>
      </c>
      <c r="AH55" s="123">
        <f t="shared" si="10"/>
        <v>0</v>
      </c>
    </row>
    <row r="56" spans="1:34" ht="38.1" customHeight="1">
      <c r="A56" s="194">
        <f t="shared" si="11"/>
        <v>43361</v>
      </c>
      <c r="B56" s="134">
        <f t="shared" si="12"/>
        <v>0.66666666666666696</v>
      </c>
      <c r="C56" s="133">
        <f t="shared" si="14"/>
        <v>43361.666666666664</v>
      </c>
      <c r="D56" s="134" t="str">
        <f t="shared" si="13"/>
        <v>中班</v>
      </c>
      <c r="E56" s="143">
        <f>'6烧主抽电耗'!E56</f>
        <v>3</v>
      </c>
      <c r="F56" s="143" t="str">
        <f>'6烧主抽电耗'!F56</f>
        <v>丙班</v>
      </c>
      <c r="G56" s="132">
        <f>SUMPRODUCT((_5shaozhuchou_month_day!$A$3:$A$900&gt;=C56)*(_5shaozhuchou_month_day!$A$3:$A$900&lt;C57),_5shaozhuchou_month_day!$Y$3:$Y$900)/8</f>
        <v>0</v>
      </c>
      <c r="H56" s="132">
        <f t="shared" si="2"/>
        <v>0</v>
      </c>
      <c r="I56" s="195">
        <f t="shared" si="22"/>
        <v>0</v>
      </c>
      <c r="J56" s="196">
        <f>SUMPRODUCT((主抽数据!$AU$5:$AU$97=$A56)*(主抽数据!$AV$5:$AV$97=$F56),主抽数据!$AH$5:$AH$97)</f>
        <v>0</v>
      </c>
      <c r="K56" s="196">
        <f>SUMPRODUCT((主抽数据!$AU$5:$AU$97=$A56)*(主抽数据!$AV$5:$AV$97=$F56),主抽数据!$AI$5:$AI$97)</f>
        <v>0</v>
      </c>
      <c r="L56" s="143">
        <f t="shared" si="16"/>
        <v>0</v>
      </c>
      <c r="M56" s="143">
        <f>SUMPRODUCT((_5shaozhuchou_month_day!$A$3:$A$900&gt;=C56)*(_5shaozhuchou_month_day!$A$3:$A$900&lt;C57),_5shaozhuchou_month_day!$Z$3:$Z$900)</f>
        <v>0</v>
      </c>
      <c r="N56" s="132">
        <f>M56*查询与汇总!$F$1</f>
        <v>0</v>
      </c>
      <c r="O56" s="144">
        <f t="shared" si="17"/>
        <v>0</v>
      </c>
      <c r="P56" s="143">
        <f>IF(G56=0,0,SUMPRODUCT((_5shaozhuchou_month_day!$A$3:$A$900&gt;=$C56)*(_5shaozhuchou_month_day!$A$3:$A$900&lt;$C57),_5shaozhuchou_month_day!T$3:T$900)/SUMPRODUCT((_5shaozhuchou_month_day!$A$3:$A$900&gt;=$C56)*(_5shaozhuchou_month_day!$A$3:$A$900&lt;$C57)*(_5shaozhuchou_month_day!T$3:T$900&gt;0)))</f>
        <v>0</v>
      </c>
      <c r="Q56" s="145">
        <f>IF(G56=0,0,SUMPRODUCT((_5shaozhuchou_month_day!$A$3:$A$900&gt;=$C56)*(_5shaozhuchou_month_day!$A$3:$A$900&lt;$C57),_5shaozhuchou_month_day!U$3:U$900)/SUMPRODUCT((_5shaozhuchou_month_day!$A$3:$A$900&gt;=$C56)*(_5shaozhuchou_month_day!$A$3:$A$900&lt;$C57)*(_5shaozhuchou_month_day!U$3:U$900&lt;0)))</f>
        <v>0</v>
      </c>
      <c r="R56" s="143">
        <f>IF(G56=0,0,SUMPRODUCT((_5shaozhuchou_month_day!$A$3:$A$900&gt;=$C56)*(_5shaozhuchou_month_day!$A$3:$A$900&lt;$C57),_5shaozhuchou_month_day!V$3:V$900)/SUMPRODUCT((_5shaozhuchou_month_day!$A$3:$A$900&gt;=$C56)*(_5shaozhuchou_month_day!$A$3:$A$900&lt;$C57)*(_5shaozhuchou_month_day!V$3:V$900&gt;0)))</f>
        <v>0</v>
      </c>
      <c r="S56" s="145">
        <f>IF(G56=0,0,SUMPRODUCT((_5shaozhuchou_month_day!$A$3:$A$900&gt;=$C56)*(_5shaozhuchou_month_day!$A$3:$A$900&lt;$C57),_5shaozhuchou_month_day!W$3:W$900)/SUMPRODUCT((_5shaozhuchou_month_day!$A$3:$A$900&gt;=$C56)*(_5shaozhuchou_month_day!$A$3:$A$900&lt;$C57)*(_5shaozhuchou_month_day!W$3:W$900&lt;0)))</f>
        <v>0</v>
      </c>
      <c r="T56" s="145" t="str">
        <f>主抽数据!K58</f>
        <v/>
      </c>
      <c r="U56" s="132" t="str">
        <f>主抽数据!L58</f>
        <v/>
      </c>
      <c r="V56" s="148">
        <f>查询与汇总!$J$1*M56</f>
        <v>0</v>
      </c>
      <c r="W56" s="149">
        <f t="shared" si="18"/>
        <v>0</v>
      </c>
      <c r="X56" s="151"/>
      <c r="Y56" s="164"/>
      <c r="Z56" s="165"/>
      <c r="AA56" s="160" t="str">
        <f>主抽数据!M58</f>
        <v/>
      </c>
      <c r="AB56" s="161" t="str">
        <f>主抽数据!N58</f>
        <v/>
      </c>
      <c r="AC56" s="162">
        <f t="shared" si="21"/>
        <v>0</v>
      </c>
      <c r="AE56" s="123" t="e">
        <f t="shared" si="19"/>
        <v>#VALUE!</v>
      </c>
      <c r="AF56" s="123" t="e">
        <f t="shared" si="20"/>
        <v>#VALUE!</v>
      </c>
      <c r="AG56" s="123">
        <f t="shared" si="9"/>
        <v>0</v>
      </c>
      <c r="AH56" s="123">
        <f t="shared" si="10"/>
        <v>0</v>
      </c>
    </row>
    <row r="57" spans="1:34" ht="27.95" customHeight="1">
      <c r="A57" s="194">
        <f t="shared" si="11"/>
        <v>43362</v>
      </c>
      <c r="B57" s="134">
        <f t="shared" si="12"/>
        <v>0</v>
      </c>
      <c r="C57" s="133">
        <f t="shared" si="14"/>
        <v>43362</v>
      </c>
      <c r="D57" s="134" t="str">
        <f t="shared" si="13"/>
        <v>夜班</v>
      </c>
      <c r="E57" s="143">
        <f>'6烧主抽电耗'!E57</f>
        <v>1</v>
      </c>
      <c r="F57" s="143" t="str">
        <f>'6烧主抽电耗'!F57</f>
        <v>甲班</v>
      </c>
      <c r="G57" s="132">
        <f>SUMPRODUCT((_5shaozhuchou_month_day!$A$3:$A$900&gt;=C57)*(_5shaozhuchou_month_day!$A$3:$A$900&lt;C58),_5shaozhuchou_month_day!$Y$3:$Y$900)/8</f>
        <v>0</v>
      </c>
      <c r="H57" s="132">
        <f t="shared" si="2"/>
        <v>0</v>
      </c>
      <c r="I57" s="195">
        <f t="shared" si="22"/>
        <v>0</v>
      </c>
      <c r="J57" s="196">
        <f>SUMPRODUCT((主抽数据!$AU$5:$AU$97=$A57)*(主抽数据!$AV$5:$AV$97=$F57),主抽数据!$AH$5:$AH$97)</f>
        <v>0</v>
      </c>
      <c r="K57" s="196">
        <f>SUMPRODUCT((主抽数据!$AU$5:$AU$97=$A57)*(主抽数据!$AV$5:$AV$97=$F57),主抽数据!$AI$5:$AI$97)</f>
        <v>0</v>
      </c>
      <c r="L57" s="143">
        <f t="shared" si="16"/>
        <v>0</v>
      </c>
      <c r="M57" s="143">
        <f>SUMPRODUCT((_5shaozhuchou_month_day!$A$3:$A$900&gt;=C57)*(_5shaozhuchou_month_day!$A$3:$A$900&lt;C58),_5shaozhuchou_month_day!$Z$3:$Z$900)</f>
        <v>0</v>
      </c>
      <c r="N57" s="132">
        <f>M57*查询与汇总!$F$1</f>
        <v>0</v>
      </c>
      <c r="O57" s="144">
        <f t="shared" si="17"/>
        <v>0</v>
      </c>
      <c r="P57" s="143">
        <f>IF(G57=0,0,SUMPRODUCT((_5shaozhuchou_month_day!$A$3:$A$900&gt;=$C57)*(_5shaozhuchou_month_day!$A$3:$A$900&lt;$C58),_5shaozhuchou_month_day!T$3:T$900)/SUMPRODUCT((_5shaozhuchou_month_day!$A$3:$A$900&gt;=$C57)*(_5shaozhuchou_month_day!$A$3:$A$900&lt;$C58)*(_5shaozhuchou_month_day!T$3:T$900&gt;0)))</f>
        <v>0</v>
      </c>
      <c r="Q57" s="145">
        <f>IF(G57=0,0,SUMPRODUCT((_5shaozhuchou_month_day!$A$3:$A$900&gt;=$C57)*(_5shaozhuchou_month_day!$A$3:$A$900&lt;$C58),_5shaozhuchou_month_day!U$3:U$900)/SUMPRODUCT((_5shaozhuchou_month_day!$A$3:$A$900&gt;=$C57)*(_5shaozhuchou_month_day!$A$3:$A$900&lt;$C58)*(_5shaozhuchou_month_day!U$3:U$900&lt;0)))</f>
        <v>0</v>
      </c>
      <c r="R57" s="143">
        <f>IF(G57=0,0,SUMPRODUCT((_5shaozhuchou_month_day!$A$3:$A$900&gt;=$C57)*(_5shaozhuchou_month_day!$A$3:$A$900&lt;$C58),_5shaozhuchou_month_day!V$3:V$900)/SUMPRODUCT((_5shaozhuchou_month_day!$A$3:$A$900&gt;=$C57)*(_5shaozhuchou_month_day!$A$3:$A$900&lt;$C58)*(_5shaozhuchou_month_day!V$3:V$900&gt;0)))</f>
        <v>0</v>
      </c>
      <c r="S57" s="145">
        <f>IF(G57=0,0,SUMPRODUCT((_5shaozhuchou_month_day!$A$3:$A$900&gt;=$C57)*(_5shaozhuchou_month_day!$A$3:$A$900&lt;$C58),_5shaozhuchou_month_day!W$3:W$900)/SUMPRODUCT((_5shaozhuchou_month_day!$A$3:$A$900&gt;=$C57)*(_5shaozhuchou_month_day!$A$3:$A$900&lt;$C58)*(_5shaozhuchou_month_day!W$3:W$900&lt;0)))</f>
        <v>0</v>
      </c>
      <c r="T57" s="145" t="str">
        <f>主抽数据!K59</f>
        <v/>
      </c>
      <c r="U57" s="132" t="str">
        <f>主抽数据!L59</f>
        <v/>
      </c>
      <c r="V57" s="148">
        <f>查询与汇总!$J$1*M57</f>
        <v>0</v>
      </c>
      <c r="W57" s="149">
        <f t="shared" si="18"/>
        <v>0</v>
      </c>
      <c r="X57" s="151"/>
      <c r="Y57" s="164"/>
      <c r="Z57" s="165"/>
      <c r="AA57" s="160" t="str">
        <f>主抽数据!M59</f>
        <v/>
      </c>
      <c r="AB57" s="161" t="str">
        <f>主抽数据!N59</f>
        <v/>
      </c>
      <c r="AC57" s="162">
        <f t="shared" si="21"/>
        <v>0</v>
      </c>
      <c r="AE57" s="123" t="e">
        <f t="shared" si="19"/>
        <v>#VALUE!</v>
      </c>
      <c r="AF57" s="123" t="e">
        <f t="shared" si="20"/>
        <v>#VALUE!</v>
      </c>
      <c r="AG57" s="123">
        <f t="shared" si="9"/>
        <v>0</v>
      </c>
      <c r="AH57" s="123">
        <f t="shared" si="10"/>
        <v>0</v>
      </c>
    </row>
    <row r="58" spans="1:34" ht="36" customHeight="1">
      <c r="A58" s="194">
        <f t="shared" si="11"/>
        <v>43362</v>
      </c>
      <c r="B58" s="134">
        <f t="shared" si="12"/>
        <v>0.33333333333333298</v>
      </c>
      <c r="C58" s="133">
        <f t="shared" si="14"/>
        <v>43362.333333333336</v>
      </c>
      <c r="D58" s="134" t="str">
        <f t="shared" si="13"/>
        <v>白班</v>
      </c>
      <c r="E58" s="143">
        <f>'6烧主抽电耗'!E58</f>
        <v>2</v>
      </c>
      <c r="F58" s="143" t="str">
        <f>'6烧主抽电耗'!F58</f>
        <v>乙班</v>
      </c>
      <c r="G58" s="132">
        <f>SUMPRODUCT((_5shaozhuchou_month_day!$A$3:$A$900&gt;=C58)*(_5shaozhuchou_month_day!$A$3:$A$900&lt;C59),_5shaozhuchou_month_day!$Y$3:$Y$900)/8</f>
        <v>0</v>
      </c>
      <c r="H58" s="132">
        <f t="shared" si="2"/>
        <v>0</v>
      </c>
      <c r="I58" s="195">
        <f t="shared" si="22"/>
        <v>0</v>
      </c>
      <c r="J58" s="196">
        <f>SUMPRODUCT((主抽数据!$AU$5:$AU$97=$A58)*(主抽数据!$AV$5:$AV$97=$F58),主抽数据!$AH$5:$AH$97)</f>
        <v>0</v>
      </c>
      <c r="K58" s="196">
        <f>SUMPRODUCT((主抽数据!$AU$5:$AU$97=$A58)*(主抽数据!$AV$5:$AV$97=$F58),主抽数据!$AI$5:$AI$97)</f>
        <v>0</v>
      </c>
      <c r="L58" s="143">
        <f t="shared" si="16"/>
        <v>0</v>
      </c>
      <c r="M58" s="143">
        <f>SUMPRODUCT((_5shaozhuchou_month_day!$A$3:$A$900&gt;=C58)*(_5shaozhuchou_month_day!$A$3:$A$900&lt;C59),_5shaozhuchou_month_day!$Z$3:$Z$900)</f>
        <v>0</v>
      </c>
      <c r="N58" s="132">
        <f>M58*查询与汇总!$F$1</f>
        <v>0</v>
      </c>
      <c r="O58" s="144">
        <f t="shared" si="17"/>
        <v>0</v>
      </c>
      <c r="P58" s="143">
        <f>IF(G58=0,0,SUMPRODUCT((_5shaozhuchou_month_day!$A$3:$A$900&gt;=$C58)*(_5shaozhuchou_month_day!$A$3:$A$900&lt;$C59),_5shaozhuchou_month_day!T$3:T$900)/SUMPRODUCT((_5shaozhuchou_month_day!$A$3:$A$900&gt;=$C58)*(_5shaozhuchou_month_day!$A$3:$A$900&lt;$C59)*(_5shaozhuchou_month_day!T$3:T$900&gt;0)))</f>
        <v>0</v>
      </c>
      <c r="Q58" s="145">
        <f>IF(G58=0,0,SUMPRODUCT((_5shaozhuchou_month_day!$A$3:$A$900&gt;=$C58)*(_5shaozhuchou_month_day!$A$3:$A$900&lt;$C59),_5shaozhuchou_month_day!U$3:U$900)/SUMPRODUCT((_5shaozhuchou_month_day!$A$3:$A$900&gt;=$C58)*(_5shaozhuchou_month_day!$A$3:$A$900&lt;$C59)*(_5shaozhuchou_month_day!U$3:U$900&lt;0)))</f>
        <v>0</v>
      </c>
      <c r="R58" s="143">
        <f>IF(G58=0,0,SUMPRODUCT((_5shaozhuchou_month_day!$A$3:$A$900&gt;=$C58)*(_5shaozhuchou_month_day!$A$3:$A$900&lt;$C59),_5shaozhuchou_month_day!V$3:V$900)/SUMPRODUCT((_5shaozhuchou_month_day!$A$3:$A$900&gt;=$C58)*(_5shaozhuchou_month_day!$A$3:$A$900&lt;$C59)*(_5shaozhuchou_month_day!V$3:V$900&gt;0)))</f>
        <v>0</v>
      </c>
      <c r="S58" s="145">
        <f>IF(G58=0,0,SUMPRODUCT((_5shaozhuchou_month_day!$A$3:$A$900&gt;=$C58)*(_5shaozhuchou_month_day!$A$3:$A$900&lt;$C59),_5shaozhuchou_month_day!W$3:W$900)/SUMPRODUCT((_5shaozhuchou_month_day!$A$3:$A$900&gt;=$C58)*(_5shaozhuchou_month_day!$A$3:$A$900&lt;$C59)*(_5shaozhuchou_month_day!W$3:W$900&lt;0)))</f>
        <v>0</v>
      </c>
      <c r="T58" s="145" t="str">
        <f>主抽数据!K60</f>
        <v/>
      </c>
      <c r="U58" s="132" t="str">
        <f>主抽数据!L60</f>
        <v/>
      </c>
      <c r="V58" s="148">
        <f>查询与汇总!$J$1*M58</f>
        <v>0</v>
      </c>
      <c r="W58" s="149">
        <f t="shared" si="18"/>
        <v>0</v>
      </c>
      <c r="X58" s="151"/>
      <c r="Y58" s="164"/>
      <c r="Z58" s="165"/>
      <c r="AA58" s="160" t="str">
        <f>主抽数据!M60</f>
        <v/>
      </c>
      <c r="AB58" s="161" t="str">
        <f>主抽数据!N60</f>
        <v/>
      </c>
      <c r="AC58" s="162">
        <f t="shared" si="21"/>
        <v>0</v>
      </c>
      <c r="AE58" s="123" t="e">
        <f t="shared" si="19"/>
        <v>#VALUE!</v>
      </c>
      <c r="AF58" s="123" t="e">
        <f t="shared" si="20"/>
        <v>#VALUE!</v>
      </c>
      <c r="AG58" s="123">
        <f t="shared" si="9"/>
        <v>0</v>
      </c>
      <c r="AH58" s="123">
        <f t="shared" si="10"/>
        <v>0</v>
      </c>
    </row>
    <row r="59" spans="1:34" ht="20.25" customHeight="1">
      <c r="A59" s="194">
        <f t="shared" si="11"/>
        <v>43362</v>
      </c>
      <c r="B59" s="134">
        <f t="shared" si="12"/>
        <v>0.66666666666666696</v>
      </c>
      <c r="C59" s="133">
        <f t="shared" si="14"/>
        <v>43362.666666666664</v>
      </c>
      <c r="D59" s="134" t="str">
        <f t="shared" si="13"/>
        <v>中班</v>
      </c>
      <c r="E59" s="143">
        <f>'6烧主抽电耗'!E59</f>
        <v>3</v>
      </c>
      <c r="F59" s="143" t="str">
        <f>'6烧主抽电耗'!F59</f>
        <v>丙班</v>
      </c>
      <c r="G59" s="132">
        <f>SUMPRODUCT((_5shaozhuchou_month_day!$A$3:$A$900&gt;=C59)*(_5shaozhuchou_month_day!$A$3:$A$900&lt;C60),_5shaozhuchou_month_day!$Y$3:$Y$900)/8</f>
        <v>0</v>
      </c>
      <c r="H59" s="132">
        <f t="shared" si="2"/>
        <v>0</v>
      </c>
      <c r="I59" s="195">
        <f t="shared" si="22"/>
        <v>0</v>
      </c>
      <c r="J59" s="196">
        <f>SUMPRODUCT((主抽数据!$AU$5:$AU$97=$A59)*(主抽数据!$AV$5:$AV$97=$F59),主抽数据!$AH$5:$AH$97)</f>
        <v>0</v>
      </c>
      <c r="K59" s="196">
        <f>SUMPRODUCT((主抽数据!$AU$5:$AU$97=$A59)*(主抽数据!$AV$5:$AV$97=$F59),主抽数据!$AI$5:$AI$97)</f>
        <v>0</v>
      </c>
      <c r="L59" s="143">
        <f t="shared" si="16"/>
        <v>0</v>
      </c>
      <c r="M59" s="143">
        <f>SUMPRODUCT((_5shaozhuchou_month_day!$A$3:$A$900&gt;=C59)*(_5shaozhuchou_month_day!$A$3:$A$900&lt;C60),_5shaozhuchou_month_day!$Z$3:$Z$900)</f>
        <v>0</v>
      </c>
      <c r="N59" s="132">
        <f>M59*查询与汇总!$F$1</f>
        <v>0</v>
      </c>
      <c r="O59" s="144">
        <f t="shared" si="17"/>
        <v>0</v>
      </c>
      <c r="P59" s="143">
        <f>IF(G59=0,0,SUMPRODUCT((_5shaozhuchou_month_day!$A$3:$A$900&gt;=$C59)*(_5shaozhuchou_month_day!$A$3:$A$900&lt;$C60),_5shaozhuchou_month_day!T$3:T$900)/SUMPRODUCT((_5shaozhuchou_month_day!$A$3:$A$900&gt;=$C59)*(_5shaozhuchou_month_day!$A$3:$A$900&lt;$C60)*(_5shaozhuchou_month_day!T$3:T$900&gt;0)))</f>
        <v>0</v>
      </c>
      <c r="Q59" s="145">
        <f>IF(G59=0,0,SUMPRODUCT((_5shaozhuchou_month_day!$A$3:$A$900&gt;=$C59)*(_5shaozhuchou_month_day!$A$3:$A$900&lt;$C60),_5shaozhuchou_month_day!U$3:U$900)/SUMPRODUCT((_5shaozhuchou_month_day!$A$3:$A$900&gt;=$C59)*(_5shaozhuchou_month_day!$A$3:$A$900&lt;$C60)*(_5shaozhuchou_month_day!U$3:U$900&lt;0)))</f>
        <v>0</v>
      </c>
      <c r="R59" s="143">
        <f>IF(G59=0,0,SUMPRODUCT((_5shaozhuchou_month_day!$A$3:$A$900&gt;=$C59)*(_5shaozhuchou_month_day!$A$3:$A$900&lt;$C60),_5shaozhuchou_month_day!V$3:V$900)/SUMPRODUCT((_5shaozhuchou_month_day!$A$3:$A$900&gt;=$C59)*(_5shaozhuchou_month_day!$A$3:$A$900&lt;$C60)*(_5shaozhuchou_month_day!V$3:V$900&gt;0)))</f>
        <v>0</v>
      </c>
      <c r="S59" s="145">
        <f>IF(G59=0,0,SUMPRODUCT((_5shaozhuchou_month_day!$A$3:$A$900&gt;=$C59)*(_5shaozhuchou_month_day!$A$3:$A$900&lt;$C60),_5shaozhuchou_month_day!W$3:W$900)/SUMPRODUCT((_5shaozhuchou_month_day!$A$3:$A$900&gt;=$C59)*(_5shaozhuchou_month_day!$A$3:$A$900&lt;$C60)*(_5shaozhuchou_month_day!W$3:W$900&lt;0)))</f>
        <v>0</v>
      </c>
      <c r="T59" s="145" t="str">
        <f>主抽数据!K61</f>
        <v/>
      </c>
      <c r="U59" s="132" t="str">
        <f>主抽数据!L61</f>
        <v/>
      </c>
      <c r="V59" s="148">
        <f>查询与汇总!$J$1*M59</f>
        <v>0</v>
      </c>
      <c r="W59" s="149">
        <f t="shared" si="18"/>
        <v>0</v>
      </c>
      <c r="X59" s="151"/>
      <c r="Y59" s="164"/>
      <c r="Z59" s="163"/>
      <c r="AA59" s="160" t="str">
        <f>主抽数据!M61</f>
        <v/>
      </c>
      <c r="AB59" s="161" t="str">
        <f>主抽数据!N61</f>
        <v/>
      </c>
      <c r="AC59" s="162">
        <f t="shared" si="21"/>
        <v>0</v>
      </c>
      <c r="AE59" s="123" t="e">
        <f t="shared" si="19"/>
        <v>#VALUE!</v>
      </c>
      <c r="AF59" s="123" t="e">
        <f t="shared" si="20"/>
        <v>#VALUE!</v>
      </c>
      <c r="AG59" s="123">
        <f t="shared" si="9"/>
        <v>0</v>
      </c>
      <c r="AH59" s="123">
        <f t="shared" si="10"/>
        <v>0</v>
      </c>
    </row>
    <row r="60" spans="1:34" ht="20.25" customHeight="1">
      <c r="A60" s="194">
        <f t="shared" si="11"/>
        <v>43363</v>
      </c>
      <c r="B60" s="134">
        <f t="shared" si="12"/>
        <v>0</v>
      </c>
      <c r="C60" s="133">
        <f t="shared" si="14"/>
        <v>43363</v>
      </c>
      <c r="D60" s="134" t="str">
        <f t="shared" si="13"/>
        <v>夜班</v>
      </c>
      <c r="E60" s="143">
        <f>'6烧主抽电耗'!E60</f>
        <v>4</v>
      </c>
      <c r="F60" s="143" t="str">
        <f>'6烧主抽电耗'!F60</f>
        <v>丁班</v>
      </c>
      <c r="G60" s="132">
        <f>SUMPRODUCT((_5shaozhuchou_month_day!$A$3:$A$900&gt;=C60)*(_5shaozhuchou_month_day!$A$3:$A$900&lt;C61),_5shaozhuchou_month_day!$Y$3:$Y$900)/8</f>
        <v>0</v>
      </c>
      <c r="H60" s="132">
        <f t="shared" si="2"/>
        <v>0</v>
      </c>
      <c r="I60" s="195">
        <f t="shared" si="22"/>
        <v>0</v>
      </c>
      <c r="J60" s="196">
        <f>SUMPRODUCT((主抽数据!$AU$5:$AU$97=$A60)*(主抽数据!$AV$5:$AV$97=$F60),主抽数据!$AH$5:$AH$97)</f>
        <v>0</v>
      </c>
      <c r="K60" s="196">
        <f>SUMPRODUCT((主抽数据!$AU$5:$AU$97=$A60)*(主抽数据!$AV$5:$AV$97=$F60),主抽数据!$AI$5:$AI$97)</f>
        <v>0</v>
      </c>
      <c r="L60" s="143">
        <f t="shared" si="16"/>
        <v>0</v>
      </c>
      <c r="M60" s="143">
        <f>SUMPRODUCT((_5shaozhuchou_month_day!$A$3:$A$900&gt;=C60)*(_5shaozhuchou_month_day!$A$3:$A$900&lt;C61),_5shaozhuchou_month_day!$Z$3:$Z$900)</f>
        <v>0</v>
      </c>
      <c r="N60" s="132">
        <f>M60*查询与汇总!$F$1</f>
        <v>0</v>
      </c>
      <c r="O60" s="144">
        <f t="shared" si="17"/>
        <v>0</v>
      </c>
      <c r="P60" s="143">
        <f>IF(G60=0,0,SUMPRODUCT((_5shaozhuchou_month_day!$A$3:$A$900&gt;=$C60)*(_5shaozhuchou_month_day!$A$3:$A$900&lt;$C61),_5shaozhuchou_month_day!T$3:T$900)/SUMPRODUCT((_5shaozhuchou_month_day!$A$3:$A$900&gt;=$C60)*(_5shaozhuchou_month_day!$A$3:$A$900&lt;$C61)*(_5shaozhuchou_month_day!T$3:T$900&gt;0)))</f>
        <v>0</v>
      </c>
      <c r="Q60" s="145">
        <f>IF(G60=0,0,SUMPRODUCT((_5shaozhuchou_month_day!$A$3:$A$900&gt;=$C60)*(_5shaozhuchou_month_day!$A$3:$A$900&lt;$C61),_5shaozhuchou_month_day!U$3:U$900)/SUMPRODUCT((_5shaozhuchou_month_day!$A$3:$A$900&gt;=$C60)*(_5shaozhuchou_month_day!$A$3:$A$900&lt;$C61)*(_5shaozhuchou_month_day!U$3:U$900&lt;0)))</f>
        <v>0</v>
      </c>
      <c r="R60" s="143">
        <f>IF(G60=0,0,SUMPRODUCT((_5shaozhuchou_month_day!$A$3:$A$900&gt;=$C60)*(_5shaozhuchou_month_day!$A$3:$A$900&lt;$C61),_5shaozhuchou_month_day!V$3:V$900)/SUMPRODUCT((_5shaozhuchou_month_day!$A$3:$A$900&gt;=$C60)*(_5shaozhuchou_month_day!$A$3:$A$900&lt;$C61)*(_5shaozhuchou_month_day!V$3:V$900&gt;0)))</f>
        <v>0</v>
      </c>
      <c r="S60" s="145">
        <f>IF(G60=0,0,SUMPRODUCT((_5shaozhuchou_month_day!$A$3:$A$900&gt;=$C60)*(_5shaozhuchou_month_day!$A$3:$A$900&lt;$C61),_5shaozhuchou_month_day!W$3:W$900)/SUMPRODUCT((_5shaozhuchou_month_day!$A$3:$A$900&gt;=$C60)*(_5shaozhuchou_month_day!$A$3:$A$900&lt;$C61)*(_5shaozhuchou_month_day!W$3:W$900&lt;0)))</f>
        <v>0</v>
      </c>
      <c r="T60" s="145" t="str">
        <f>主抽数据!K62</f>
        <v/>
      </c>
      <c r="U60" s="132" t="str">
        <f>主抽数据!L62</f>
        <v/>
      </c>
      <c r="V60" s="148">
        <f>查询与汇总!$J$1*M60</f>
        <v>0</v>
      </c>
      <c r="W60" s="149">
        <f t="shared" si="18"/>
        <v>0</v>
      </c>
      <c r="X60" s="151"/>
      <c r="Y60" s="164"/>
      <c r="Z60" s="163"/>
      <c r="AA60" s="160" t="str">
        <f>主抽数据!M62</f>
        <v/>
      </c>
      <c r="AB60" s="161" t="str">
        <f>主抽数据!N62</f>
        <v/>
      </c>
      <c r="AC60" s="162">
        <f t="shared" si="21"/>
        <v>0</v>
      </c>
      <c r="AE60" s="123" t="e">
        <f t="shared" si="19"/>
        <v>#VALUE!</v>
      </c>
      <c r="AF60" s="123" t="e">
        <f t="shared" si="20"/>
        <v>#VALUE!</v>
      </c>
      <c r="AG60" s="123">
        <f t="shared" si="9"/>
        <v>0</v>
      </c>
      <c r="AH60" s="123">
        <f t="shared" si="10"/>
        <v>0</v>
      </c>
    </row>
    <row r="61" spans="1:34" ht="23.1" customHeight="1">
      <c r="A61" s="194">
        <f t="shared" si="11"/>
        <v>43363</v>
      </c>
      <c r="B61" s="134">
        <f t="shared" si="12"/>
        <v>0.33333333333333298</v>
      </c>
      <c r="C61" s="133">
        <f t="shared" si="14"/>
        <v>43363.333333333336</v>
      </c>
      <c r="D61" s="134" t="str">
        <f t="shared" si="13"/>
        <v>白班</v>
      </c>
      <c r="E61" s="143">
        <f>'6烧主抽电耗'!E61</f>
        <v>1</v>
      </c>
      <c r="F61" s="143" t="str">
        <f>'6烧主抽电耗'!F61</f>
        <v>甲班</v>
      </c>
      <c r="G61" s="132">
        <f>SUMPRODUCT((_5shaozhuchou_month_day!$A$3:$A$900&gt;=C61)*(_5shaozhuchou_month_day!$A$3:$A$900&lt;C62),_5shaozhuchou_month_day!$Y$3:$Y$900)/8</f>
        <v>0</v>
      </c>
      <c r="H61" s="132">
        <f t="shared" si="2"/>
        <v>0</v>
      </c>
      <c r="I61" s="195">
        <f t="shared" si="22"/>
        <v>0</v>
      </c>
      <c r="J61" s="196">
        <f>SUMPRODUCT((主抽数据!$AU$5:$AU$97=$A61)*(主抽数据!$AV$5:$AV$97=$F61),主抽数据!$AH$5:$AH$97)</f>
        <v>0</v>
      </c>
      <c r="K61" s="196">
        <f>SUMPRODUCT((主抽数据!$AU$5:$AU$97=$A61)*(主抽数据!$AV$5:$AV$97=$F61),主抽数据!$AI$5:$AI$97)</f>
        <v>0</v>
      </c>
      <c r="L61" s="143">
        <f t="shared" si="16"/>
        <v>0</v>
      </c>
      <c r="M61" s="143">
        <f>SUMPRODUCT((_5shaozhuchou_month_day!$A$3:$A$900&gt;=C61)*(_5shaozhuchou_month_day!$A$3:$A$900&lt;C62),_5shaozhuchou_month_day!$Z$3:$Z$900)</f>
        <v>0</v>
      </c>
      <c r="N61" s="132">
        <f>M61*查询与汇总!$F$1</f>
        <v>0</v>
      </c>
      <c r="O61" s="144">
        <f t="shared" si="17"/>
        <v>0</v>
      </c>
      <c r="P61" s="143">
        <f>IF(G61=0,0,SUMPRODUCT((_5shaozhuchou_month_day!$A$3:$A$900&gt;=$C61)*(_5shaozhuchou_month_day!$A$3:$A$900&lt;$C62),_5shaozhuchou_month_day!T$3:T$900)/SUMPRODUCT((_5shaozhuchou_month_day!$A$3:$A$900&gt;=$C61)*(_5shaozhuchou_month_day!$A$3:$A$900&lt;$C62)*(_5shaozhuchou_month_day!T$3:T$900&gt;0)))</f>
        <v>0</v>
      </c>
      <c r="Q61" s="145">
        <f>IF(G61=0,0,SUMPRODUCT((_5shaozhuchou_month_day!$A$3:$A$900&gt;=$C61)*(_5shaozhuchou_month_day!$A$3:$A$900&lt;$C62),_5shaozhuchou_month_day!U$3:U$900)/SUMPRODUCT((_5shaozhuchou_month_day!$A$3:$A$900&gt;=$C61)*(_5shaozhuchou_month_day!$A$3:$A$900&lt;$C62)*(_5shaozhuchou_month_day!U$3:U$900&lt;0)))</f>
        <v>0</v>
      </c>
      <c r="R61" s="143">
        <f>IF(G61=0,0,SUMPRODUCT((_5shaozhuchou_month_day!$A$3:$A$900&gt;=$C61)*(_5shaozhuchou_month_day!$A$3:$A$900&lt;$C62),_5shaozhuchou_month_day!V$3:V$900)/SUMPRODUCT((_5shaozhuchou_month_day!$A$3:$A$900&gt;=$C61)*(_5shaozhuchou_month_day!$A$3:$A$900&lt;$C62)*(_5shaozhuchou_month_day!V$3:V$900&gt;0)))</f>
        <v>0</v>
      </c>
      <c r="S61" s="145">
        <f>IF(G61=0,0,SUMPRODUCT((_5shaozhuchou_month_day!$A$3:$A$900&gt;=$C61)*(_5shaozhuchou_month_day!$A$3:$A$900&lt;$C62),_5shaozhuchou_month_day!W$3:W$900)/SUMPRODUCT((_5shaozhuchou_month_day!$A$3:$A$900&gt;=$C61)*(_5shaozhuchou_month_day!$A$3:$A$900&lt;$C62)*(_5shaozhuchou_month_day!W$3:W$900&lt;0)))</f>
        <v>0</v>
      </c>
      <c r="T61" s="145" t="str">
        <f>主抽数据!K63</f>
        <v/>
      </c>
      <c r="U61" s="132" t="str">
        <f>主抽数据!L63</f>
        <v/>
      </c>
      <c r="V61" s="148">
        <f>查询与汇总!$J$1*M61</f>
        <v>0</v>
      </c>
      <c r="W61" s="149">
        <f t="shared" si="18"/>
        <v>0</v>
      </c>
      <c r="X61" s="151"/>
      <c r="Y61" s="164"/>
      <c r="Z61" s="163"/>
      <c r="AA61" s="160" t="str">
        <f>主抽数据!M63</f>
        <v/>
      </c>
      <c r="AB61" s="161" t="str">
        <f>主抽数据!N63</f>
        <v/>
      </c>
      <c r="AC61" s="162">
        <f t="shared" si="21"/>
        <v>0</v>
      </c>
      <c r="AE61" s="123" t="e">
        <f t="shared" si="19"/>
        <v>#VALUE!</v>
      </c>
      <c r="AF61" s="123" t="e">
        <f t="shared" si="20"/>
        <v>#VALUE!</v>
      </c>
      <c r="AG61" s="123">
        <f t="shared" si="9"/>
        <v>0</v>
      </c>
      <c r="AH61" s="123">
        <f t="shared" si="10"/>
        <v>0</v>
      </c>
    </row>
    <row r="62" spans="1:34" ht="20.25" customHeight="1">
      <c r="A62" s="194">
        <f t="shared" si="11"/>
        <v>43363</v>
      </c>
      <c r="B62" s="134">
        <f t="shared" si="12"/>
        <v>0.66666666666666696</v>
      </c>
      <c r="C62" s="133">
        <f t="shared" si="14"/>
        <v>43363.666666666664</v>
      </c>
      <c r="D62" s="134" t="str">
        <f t="shared" si="13"/>
        <v>中班</v>
      </c>
      <c r="E62" s="143">
        <f>'6烧主抽电耗'!E62</f>
        <v>2</v>
      </c>
      <c r="F62" s="143" t="str">
        <f>'6烧主抽电耗'!F62</f>
        <v>乙班</v>
      </c>
      <c r="G62" s="132">
        <f>SUMPRODUCT((_5shaozhuchou_month_day!$A$3:$A$900&gt;=C62)*(_5shaozhuchou_month_day!$A$3:$A$900&lt;C63),_5shaozhuchou_month_day!$Y$3:$Y$900)/8</f>
        <v>0</v>
      </c>
      <c r="H62" s="132">
        <f t="shared" si="2"/>
        <v>0</v>
      </c>
      <c r="I62" s="195">
        <f t="shared" si="22"/>
        <v>0</v>
      </c>
      <c r="J62" s="196">
        <f>SUMPRODUCT((主抽数据!$AU$5:$AU$97=$A62)*(主抽数据!$AV$5:$AV$97=$F62),主抽数据!$AH$5:$AH$97)</f>
        <v>0</v>
      </c>
      <c r="K62" s="196">
        <f>SUMPRODUCT((主抽数据!$AU$5:$AU$97=$A62)*(主抽数据!$AV$5:$AV$97=$F62),主抽数据!$AI$5:$AI$97)</f>
        <v>0</v>
      </c>
      <c r="L62" s="143">
        <f t="shared" si="16"/>
        <v>0</v>
      </c>
      <c r="M62" s="143">
        <f>SUMPRODUCT((_5shaozhuchou_month_day!$A$3:$A$900&gt;=C62)*(_5shaozhuchou_month_day!$A$3:$A$900&lt;C63),_5shaozhuchou_month_day!$Z$3:$Z$900)</f>
        <v>0</v>
      </c>
      <c r="N62" s="132">
        <f>M62*查询与汇总!$F$1</f>
        <v>0</v>
      </c>
      <c r="O62" s="144">
        <f t="shared" si="17"/>
        <v>0</v>
      </c>
      <c r="P62" s="143">
        <f>IF(G62=0,0,SUMPRODUCT((_5shaozhuchou_month_day!$A$3:$A$900&gt;=$C62)*(_5shaozhuchou_month_day!$A$3:$A$900&lt;$C63),_5shaozhuchou_month_day!T$3:T$900)/SUMPRODUCT((_5shaozhuchou_month_day!$A$3:$A$900&gt;=$C62)*(_5shaozhuchou_month_day!$A$3:$A$900&lt;$C63)*(_5shaozhuchou_month_day!T$3:T$900&gt;0)))</f>
        <v>0</v>
      </c>
      <c r="Q62" s="145">
        <f>IF(G62=0,0,SUMPRODUCT((_5shaozhuchou_month_day!$A$3:$A$900&gt;=$C62)*(_5shaozhuchou_month_day!$A$3:$A$900&lt;$C63),_5shaozhuchou_month_day!U$3:U$900)/SUMPRODUCT((_5shaozhuchou_month_day!$A$3:$A$900&gt;=$C62)*(_5shaozhuchou_month_day!$A$3:$A$900&lt;$C63)*(_5shaozhuchou_month_day!U$3:U$900&lt;0)))</f>
        <v>0</v>
      </c>
      <c r="R62" s="143">
        <f>IF(G62=0,0,SUMPRODUCT((_5shaozhuchou_month_day!$A$3:$A$900&gt;=$C62)*(_5shaozhuchou_month_day!$A$3:$A$900&lt;$C63),_5shaozhuchou_month_day!V$3:V$900)/SUMPRODUCT((_5shaozhuchou_month_day!$A$3:$A$900&gt;=$C62)*(_5shaozhuchou_month_day!$A$3:$A$900&lt;$C63)*(_5shaozhuchou_month_day!V$3:V$900&gt;0)))</f>
        <v>0</v>
      </c>
      <c r="S62" s="145">
        <f>IF(G62=0,0,SUMPRODUCT((_5shaozhuchou_month_day!$A$3:$A$900&gt;=$C62)*(_5shaozhuchou_month_day!$A$3:$A$900&lt;$C63),_5shaozhuchou_month_day!W$3:W$900)/SUMPRODUCT((_5shaozhuchou_month_day!$A$3:$A$900&gt;=$C62)*(_5shaozhuchou_month_day!$A$3:$A$900&lt;$C63)*(_5shaozhuchou_month_day!W$3:W$900&lt;0)))</f>
        <v>0</v>
      </c>
      <c r="T62" s="145" t="str">
        <f>主抽数据!K64</f>
        <v/>
      </c>
      <c r="U62" s="132" t="str">
        <f>主抽数据!L64</f>
        <v/>
      </c>
      <c r="V62" s="148">
        <f>查询与汇总!$J$1*M62</f>
        <v>0</v>
      </c>
      <c r="W62" s="149">
        <f t="shared" si="18"/>
        <v>0</v>
      </c>
      <c r="X62" s="151"/>
      <c r="Y62" s="164"/>
      <c r="Z62" s="163"/>
      <c r="AA62" s="160" t="str">
        <f>主抽数据!M64</f>
        <v/>
      </c>
      <c r="AB62" s="161" t="str">
        <f>主抽数据!N64</f>
        <v/>
      </c>
      <c r="AC62" s="162">
        <f t="shared" si="21"/>
        <v>0</v>
      </c>
      <c r="AE62" s="123" t="e">
        <f t="shared" si="19"/>
        <v>#VALUE!</v>
      </c>
      <c r="AF62" s="123" t="e">
        <f t="shared" si="20"/>
        <v>#VALUE!</v>
      </c>
      <c r="AG62" s="123">
        <f t="shared" si="9"/>
        <v>0</v>
      </c>
      <c r="AH62" s="123">
        <f t="shared" si="10"/>
        <v>0</v>
      </c>
    </row>
    <row r="63" spans="1:34" ht="20.25" customHeight="1">
      <c r="A63" s="194">
        <f t="shared" si="11"/>
        <v>43364</v>
      </c>
      <c r="B63" s="134">
        <f t="shared" si="12"/>
        <v>0</v>
      </c>
      <c r="C63" s="133">
        <f t="shared" si="14"/>
        <v>43364</v>
      </c>
      <c r="D63" s="134" t="str">
        <f t="shared" si="13"/>
        <v>夜班</v>
      </c>
      <c r="E63" s="143">
        <f>'6烧主抽电耗'!E63</f>
        <v>4</v>
      </c>
      <c r="F63" s="143" t="str">
        <f>'6烧主抽电耗'!F63</f>
        <v>丁班</v>
      </c>
      <c r="G63" s="132">
        <f>SUMPRODUCT((_5shaozhuchou_month_day!$A$3:$A$900&gt;=C63)*(_5shaozhuchou_month_day!$A$3:$A$900&lt;C64),_5shaozhuchou_month_day!$Y$3:$Y$900)/8</f>
        <v>0</v>
      </c>
      <c r="H63" s="132">
        <f t="shared" si="2"/>
        <v>0</v>
      </c>
      <c r="I63" s="195">
        <f t="shared" si="22"/>
        <v>0</v>
      </c>
      <c r="J63" s="196">
        <f>SUMPRODUCT((主抽数据!$AU$5:$AU$97=$A63)*(主抽数据!$AV$5:$AV$97=$F63),主抽数据!$AH$5:$AH$97)</f>
        <v>0</v>
      </c>
      <c r="K63" s="196">
        <f>SUMPRODUCT((主抽数据!$AU$5:$AU$97=$A63)*(主抽数据!$AV$5:$AV$97=$F63),主抽数据!$AI$5:$AI$97)</f>
        <v>0</v>
      </c>
      <c r="L63" s="143">
        <f t="shared" si="16"/>
        <v>0</v>
      </c>
      <c r="M63" s="143">
        <f>SUMPRODUCT((_5shaozhuchou_month_day!$A$3:$A$900&gt;=C63)*(_5shaozhuchou_month_day!$A$3:$A$900&lt;C64),_5shaozhuchou_month_day!$Z$3:$Z$900)</f>
        <v>0</v>
      </c>
      <c r="N63" s="132">
        <f>M63*查询与汇总!$F$1</f>
        <v>0</v>
      </c>
      <c r="O63" s="144">
        <f t="shared" si="17"/>
        <v>0</v>
      </c>
      <c r="P63" s="143">
        <f>IF(G63=0,0,SUMPRODUCT((_5shaozhuchou_month_day!$A$3:$A$900&gt;=$C63)*(_5shaozhuchou_month_day!$A$3:$A$900&lt;$C64),_5shaozhuchou_month_day!T$3:T$900)/SUMPRODUCT((_5shaozhuchou_month_day!$A$3:$A$900&gt;=$C63)*(_5shaozhuchou_month_day!$A$3:$A$900&lt;$C64)*(_5shaozhuchou_month_day!T$3:T$900&gt;0)))</f>
        <v>0</v>
      </c>
      <c r="Q63" s="145">
        <f>IF(G63=0,0,SUMPRODUCT((_5shaozhuchou_month_day!$A$3:$A$900&gt;=$C63)*(_5shaozhuchou_month_day!$A$3:$A$900&lt;$C64),_5shaozhuchou_month_day!U$3:U$900)/SUMPRODUCT((_5shaozhuchou_month_day!$A$3:$A$900&gt;=$C63)*(_5shaozhuchou_month_day!$A$3:$A$900&lt;$C64)*(_5shaozhuchou_month_day!U$3:U$900&lt;0)))</f>
        <v>0</v>
      </c>
      <c r="R63" s="143">
        <f>IF(G63=0,0,SUMPRODUCT((_5shaozhuchou_month_day!$A$3:$A$900&gt;=$C63)*(_5shaozhuchou_month_day!$A$3:$A$900&lt;$C64),_5shaozhuchou_month_day!V$3:V$900)/SUMPRODUCT((_5shaozhuchou_month_day!$A$3:$A$900&gt;=$C63)*(_5shaozhuchou_month_day!$A$3:$A$900&lt;$C64)*(_5shaozhuchou_month_day!V$3:V$900&gt;0)))</f>
        <v>0</v>
      </c>
      <c r="S63" s="145">
        <f>IF(G63=0,0,SUMPRODUCT((_5shaozhuchou_month_day!$A$3:$A$900&gt;=$C63)*(_5shaozhuchou_month_day!$A$3:$A$900&lt;$C64),_5shaozhuchou_month_day!W$3:W$900)/SUMPRODUCT((_5shaozhuchou_month_day!$A$3:$A$900&gt;=$C63)*(_5shaozhuchou_month_day!$A$3:$A$900&lt;$C64)*(_5shaozhuchou_month_day!W$3:W$900&lt;0)))</f>
        <v>0</v>
      </c>
      <c r="T63" s="145" t="str">
        <f>主抽数据!K65</f>
        <v/>
      </c>
      <c r="U63" s="132" t="str">
        <f>主抽数据!L65</f>
        <v/>
      </c>
      <c r="V63" s="148">
        <f>查询与汇总!$J$1*M63</f>
        <v>0</v>
      </c>
      <c r="W63" s="149">
        <f t="shared" si="18"/>
        <v>0</v>
      </c>
      <c r="X63" s="151"/>
      <c r="Y63" s="164"/>
      <c r="Z63" s="163"/>
      <c r="AA63" s="160" t="str">
        <f>主抽数据!M65</f>
        <v/>
      </c>
      <c r="AB63" s="161" t="str">
        <f>主抽数据!N65</f>
        <v/>
      </c>
      <c r="AC63" s="162">
        <f t="shared" si="21"/>
        <v>0</v>
      </c>
      <c r="AE63" s="123" t="e">
        <f t="shared" si="19"/>
        <v>#VALUE!</v>
      </c>
      <c r="AF63" s="123" t="e">
        <f t="shared" si="20"/>
        <v>#VALUE!</v>
      </c>
      <c r="AG63" s="123">
        <f t="shared" si="9"/>
        <v>0</v>
      </c>
      <c r="AH63" s="123">
        <f t="shared" si="10"/>
        <v>0</v>
      </c>
    </row>
    <row r="64" spans="1:34" ht="33" customHeight="1">
      <c r="A64" s="194">
        <f t="shared" si="11"/>
        <v>43364</v>
      </c>
      <c r="B64" s="134">
        <f t="shared" si="12"/>
        <v>0.33333333333333298</v>
      </c>
      <c r="C64" s="133">
        <f t="shared" si="14"/>
        <v>43364.333333333336</v>
      </c>
      <c r="D64" s="134" t="str">
        <f t="shared" si="13"/>
        <v>白班</v>
      </c>
      <c r="E64" s="143">
        <f>'6烧主抽电耗'!E64</f>
        <v>1</v>
      </c>
      <c r="F64" s="143" t="str">
        <f>'6烧主抽电耗'!F64</f>
        <v>甲班</v>
      </c>
      <c r="G64" s="132">
        <f>SUMPRODUCT((_5shaozhuchou_month_day!$A$3:$A$900&gt;=C64)*(_5shaozhuchou_month_day!$A$3:$A$900&lt;C65),_5shaozhuchou_month_day!$Y$3:$Y$900)/8</f>
        <v>0</v>
      </c>
      <c r="H64" s="132">
        <f t="shared" si="2"/>
        <v>0</v>
      </c>
      <c r="I64" s="195">
        <f t="shared" si="22"/>
        <v>0</v>
      </c>
      <c r="J64" s="196">
        <f>SUMPRODUCT((主抽数据!$AU$5:$AU$97=$A64)*(主抽数据!$AV$5:$AV$97=$F64),主抽数据!$AH$5:$AH$97)</f>
        <v>0</v>
      </c>
      <c r="K64" s="196">
        <f>SUMPRODUCT((主抽数据!$AU$5:$AU$97=$A64)*(主抽数据!$AV$5:$AV$97=$F64),主抽数据!$AI$5:$AI$97)</f>
        <v>0</v>
      </c>
      <c r="L64" s="143">
        <f t="shared" si="16"/>
        <v>0</v>
      </c>
      <c r="M64" s="143">
        <f>SUMPRODUCT((_5shaozhuchou_month_day!$A$3:$A$900&gt;=C64)*(_5shaozhuchou_month_day!$A$3:$A$900&lt;C65),_5shaozhuchou_month_day!$Z$3:$Z$900)</f>
        <v>0</v>
      </c>
      <c r="N64" s="132">
        <f>M64*查询与汇总!$F$1</f>
        <v>0</v>
      </c>
      <c r="O64" s="144">
        <f t="shared" si="17"/>
        <v>0</v>
      </c>
      <c r="P64" s="143">
        <f>IF(G64=0,0,SUMPRODUCT((_5shaozhuchou_month_day!$A$3:$A$900&gt;=$C64)*(_5shaozhuchou_month_day!$A$3:$A$900&lt;$C65),_5shaozhuchou_month_day!T$3:T$900)/SUMPRODUCT((_5shaozhuchou_month_day!$A$3:$A$900&gt;=$C64)*(_5shaozhuchou_month_day!$A$3:$A$900&lt;$C65)*(_5shaozhuchou_month_day!T$3:T$900&gt;0)))</f>
        <v>0</v>
      </c>
      <c r="Q64" s="145">
        <f>IF(G64=0,0,SUMPRODUCT((_5shaozhuchou_month_day!$A$3:$A$900&gt;=$C64)*(_5shaozhuchou_month_day!$A$3:$A$900&lt;$C65),_5shaozhuchou_month_day!U$3:U$900)/SUMPRODUCT((_5shaozhuchou_month_day!$A$3:$A$900&gt;=$C64)*(_5shaozhuchou_month_day!$A$3:$A$900&lt;$C65)*(_5shaozhuchou_month_day!U$3:U$900&lt;0)))</f>
        <v>0</v>
      </c>
      <c r="R64" s="143">
        <f>IF(G64=0,0,SUMPRODUCT((_5shaozhuchou_month_day!$A$3:$A$900&gt;=$C64)*(_5shaozhuchou_month_day!$A$3:$A$900&lt;$C65),_5shaozhuchou_month_day!V$3:V$900)/SUMPRODUCT((_5shaozhuchou_month_day!$A$3:$A$900&gt;=$C64)*(_5shaozhuchou_month_day!$A$3:$A$900&lt;$C65)*(_5shaozhuchou_month_day!V$3:V$900&gt;0)))</f>
        <v>0</v>
      </c>
      <c r="S64" s="145">
        <f>IF(G64=0,0,SUMPRODUCT((_5shaozhuchou_month_day!$A$3:$A$900&gt;=$C64)*(_5shaozhuchou_month_day!$A$3:$A$900&lt;$C65),_5shaozhuchou_month_day!W$3:W$900)/SUMPRODUCT((_5shaozhuchou_month_day!$A$3:$A$900&gt;=$C64)*(_5shaozhuchou_month_day!$A$3:$A$900&lt;$C65)*(_5shaozhuchou_month_day!W$3:W$900&lt;0)))</f>
        <v>0</v>
      </c>
      <c r="T64" s="145" t="str">
        <f>主抽数据!K66</f>
        <v/>
      </c>
      <c r="U64" s="132" t="str">
        <f>主抽数据!L66</f>
        <v/>
      </c>
      <c r="V64" s="148">
        <f>查询与汇总!$J$1*M64</f>
        <v>0</v>
      </c>
      <c r="W64" s="149">
        <f t="shared" si="18"/>
        <v>0</v>
      </c>
      <c r="X64" s="151"/>
      <c r="Y64" s="164"/>
      <c r="Z64" s="163"/>
      <c r="AA64" s="160" t="str">
        <f>主抽数据!M66</f>
        <v/>
      </c>
      <c r="AB64" s="161" t="str">
        <f>主抽数据!N66</f>
        <v/>
      </c>
      <c r="AC64" s="162">
        <f t="shared" si="21"/>
        <v>0</v>
      </c>
      <c r="AE64" s="123" t="e">
        <f t="shared" si="19"/>
        <v>#VALUE!</v>
      </c>
      <c r="AF64" s="123" t="e">
        <f t="shared" si="20"/>
        <v>#VALUE!</v>
      </c>
      <c r="AG64" s="123">
        <f t="shared" si="9"/>
        <v>0</v>
      </c>
      <c r="AH64" s="123">
        <f t="shared" si="10"/>
        <v>0</v>
      </c>
    </row>
    <row r="65" spans="1:34" ht="24.95" customHeight="1">
      <c r="A65" s="194">
        <f t="shared" si="11"/>
        <v>43364</v>
      </c>
      <c r="B65" s="134">
        <f t="shared" si="12"/>
        <v>0.66666666666666696</v>
      </c>
      <c r="C65" s="133">
        <f t="shared" si="14"/>
        <v>43364.666666666664</v>
      </c>
      <c r="D65" s="134" t="str">
        <f t="shared" si="13"/>
        <v>中班</v>
      </c>
      <c r="E65" s="143">
        <f>'6烧主抽电耗'!E65</f>
        <v>2</v>
      </c>
      <c r="F65" s="143" t="str">
        <f>'6烧主抽电耗'!F65</f>
        <v>乙班</v>
      </c>
      <c r="G65" s="132">
        <f>SUMPRODUCT((_5shaozhuchou_month_day!$A$3:$A$900&gt;=C65)*(_5shaozhuchou_month_day!$A$3:$A$900&lt;C66),_5shaozhuchou_month_day!$Y$3:$Y$900)/8</f>
        <v>0</v>
      </c>
      <c r="H65" s="132">
        <f t="shared" si="2"/>
        <v>0</v>
      </c>
      <c r="I65" s="195">
        <f t="shared" si="22"/>
        <v>0</v>
      </c>
      <c r="J65" s="196">
        <f>SUMPRODUCT((主抽数据!$AU$5:$AU$97=$A65)*(主抽数据!$AV$5:$AV$97=$F65),主抽数据!$AH$5:$AH$97)</f>
        <v>0</v>
      </c>
      <c r="K65" s="196">
        <f>SUMPRODUCT((主抽数据!$AU$5:$AU$97=$A65)*(主抽数据!$AV$5:$AV$97=$F65),主抽数据!$AI$5:$AI$97)</f>
        <v>0</v>
      </c>
      <c r="L65" s="143">
        <f t="shared" si="16"/>
        <v>0</v>
      </c>
      <c r="M65" s="143">
        <f>SUMPRODUCT((_5shaozhuchou_month_day!$A$3:$A$900&gt;=C65)*(_5shaozhuchou_month_day!$A$3:$A$900&lt;C66),_5shaozhuchou_month_day!$Z$3:$Z$900)</f>
        <v>0</v>
      </c>
      <c r="N65" s="132">
        <f>M65*查询与汇总!$F$1</f>
        <v>0</v>
      </c>
      <c r="O65" s="144">
        <f t="shared" si="17"/>
        <v>0</v>
      </c>
      <c r="P65" s="143">
        <f>IF(G65=0,0,SUMPRODUCT((_5shaozhuchou_month_day!$A$3:$A$900&gt;=$C65)*(_5shaozhuchou_month_day!$A$3:$A$900&lt;$C66),_5shaozhuchou_month_day!T$3:T$900)/SUMPRODUCT((_5shaozhuchou_month_day!$A$3:$A$900&gt;=$C65)*(_5shaozhuchou_month_day!$A$3:$A$900&lt;$C66)*(_5shaozhuchou_month_day!T$3:T$900&gt;0)))</f>
        <v>0</v>
      </c>
      <c r="Q65" s="145">
        <f>IF(G65=0,0,SUMPRODUCT((_5shaozhuchou_month_day!$A$3:$A$900&gt;=$C65)*(_5shaozhuchou_month_day!$A$3:$A$900&lt;$C66),_5shaozhuchou_month_day!U$3:U$900)/SUMPRODUCT((_5shaozhuchou_month_day!$A$3:$A$900&gt;=$C65)*(_5shaozhuchou_month_day!$A$3:$A$900&lt;$C66)*(_5shaozhuchou_month_day!U$3:U$900&lt;0)))</f>
        <v>0</v>
      </c>
      <c r="R65" s="143">
        <f>IF(G65=0,0,SUMPRODUCT((_5shaozhuchou_month_day!$A$3:$A$900&gt;=$C65)*(_5shaozhuchou_month_day!$A$3:$A$900&lt;$C66),_5shaozhuchou_month_day!V$3:V$900)/SUMPRODUCT((_5shaozhuchou_month_day!$A$3:$A$900&gt;=$C65)*(_5shaozhuchou_month_day!$A$3:$A$900&lt;$C66)*(_5shaozhuchou_month_day!V$3:V$900&gt;0)))</f>
        <v>0</v>
      </c>
      <c r="S65" s="145">
        <f>IF(G65=0,0,SUMPRODUCT((_5shaozhuchou_month_day!$A$3:$A$900&gt;=$C65)*(_5shaozhuchou_month_day!$A$3:$A$900&lt;$C66),_5shaozhuchou_month_day!W$3:W$900)/SUMPRODUCT((_5shaozhuchou_month_day!$A$3:$A$900&gt;=$C65)*(_5shaozhuchou_month_day!$A$3:$A$900&lt;$C66)*(_5shaozhuchou_month_day!W$3:W$900&lt;0)))</f>
        <v>0</v>
      </c>
      <c r="T65" s="145" t="str">
        <f>主抽数据!K67</f>
        <v/>
      </c>
      <c r="U65" s="132" t="str">
        <f>主抽数据!L67</f>
        <v/>
      </c>
      <c r="V65" s="148">
        <f>查询与汇总!$J$1*M65</f>
        <v>0</v>
      </c>
      <c r="W65" s="149">
        <f t="shared" si="18"/>
        <v>0</v>
      </c>
      <c r="X65" s="151"/>
      <c r="Y65" s="164"/>
      <c r="Z65" s="163"/>
      <c r="AA65" s="160" t="str">
        <f>主抽数据!M67</f>
        <v/>
      </c>
      <c r="AB65" s="161" t="str">
        <f>主抽数据!N67</f>
        <v/>
      </c>
      <c r="AC65" s="162">
        <f t="shared" si="21"/>
        <v>0</v>
      </c>
      <c r="AE65" s="123" t="e">
        <f t="shared" si="19"/>
        <v>#VALUE!</v>
      </c>
      <c r="AF65" s="123" t="e">
        <f t="shared" si="20"/>
        <v>#VALUE!</v>
      </c>
      <c r="AG65" s="123">
        <f t="shared" si="9"/>
        <v>0</v>
      </c>
      <c r="AH65" s="123">
        <f t="shared" si="10"/>
        <v>0</v>
      </c>
    </row>
    <row r="66" spans="1:34" ht="20.25" customHeight="1">
      <c r="A66" s="194">
        <f t="shared" si="11"/>
        <v>43365</v>
      </c>
      <c r="B66" s="134">
        <f t="shared" si="12"/>
        <v>0</v>
      </c>
      <c r="C66" s="133">
        <f t="shared" si="14"/>
        <v>43365</v>
      </c>
      <c r="D66" s="134" t="str">
        <f t="shared" si="13"/>
        <v>夜班</v>
      </c>
      <c r="E66" s="143">
        <f>'6烧主抽电耗'!E66</f>
        <v>3</v>
      </c>
      <c r="F66" s="143" t="str">
        <f>'6烧主抽电耗'!F66</f>
        <v>丙班</v>
      </c>
      <c r="G66" s="132">
        <f>SUMPRODUCT((_5shaozhuchou_month_day!$A$3:$A$900&gt;=C66)*(_5shaozhuchou_month_day!$A$3:$A$900&lt;C67),_5shaozhuchou_month_day!$Y$3:$Y$900)/8</f>
        <v>0</v>
      </c>
      <c r="H66" s="132">
        <f t="shared" si="2"/>
        <v>0</v>
      </c>
      <c r="I66" s="195">
        <f t="shared" si="22"/>
        <v>0</v>
      </c>
      <c r="J66" s="196">
        <f>SUMPRODUCT((主抽数据!$AU$5:$AU$97=$A66)*(主抽数据!$AV$5:$AV$97=$F66),主抽数据!$AH$5:$AH$97)</f>
        <v>0</v>
      </c>
      <c r="K66" s="196">
        <f>SUMPRODUCT((主抽数据!$AU$5:$AU$97=$A66)*(主抽数据!$AV$5:$AV$97=$F66),主抽数据!$AI$5:$AI$97)</f>
        <v>0</v>
      </c>
      <c r="L66" s="143">
        <f t="shared" si="16"/>
        <v>0</v>
      </c>
      <c r="M66" s="143">
        <f>SUMPRODUCT((_5shaozhuchou_month_day!$A$3:$A$900&gt;=C66)*(_5shaozhuchou_month_day!$A$3:$A$900&lt;C67),_5shaozhuchou_month_day!$Z$3:$Z$900)</f>
        <v>0</v>
      </c>
      <c r="N66" s="132">
        <f>M66*查询与汇总!$F$1</f>
        <v>0</v>
      </c>
      <c r="O66" s="144">
        <f t="shared" si="17"/>
        <v>0</v>
      </c>
      <c r="P66" s="143">
        <f>IF(G66=0,0,SUMPRODUCT((_5shaozhuchou_month_day!$A$3:$A$900&gt;=$C66)*(_5shaozhuchou_month_day!$A$3:$A$900&lt;$C67),_5shaozhuchou_month_day!T$3:T$900)/SUMPRODUCT((_5shaozhuchou_month_day!$A$3:$A$900&gt;=$C66)*(_5shaozhuchou_month_day!$A$3:$A$900&lt;$C67)*(_5shaozhuchou_month_day!T$3:T$900&gt;0)))</f>
        <v>0</v>
      </c>
      <c r="Q66" s="145">
        <f>IF(G66=0,0,SUMPRODUCT((_5shaozhuchou_month_day!$A$3:$A$900&gt;=$C66)*(_5shaozhuchou_month_day!$A$3:$A$900&lt;$C67),_5shaozhuchou_month_day!U$3:U$900)/SUMPRODUCT((_5shaozhuchou_month_day!$A$3:$A$900&gt;=$C66)*(_5shaozhuchou_month_day!$A$3:$A$900&lt;$C67)*(_5shaozhuchou_month_day!U$3:U$900&lt;0)))</f>
        <v>0</v>
      </c>
      <c r="R66" s="143">
        <f>IF(G66=0,0,SUMPRODUCT((_5shaozhuchou_month_day!$A$3:$A$900&gt;=$C66)*(_5shaozhuchou_month_day!$A$3:$A$900&lt;$C67),_5shaozhuchou_month_day!V$3:V$900)/SUMPRODUCT((_5shaozhuchou_month_day!$A$3:$A$900&gt;=$C66)*(_5shaozhuchou_month_day!$A$3:$A$900&lt;$C67)*(_5shaozhuchou_month_day!V$3:V$900&gt;0)))</f>
        <v>0</v>
      </c>
      <c r="S66" s="145">
        <f>IF(G66=0,0,SUMPRODUCT((_5shaozhuchou_month_day!$A$3:$A$900&gt;=$C66)*(_5shaozhuchou_month_day!$A$3:$A$900&lt;$C67),_5shaozhuchou_month_day!W$3:W$900)/SUMPRODUCT((_5shaozhuchou_month_day!$A$3:$A$900&gt;=$C66)*(_5shaozhuchou_month_day!$A$3:$A$900&lt;$C67)*(_5shaozhuchou_month_day!W$3:W$900&lt;0)))</f>
        <v>0</v>
      </c>
      <c r="T66" s="145" t="str">
        <f>主抽数据!K68</f>
        <v/>
      </c>
      <c r="U66" s="132" t="str">
        <f>主抽数据!L68</f>
        <v/>
      </c>
      <c r="V66" s="148">
        <f>查询与汇总!$J$1*M66</f>
        <v>0</v>
      </c>
      <c r="W66" s="149">
        <f t="shared" si="18"/>
        <v>0</v>
      </c>
      <c r="X66" s="151"/>
      <c r="Y66" s="164"/>
      <c r="Z66" s="163"/>
      <c r="AA66" s="160" t="str">
        <f>主抽数据!M68</f>
        <v/>
      </c>
      <c r="AB66" s="161" t="str">
        <f>主抽数据!N68</f>
        <v/>
      </c>
      <c r="AC66" s="162">
        <f t="shared" si="21"/>
        <v>0</v>
      </c>
      <c r="AE66" s="123" t="e">
        <f t="shared" si="19"/>
        <v>#VALUE!</v>
      </c>
      <c r="AF66" s="123" t="e">
        <f t="shared" si="20"/>
        <v>#VALUE!</v>
      </c>
      <c r="AG66" s="123">
        <f t="shared" si="9"/>
        <v>0</v>
      </c>
      <c r="AH66" s="123">
        <f t="shared" si="10"/>
        <v>0</v>
      </c>
    </row>
    <row r="67" spans="1:34" ht="20.25" customHeight="1">
      <c r="A67" s="194">
        <f t="shared" si="11"/>
        <v>43365</v>
      </c>
      <c r="B67" s="134">
        <f t="shared" si="12"/>
        <v>0.33333333333333298</v>
      </c>
      <c r="C67" s="133">
        <f t="shared" si="14"/>
        <v>43365.333333333336</v>
      </c>
      <c r="D67" s="134" t="str">
        <f t="shared" si="13"/>
        <v>白班</v>
      </c>
      <c r="E67" s="143">
        <f>'6烧主抽电耗'!E67</f>
        <v>4</v>
      </c>
      <c r="F67" s="143" t="str">
        <f>'6烧主抽电耗'!F67</f>
        <v>丁班</v>
      </c>
      <c r="G67" s="132">
        <f>SUMPRODUCT((_5shaozhuchou_month_day!$A$3:$A$900&gt;=C67)*(_5shaozhuchou_month_day!$A$3:$A$900&lt;C68),_5shaozhuchou_month_day!$Y$3:$Y$900)/8</f>
        <v>0</v>
      </c>
      <c r="H67" s="132">
        <f t="shared" si="2"/>
        <v>0</v>
      </c>
      <c r="I67" s="195">
        <f t="shared" si="22"/>
        <v>0</v>
      </c>
      <c r="J67" s="196">
        <f>SUMPRODUCT((主抽数据!$AU$5:$AU$97=$A67)*(主抽数据!$AV$5:$AV$97=$F67),主抽数据!$AH$5:$AH$97)</f>
        <v>0</v>
      </c>
      <c r="K67" s="196">
        <f>SUMPRODUCT((主抽数据!$AU$5:$AU$97=$A67)*(主抽数据!$AV$5:$AV$97=$F67),主抽数据!$AI$5:$AI$97)</f>
        <v>0</v>
      </c>
      <c r="L67" s="143">
        <f t="shared" si="16"/>
        <v>0</v>
      </c>
      <c r="M67" s="143">
        <f>SUMPRODUCT((_5shaozhuchou_month_day!$A$3:$A$900&gt;=C67)*(_5shaozhuchou_month_day!$A$3:$A$900&lt;C68),_5shaozhuchou_month_day!$Z$3:$Z$900)</f>
        <v>0</v>
      </c>
      <c r="N67" s="132">
        <f>M67*查询与汇总!$F$1</f>
        <v>0</v>
      </c>
      <c r="O67" s="144">
        <f t="shared" si="17"/>
        <v>0</v>
      </c>
      <c r="P67" s="143">
        <f>IF(G67=0,0,SUMPRODUCT((_5shaozhuchou_month_day!$A$3:$A$900&gt;=$C67)*(_5shaozhuchou_month_day!$A$3:$A$900&lt;$C68),_5shaozhuchou_month_day!T$3:T$900)/SUMPRODUCT((_5shaozhuchou_month_day!$A$3:$A$900&gt;=$C67)*(_5shaozhuchou_month_day!$A$3:$A$900&lt;$C68)*(_5shaozhuchou_month_day!T$3:T$900&gt;0)))</f>
        <v>0</v>
      </c>
      <c r="Q67" s="145">
        <f>IF(G67=0,0,SUMPRODUCT((_5shaozhuchou_month_day!$A$3:$A$900&gt;=$C67)*(_5shaozhuchou_month_day!$A$3:$A$900&lt;$C68),_5shaozhuchou_month_day!U$3:U$900)/SUMPRODUCT((_5shaozhuchou_month_day!$A$3:$A$900&gt;=$C67)*(_5shaozhuchou_month_day!$A$3:$A$900&lt;$C68)*(_5shaozhuchou_month_day!U$3:U$900&lt;0)))</f>
        <v>0</v>
      </c>
      <c r="R67" s="143">
        <f>IF(G67=0,0,SUMPRODUCT((_5shaozhuchou_month_day!$A$3:$A$900&gt;=$C67)*(_5shaozhuchou_month_day!$A$3:$A$900&lt;$C68),_5shaozhuchou_month_day!V$3:V$900)/SUMPRODUCT((_5shaozhuchou_month_day!$A$3:$A$900&gt;=$C67)*(_5shaozhuchou_month_day!$A$3:$A$900&lt;$C68)*(_5shaozhuchou_month_day!V$3:V$900&gt;0)))</f>
        <v>0</v>
      </c>
      <c r="S67" s="145">
        <f>IF(G67=0,0,SUMPRODUCT((_5shaozhuchou_month_day!$A$3:$A$900&gt;=$C67)*(_5shaozhuchou_month_day!$A$3:$A$900&lt;$C68),_5shaozhuchou_month_day!W$3:W$900)/SUMPRODUCT((_5shaozhuchou_month_day!$A$3:$A$900&gt;=$C67)*(_5shaozhuchou_month_day!$A$3:$A$900&lt;$C68)*(_5shaozhuchou_month_day!W$3:W$900&lt;0)))</f>
        <v>0</v>
      </c>
      <c r="T67" s="145" t="str">
        <f>主抽数据!K69</f>
        <v/>
      </c>
      <c r="U67" s="132" t="str">
        <f>主抽数据!L69</f>
        <v/>
      </c>
      <c r="V67" s="148">
        <f>查询与汇总!$J$1*M67</f>
        <v>0</v>
      </c>
      <c r="W67" s="149">
        <f t="shared" si="18"/>
        <v>0</v>
      </c>
      <c r="X67" s="151"/>
      <c r="Y67" s="164"/>
      <c r="Z67" s="163"/>
      <c r="AA67" s="160" t="str">
        <f>主抽数据!M69</f>
        <v/>
      </c>
      <c r="AB67" s="161" t="str">
        <f>主抽数据!N69</f>
        <v/>
      </c>
      <c r="AC67" s="162">
        <f t="shared" si="21"/>
        <v>0</v>
      </c>
      <c r="AE67" s="123" t="e">
        <f t="shared" si="19"/>
        <v>#VALUE!</v>
      </c>
      <c r="AF67" s="123" t="e">
        <f t="shared" si="20"/>
        <v>#VALUE!</v>
      </c>
      <c r="AG67" s="123">
        <f t="shared" si="9"/>
        <v>0</v>
      </c>
      <c r="AH67" s="123">
        <f t="shared" si="10"/>
        <v>0</v>
      </c>
    </row>
    <row r="68" spans="1:34" ht="29.1" customHeight="1">
      <c r="A68" s="194">
        <f t="shared" si="11"/>
        <v>43365</v>
      </c>
      <c r="B68" s="134">
        <f t="shared" si="12"/>
        <v>0.66666666666666696</v>
      </c>
      <c r="C68" s="133">
        <f t="shared" si="14"/>
        <v>43365.666666666664</v>
      </c>
      <c r="D68" s="134" t="str">
        <f t="shared" si="13"/>
        <v>中班</v>
      </c>
      <c r="E68" s="143">
        <f>'6烧主抽电耗'!E68</f>
        <v>1</v>
      </c>
      <c r="F68" s="143" t="str">
        <f>'6烧主抽电耗'!F68</f>
        <v>甲班</v>
      </c>
      <c r="G68" s="132">
        <f>SUMPRODUCT((_5shaozhuchou_month_day!$A$3:$A$900&gt;=C68)*(_5shaozhuchou_month_day!$A$3:$A$900&lt;C69),_5shaozhuchou_month_day!$Y$3:$Y$900)/8</f>
        <v>0</v>
      </c>
      <c r="H68" s="132">
        <f t="shared" ref="H68:H95" si="23">(G68-G68*25%)*0.81*8</f>
        <v>0</v>
      </c>
      <c r="I68" s="195">
        <f t="shared" si="22"/>
        <v>0</v>
      </c>
      <c r="J68" s="196">
        <f>SUMPRODUCT((主抽数据!$AU$5:$AU$97=$A68)*(主抽数据!$AV$5:$AV$97=$F68),主抽数据!$AH$5:$AH$97)</f>
        <v>0</v>
      </c>
      <c r="K68" s="196">
        <f>SUMPRODUCT((主抽数据!$AU$5:$AU$97=$A68)*(主抽数据!$AV$5:$AV$97=$F68),主抽数据!$AI$5:$AI$97)</f>
        <v>0</v>
      </c>
      <c r="L68" s="143">
        <f t="shared" ref="L68:L95" si="24">J68+K68</f>
        <v>0</v>
      </c>
      <c r="M68" s="143">
        <f>SUMPRODUCT((_5shaozhuchou_month_day!$A$3:$A$900&gt;=C68)*(_5shaozhuchou_month_day!$A$3:$A$900&lt;C69),_5shaozhuchou_month_day!$Z$3:$Z$900)</f>
        <v>0</v>
      </c>
      <c r="N68" s="132">
        <f>M68*查询与汇总!$F$1</f>
        <v>0</v>
      </c>
      <c r="O68" s="144">
        <f t="shared" ref="O68:O95" si="25">IF(N68=0,0,L68/N68)</f>
        <v>0</v>
      </c>
      <c r="P68" s="143">
        <f>IF(G68=0,0,SUMPRODUCT((_5shaozhuchou_month_day!$A$3:$A$900&gt;=$C68)*(_5shaozhuchou_month_day!$A$3:$A$900&lt;$C69),_5shaozhuchou_month_day!T$3:T$900)/SUMPRODUCT((_5shaozhuchou_month_day!$A$3:$A$900&gt;=$C68)*(_5shaozhuchou_month_day!$A$3:$A$900&lt;$C69)*(_5shaozhuchou_month_day!T$3:T$900&gt;0)))</f>
        <v>0</v>
      </c>
      <c r="Q68" s="145">
        <f>IF(G68=0,0,SUMPRODUCT((_5shaozhuchou_month_day!$A$3:$A$900&gt;=$C68)*(_5shaozhuchou_month_day!$A$3:$A$900&lt;$C69),_5shaozhuchou_month_day!U$3:U$900)/SUMPRODUCT((_5shaozhuchou_month_day!$A$3:$A$900&gt;=$C68)*(_5shaozhuchou_month_day!$A$3:$A$900&lt;$C69)*(_5shaozhuchou_month_day!U$3:U$900&lt;0)))</f>
        <v>0</v>
      </c>
      <c r="R68" s="143">
        <f>IF(G68=0,0,SUMPRODUCT((_5shaozhuchou_month_day!$A$3:$A$900&gt;=$C68)*(_5shaozhuchou_month_day!$A$3:$A$900&lt;$C69),_5shaozhuchou_month_day!V$3:V$900)/SUMPRODUCT((_5shaozhuchou_month_day!$A$3:$A$900&gt;=$C68)*(_5shaozhuchou_month_day!$A$3:$A$900&lt;$C69)*(_5shaozhuchou_month_day!V$3:V$900&gt;0)))</f>
        <v>0</v>
      </c>
      <c r="S68" s="145">
        <f>IF(G68=0,0,SUMPRODUCT((_5shaozhuchou_month_day!$A$3:$A$900&gt;=$C68)*(_5shaozhuchou_month_day!$A$3:$A$900&lt;$C69),_5shaozhuchou_month_day!W$3:W$900)/SUMPRODUCT((_5shaozhuchou_month_day!$A$3:$A$900&gt;=$C68)*(_5shaozhuchou_month_day!$A$3:$A$900&lt;$C69)*(_5shaozhuchou_month_day!W$3:W$900&lt;0)))</f>
        <v>0</v>
      </c>
      <c r="T68" s="145" t="str">
        <f>主抽数据!K70</f>
        <v/>
      </c>
      <c r="U68" s="132" t="str">
        <f>主抽数据!L70</f>
        <v/>
      </c>
      <c r="V68" s="148">
        <f>查询与汇总!$J$1*M68</f>
        <v>0</v>
      </c>
      <c r="W68" s="149">
        <f t="shared" ref="W68:W95" si="26">L68-V68</f>
        <v>0</v>
      </c>
      <c r="X68" s="151"/>
      <c r="Y68" s="164"/>
      <c r="Z68" s="165"/>
      <c r="AA68" s="160" t="str">
        <f>主抽数据!M70</f>
        <v/>
      </c>
      <c r="AB68" s="161" t="str">
        <f>主抽数据!N70</f>
        <v/>
      </c>
      <c r="AC68" s="162">
        <f t="shared" si="21"/>
        <v>0</v>
      </c>
      <c r="AE68" s="123" t="e">
        <f t="shared" ref="AE68:AE95" si="27">AA68/10</f>
        <v>#VALUE!</v>
      </c>
      <c r="AF68" s="123" t="e">
        <f t="shared" ref="AF68:AF95" si="28">AB68/10</f>
        <v>#VALUE!</v>
      </c>
      <c r="AG68" s="123">
        <f t="shared" ref="AG68:AG95" si="29">-Q68</f>
        <v>0</v>
      </c>
      <c r="AH68" s="123">
        <f t="shared" ref="AH68:AH95" si="30">-S68</f>
        <v>0</v>
      </c>
    </row>
    <row r="69" spans="1:34" ht="32.1" customHeight="1">
      <c r="A69" s="194">
        <f t="shared" si="11"/>
        <v>43366</v>
      </c>
      <c r="B69" s="134">
        <f t="shared" si="12"/>
        <v>0</v>
      </c>
      <c r="C69" s="133">
        <f t="shared" si="14"/>
        <v>43366</v>
      </c>
      <c r="D69" s="134" t="str">
        <f t="shared" si="13"/>
        <v>夜班</v>
      </c>
      <c r="E69" s="143">
        <f>'6烧主抽电耗'!E69</f>
        <v>3</v>
      </c>
      <c r="F69" s="143" t="str">
        <f>'6烧主抽电耗'!F69</f>
        <v>丙班</v>
      </c>
      <c r="G69" s="132">
        <f>SUMPRODUCT((_5shaozhuchou_month_day!$A$3:$A$900&gt;=C69)*(_5shaozhuchou_month_day!$A$3:$A$900&lt;C70),_5shaozhuchou_month_day!$Y$3:$Y$900)/8</f>
        <v>0</v>
      </c>
      <c r="H69" s="132">
        <f t="shared" si="23"/>
        <v>0</v>
      </c>
      <c r="I69" s="195">
        <f t="shared" si="22"/>
        <v>0</v>
      </c>
      <c r="J69" s="196">
        <f>SUMPRODUCT((主抽数据!$AU$5:$AU$97=$A69)*(主抽数据!$AV$5:$AV$97=$F69),主抽数据!$AH$5:$AH$97)</f>
        <v>0</v>
      </c>
      <c r="K69" s="196">
        <f>SUMPRODUCT((主抽数据!$AU$5:$AU$97=$A69)*(主抽数据!$AV$5:$AV$97=$F69),主抽数据!$AI$5:$AI$97)</f>
        <v>0</v>
      </c>
      <c r="L69" s="143">
        <f t="shared" si="24"/>
        <v>0</v>
      </c>
      <c r="M69" s="143">
        <f>SUMPRODUCT((_5shaozhuchou_month_day!$A$3:$A$900&gt;=C69)*(_5shaozhuchou_month_day!$A$3:$A$900&lt;C70),_5shaozhuchou_month_day!$Z$3:$Z$900)</f>
        <v>0</v>
      </c>
      <c r="N69" s="132">
        <f>M69*查询与汇总!$F$1</f>
        <v>0</v>
      </c>
      <c r="O69" s="144">
        <f t="shared" si="25"/>
        <v>0</v>
      </c>
      <c r="P69" s="143">
        <f>IF(G69=0,0,SUMPRODUCT((_5shaozhuchou_month_day!$A$3:$A$900&gt;=$C69)*(_5shaozhuchou_month_day!$A$3:$A$900&lt;$C70),_5shaozhuchou_month_day!T$3:T$900)/SUMPRODUCT((_5shaozhuchou_month_day!$A$3:$A$900&gt;=$C69)*(_5shaozhuchou_month_day!$A$3:$A$900&lt;$C70)*(_5shaozhuchou_month_day!T$3:T$900&gt;0)))</f>
        <v>0</v>
      </c>
      <c r="Q69" s="145">
        <f>IF(G69=0,0,SUMPRODUCT((_5shaozhuchou_month_day!$A$3:$A$900&gt;=$C69)*(_5shaozhuchou_month_day!$A$3:$A$900&lt;$C70),_5shaozhuchou_month_day!U$3:U$900)/SUMPRODUCT((_5shaozhuchou_month_day!$A$3:$A$900&gt;=$C69)*(_5shaozhuchou_month_day!$A$3:$A$900&lt;$C70)*(_5shaozhuchou_month_day!U$3:U$900&lt;0)))</f>
        <v>0</v>
      </c>
      <c r="R69" s="143">
        <f>IF(G69=0,0,SUMPRODUCT((_5shaozhuchou_month_day!$A$3:$A$900&gt;=$C69)*(_5shaozhuchou_month_day!$A$3:$A$900&lt;$C70),_5shaozhuchou_month_day!V$3:V$900)/SUMPRODUCT((_5shaozhuchou_month_day!$A$3:$A$900&gt;=$C69)*(_5shaozhuchou_month_day!$A$3:$A$900&lt;$C70)*(_5shaozhuchou_month_day!V$3:V$900&gt;0)))</f>
        <v>0</v>
      </c>
      <c r="S69" s="145">
        <f>IF(G69=0,0,SUMPRODUCT((_5shaozhuchou_month_day!$A$3:$A$900&gt;=$C69)*(_5shaozhuchou_month_day!$A$3:$A$900&lt;$C70),_5shaozhuchou_month_day!W$3:W$900)/SUMPRODUCT((_5shaozhuchou_month_day!$A$3:$A$900&gt;=$C69)*(_5shaozhuchou_month_day!$A$3:$A$900&lt;$C70)*(_5shaozhuchou_month_day!W$3:W$900&lt;0)))</f>
        <v>0</v>
      </c>
      <c r="T69" s="145" t="str">
        <f>主抽数据!K71</f>
        <v/>
      </c>
      <c r="U69" s="132" t="str">
        <f>主抽数据!L71</f>
        <v/>
      </c>
      <c r="V69" s="148">
        <f>查询与汇总!$J$1*M69</f>
        <v>0</v>
      </c>
      <c r="W69" s="149">
        <f t="shared" si="26"/>
        <v>0</v>
      </c>
      <c r="X69" s="151"/>
      <c r="Y69" s="164"/>
      <c r="Z69" s="165"/>
      <c r="AA69" s="160" t="str">
        <f>主抽数据!M71</f>
        <v/>
      </c>
      <c r="AB69" s="161" t="str">
        <f>主抽数据!N71</f>
        <v/>
      </c>
      <c r="AC69" s="162">
        <f t="shared" ref="AC69:AC95" si="31">IF(V69=-W69,0,W69*0.65/10000)</f>
        <v>0</v>
      </c>
      <c r="AE69" s="123" t="e">
        <f t="shared" si="27"/>
        <v>#VALUE!</v>
      </c>
      <c r="AF69" s="123" t="e">
        <f t="shared" si="28"/>
        <v>#VALUE!</v>
      </c>
      <c r="AG69" s="123">
        <f t="shared" si="29"/>
        <v>0</v>
      </c>
      <c r="AH69" s="123">
        <f t="shared" si="30"/>
        <v>0</v>
      </c>
    </row>
    <row r="70" spans="1:34" ht="29.1" customHeight="1">
      <c r="A70" s="194">
        <f t="shared" si="11"/>
        <v>43366</v>
      </c>
      <c r="B70" s="134">
        <f t="shared" si="12"/>
        <v>0.33333333333333298</v>
      </c>
      <c r="C70" s="133">
        <f t="shared" si="14"/>
        <v>43366.333333333336</v>
      </c>
      <c r="D70" s="134" t="str">
        <f t="shared" si="13"/>
        <v>白班</v>
      </c>
      <c r="E70" s="143">
        <f>'6烧主抽电耗'!E70</f>
        <v>4</v>
      </c>
      <c r="F70" s="143" t="str">
        <f>'6烧主抽电耗'!F70</f>
        <v>丁班</v>
      </c>
      <c r="G70" s="132">
        <f>SUMPRODUCT((_5shaozhuchou_month_day!$A$3:$A$900&gt;=C70)*(_5shaozhuchou_month_day!$A$3:$A$900&lt;C71),_5shaozhuchou_month_day!$Y$3:$Y$900)/8</f>
        <v>0</v>
      </c>
      <c r="H70" s="132">
        <f t="shared" si="23"/>
        <v>0</v>
      </c>
      <c r="I70" s="195">
        <f t="shared" si="22"/>
        <v>0</v>
      </c>
      <c r="J70" s="196">
        <f>SUMPRODUCT((主抽数据!$AU$5:$AU$97=$A70)*(主抽数据!$AV$5:$AV$97=$F70),主抽数据!$AH$5:$AH$97)</f>
        <v>0</v>
      </c>
      <c r="K70" s="196">
        <f>SUMPRODUCT((主抽数据!$AU$5:$AU$97=$A70)*(主抽数据!$AV$5:$AV$97=$F70),主抽数据!$AI$5:$AI$97)</f>
        <v>0</v>
      </c>
      <c r="L70" s="143">
        <f t="shared" si="24"/>
        <v>0</v>
      </c>
      <c r="M70" s="143">
        <f>SUMPRODUCT((_5shaozhuchou_month_day!$A$3:$A$900&gt;=C70)*(_5shaozhuchou_month_day!$A$3:$A$900&lt;C71),_5shaozhuchou_month_day!$Z$3:$Z$900)</f>
        <v>0</v>
      </c>
      <c r="N70" s="132">
        <f>M70*查询与汇总!$F$1</f>
        <v>0</v>
      </c>
      <c r="O70" s="144">
        <f t="shared" si="25"/>
        <v>0</v>
      </c>
      <c r="P70" s="143">
        <f>IF(G70=0,0,SUMPRODUCT((_5shaozhuchou_month_day!$A$3:$A$900&gt;=$C70)*(_5shaozhuchou_month_day!$A$3:$A$900&lt;$C71),_5shaozhuchou_month_day!T$3:T$900)/SUMPRODUCT((_5shaozhuchou_month_day!$A$3:$A$900&gt;=$C70)*(_5shaozhuchou_month_day!$A$3:$A$900&lt;$C71)*(_5shaozhuchou_month_day!T$3:T$900&gt;0)))</f>
        <v>0</v>
      </c>
      <c r="Q70" s="145">
        <f>IF(G70=0,0,SUMPRODUCT((_5shaozhuchou_month_day!$A$3:$A$900&gt;=$C70)*(_5shaozhuchou_month_day!$A$3:$A$900&lt;$C71),_5shaozhuchou_month_day!U$3:U$900)/SUMPRODUCT((_5shaozhuchou_month_day!$A$3:$A$900&gt;=$C70)*(_5shaozhuchou_month_day!$A$3:$A$900&lt;$C71)*(_5shaozhuchou_month_day!U$3:U$900&lt;0)))</f>
        <v>0</v>
      </c>
      <c r="R70" s="143">
        <f>IF(G70=0,0,SUMPRODUCT((_5shaozhuchou_month_day!$A$3:$A$900&gt;=$C70)*(_5shaozhuchou_month_day!$A$3:$A$900&lt;$C71),_5shaozhuchou_month_day!V$3:V$900)/SUMPRODUCT((_5shaozhuchou_month_day!$A$3:$A$900&gt;=$C70)*(_5shaozhuchou_month_day!$A$3:$A$900&lt;$C71)*(_5shaozhuchou_month_day!V$3:V$900&gt;0)))</f>
        <v>0</v>
      </c>
      <c r="S70" s="145">
        <f>IF(G70=0,0,SUMPRODUCT((_5shaozhuchou_month_day!$A$3:$A$900&gt;=$C70)*(_5shaozhuchou_month_day!$A$3:$A$900&lt;$C71),_5shaozhuchou_month_day!W$3:W$900)/SUMPRODUCT((_5shaozhuchou_month_day!$A$3:$A$900&gt;=$C70)*(_5shaozhuchou_month_day!$A$3:$A$900&lt;$C71)*(_5shaozhuchou_month_day!W$3:W$900&lt;0)))</f>
        <v>0</v>
      </c>
      <c r="T70" s="145" t="str">
        <f>主抽数据!K72</f>
        <v/>
      </c>
      <c r="U70" s="132" t="str">
        <f>主抽数据!L72</f>
        <v/>
      </c>
      <c r="V70" s="148">
        <f>查询与汇总!$J$1*M70</f>
        <v>0</v>
      </c>
      <c r="W70" s="149">
        <f t="shared" si="26"/>
        <v>0</v>
      </c>
      <c r="X70" s="151"/>
      <c r="Y70" s="204"/>
      <c r="Z70" s="165"/>
      <c r="AA70" s="160" t="str">
        <f>主抽数据!M72</f>
        <v/>
      </c>
      <c r="AB70" s="161" t="str">
        <f>主抽数据!N72</f>
        <v/>
      </c>
      <c r="AC70" s="162">
        <f t="shared" si="31"/>
        <v>0</v>
      </c>
      <c r="AE70" s="123" t="e">
        <f t="shared" si="27"/>
        <v>#VALUE!</v>
      </c>
      <c r="AF70" s="123" t="e">
        <f t="shared" si="28"/>
        <v>#VALUE!</v>
      </c>
      <c r="AG70" s="123">
        <f t="shared" si="29"/>
        <v>0</v>
      </c>
      <c r="AH70" s="123">
        <f t="shared" si="30"/>
        <v>0</v>
      </c>
    </row>
    <row r="71" spans="1:34" ht="20.25" customHeight="1">
      <c r="A71" s="194">
        <f t="shared" ref="A71:A96" si="32">A68+1</f>
        <v>43366</v>
      </c>
      <c r="B71" s="134">
        <f t="shared" ref="B71:B82" si="33">B68</f>
        <v>0.66666666666666696</v>
      </c>
      <c r="C71" s="133">
        <f t="shared" si="14"/>
        <v>43366.666666666664</v>
      </c>
      <c r="D71" s="134" t="str">
        <f t="shared" ref="D71:D95" si="34">D68</f>
        <v>中班</v>
      </c>
      <c r="E71" s="143">
        <f>'6烧主抽电耗'!E71</f>
        <v>1</v>
      </c>
      <c r="F71" s="143" t="str">
        <f>'6烧主抽电耗'!F71</f>
        <v>甲班</v>
      </c>
      <c r="G71" s="132">
        <f>SUMPRODUCT((_5shaozhuchou_month_day!$A$3:$A$900&gt;=C71)*(_5shaozhuchou_month_day!$A$3:$A$900&lt;C72),_5shaozhuchou_month_day!$Y$3:$Y$900)/8</f>
        <v>0</v>
      </c>
      <c r="H71" s="132">
        <f t="shared" si="23"/>
        <v>0</v>
      </c>
      <c r="I71" s="195">
        <f t="shared" si="22"/>
        <v>0</v>
      </c>
      <c r="J71" s="196">
        <f>SUMPRODUCT((主抽数据!$AU$5:$AU$97=$A71)*(主抽数据!$AV$5:$AV$97=$F71),主抽数据!$AH$5:$AH$97)</f>
        <v>0</v>
      </c>
      <c r="K71" s="196">
        <f>SUMPRODUCT((主抽数据!$AU$5:$AU$97=$A71)*(主抽数据!$AV$5:$AV$97=$F71),主抽数据!$AI$5:$AI$97)</f>
        <v>0</v>
      </c>
      <c r="L71" s="143">
        <f t="shared" si="24"/>
        <v>0</v>
      </c>
      <c r="M71" s="143">
        <f>SUMPRODUCT((_5shaozhuchou_month_day!$A$3:$A$900&gt;=C71)*(_5shaozhuchou_month_day!$A$3:$A$900&lt;C72),_5shaozhuchou_month_day!$Z$3:$Z$900)</f>
        <v>0</v>
      </c>
      <c r="N71" s="132">
        <f>M71*查询与汇总!$F$1</f>
        <v>0</v>
      </c>
      <c r="O71" s="144">
        <f t="shared" si="25"/>
        <v>0</v>
      </c>
      <c r="P71" s="143">
        <f>IF(G71=0,0,SUMPRODUCT((_5shaozhuchou_month_day!$A$3:$A$900&gt;=$C71)*(_5shaozhuchou_month_day!$A$3:$A$900&lt;$C72),_5shaozhuchou_month_day!T$3:T$900)/SUMPRODUCT((_5shaozhuchou_month_day!$A$3:$A$900&gt;=$C71)*(_5shaozhuchou_month_day!$A$3:$A$900&lt;$C72)*(_5shaozhuchou_month_day!T$3:T$900&gt;0)))</f>
        <v>0</v>
      </c>
      <c r="Q71" s="145">
        <f>IF(G71=0,0,SUMPRODUCT((_5shaozhuchou_month_day!$A$3:$A$900&gt;=$C71)*(_5shaozhuchou_month_day!$A$3:$A$900&lt;$C72),_5shaozhuchou_month_day!U$3:U$900)/SUMPRODUCT((_5shaozhuchou_month_day!$A$3:$A$900&gt;=$C71)*(_5shaozhuchou_month_day!$A$3:$A$900&lt;$C72)*(_5shaozhuchou_month_day!U$3:U$900&lt;0)))</f>
        <v>0</v>
      </c>
      <c r="R71" s="143">
        <f>IF(G71=0,0,SUMPRODUCT((_5shaozhuchou_month_day!$A$3:$A$900&gt;=$C71)*(_5shaozhuchou_month_day!$A$3:$A$900&lt;$C72),_5shaozhuchou_month_day!V$3:V$900)/SUMPRODUCT((_5shaozhuchou_month_day!$A$3:$A$900&gt;=$C71)*(_5shaozhuchou_month_day!$A$3:$A$900&lt;$C72)*(_5shaozhuchou_month_day!V$3:V$900&gt;0)))</f>
        <v>0</v>
      </c>
      <c r="S71" s="145">
        <f>IF(G71=0,0,SUMPRODUCT((_5shaozhuchou_month_day!$A$3:$A$900&gt;=$C71)*(_5shaozhuchou_month_day!$A$3:$A$900&lt;$C72),_5shaozhuchou_month_day!W$3:W$900)/SUMPRODUCT((_5shaozhuchou_month_day!$A$3:$A$900&gt;=$C71)*(_5shaozhuchou_month_day!$A$3:$A$900&lt;$C72)*(_5shaozhuchou_month_day!W$3:W$900&lt;0)))</f>
        <v>0</v>
      </c>
      <c r="T71" s="145" t="str">
        <f>主抽数据!K73</f>
        <v/>
      </c>
      <c r="U71" s="132" t="str">
        <f>主抽数据!L73</f>
        <v/>
      </c>
      <c r="V71" s="148">
        <f>查询与汇总!$J$1*M71</f>
        <v>0</v>
      </c>
      <c r="W71" s="149">
        <f t="shared" si="26"/>
        <v>0</v>
      </c>
      <c r="X71" s="151"/>
      <c r="Y71" s="164"/>
      <c r="Z71" s="165"/>
      <c r="AA71" s="160" t="str">
        <f>主抽数据!M73</f>
        <v/>
      </c>
      <c r="AB71" s="161" t="str">
        <f>主抽数据!N73</f>
        <v/>
      </c>
      <c r="AC71" s="162">
        <f t="shared" si="31"/>
        <v>0</v>
      </c>
      <c r="AE71" s="123" t="e">
        <f t="shared" si="27"/>
        <v>#VALUE!</v>
      </c>
      <c r="AF71" s="123" t="e">
        <f t="shared" si="28"/>
        <v>#VALUE!</v>
      </c>
      <c r="AG71" s="123">
        <f t="shared" si="29"/>
        <v>0</v>
      </c>
      <c r="AH71" s="123">
        <f t="shared" si="30"/>
        <v>0</v>
      </c>
    </row>
    <row r="72" spans="1:34" ht="20.25" customHeight="1">
      <c r="A72" s="194">
        <f t="shared" si="32"/>
        <v>43367</v>
      </c>
      <c r="B72" s="134">
        <f t="shared" si="33"/>
        <v>0</v>
      </c>
      <c r="C72" s="133">
        <f t="shared" si="14"/>
        <v>43367</v>
      </c>
      <c r="D72" s="134" t="str">
        <f t="shared" si="34"/>
        <v>夜班</v>
      </c>
      <c r="E72" s="143">
        <f>'6烧主抽电耗'!E72</f>
        <v>2</v>
      </c>
      <c r="F72" s="143" t="str">
        <f>'6烧主抽电耗'!F72</f>
        <v>乙班</v>
      </c>
      <c r="G72" s="132">
        <f>SUMPRODUCT((_5shaozhuchou_month_day!$A$3:$A$900&gt;=C72)*(_5shaozhuchou_month_day!$A$3:$A$900&lt;C73),_5shaozhuchou_month_day!$Y$3:$Y$900)/8</f>
        <v>0</v>
      </c>
      <c r="H72" s="132">
        <f t="shared" si="23"/>
        <v>0</v>
      </c>
      <c r="I72" s="195">
        <f t="shared" si="22"/>
        <v>0</v>
      </c>
      <c r="J72" s="196">
        <f>SUMPRODUCT((主抽数据!$AU$5:$AU$97=$A72)*(主抽数据!$AV$5:$AV$97=$F72),主抽数据!$AH$5:$AH$97)</f>
        <v>0</v>
      </c>
      <c r="K72" s="196">
        <f>SUMPRODUCT((主抽数据!$AU$5:$AU$97=$A72)*(主抽数据!$AV$5:$AV$97=$F72),主抽数据!$AI$5:$AI$97)</f>
        <v>0</v>
      </c>
      <c r="L72" s="143">
        <f t="shared" si="24"/>
        <v>0</v>
      </c>
      <c r="M72" s="143">
        <f>SUMPRODUCT((_5shaozhuchou_month_day!$A$3:$A$900&gt;=C72)*(_5shaozhuchou_month_day!$A$3:$A$900&lt;C73),_5shaozhuchou_month_day!$Z$3:$Z$900)</f>
        <v>0</v>
      </c>
      <c r="N72" s="132">
        <f>M72*查询与汇总!$F$1</f>
        <v>0</v>
      </c>
      <c r="O72" s="144">
        <f t="shared" si="25"/>
        <v>0</v>
      </c>
      <c r="P72" s="143">
        <f>IF(G72=0,0,SUMPRODUCT((_5shaozhuchou_month_day!$A$3:$A$900&gt;=$C72)*(_5shaozhuchou_month_day!$A$3:$A$900&lt;$C73),_5shaozhuchou_month_day!T$3:T$900)/SUMPRODUCT((_5shaozhuchou_month_day!$A$3:$A$900&gt;=$C72)*(_5shaozhuchou_month_day!$A$3:$A$900&lt;$C73)*(_5shaozhuchou_month_day!T$3:T$900&gt;0)))</f>
        <v>0</v>
      </c>
      <c r="Q72" s="145">
        <f>IF(G72=0,0,SUMPRODUCT((_5shaozhuchou_month_day!$A$3:$A$900&gt;=$C72)*(_5shaozhuchou_month_day!$A$3:$A$900&lt;$C73),_5shaozhuchou_month_day!U$3:U$900)/SUMPRODUCT((_5shaozhuchou_month_day!$A$3:$A$900&gt;=$C72)*(_5shaozhuchou_month_day!$A$3:$A$900&lt;$C73)*(_5shaozhuchou_month_day!U$3:U$900&lt;0)))</f>
        <v>0</v>
      </c>
      <c r="R72" s="143">
        <f>IF(G72=0,0,SUMPRODUCT((_5shaozhuchou_month_day!$A$3:$A$900&gt;=$C72)*(_5shaozhuchou_month_day!$A$3:$A$900&lt;$C73),_5shaozhuchou_month_day!V$3:V$900)/SUMPRODUCT((_5shaozhuchou_month_day!$A$3:$A$900&gt;=$C72)*(_5shaozhuchou_month_day!$A$3:$A$900&lt;$C73)*(_5shaozhuchou_month_day!V$3:V$900&gt;0)))</f>
        <v>0</v>
      </c>
      <c r="S72" s="145">
        <f>IF(G72=0,0,SUMPRODUCT((_5shaozhuchou_month_day!$A$3:$A$900&gt;=$C72)*(_5shaozhuchou_month_day!$A$3:$A$900&lt;$C73),_5shaozhuchou_month_day!W$3:W$900)/SUMPRODUCT((_5shaozhuchou_month_day!$A$3:$A$900&gt;=$C72)*(_5shaozhuchou_month_day!$A$3:$A$900&lt;$C73)*(_5shaozhuchou_month_day!W$3:W$900&lt;0)))</f>
        <v>0</v>
      </c>
      <c r="T72" s="145" t="str">
        <f>主抽数据!K74</f>
        <v/>
      </c>
      <c r="U72" s="132" t="str">
        <f>主抽数据!L74</f>
        <v/>
      </c>
      <c r="V72" s="148">
        <f>查询与汇总!$J$1*M72</f>
        <v>0</v>
      </c>
      <c r="W72" s="149">
        <f t="shared" si="26"/>
        <v>0</v>
      </c>
      <c r="X72" s="151"/>
      <c r="Y72" s="204"/>
      <c r="Z72" s="165"/>
      <c r="AA72" s="160" t="str">
        <f>主抽数据!M74</f>
        <v/>
      </c>
      <c r="AB72" s="161" t="str">
        <f>主抽数据!N74</f>
        <v/>
      </c>
      <c r="AC72" s="162">
        <f t="shared" si="31"/>
        <v>0</v>
      </c>
      <c r="AE72" s="123" t="e">
        <f t="shared" si="27"/>
        <v>#VALUE!</v>
      </c>
      <c r="AF72" s="123" t="e">
        <f t="shared" si="28"/>
        <v>#VALUE!</v>
      </c>
      <c r="AG72" s="123">
        <f t="shared" si="29"/>
        <v>0</v>
      </c>
      <c r="AH72" s="123">
        <f t="shared" si="30"/>
        <v>0</v>
      </c>
    </row>
    <row r="73" spans="1:34" ht="26.1" customHeight="1">
      <c r="A73" s="194">
        <f t="shared" si="32"/>
        <v>43367</v>
      </c>
      <c r="B73" s="134">
        <f t="shared" si="33"/>
        <v>0.33333333333333298</v>
      </c>
      <c r="C73" s="133">
        <f t="shared" ref="C73:C82" si="35">A73+B73</f>
        <v>43367.333333333336</v>
      </c>
      <c r="D73" s="134" t="str">
        <f t="shared" si="34"/>
        <v>白班</v>
      </c>
      <c r="E73" s="143">
        <f>'6烧主抽电耗'!E73</f>
        <v>3</v>
      </c>
      <c r="F73" s="143" t="str">
        <f>'6烧主抽电耗'!F73</f>
        <v>丙班</v>
      </c>
      <c r="G73" s="132">
        <f>SUMPRODUCT((_5shaozhuchou_month_day!$A$3:$A$900&gt;=C73)*(_5shaozhuchou_month_day!$A$3:$A$900&lt;C74),_5shaozhuchou_month_day!$Y$3:$Y$900)/8</f>
        <v>0</v>
      </c>
      <c r="H73" s="132">
        <f t="shared" si="23"/>
        <v>0</v>
      </c>
      <c r="I73" s="195">
        <f t="shared" si="22"/>
        <v>0</v>
      </c>
      <c r="J73" s="196">
        <f>SUMPRODUCT((主抽数据!$AU$5:$AU$97=$A73)*(主抽数据!$AV$5:$AV$97=$F73),主抽数据!$AH$5:$AH$97)</f>
        <v>0</v>
      </c>
      <c r="K73" s="196">
        <f>SUMPRODUCT((主抽数据!$AU$5:$AU$97=$A73)*(主抽数据!$AV$5:$AV$97=$F73),主抽数据!$AI$5:$AI$97)</f>
        <v>0</v>
      </c>
      <c r="L73" s="143">
        <f t="shared" si="24"/>
        <v>0</v>
      </c>
      <c r="M73" s="143">
        <f>SUMPRODUCT((_5shaozhuchou_month_day!$A$3:$A$900&gt;=C73)*(_5shaozhuchou_month_day!$A$3:$A$900&lt;C74),_5shaozhuchou_month_day!$Z$3:$Z$900)</f>
        <v>0</v>
      </c>
      <c r="N73" s="132">
        <f>M73*查询与汇总!$F$1</f>
        <v>0</v>
      </c>
      <c r="O73" s="144">
        <f t="shared" si="25"/>
        <v>0</v>
      </c>
      <c r="P73" s="143">
        <f>IF(G73=0,0,SUMPRODUCT((_5shaozhuchou_month_day!$A$3:$A$900&gt;=$C73)*(_5shaozhuchou_month_day!$A$3:$A$900&lt;$C74),_5shaozhuchou_month_day!T$3:T$900)/SUMPRODUCT((_5shaozhuchou_month_day!$A$3:$A$900&gt;=$C73)*(_5shaozhuchou_month_day!$A$3:$A$900&lt;$C74)*(_5shaozhuchou_month_day!T$3:T$900&gt;0)))</f>
        <v>0</v>
      </c>
      <c r="Q73" s="145">
        <f>IF(G73=0,0,SUMPRODUCT((_5shaozhuchou_month_day!$A$3:$A$900&gt;=$C73)*(_5shaozhuchou_month_day!$A$3:$A$900&lt;$C74),_5shaozhuchou_month_day!U$3:U$900)/SUMPRODUCT((_5shaozhuchou_month_day!$A$3:$A$900&gt;=$C73)*(_5shaozhuchou_month_day!$A$3:$A$900&lt;$C74)*(_5shaozhuchou_month_day!U$3:U$900&lt;0)))</f>
        <v>0</v>
      </c>
      <c r="R73" s="143">
        <f>IF(G73=0,0,SUMPRODUCT((_5shaozhuchou_month_day!$A$3:$A$900&gt;=$C73)*(_5shaozhuchou_month_day!$A$3:$A$900&lt;$C74),_5shaozhuchou_month_day!V$3:V$900)/SUMPRODUCT((_5shaozhuchou_month_day!$A$3:$A$900&gt;=$C73)*(_5shaozhuchou_month_day!$A$3:$A$900&lt;$C74)*(_5shaozhuchou_month_day!V$3:V$900&gt;0)))</f>
        <v>0</v>
      </c>
      <c r="S73" s="145">
        <f>IF(G73=0,0,SUMPRODUCT((_5shaozhuchou_month_day!$A$3:$A$900&gt;=$C73)*(_5shaozhuchou_month_day!$A$3:$A$900&lt;$C74),_5shaozhuchou_month_day!W$3:W$900)/SUMPRODUCT((_5shaozhuchou_month_day!$A$3:$A$900&gt;=$C73)*(_5shaozhuchou_month_day!$A$3:$A$900&lt;$C74)*(_5shaozhuchou_month_day!W$3:W$900&lt;0)))</f>
        <v>0</v>
      </c>
      <c r="T73" s="145" t="str">
        <f>主抽数据!K75</f>
        <v/>
      </c>
      <c r="U73" s="132" t="str">
        <f>主抽数据!L75</f>
        <v/>
      </c>
      <c r="V73" s="148">
        <f>查询与汇总!$J$1*M73</f>
        <v>0</v>
      </c>
      <c r="W73" s="149">
        <f t="shared" si="26"/>
        <v>0</v>
      </c>
      <c r="X73" s="151"/>
      <c r="Y73" s="204"/>
      <c r="Z73" s="165"/>
      <c r="AA73" s="160" t="str">
        <f>主抽数据!M75</f>
        <v/>
      </c>
      <c r="AB73" s="161" t="str">
        <f>主抽数据!N75</f>
        <v/>
      </c>
      <c r="AC73" s="162">
        <f t="shared" si="31"/>
        <v>0</v>
      </c>
      <c r="AE73" s="123" t="e">
        <f t="shared" si="27"/>
        <v>#VALUE!</v>
      </c>
      <c r="AF73" s="123" t="e">
        <f t="shared" si="28"/>
        <v>#VALUE!</v>
      </c>
      <c r="AG73" s="123">
        <f t="shared" si="29"/>
        <v>0</v>
      </c>
      <c r="AH73" s="123">
        <f t="shared" si="30"/>
        <v>0</v>
      </c>
    </row>
    <row r="74" spans="1:34" ht="39" customHeight="1">
      <c r="A74" s="194">
        <f t="shared" si="32"/>
        <v>43367</v>
      </c>
      <c r="B74" s="134">
        <f t="shared" si="33"/>
        <v>0.66666666666666696</v>
      </c>
      <c r="C74" s="133">
        <f t="shared" si="35"/>
        <v>43367.666666666664</v>
      </c>
      <c r="D74" s="134" t="str">
        <f t="shared" si="34"/>
        <v>中班</v>
      </c>
      <c r="E74" s="143">
        <f>'6烧主抽电耗'!E74</f>
        <v>4</v>
      </c>
      <c r="F74" s="143" t="str">
        <f>'6烧主抽电耗'!F74</f>
        <v>丁班</v>
      </c>
      <c r="G74" s="132">
        <f>SUMPRODUCT((_5shaozhuchou_month_day!$A$3:$A$900&gt;=C74)*(_5shaozhuchou_month_day!$A$3:$A$900&lt;C75),_5shaozhuchou_month_day!$Y$3:$Y$900)/8</f>
        <v>0</v>
      </c>
      <c r="H74" s="132">
        <f t="shared" si="23"/>
        <v>0</v>
      </c>
      <c r="I74" s="195">
        <f t="shared" si="22"/>
        <v>0</v>
      </c>
      <c r="J74" s="196">
        <f>SUMPRODUCT((主抽数据!$AU$5:$AU$97=$A74)*(主抽数据!$AV$5:$AV$97=$F74),主抽数据!$AH$5:$AH$97)</f>
        <v>0</v>
      </c>
      <c r="K74" s="196">
        <f>SUMPRODUCT((主抽数据!$AU$5:$AU$97=$A74)*(主抽数据!$AV$5:$AV$97=$F74),主抽数据!$AI$5:$AI$97)</f>
        <v>0</v>
      </c>
      <c r="L74" s="143">
        <f t="shared" si="24"/>
        <v>0</v>
      </c>
      <c r="M74" s="143">
        <f>SUMPRODUCT((_5shaozhuchou_month_day!$A$3:$A$900&gt;=C74)*(_5shaozhuchou_month_day!$A$3:$A$900&lt;C75),_5shaozhuchou_month_day!$Z$3:$Z$900)</f>
        <v>0</v>
      </c>
      <c r="N74" s="132">
        <f>M74*查询与汇总!$F$1</f>
        <v>0</v>
      </c>
      <c r="O74" s="144">
        <f t="shared" si="25"/>
        <v>0</v>
      </c>
      <c r="P74" s="143">
        <f>IF(G74=0,0,SUMPRODUCT((_5shaozhuchou_month_day!$A$3:$A$900&gt;=$C74)*(_5shaozhuchou_month_day!$A$3:$A$900&lt;$C75),_5shaozhuchou_month_day!T$3:T$900)/SUMPRODUCT((_5shaozhuchou_month_day!$A$3:$A$900&gt;=$C74)*(_5shaozhuchou_month_day!$A$3:$A$900&lt;$C75)*(_5shaozhuchou_month_day!T$3:T$900&gt;0)))</f>
        <v>0</v>
      </c>
      <c r="Q74" s="145">
        <f>IF(G74=0,0,SUMPRODUCT((_5shaozhuchou_month_day!$A$3:$A$900&gt;=$C74)*(_5shaozhuchou_month_day!$A$3:$A$900&lt;$C75),_5shaozhuchou_month_day!U$3:U$900)/SUMPRODUCT((_5shaozhuchou_month_day!$A$3:$A$900&gt;=$C74)*(_5shaozhuchou_month_day!$A$3:$A$900&lt;$C75)*(_5shaozhuchou_month_day!U$3:U$900&lt;0)))</f>
        <v>0</v>
      </c>
      <c r="R74" s="143">
        <f>IF(G74=0,0,SUMPRODUCT((_5shaozhuchou_month_day!$A$3:$A$900&gt;=$C74)*(_5shaozhuchou_month_day!$A$3:$A$900&lt;$C75),_5shaozhuchou_month_day!V$3:V$900)/SUMPRODUCT((_5shaozhuchou_month_day!$A$3:$A$900&gt;=$C74)*(_5shaozhuchou_month_day!$A$3:$A$900&lt;$C75)*(_5shaozhuchou_month_day!V$3:V$900&gt;0)))</f>
        <v>0</v>
      </c>
      <c r="S74" s="145">
        <f>IF(G74=0,0,SUMPRODUCT((_5shaozhuchou_month_day!$A$3:$A$900&gt;=$C74)*(_5shaozhuchou_month_day!$A$3:$A$900&lt;$C75),_5shaozhuchou_month_day!W$3:W$900)/SUMPRODUCT((_5shaozhuchou_month_day!$A$3:$A$900&gt;=$C74)*(_5shaozhuchou_month_day!$A$3:$A$900&lt;$C75)*(_5shaozhuchou_month_day!W$3:W$900&lt;0)))</f>
        <v>0</v>
      </c>
      <c r="T74" s="145" t="str">
        <f>主抽数据!K76</f>
        <v/>
      </c>
      <c r="U74" s="132" t="str">
        <f>主抽数据!L76</f>
        <v/>
      </c>
      <c r="V74" s="148">
        <f>查询与汇总!$J$1*M74</f>
        <v>0</v>
      </c>
      <c r="W74" s="149">
        <f t="shared" si="26"/>
        <v>0</v>
      </c>
      <c r="X74" s="151"/>
      <c r="Y74" s="204"/>
      <c r="Z74" s="165"/>
      <c r="AA74" s="160" t="str">
        <f>主抽数据!M76</f>
        <v/>
      </c>
      <c r="AB74" s="161" t="str">
        <f>主抽数据!N76</f>
        <v/>
      </c>
      <c r="AC74" s="162">
        <f t="shared" si="31"/>
        <v>0</v>
      </c>
      <c r="AE74" s="123" t="e">
        <f t="shared" si="27"/>
        <v>#VALUE!</v>
      </c>
      <c r="AF74" s="123" t="e">
        <f t="shared" si="28"/>
        <v>#VALUE!</v>
      </c>
      <c r="AG74" s="123">
        <f t="shared" si="29"/>
        <v>0</v>
      </c>
      <c r="AH74" s="123">
        <f t="shared" si="30"/>
        <v>0</v>
      </c>
    </row>
    <row r="75" spans="1:34" ht="27.95" customHeight="1">
      <c r="A75" s="194">
        <f t="shared" si="32"/>
        <v>43368</v>
      </c>
      <c r="B75" s="134">
        <f t="shared" si="33"/>
        <v>0</v>
      </c>
      <c r="C75" s="133">
        <f t="shared" si="35"/>
        <v>43368</v>
      </c>
      <c r="D75" s="134" t="str">
        <f t="shared" si="34"/>
        <v>夜班</v>
      </c>
      <c r="E75" s="143">
        <f>'6烧主抽电耗'!E75</f>
        <v>2</v>
      </c>
      <c r="F75" s="143" t="str">
        <f>'6烧主抽电耗'!F75</f>
        <v>乙班</v>
      </c>
      <c r="G75" s="132">
        <f>SUMPRODUCT((_5shaozhuchou_month_day!$A$3:$A$900&gt;=C75)*(_5shaozhuchou_month_day!$A$3:$A$900&lt;C76),_5shaozhuchou_month_day!$Y$3:$Y$900)/8</f>
        <v>0</v>
      </c>
      <c r="H75" s="132">
        <f t="shared" si="23"/>
        <v>0</v>
      </c>
      <c r="I75" s="195">
        <f t="shared" si="22"/>
        <v>0</v>
      </c>
      <c r="J75" s="196">
        <f>SUMPRODUCT((主抽数据!$AU$5:$AU$97=$A75)*(主抽数据!$AV$5:$AV$97=$F75),主抽数据!$AH$5:$AH$97)</f>
        <v>0</v>
      </c>
      <c r="K75" s="196">
        <f>SUMPRODUCT((主抽数据!$AU$5:$AU$97=$A75)*(主抽数据!$AV$5:$AV$97=$F75),主抽数据!$AI$5:$AI$97)</f>
        <v>0</v>
      </c>
      <c r="L75" s="143">
        <f t="shared" si="24"/>
        <v>0</v>
      </c>
      <c r="M75" s="143">
        <f>SUMPRODUCT((_5shaozhuchou_month_day!$A$3:$A$900&gt;=C75)*(_5shaozhuchou_month_day!$A$3:$A$900&lt;C76),_5shaozhuchou_month_day!$Z$3:$Z$900)</f>
        <v>0</v>
      </c>
      <c r="N75" s="132">
        <f>M75*查询与汇总!$F$1</f>
        <v>0</v>
      </c>
      <c r="O75" s="144">
        <f t="shared" si="25"/>
        <v>0</v>
      </c>
      <c r="P75" s="143">
        <f>IF(G75=0,0,SUMPRODUCT((_5shaozhuchou_month_day!$A$3:$A$900&gt;=$C75)*(_5shaozhuchou_month_day!$A$3:$A$900&lt;$C76),_5shaozhuchou_month_day!T$3:T$900)/SUMPRODUCT((_5shaozhuchou_month_day!$A$3:$A$900&gt;=$C75)*(_5shaozhuchou_month_day!$A$3:$A$900&lt;$C76)*(_5shaozhuchou_month_day!T$3:T$900&gt;0)))</f>
        <v>0</v>
      </c>
      <c r="Q75" s="145">
        <f>IF(G75=0,0,SUMPRODUCT((_5shaozhuchou_month_day!$A$3:$A$900&gt;=$C75)*(_5shaozhuchou_month_day!$A$3:$A$900&lt;$C76),_5shaozhuchou_month_day!U$3:U$900)/SUMPRODUCT((_5shaozhuchou_month_day!$A$3:$A$900&gt;=$C75)*(_5shaozhuchou_month_day!$A$3:$A$900&lt;$C76)*(_5shaozhuchou_month_day!U$3:U$900&lt;0)))</f>
        <v>0</v>
      </c>
      <c r="R75" s="143">
        <f>IF(G75=0,0,SUMPRODUCT((_5shaozhuchou_month_day!$A$3:$A$900&gt;=$C75)*(_5shaozhuchou_month_day!$A$3:$A$900&lt;$C76),_5shaozhuchou_month_day!V$3:V$900)/SUMPRODUCT((_5shaozhuchou_month_day!$A$3:$A$900&gt;=$C75)*(_5shaozhuchou_month_day!$A$3:$A$900&lt;$C76)*(_5shaozhuchou_month_day!V$3:V$900&gt;0)))</f>
        <v>0</v>
      </c>
      <c r="S75" s="145">
        <f>IF(G75=0,0,SUMPRODUCT((_5shaozhuchou_month_day!$A$3:$A$900&gt;=$C75)*(_5shaozhuchou_month_day!$A$3:$A$900&lt;$C76),_5shaozhuchou_month_day!W$3:W$900)/SUMPRODUCT((_5shaozhuchou_month_day!$A$3:$A$900&gt;=$C75)*(_5shaozhuchou_month_day!$A$3:$A$900&lt;$C76)*(_5shaozhuchou_month_day!W$3:W$900&lt;0)))</f>
        <v>0</v>
      </c>
      <c r="T75" s="145" t="str">
        <f>主抽数据!K77</f>
        <v/>
      </c>
      <c r="U75" s="132" t="str">
        <f>主抽数据!L77</f>
        <v/>
      </c>
      <c r="V75" s="148">
        <f>查询与汇总!$J$1*M75</f>
        <v>0</v>
      </c>
      <c r="W75" s="149">
        <f t="shared" si="26"/>
        <v>0</v>
      </c>
      <c r="X75" s="151"/>
      <c r="Y75" s="164"/>
      <c r="Z75" s="163"/>
      <c r="AA75" s="160" t="str">
        <f>主抽数据!M77</f>
        <v/>
      </c>
      <c r="AB75" s="161" t="str">
        <f>主抽数据!N77</f>
        <v/>
      </c>
      <c r="AC75" s="162">
        <f t="shared" si="31"/>
        <v>0</v>
      </c>
      <c r="AE75" s="123" t="e">
        <f t="shared" si="27"/>
        <v>#VALUE!</v>
      </c>
      <c r="AF75" s="123" t="e">
        <f t="shared" si="28"/>
        <v>#VALUE!</v>
      </c>
      <c r="AG75" s="123">
        <f t="shared" si="29"/>
        <v>0</v>
      </c>
      <c r="AH75" s="123">
        <f t="shared" si="30"/>
        <v>0</v>
      </c>
    </row>
    <row r="76" spans="1:34" ht="39" customHeight="1">
      <c r="A76" s="194">
        <f t="shared" si="32"/>
        <v>43368</v>
      </c>
      <c r="B76" s="134">
        <f t="shared" si="33"/>
        <v>0.33333333333333298</v>
      </c>
      <c r="C76" s="133">
        <f t="shared" si="35"/>
        <v>43368.333333333336</v>
      </c>
      <c r="D76" s="134" t="str">
        <f t="shared" si="34"/>
        <v>白班</v>
      </c>
      <c r="E76" s="143">
        <f>'6烧主抽电耗'!E76</f>
        <v>3</v>
      </c>
      <c r="F76" s="143" t="str">
        <f>'6烧主抽电耗'!F76</f>
        <v>丙班</v>
      </c>
      <c r="G76" s="132">
        <f>SUMPRODUCT((_5shaozhuchou_month_day!$A$3:$A$900&gt;=C76)*(_5shaozhuchou_month_day!$A$3:$A$900&lt;C77),_5shaozhuchou_month_day!$Y$3:$Y$900)/8</f>
        <v>0</v>
      </c>
      <c r="H76" s="132">
        <f t="shared" si="23"/>
        <v>0</v>
      </c>
      <c r="I76" s="195">
        <f t="shared" ref="I76:I95" si="36">X76</f>
        <v>0</v>
      </c>
      <c r="J76" s="196">
        <f>SUMPRODUCT((主抽数据!$AU$5:$AU$97=$A76)*(主抽数据!$AV$5:$AV$97=$F76),主抽数据!$AH$5:$AH$97)</f>
        <v>0</v>
      </c>
      <c r="K76" s="196">
        <f>SUMPRODUCT((主抽数据!$AU$5:$AU$97=$A76)*(主抽数据!$AV$5:$AV$97=$F76),主抽数据!$AI$5:$AI$97)</f>
        <v>0</v>
      </c>
      <c r="L76" s="143">
        <f t="shared" si="24"/>
        <v>0</v>
      </c>
      <c r="M76" s="143">
        <f>SUMPRODUCT((_5shaozhuchou_month_day!$A$3:$A$900&gt;=C76)*(_5shaozhuchou_month_day!$A$3:$A$900&lt;C77),_5shaozhuchou_month_day!$Z$3:$Z$900)</f>
        <v>0</v>
      </c>
      <c r="N76" s="132">
        <f>M76*查询与汇总!$F$1</f>
        <v>0</v>
      </c>
      <c r="O76" s="144">
        <f t="shared" si="25"/>
        <v>0</v>
      </c>
      <c r="P76" s="143">
        <f>IF(G76=0,0,SUMPRODUCT((_5shaozhuchou_month_day!$A$3:$A$900&gt;=$C76)*(_5shaozhuchou_month_day!$A$3:$A$900&lt;$C77),_5shaozhuchou_month_day!T$3:T$900)/SUMPRODUCT((_5shaozhuchou_month_day!$A$3:$A$900&gt;=$C76)*(_5shaozhuchou_month_day!$A$3:$A$900&lt;$C77)*(_5shaozhuchou_month_day!T$3:T$900&gt;0)))</f>
        <v>0</v>
      </c>
      <c r="Q76" s="145">
        <f>IF(G76=0,0,SUMPRODUCT((_5shaozhuchou_month_day!$A$3:$A$900&gt;=$C76)*(_5shaozhuchou_month_day!$A$3:$A$900&lt;$C77),_5shaozhuchou_month_day!U$3:U$900)/SUMPRODUCT((_5shaozhuchou_month_day!$A$3:$A$900&gt;=$C76)*(_5shaozhuchou_month_day!$A$3:$A$900&lt;$C77)*(_5shaozhuchou_month_day!U$3:U$900&lt;0)))</f>
        <v>0</v>
      </c>
      <c r="R76" s="143">
        <f>IF(G76=0,0,SUMPRODUCT((_5shaozhuchou_month_day!$A$3:$A$900&gt;=$C76)*(_5shaozhuchou_month_day!$A$3:$A$900&lt;$C77),_5shaozhuchou_month_day!V$3:V$900)/SUMPRODUCT((_5shaozhuchou_month_day!$A$3:$A$900&gt;=$C76)*(_5shaozhuchou_month_day!$A$3:$A$900&lt;$C77)*(_5shaozhuchou_month_day!V$3:V$900&gt;0)))</f>
        <v>0</v>
      </c>
      <c r="S76" s="145">
        <f>IF(G76=0,0,SUMPRODUCT((_5shaozhuchou_month_day!$A$3:$A$900&gt;=$C76)*(_5shaozhuchou_month_day!$A$3:$A$900&lt;$C77),_5shaozhuchou_month_day!W$3:W$900)/SUMPRODUCT((_5shaozhuchou_month_day!$A$3:$A$900&gt;=$C76)*(_5shaozhuchou_month_day!$A$3:$A$900&lt;$C77)*(_5shaozhuchou_month_day!W$3:W$900&lt;0)))</f>
        <v>0</v>
      </c>
      <c r="T76" s="145" t="str">
        <f>主抽数据!K78</f>
        <v/>
      </c>
      <c r="U76" s="132" t="str">
        <f>主抽数据!L78</f>
        <v/>
      </c>
      <c r="V76" s="148">
        <f>查询与汇总!$J$1*M76</f>
        <v>0</v>
      </c>
      <c r="W76" s="149">
        <f t="shared" si="26"/>
        <v>0</v>
      </c>
      <c r="X76" s="151"/>
      <c r="Y76" s="164"/>
      <c r="Z76" s="165"/>
      <c r="AA76" s="160" t="str">
        <f>主抽数据!M78</f>
        <v/>
      </c>
      <c r="AB76" s="161" t="str">
        <f>主抽数据!N78</f>
        <v/>
      </c>
      <c r="AC76" s="162">
        <f t="shared" si="31"/>
        <v>0</v>
      </c>
      <c r="AE76" s="123" t="e">
        <f t="shared" si="27"/>
        <v>#VALUE!</v>
      </c>
      <c r="AF76" s="123" t="e">
        <f t="shared" si="28"/>
        <v>#VALUE!</v>
      </c>
      <c r="AG76" s="123">
        <f t="shared" si="29"/>
        <v>0</v>
      </c>
      <c r="AH76" s="123">
        <f t="shared" si="30"/>
        <v>0</v>
      </c>
    </row>
    <row r="77" spans="1:34" ht="27.95" customHeight="1">
      <c r="A77" s="194">
        <f t="shared" si="32"/>
        <v>43368</v>
      </c>
      <c r="B77" s="134">
        <f t="shared" si="33"/>
        <v>0.66666666666666696</v>
      </c>
      <c r="C77" s="133">
        <f t="shared" si="35"/>
        <v>43368.666666666664</v>
      </c>
      <c r="D77" s="134" t="str">
        <f t="shared" si="34"/>
        <v>中班</v>
      </c>
      <c r="E77" s="143">
        <f>'6烧主抽电耗'!E77</f>
        <v>4</v>
      </c>
      <c r="F77" s="143" t="str">
        <f>'6烧主抽电耗'!F77</f>
        <v>丁班</v>
      </c>
      <c r="G77" s="132">
        <f>SUMPRODUCT((_5shaozhuchou_month_day!$A$3:$A$900&gt;=C77)*(_5shaozhuchou_month_day!$A$3:$A$900&lt;C78),_5shaozhuchou_month_day!$Y$3:$Y$900)/8</f>
        <v>0</v>
      </c>
      <c r="H77" s="132">
        <f t="shared" si="23"/>
        <v>0</v>
      </c>
      <c r="I77" s="195">
        <f t="shared" si="36"/>
        <v>0</v>
      </c>
      <c r="J77" s="196">
        <f>SUMPRODUCT((主抽数据!$AU$5:$AU$97=$A77)*(主抽数据!$AV$5:$AV$97=$F77),主抽数据!$AH$5:$AH$97)</f>
        <v>0</v>
      </c>
      <c r="K77" s="196">
        <f>SUMPRODUCT((主抽数据!$AU$5:$AU$97=$A77)*(主抽数据!$AV$5:$AV$97=$F77),主抽数据!$AI$5:$AI$97)</f>
        <v>0</v>
      </c>
      <c r="L77" s="143">
        <f t="shared" si="24"/>
        <v>0</v>
      </c>
      <c r="M77" s="143">
        <f>SUMPRODUCT((_5shaozhuchou_month_day!$A$3:$A$900&gt;=C77)*(_5shaozhuchou_month_day!$A$3:$A$900&lt;C78),_5shaozhuchou_month_day!$Z$3:$Z$900)</f>
        <v>0</v>
      </c>
      <c r="N77" s="132">
        <f>M77*查询与汇总!$F$1</f>
        <v>0</v>
      </c>
      <c r="O77" s="144">
        <f t="shared" si="25"/>
        <v>0</v>
      </c>
      <c r="P77" s="143">
        <f>IF(G77=0,0,SUMPRODUCT((_5shaozhuchou_month_day!$A$3:$A$900&gt;=$C77)*(_5shaozhuchou_month_day!$A$3:$A$900&lt;$C78),_5shaozhuchou_month_day!T$3:T$900)/SUMPRODUCT((_5shaozhuchou_month_day!$A$3:$A$900&gt;=$C77)*(_5shaozhuchou_month_day!$A$3:$A$900&lt;$C78)*(_5shaozhuchou_month_day!T$3:T$900&gt;0)))</f>
        <v>0</v>
      </c>
      <c r="Q77" s="145">
        <f>IF(G77=0,0,SUMPRODUCT((_5shaozhuchou_month_day!$A$3:$A$900&gt;=$C77)*(_5shaozhuchou_month_day!$A$3:$A$900&lt;$C78),_5shaozhuchou_month_day!U$3:U$900)/SUMPRODUCT((_5shaozhuchou_month_day!$A$3:$A$900&gt;=$C77)*(_5shaozhuchou_month_day!$A$3:$A$900&lt;$C78)*(_5shaozhuchou_month_day!U$3:U$900&lt;0)))</f>
        <v>0</v>
      </c>
      <c r="R77" s="143">
        <f>IF(G77=0,0,SUMPRODUCT((_5shaozhuchou_month_day!$A$3:$A$900&gt;=$C77)*(_5shaozhuchou_month_day!$A$3:$A$900&lt;$C78),_5shaozhuchou_month_day!V$3:V$900)/SUMPRODUCT((_5shaozhuchou_month_day!$A$3:$A$900&gt;=$C77)*(_5shaozhuchou_month_day!$A$3:$A$900&lt;$C78)*(_5shaozhuchou_month_day!V$3:V$900&gt;0)))</f>
        <v>0</v>
      </c>
      <c r="S77" s="145">
        <f>IF(G77=0,0,SUMPRODUCT((_5shaozhuchou_month_day!$A$3:$A$900&gt;=$C77)*(_5shaozhuchou_month_day!$A$3:$A$900&lt;$C78),_5shaozhuchou_month_day!W$3:W$900)/SUMPRODUCT((_5shaozhuchou_month_day!$A$3:$A$900&gt;=$C77)*(_5shaozhuchou_month_day!$A$3:$A$900&lt;$C78)*(_5shaozhuchou_month_day!W$3:W$900&lt;0)))</f>
        <v>0</v>
      </c>
      <c r="T77" s="145" t="str">
        <f>主抽数据!K79</f>
        <v/>
      </c>
      <c r="U77" s="132" t="str">
        <f>主抽数据!L79</f>
        <v/>
      </c>
      <c r="V77" s="148">
        <f>查询与汇总!$J$1*M77</f>
        <v>0</v>
      </c>
      <c r="W77" s="149">
        <f t="shared" si="26"/>
        <v>0</v>
      </c>
      <c r="X77" s="151"/>
      <c r="Y77" s="164"/>
      <c r="Z77" s="163"/>
      <c r="AA77" s="160" t="str">
        <f>主抽数据!M79</f>
        <v/>
      </c>
      <c r="AB77" s="161" t="str">
        <f>主抽数据!N79</f>
        <v/>
      </c>
      <c r="AC77" s="162">
        <f t="shared" si="31"/>
        <v>0</v>
      </c>
      <c r="AE77" s="123" t="e">
        <f t="shared" si="27"/>
        <v>#VALUE!</v>
      </c>
      <c r="AF77" s="123" t="e">
        <f t="shared" si="28"/>
        <v>#VALUE!</v>
      </c>
      <c r="AG77" s="123">
        <f t="shared" si="29"/>
        <v>0</v>
      </c>
      <c r="AH77" s="123">
        <f t="shared" si="30"/>
        <v>0</v>
      </c>
    </row>
    <row r="78" spans="1:34" ht="24" customHeight="1">
      <c r="A78" s="194">
        <f t="shared" si="32"/>
        <v>43369</v>
      </c>
      <c r="B78" s="134">
        <f t="shared" si="33"/>
        <v>0</v>
      </c>
      <c r="C78" s="133">
        <f t="shared" si="35"/>
        <v>43369</v>
      </c>
      <c r="D78" s="134" t="str">
        <f t="shared" si="34"/>
        <v>夜班</v>
      </c>
      <c r="E78" s="143">
        <f>'6烧主抽电耗'!E78</f>
        <v>1</v>
      </c>
      <c r="F78" s="143" t="str">
        <f>'6烧主抽电耗'!F78</f>
        <v>甲班</v>
      </c>
      <c r="G78" s="132">
        <f>SUMPRODUCT((_5shaozhuchou_month_day!$A$3:$A$900&gt;=C78)*(_5shaozhuchou_month_day!$A$3:$A$900&lt;C79),_5shaozhuchou_month_day!$Y$3:$Y$900)/8</f>
        <v>0</v>
      </c>
      <c r="H78" s="132">
        <f t="shared" si="23"/>
        <v>0</v>
      </c>
      <c r="I78" s="195">
        <f t="shared" si="36"/>
        <v>0</v>
      </c>
      <c r="J78" s="196">
        <f>SUMPRODUCT((主抽数据!$AU$5:$AU$97=$A78)*(主抽数据!$AV$5:$AV$97=$F78),主抽数据!$AH$5:$AH$97)</f>
        <v>0</v>
      </c>
      <c r="K78" s="196">
        <f>SUMPRODUCT((主抽数据!$AU$5:$AU$97=$A78)*(主抽数据!$AV$5:$AV$97=$F78),主抽数据!$AI$5:$AI$97)</f>
        <v>0</v>
      </c>
      <c r="L78" s="143">
        <f t="shared" si="24"/>
        <v>0</v>
      </c>
      <c r="M78" s="143">
        <f>SUMPRODUCT((_5shaozhuchou_month_day!$A$3:$A$900&gt;=C78)*(_5shaozhuchou_month_day!$A$3:$A$900&lt;C79),_5shaozhuchou_month_day!$Z$3:$Z$900)</f>
        <v>0</v>
      </c>
      <c r="N78" s="132">
        <f>M78*查询与汇总!$F$1</f>
        <v>0</v>
      </c>
      <c r="O78" s="144">
        <f t="shared" si="25"/>
        <v>0</v>
      </c>
      <c r="P78" s="143">
        <f>IF(G78=0,0,SUMPRODUCT((_5shaozhuchou_month_day!$A$3:$A$900&gt;=$C78)*(_5shaozhuchou_month_day!$A$3:$A$900&lt;$C79),_5shaozhuchou_month_day!T$3:T$900)/SUMPRODUCT((_5shaozhuchou_month_day!$A$3:$A$900&gt;=$C78)*(_5shaozhuchou_month_day!$A$3:$A$900&lt;$C79)*(_5shaozhuchou_month_day!T$3:T$900&gt;0)))</f>
        <v>0</v>
      </c>
      <c r="Q78" s="145">
        <f>IF(G78=0,0,SUMPRODUCT((_5shaozhuchou_month_day!$A$3:$A$900&gt;=$C78)*(_5shaozhuchou_month_day!$A$3:$A$900&lt;$C79),_5shaozhuchou_month_day!U$3:U$900)/SUMPRODUCT((_5shaozhuchou_month_day!$A$3:$A$900&gt;=$C78)*(_5shaozhuchou_month_day!$A$3:$A$900&lt;$C79)*(_5shaozhuchou_month_day!U$3:U$900&lt;0)))</f>
        <v>0</v>
      </c>
      <c r="R78" s="143">
        <f>IF(G78=0,0,SUMPRODUCT((_5shaozhuchou_month_day!$A$3:$A$900&gt;=$C78)*(_5shaozhuchou_month_day!$A$3:$A$900&lt;$C79),_5shaozhuchou_month_day!V$3:V$900)/SUMPRODUCT((_5shaozhuchou_month_day!$A$3:$A$900&gt;=$C78)*(_5shaozhuchou_month_day!$A$3:$A$900&lt;$C79)*(_5shaozhuchou_month_day!V$3:V$900&gt;0)))</f>
        <v>0</v>
      </c>
      <c r="S78" s="145">
        <f>IF(G78=0,0,SUMPRODUCT((_5shaozhuchou_month_day!$A$3:$A$900&gt;=$C78)*(_5shaozhuchou_month_day!$A$3:$A$900&lt;$C79),_5shaozhuchou_month_day!W$3:W$900)/SUMPRODUCT((_5shaozhuchou_month_day!$A$3:$A$900&gt;=$C78)*(_5shaozhuchou_month_day!$A$3:$A$900&lt;$C79)*(_5shaozhuchou_month_day!W$3:W$900&lt;0)))</f>
        <v>0</v>
      </c>
      <c r="T78" s="145" t="str">
        <f>主抽数据!K80</f>
        <v/>
      </c>
      <c r="U78" s="132" t="str">
        <f>主抽数据!L80</f>
        <v/>
      </c>
      <c r="V78" s="148">
        <f>查询与汇总!$J$1*M78</f>
        <v>0</v>
      </c>
      <c r="W78" s="149">
        <f t="shared" si="26"/>
        <v>0</v>
      </c>
      <c r="X78" s="151"/>
      <c r="Y78" s="164"/>
      <c r="Z78" s="163"/>
      <c r="AA78" s="160" t="str">
        <f>主抽数据!M80</f>
        <v/>
      </c>
      <c r="AB78" s="161" t="str">
        <f>主抽数据!N80</f>
        <v/>
      </c>
      <c r="AC78" s="162">
        <f t="shared" si="31"/>
        <v>0</v>
      </c>
      <c r="AE78" s="123" t="e">
        <f t="shared" si="27"/>
        <v>#VALUE!</v>
      </c>
      <c r="AF78" s="123" t="e">
        <f t="shared" si="28"/>
        <v>#VALUE!</v>
      </c>
      <c r="AG78" s="123">
        <f t="shared" si="29"/>
        <v>0</v>
      </c>
      <c r="AH78" s="123">
        <f t="shared" si="30"/>
        <v>0</v>
      </c>
    </row>
    <row r="79" spans="1:34" ht="29.1" customHeight="1">
      <c r="A79" s="194">
        <f t="shared" si="32"/>
        <v>43369</v>
      </c>
      <c r="B79" s="134">
        <f t="shared" si="33"/>
        <v>0.33333333333333298</v>
      </c>
      <c r="C79" s="133">
        <f t="shared" si="35"/>
        <v>43369.333333333336</v>
      </c>
      <c r="D79" s="134" t="str">
        <f t="shared" si="34"/>
        <v>白班</v>
      </c>
      <c r="E79" s="143">
        <f>'6烧主抽电耗'!E79</f>
        <v>2</v>
      </c>
      <c r="F79" s="143" t="str">
        <f>'6烧主抽电耗'!F79</f>
        <v>乙班</v>
      </c>
      <c r="G79" s="132">
        <f>SUMPRODUCT((_5shaozhuchou_month_day!$A$3:$A$900&gt;=C79)*(_5shaozhuchou_month_day!$A$3:$A$900&lt;C80),_5shaozhuchou_month_day!$Y$3:$Y$900)/8</f>
        <v>0</v>
      </c>
      <c r="H79" s="132">
        <f t="shared" si="23"/>
        <v>0</v>
      </c>
      <c r="I79" s="195">
        <f t="shared" si="36"/>
        <v>0</v>
      </c>
      <c r="J79" s="196">
        <f>SUMPRODUCT((主抽数据!$AU$5:$AU$97=$A79)*(主抽数据!$AV$5:$AV$97=$F79),主抽数据!$AH$5:$AH$97)</f>
        <v>0</v>
      </c>
      <c r="K79" s="196">
        <f>SUMPRODUCT((主抽数据!$AU$5:$AU$97=$A79)*(主抽数据!$AV$5:$AV$97=$F79),主抽数据!$AI$5:$AI$97)</f>
        <v>0</v>
      </c>
      <c r="L79" s="143">
        <f t="shared" si="24"/>
        <v>0</v>
      </c>
      <c r="M79" s="143">
        <f>SUMPRODUCT((_5shaozhuchou_month_day!$A$3:$A$900&gt;=C79)*(_5shaozhuchou_month_day!$A$3:$A$900&lt;C80),_5shaozhuchou_month_day!$Z$3:$Z$900)</f>
        <v>0</v>
      </c>
      <c r="N79" s="132">
        <f>M79*查询与汇总!$F$1</f>
        <v>0</v>
      </c>
      <c r="O79" s="144">
        <f t="shared" si="25"/>
        <v>0</v>
      </c>
      <c r="P79" s="143">
        <f>IF(G79=0,0,SUMPRODUCT((_5shaozhuchou_month_day!$A$3:$A$900&gt;=$C79)*(_5shaozhuchou_month_day!$A$3:$A$900&lt;$C80),_5shaozhuchou_month_day!T$3:T$900)/SUMPRODUCT((_5shaozhuchou_month_day!$A$3:$A$900&gt;=$C79)*(_5shaozhuchou_month_day!$A$3:$A$900&lt;$C80)*(_5shaozhuchou_month_day!T$3:T$900&gt;0)))</f>
        <v>0</v>
      </c>
      <c r="Q79" s="145">
        <f>IF(G79=0,0,SUMPRODUCT((_5shaozhuchou_month_day!$A$3:$A$900&gt;=$C79)*(_5shaozhuchou_month_day!$A$3:$A$900&lt;$C80),_5shaozhuchou_month_day!U$3:U$900)/SUMPRODUCT((_5shaozhuchou_month_day!$A$3:$A$900&gt;=$C79)*(_5shaozhuchou_month_day!$A$3:$A$900&lt;$C80)*(_5shaozhuchou_month_day!U$3:U$900&lt;0)))</f>
        <v>0</v>
      </c>
      <c r="R79" s="143">
        <f>IF(G79=0,0,SUMPRODUCT((_5shaozhuchou_month_day!$A$3:$A$900&gt;=$C79)*(_5shaozhuchou_month_day!$A$3:$A$900&lt;$C80),_5shaozhuchou_month_day!V$3:V$900)/SUMPRODUCT((_5shaozhuchou_month_day!$A$3:$A$900&gt;=$C79)*(_5shaozhuchou_month_day!$A$3:$A$900&lt;$C80)*(_5shaozhuchou_month_day!V$3:V$900&gt;0)))</f>
        <v>0</v>
      </c>
      <c r="S79" s="145">
        <f>IF(G79=0,0,SUMPRODUCT((_5shaozhuchou_month_day!$A$3:$A$900&gt;=$C79)*(_5shaozhuchou_month_day!$A$3:$A$900&lt;$C80),_5shaozhuchou_month_day!W$3:W$900)/SUMPRODUCT((_5shaozhuchou_month_day!$A$3:$A$900&gt;=$C79)*(_5shaozhuchou_month_day!$A$3:$A$900&lt;$C80)*(_5shaozhuchou_month_day!W$3:W$900&lt;0)))</f>
        <v>0</v>
      </c>
      <c r="T79" s="145" t="str">
        <f>主抽数据!K81</f>
        <v/>
      </c>
      <c r="U79" s="132" t="str">
        <f>主抽数据!L81</f>
        <v/>
      </c>
      <c r="V79" s="148">
        <f>查询与汇总!$J$1*M79</f>
        <v>0</v>
      </c>
      <c r="W79" s="149">
        <f t="shared" si="26"/>
        <v>0</v>
      </c>
      <c r="X79" s="151"/>
      <c r="Y79" s="164"/>
      <c r="Z79" s="163"/>
      <c r="AA79" s="160" t="str">
        <f>主抽数据!M81</f>
        <v/>
      </c>
      <c r="AB79" s="161" t="str">
        <f>主抽数据!N81</f>
        <v/>
      </c>
      <c r="AC79" s="162">
        <f t="shared" si="31"/>
        <v>0</v>
      </c>
      <c r="AE79" s="123" t="e">
        <f t="shared" si="27"/>
        <v>#VALUE!</v>
      </c>
      <c r="AF79" s="123" t="e">
        <f t="shared" si="28"/>
        <v>#VALUE!</v>
      </c>
      <c r="AG79" s="123">
        <f t="shared" si="29"/>
        <v>0</v>
      </c>
      <c r="AH79" s="123">
        <f t="shared" si="30"/>
        <v>0</v>
      </c>
    </row>
    <row r="80" spans="1:34" ht="20.25" customHeight="1">
      <c r="A80" s="194">
        <f t="shared" si="32"/>
        <v>43369</v>
      </c>
      <c r="B80" s="134">
        <f t="shared" si="33"/>
        <v>0.66666666666666696</v>
      </c>
      <c r="C80" s="133">
        <f t="shared" si="35"/>
        <v>43369.666666666664</v>
      </c>
      <c r="D80" s="134" t="str">
        <f t="shared" si="34"/>
        <v>中班</v>
      </c>
      <c r="E80" s="143">
        <f>'6烧主抽电耗'!E80</f>
        <v>3</v>
      </c>
      <c r="F80" s="143" t="str">
        <f>'6烧主抽电耗'!F80</f>
        <v>丙班</v>
      </c>
      <c r="G80" s="132">
        <f>SUMPRODUCT((_5shaozhuchou_month_day!$A$3:$A$900&gt;=C80)*(_5shaozhuchou_month_day!$A$3:$A$900&lt;C81),_5shaozhuchou_month_day!$Y$3:$Y$900)/8</f>
        <v>0</v>
      </c>
      <c r="H80" s="132">
        <f t="shared" si="23"/>
        <v>0</v>
      </c>
      <c r="I80" s="195">
        <f t="shared" si="36"/>
        <v>0</v>
      </c>
      <c r="J80" s="196">
        <f>SUMPRODUCT((主抽数据!$AU$5:$AU$97=$A80)*(主抽数据!$AV$5:$AV$97=$F80),主抽数据!$AH$5:$AH$97)</f>
        <v>0</v>
      </c>
      <c r="K80" s="196">
        <f>SUMPRODUCT((主抽数据!$AU$5:$AU$97=$A80)*(主抽数据!$AV$5:$AV$97=$F80),主抽数据!$AI$5:$AI$97)</f>
        <v>0</v>
      </c>
      <c r="L80" s="143">
        <f t="shared" si="24"/>
        <v>0</v>
      </c>
      <c r="M80" s="143">
        <f>SUMPRODUCT((_5shaozhuchou_month_day!$A$3:$A$900&gt;=C80)*(_5shaozhuchou_month_day!$A$3:$A$900&lt;C81),_5shaozhuchou_month_day!$Z$3:$Z$900)</f>
        <v>0</v>
      </c>
      <c r="N80" s="132">
        <f>M80*查询与汇总!$F$1</f>
        <v>0</v>
      </c>
      <c r="O80" s="144">
        <f t="shared" si="25"/>
        <v>0</v>
      </c>
      <c r="P80" s="143">
        <f>IF(G80=0,0,SUMPRODUCT((_5shaozhuchou_month_day!$A$3:$A$900&gt;=$C80)*(_5shaozhuchou_month_day!$A$3:$A$900&lt;$C81),_5shaozhuchou_month_day!T$3:T$900)/SUMPRODUCT((_5shaozhuchou_month_day!$A$3:$A$900&gt;=$C80)*(_5shaozhuchou_month_day!$A$3:$A$900&lt;$C81)*(_5shaozhuchou_month_day!T$3:T$900&gt;0)))</f>
        <v>0</v>
      </c>
      <c r="Q80" s="145">
        <f>IF(G80=0,0,SUMPRODUCT((_5shaozhuchou_month_day!$A$3:$A$900&gt;=$C80)*(_5shaozhuchou_month_day!$A$3:$A$900&lt;$C81),_5shaozhuchou_month_day!U$3:U$900)/SUMPRODUCT((_5shaozhuchou_month_day!$A$3:$A$900&gt;=$C80)*(_5shaozhuchou_month_day!$A$3:$A$900&lt;$C81)*(_5shaozhuchou_month_day!U$3:U$900&lt;0)))</f>
        <v>0</v>
      </c>
      <c r="R80" s="143">
        <f>IF(G80=0,0,SUMPRODUCT((_5shaozhuchou_month_day!$A$3:$A$900&gt;=$C80)*(_5shaozhuchou_month_day!$A$3:$A$900&lt;$C81),_5shaozhuchou_month_day!V$3:V$900)/SUMPRODUCT((_5shaozhuchou_month_day!$A$3:$A$900&gt;=$C80)*(_5shaozhuchou_month_day!$A$3:$A$900&lt;$C81)*(_5shaozhuchou_month_day!V$3:V$900&gt;0)))</f>
        <v>0</v>
      </c>
      <c r="S80" s="145">
        <f>IF(G80=0,0,SUMPRODUCT((_5shaozhuchou_month_day!$A$3:$A$900&gt;=$C80)*(_5shaozhuchou_month_day!$A$3:$A$900&lt;$C81),_5shaozhuchou_month_day!W$3:W$900)/SUMPRODUCT((_5shaozhuchou_month_day!$A$3:$A$900&gt;=$C80)*(_5shaozhuchou_month_day!$A$3:$A$900&lt;$C81)*(_5shaozhuchou_month_day!W$3:W$900&lt;0)))</f>
        <v>0</v>
      </c>
      <c r="T80" s="145" t="str">
        <f>主抽数据!K82</f>
        <v/>
      </c>
      <c r="U80" s="132" t="str">
        <f>主抽数据!L82</f>
        <v/>
      </c>
      <c r="V80" s="148">
        <f>查询与汇总!$J$1*M80</f>
        <v>0</v>
      </c>
      <c r="W80" s="149">
        <f t="shared" si="26"/>
        <v>0</v>
      </c>
      <c r="X80" s="151"/>
      <c r="Y80" s="164"/>
      <c r="Z80" s="163"/>
      <c r="AA80" s="160" t="str">
        <f>主抽数据!M82</f>
        <v/>
      </c>
      <c r="AB80" s="161" t="str">
        <f>主抽数据!N82</f>
        <v/>
      </c>
      <c r="AC80" s="162">
        <f t="shared" si="31"/>
        <v>0</v>
      </c>
      <c r="AE80" s="123" t="e">
        <f t="shared" si="27"/>
        <v>#VALUE!</v>
      </c>
      <c r="AF80" s="123" t="e">
        <f t="shared" si="28"/>
        <v>#VALUE!</v>
      </c>
      <c r="AG80" s="123">
        <f t="shared" si="29"/>
        <v>0</v>
      </c>
      <c r="AH80" s="123">
        <f t="shared" si="30"/>
        <v>0</v>
      </c>
    </row>
    <row r="81" spans="1:34" ht="20.25" customHeight="1">
      <c r="A81" s="194">
        <f t="shared" si="32"/>
        <v>43370</v>
      </c>
      <c r="B81" s="134">
        <f t="shared" si="33"/>
        <v>0</v>
      </c>
      <c r="C81" s="133">
        <f t="shared" si="35"/>
        <v>43370</v>
      </c>
      <c r="D81" s="134" t="str">
        <f t="shared" si="34"/>
        <v>夜班</v>
      </c>
      <c r="E81" s="143">
        <f>'6烧主抽电耗'!E81</f>
        <v>1</v>
      </c>
      <c r="F81" s="143" t="str">
        <f>'6烧主抽电耗'!F81</f>
        <v>甲班</v>
      </c>
      <c r="G81" s="132">
        <f>SUMPRODUCT((_5shaozhuchou_month_day!$A$3:$A$900&gt;=C81)*(_5shaozhuchou_month_day!$A$3:$A$900&lt;C82),_5shaozhuchou_month_day!$Y$3:$Y$900)/8</f>
        <v>0</v>
      </c>
      <c r="H81" s="132">
        <f t="shared" si="23"/>
        <v>0</v>
      </c>
      <c r="I81" s="195">
        <f t="shared" si="36"/>
        <v>0</v>
      </c>
      <c r="J81" s="196">
        <f>SUMPRODUCT((主抽数据!$AU$5:$AU$97=$A81)*(主抽数据!$AV$5:$AV$97=$F81),主抽数据!$AH$5:$AH$97)</f>
        <v>0</v>
      </c>
      <c r="K81" s="196">
        <f>SUMPRODUCT((主抽数据!$AU$5:$AU$97=$A81)*(主抽数据!$AV$5:$AV$97=$F81),主抽数据!$AI$5:$AI$97)</f>
        <v>0</v>
      </c>
      <c r="L81" s="143">
        <f t="shared" si="24"/>
        <v>0</v>
      </c>
      <c r="M81" s="143">
        <f>SUMPRODUCT((_5shaozhuchou_month_day!$A$3:$A$900&gt;=C81)*(_5shaozhuchou_month_day!$A$3:$A$900&lt;C82),_5shaozhuchou_month_day!$Z$3:$Z$900)</f>
        <v>0</v>
      </c>
      <c r="N81" s="132">
        <f>M81*查询与汇总!$F$1</f>
        <v>0</v>
      </c>
      <c r="O81" s="144">
        <f t="shared" si="25"/>
        <v>0</v>
      </c>
      <c r="P81" s="143">
        <f>IF(G81=0,0,SUMPRODUCT((_5shaozhuchou_month_day!$A$3:$A$900&gt;=$C81)*(_5shaozhuchou_month_day!$A$3:$A$900&lt;$C82),_5shaozhuchou_month_day!T$3:T$900)/SUMPRODUCT((_5shaozhuchou_month_day!$A$3:$A$900&gt;=$C81)*(_5shaozhuchou_month_day!$A$3:$A$900&lt;$C82)*(_5shaozhuchou_month_day!T$3:T$900&gt;0)))</f>
        <v>0</v>
      </c>
      <c r="Q81" s="145">
        <f>IF(G81=0,0,SUMPRODUCT((_5shaozhuchou_month_day!$A$3:$A$900&gt;=$C81)*(_5shaozhuchou_month_day!$A$3:$A$900&lt;$C82),_5shaozhuchou_month_day!U$3:U$900)/SUMPRODUCT((_5shaozhuchou_month_day!$A$3:$A$900&gt;=$C81)*(_5shaozhuchou_month_day!$A$3:$A$900&lt;$C82)*(_5shaozhuchou_month_day!U$3:U$900&lt;0)))</f>
        <v>0</v>
      </c>
      <c r="R81" s="143">
        <f>IF(G81=0,0,SUMPRODUCT((_5shaozhuchou_month_day!$A$3:$A$900&gt;=$C81)*(_5shaozhuchou_month_day!$A$3:$A$900&lt;$C82),_5shaozhuchou_month_day!V$3:V$900)/SUMPRODUCT((_5shaozhuchou_month_day!$A$3:$A$900&gt;=$C81)*(_5shaozhuchou_month_day!$A$3:$A$900&lt;$C82)*(_5shaozhuchou_month_day!V$3:V$900&gt;0)))</f>
        <v>0</v>
      </c>
      <c r="S81" s="145">
        <f>IF(G81=0,0,SUMPRODUCT((_5shaozhuchou_month_day!$A$3:$A$900&gt;=$C81)*(_5shaozhuchou_month_day!$A$3:$A$900&lt;$C82),_5shaozhuchou_month_day!W$3:W$900)/SUMPRODUCT((_5shaozhuchou_month_day!$A$3:$A$900&gt;=$C81)*(_5shaozhuchou_month_day!$A$3:$A$900&lt;$C82)*(_5shaozhuchou_month_day!W$3:W$900&lt;0)))</f>
        <v>0</v>
      </c>
      <c r="T81" s="145" t="str">
        <f>主抽数据!K83</f>
        <v/>
      </c>
      <c r="U81" s="132" t="str">
        <f>主抽数据!L83</f>
        <v/>
      </c>
      <c r="V81" s="148">
        <f>查询与汇总!$J$1*M81</f>
        <v>0</v>
      </c>
      <c r="W81" s="149">
        <f t="shared" si="26"/>
        <v>0</v>
      </c>
      <c r="X81" s="151"/>
      <c r="Y81" s="164"/>
      <c r="Z81" s="163"/>
      <c r="AA81" s="160" t="str">
        <f>主抽数据!M83</f>
        <v/>
      </c>
      <c r="AB81" s="161" t="str">
        <f>主抽数据!N83</f>
        <v/>
      </c>
      <c r="AC81" s="162">
        <f t="shared" si="31"/>
        <v>0</v>
      </c>
      <c r="AE81" s="123" t="e">
        <f t="shared" si="27"/>
        <v>#VALUE!</v>
      </c>
      <c r="AF81" s="123" t="e">
        <f t="shared" si="28"/>
        <v>#VALUE!</v>
      </c>
      <c r="AG81" s="123">
        <f t="shared" si="29"/>
        <v>0</v>
      </c>
      <c r="AH81" s="123">
        <f t="shared" si="30"/>
        <v>0</v>
      </c>
    </row>
    <row r="82" spans="1:34" ht="33" customHeight="1">
      <c r="A82" s="194">
        <f t="shared" si="32"/>
        <v>43370</v>
      </c>
      <c r="B82" s="134">
        <f t="shared" si="33"/>
        <v>0.33333333333333298</v>
      </c>
      <c r="C82" s="133">
        <f t="shared" si="35"/>
        <v>43370.333333333336</v>
      </c>
      <c r="D82" s="134" t="str">
        <f t="shared" si="34"/>
        <v>白班</v>
      </c>
      <c r="E82" s="143">
        <f>'6烧主抽电耗'!E82</f>
        <v>2</v>
      </c>
      <c r="F82" s="143" t="str">
        <f>'6烧主抽电耗'!F82</f>
        <v>乙班</v>
      </c>
      <c r="G82" s="132">
        <f>SUMPRODUCT((_5shaozhuchou_month_day!$A$3:$A$900&gt;=C82)*(_5shaozhuchou_month_day!$A$3:$A$900&lt;C83),_5shaozhuchou_month_day!$Y$3:$Y$900)/8</f>
        <v>0</v>
      </c>
      <c r="H82" s="132">
        <f t="shared" si="23"/>
        <v>0</v>
      </c>
      <c r="I82" s="195">
        <f t="shared" si="36"/>
        <v>0</v>
      </c>
      <c r="J82" s="196">
        <f>SUMPRODUCT((主抽数据!$AU$5:$AU$97=$A82)*(主抽数据!$AV$5:$AV$97=$F82),主抽数据!$AH$5:$AH$97)</f>
        <v>0</v>
      </c>
      <c r="K82" s="196">
        <f>SUMPRODUCT((主抽数据!$AU$5:$AU$97=$A82)*(主抽数据!$AV$5:$AV$97=$F82),主抽数据!$AI$5:$AI$97)</f>
        <v>0</v>
      </c>
      <c r="L82" s="143">
        <f t="shared" si="24"/>
        <v>0</v>
      </c>
      <c r="M82" s="143">
        <f>SUMPRODUCT((_5shaozhuchou_month_day!$A$3:$A$900&gt;=C82)*(_5shaozhuchou_month_day!$A$3:$A$900&lt;C83),_5shaozhuchou_month_day!$Z$3:$Z$900)</f>
        <v>0</v>
      </c>
      <c r="N82" s="132">
        <f>M82*查询与汇总!$F$1</f>
        <v>0</v>
      </c>
      <c r="O82" s="144">
        <f t="shared" si="25"/>
        <v>0</v>
      </c>
      <c r="P82" s="143">
        <f>IF(G82=0,0,SUMPRODUCT((_5shaozhuchou_month_day!$A$3:$A$900&gt;=$C82)*(_5shaozhuchou_month_day!$A$3:$A$900&lt;$C83),_5shaozhuchou_month_day!T$3:T$900)/SUMPRODUCT((_5shaozhuchou_month_day!$A$3:$A$900&gt;=$C82)*(_5shaozhuchou_month_day!$A$3:$A$900&lt;$C83)*(_5shaozhuchou_month_day!T$3:T$900&gt;0)))</f>
        <v>0</v>
      </c>
      <c r="Q82" s="145">
        <f>IF(G82=0,0,SUMPRODUCT((_5shaozhuchou_month_day!$A$3:$A$900&gt;=$C82)*(_5shaozhuchou_month_day!$A$3:$A$900&lt;$C83),_5shaozhuchou_month_day!U$3:U$900)/SUMPRODUCT((_5shaozhuchou_month_day!$A$3:$A$900&gt;=$C82)*(_5shaozhuchou_month_day!$A$3:$A$900&lt;$C83)*(_5shaozhuchou_month_day!U$3:U$900&lt;0)))</f>
        <v>0</v>
      </c>
      <c r="R82" s="143">
        <f>IF(G82=0,0,SUMPRODUCT((_5shaozhuchou_month_day!$A$3:$A$900&gt;=$C82)*(_5shaozhuchou_month_day!$A$3:$A$900&lt;$C83),_5shaozhuchou_month_day!V$3:V$900)/SUMPRODUCT((_5shaozhuchou_month_day!$A$3:$A$900&gt;=$C82)*(_5shaozhuchou_month_day!$A$3:$A$900&lt;$C83)*(_5shaozhuchou_month_day!V$3:V$900&gt;0)))</f>
        <v>0</v>
      </c>
      <c r="S82" s="145">
        <f>IF(G82=0,0,SUMPRODUCT((_5shaozhuchou_month_day!$A$3:$A$900&gt;=$C82)*(_5shaozhuchou_month_day!$A$3:$A$900&lt;$C83),_5shaozhuchou_month_day!W$3:W$900)/SUMPRODUCT((_5shaozhuchou_month_day!$A$3:$A$900&gt;=$C82)*(_5shaozhuchou_month_day!$A$3:$A$900&lt;$C83)*(_5shaozhuchou_month_day!W$3:W$900&lt;0)))</f>
        <v>0</v>
      </c>
      <c r="T82" s="145" t="str">
        <f>主抽数据!K84</f>
        <v/>
      </c>
      <c r="U82" s="132" t="str">
        <f>主抽数据!L84</f>
        <v/>
      </c>
      <c r="V82" s="148">
        <f>查询与汇总!$J$1*M82</f>
        <v>0</v>
      </c>
      <c r="W82" s="149">
        <f t="shared" si="26"/>
        <v>0</v>
      </c>
      <c r="X82" s="151"/>
      <c r="Y82" s="164"/>
      <c r="Z82" s="163"/>
      <c r="AA82" s="160" t="str">
        <f>主抽数据!M84</f>
        <v/>
      </c>
      <c r="AB82" s="161" t="str">
        <f>主抽数据!N84</f>
        <v/>
      </c>
      <c r="AC82" s="162">
        <f t="shared" si="31"/>
        <v>0</v>
      </c>
      <c r="AE82" s="123" t="e">
        <f t="shared" si="27"/>
        <v>#VALUE!</v>
      </c>
      <c r="AF82" s="123" t="e">
        <f t="shared" si="28"/>
        <v>#VALUE!</v>
      </c>
      <c r="AG82" s="123">
        <f t="shared" si="29"/>
        <v>0</v>
      </c>
      <c r="AH82" s="123">
        <f t="shared" si="30"/>
        <v>0</v>
      </c>
    </row>
    <row r="83" spans="1:34" ht="20.25" customHeight="1">
      <c r="A83" s="194">
        <f t="shared" si="32"/>
        <v>43370</v>
      </c>
      <c r="B83" s="134">
        <f t="shared" ref="B83:B95" si="37">B80</f>
        <v>0.66666666666666696</v>
      </c>
      <c r="C83" s="133">
        <f t="shared" ref="C83:C95" si="38">A83+B83</f>
        <v>43370.666666666664</v>
      </c>
      <c r="D83" s="134" t="str">
        <f t="shared" si="34"/>
        <v>中班</v>
      </c>
      <c r="E83" s="143">
        <f>'6烧主抽电耗'!E83</f>
        <v>3</v>
      </c>
      <c r="F83" s="143" t="str">
        <f>'6烧主抽电耗'!F83</f>
        <v>丙班</v>
      </c>
      <c r="G83" s="132">
        <f>SUMPRODUCT((_5shaozhuchou_month_day!$A$3:$A$900&gt;=C83)*(_5shaozhuchou_month_day!$A$3:$A$900&lt;C84),_5shaozhuchou_month_day!$Y$3:$Y$900)/8</f>
        <v>0</v>
      </c>
      <c r="H83" s="132">
        <f t="shared" si="23"/>
        <v>0</v>
      </c>
      <c r="I83" s="195">
        <f t="shared" si="36"/>
        <v>0</v>
      </c>
      <c r="J83" s="196">
        <f>SUMPRODUCT((主抽数据!$AU$5:$AU$97=$A83)*(主抽数据!$AV$5:$AV$97=$F83),主抽数据!$AH$5:$AH$97)</f>
        <v>0</v>
      </c>
      <c r="K83" s="196">
        <f>SUMPRODUCT((主抽数据!$AU$5:$AU$97=$A83)*(主抽数据!$AV$5:$AV$97=$F83),主抽数据!$AI$5:$AI$97)</f>
        <v>0</v>
      </c>
      <c r="L83" s="143">
        <f t="shared" si="24"/>
        <v>0</v>
      </c>
      <c r="M83" s="143">
        <f>SUMPRODUCT((_5shaozhuchou_month_day!$A$3:$A$900&gt;=C83)*(_5shaozhuchou_month_day!$A$3:$A$900&lt;C84),_5shaozhuchou_month_day!$Z$3:$Z$900)</f>
        <v>0</v>
      </c>
      <c r="N83" s="132">
        <f>M83*查询与汇总!$F$1</f>
        <v>0</v>
      </c>
      <c r="O83" s="144">
        <f t="shared" si="25"/>
        <v>0</v>
      </c>
      <c r="P83" s="143">
        <f>IF(G83=0,0,SUMPRODUCT((_5shaozhuchou_month_day!$A$3:$A$900&gt;=$C83)*(_5shaozhuchou_month_day!$A$3:$A$900&lt;$C84),_5shaozhuchou_month_day!T$3:T$900)/SUMPRODUCT((_5shaozhuchou_month_day!$A$3:$A$900&gt;=$C83)*(_5shaozhuchou_month_day!$A$3:$A$900&lt;$C84)*(_5shaozhuchou_month_day!T$3:T$900&gt;0)))</f>
        <v>0</v>
      </c>
      <c r="Q83" s="145">
        <f>IF(G83=0,0,SUMPRODUCT((_5shaozhuchou_month_day!$A$3:$A$900&gt;=$C83)*(_5shaozhuchou_month_day!$A$3:$A$900&lt;$C84),_5shaozhuchou_month_day!U$3:U$900)/SUMPRODUCT((_5shaozhuchou_month_day!$A$3:$A$900&gt;=$C83)*(_5shaozhuchou_month_day!$A$3:$A$900&lt;$C84)*(_5shaozhuchou_month_day!U$3:U$900&lt;0)))</f>
        <v>0</v>
      </c>
      <c r="R83" s="143">
        <f>IF(G83=0,0,SUMPRODUCT((_5shaozhuchou_month_day!$A$3:$A$900&gt;=$C83)*(_5shaozhuchou_month_day!$A$3:$A$900&lt;$C84),_5shaozhuchou_month_day!V$3:V$900)/SUMPRODUCT((_5shaozhuchou_month_day!$A$3:$A$900&gt;=$C83)*(_5shaozhuchou_month_day!$A$3:$A$900&lt;$C84)*(_5shaozhuchou_month_day!V$3:V$900&gt;0)))</f>
        <v>0</v>
      </c>
      <c r="S83" s="145">
        <f>IF(G83=0,0,SUMPRODUCT((_5shaozhuchou_month_day!$A$3:$A$900&gt;=$C83)*(_5shaozhuchou_month_day!$A$3:$A$900&lt;$C84),_5shaozhuchou_month_day!W$3:W$900)/SUMPRODUCT((_5shaozhuchou_month_day!$A$3:$A$900&gt;=$C83)*(_5shaozhuchou_month_day!$A$3:$A$900&lt;$C84)*(_5shaozhuchou_month_day!W$3:W$900&lt;0)))</f>
        <v>0</v>
      </c>
      <c r="T83" s="145" t="str">
        <f>主抽数据!K85</f>
        <v/>
      </c>
      <c r="U83" s="132" t="str">
        <f>主抽数据!L85</f>
        <v/>
      </c>
      <c r="V83" s="148">
        <f>查询与汇总!$J$1*M83</f>
        <v>0</v>
      </c>
      <c r="W83" s="149">
        <f t="shared" si="26"/>
        <v>0</v>
      </c>
      <c r="X83" s="174"/>
      <c r="Y83" s="177"/>
      <c r="Z83" s="178"/>
      <c r="AA83" s="160" t="str">
        <f>主抽数据!M85</f>
        <v/>
      </c>
      <c r="AB83" s="161" t="str">
        <f>主抽数据!N85</f>
        <v/>
      </c>
      <c r="AC83" s="162">
        <f t="shared" si="31"/>
        <v>0</v>
      </c>
      <c r="AE83" s="123" t="e">
        <f t="shared" si="27"/>
        <v>#VALUE!</v>
      </c>
      <c r="AF83" s="123" t="e">
        <f t="shared" si="28"/>
        <v>#VALUE!</v>
      </c>
      <c r="AG83" s="123">
        <f t="shared" si="29"/>
        <v>0</v>
      </c>
      <c r="AH83" s="123">
        <f t="shared" si="30"/>
        <v>0</v>
      </c>
    </row>
    <row r="84" spans="1:34" ht="20.25" customHeight="1">
      <c r="A84" s="194">
        <f t="shared" si="32"/>
        <v>43371</v>
      </c>
      <c r="B84" s="134">
        <f t="shared" si="37"/>
        <v>0</v>
      </c>
      <c r="C84" s="133">
        <f t="shared" si="38"/>
        <v>43371</v>
      </c>
      <c r="D84" s="134" t="str">
        <f t="shared" si="34"/>
        <v>夜班</v>
      </c>
      <c r="E84" s="143">
        <f>'6烧主抽电耗'!E84</f>
        <v>4</v>
      </c>
      <c r="F84" s="143" t="str">
        <f>'6烧主抽电耗'!F84</f>
        <v>丁班</v>
      </c>
      <c r="G84" s="132">
        <f>SUMPRODUCT((_5shaozhuchou_month_day!$A$3:$A$900&gt;=C84)*(_5shaozhuchou_month_day!$A$3:$A$900&lt;C85),_5shaozhuchou_month_day!$Y$3:$Y$900)/8</f>
        <v>0</v>
      </c>
      <c r="H84" s="132">
        <f t="shared" si="23"/>
        <v>0</v>
      </c>
      <c r="I84" s="195">
        <f t="shared" si="36"/>
        <v>0</v>
      </c>
      <c r="J84" s="196">
        <f>SUMPRODUCT((主抽数据!$AU$5:$AU$97=$A84)*(主抽数据!$AV$5:$AV$97=$F84),主抽数据!$AH$5:$AH$97)</f>
        <v>0</v>
      </c>
      <c r="K84" s="196">
        <f>SUMPRODUCT((主抽数据!$AU$5:$AU$97=$A84)*(主抽数据!$AV$5:$AV$97=$F84),主抽数据!$AI$5:$AI$97)</f>
        <v>0</v>
      </c>
      <c r="L84" s="143">
        <f t="shared" si="24"/>
        <v>0</v>
      </c>
      <c r="M84" s="143">
        <f>SUMPRODUCT((_5shaozhuchou_month_day!$A$3:$A$900&gt;=C84)*(_5shaozhuchou_month_day!$A$3:$A$900&lt;C85),_5shaozhuchou_month_day!$Z$3:$Z$900)</f>
        <v>0</v>
      </c>
      <c r="N84" s="132">
        <f>M84*查询与汇总!$F$1</f>
        <v>0</v>
      </c>
      <c r="O84" s="144">
        <f t="shared" si="25"/>
        <v>0</v>
      </c>
      <c r="P84" s="143">
        <f>IF(G84=0,0,SUMPRODUCT((_5shaozhuchou_month_day!$A$3:$A$900&gt;=$C84)*(_5shaozhuchou_month_day!$A$3:$A$900&lt;$C85),_5shaozhuchou_month_day!T$3:T$900)/SUMPRODUCT((_5shaozhuchou_month_day!$A$3:$A$900&gt;=$C84)*(_5shaozhuchou_month_day!$A$3:$A$900&lt;$C85)*(_5shaozhuchou_month_day!T$3:T$900&gt;0)))</f>
        <v>0</v>
      </c>
      <c r="Q84" s="145">
        <f>IF(G84=0,0,SUMPRODUCT((_5shaozhuchou_month_day!$A$3:$A$900&gt;=$C84)*(_5shaozhuchou_month_day!$A$3:$A$900&lt;$C85),_5shaozhuchou_month_day!U$3:U$900)/SUMPRODUCT((_5shaozhuchou_month_day!$A$3:$A$900&gt;=$C84)*(_5shaozhuchou_month_day!$A$3:$A$900&lt;$C85)*(_5shaozhuchou_month_day!U$3:U$900&lt;0)))</f>
        <v>0</v>
      </c>
      <c r="R84" s="143">
        <f>IF(G84=0,0,SUMPRODUCT((_5shaozhuchou_month_day!$A$3:$A$900&gt;=$C84)*(_5shaozhuchou_month_day!$A$3:$A$900&lt;$C85),_5shaozhuchou_month_day!V$3:V$900)/SUMPRODUCT((_5shaozhuchou_month_day!$A$3:$A$900&gt;=$C84)*(_5shaozhuchou_month_day!$A$3:$A$900&lt;$C85)*(_5shaozhuchou_month_day!V$3:V$900&gt;0)))</f>
        <v>0</v>
      </c>
      <c r="S84" s="145">
        <f>IF(G84=0,0,SUMPRODUCT((_5shaozhuchou_month_day!$A$3:$A$900&gt;=$C84)*(_5shaozhuchou_month_day!$A$3:$A$900&lt;$C85),_5shaozhuchou_month_day!W$3:W$900)/SUMPRODUCT((_5shaozhuchou_month_day!$A$3:$A$900&gt;=$C84)*(_5shaozhuchou_month_day!$A$3:$A$900&lt;$C85)*(_5shaozhuchou_month_day!W$3:W$900&lt;0)))</f>
        <v>0</v>
      </c>
      <c r="T84" s="145" t="str">
        <f>主抽数据!K86</f>
        <v/>
      </c>
      <c r="U84" s="132" t="str">
        <f>主抽数据!L86</f>
        <v/>
      </c>
      <c r="V84" s="148">
        <f>查询与汇总!$J$1*M84</f>
        <v>0</v>
      </c>
      <c r="W84" s="149">
        <f t="shared" si="26"/>
        <v>0</v>
      </c>
      <c r="X84" s="174"/>
      <c r="Y84" s="177"/>
      <c r="Z84" s="178"/>
      <c r="AA84" s="160" t="str">
        <f>主抽数据!M86</f>
        <v/>
      </c>
      <c r="AB84" s="161" t="str">
        <f>主抽数据!N86</f>
        <v/>
      </c>
      <c r="AC84" s="162">
        <f t="shared" si="31"/>
        <v>0</v>
      </c>
      <c r="AE84" s="123" t="e">
        <f t="shared" si="27"/>
        <v>#VALUE!</v>
      </c>
      <c r="AF84" s="123" t="e">
        <f t="shared" si="28"/>
        <v>#VALUE!</v>
      </c>
      <c r="AG84" s="123">
        <f t="shared" si="29"/>
        <v>0</v>
      </c>
      <c r="AH84" s="123">
        <f t="shared" si="30"/>
        <v>0</v>
      </c>
    </row>
    <row r="85" spans="1:34" ht="33" customHeight="1">
      <c r="A85" s="194">
        <f t="shared" si="32"/>
        <v>43371</v>
      </c>
      <c r="B85" s="134">
        <f t="shared" si="37"/>
        <v>0.33333333333333298</v>
      </c>
      <c r="C85" s="133">
        <f t="shared" si="38"/>
        <v>43371.333333333336</v>
      </c>
      <c r="D85" s="134" t="str">
        <f t="shared" si="34"/>
        <v>白班</v>
      </c>
      <c r="E85" s="143">
        <f>'6烧主抽电耗'!E85</f>
        <v>1</v>
      </c>
      <c r="F85" s="143" t="str">
        <f>'6烧主抽电耗'!F85</f>
        <v>甲班</v>
      </c>
      <c r="G85" s="132">
        <f>SUMPRODUCT((_5shaozhuchou_month_day!$A$3:$A$900&gt;=C85)*(_5shaozhuchou_month_day!$A$3:$A$900&lt;C86),_5shaozhuchou_month_day!$Y$3:$Y$900)/8</f>
        <v>0</v>
      </c>
      <c r="H85" s="132">
        <f t="shared" si="23"/>
        <v>0</v>
      </c>
      <c r="I85" s="195">
        <f t="shared" si="36"/>
        <v>0</v>
      </c>
      <c r="J85" s="196">
        <f>SUMPRODUCT((主抽数据!$AU$5:$AU$97=$A85)*(主抽数据!$AV$5:$AV$97=$F85),主抽数据!$AH$5:$AH$97)</f>
        <v>0</v>
      </c>
      <c r="K85" s="196">
        <f>SUMPRODUCT((主抽数据!$AU$5:$AU$97=$A85)*(主抽数据!$AV$5:$AV$97=$F85),主抽数据!$AI$5:$AI$97)</f>
        <v>0</v>
      </c>
      <c r="L85" s="143">
        <f t="shared" si="24"/>
        <v>0</v>
      </c>
      <c r="M85" s="143">
        <f>SUMPRODUCT((_5shaozhuchou_month_day!$A$3:$A$900&gt;=C85)*(_5shaozhuchou_month_day!$A$3:$A$900&lt;C86),_5shaozhuchou_month_day!$Z$3:$Z$900)</f>
        <v>0</v>
      </c>
      <c r="N85" s="132">
        <f>M85*查询与汇总!$F$1</f>
        <v>0</v>
      </c>
      <c r="O85" s="144">
        <f t="shared" si="25"/>
        <v>0</v>
      </c>
      <c r="P85" s="143">
        <f>IF(G85=0,0,SUMPRODUCT((_5shaozhuchou_month_day!$A$3:$A$900&gt;=$C85)*(_5shaozhuchou_month_day!$A$3:$A$900&lt;$C86),_5shaozhuchou_month_day!T$3:T$900)/SUMPRODUCT((_5shaozhuchou_month_day!$A$3:$A$900&gt;=$C85)*(_5shaozhuchou_month_day!$A$3:$A$900&lt;$C86)*(_5shaozhuchou_month_day!T$3:T$900&gt;0)))</f>
        <v>0</v>
      </c>
      <c r="Q85" s="145">
        <f>IF(G85=0,0,SUMPRODUCT((_5shaozhuchou_month_day!$A$3:$A$900&gt;=$C85)*(_5shaozhuchou_month_day!$A$3:$A$900&lt;$C86),_5shaozhuchou_month_day!U$3:U$900)/SUMPRODUCT((_5shaozhuchou_month_day!$A$3:$A$900&gt;=$C85)*(_5shaozhuchou_month_day!$A$3:$A$900&lt;$C86)*(_5shaozhuchou_month_day!U$3:U$900&lt;0)))</f>
        <v>0</v>
      </c>
      <c r="R85" s="143">
        <f>IF(G85=0,0,SUMPRODUCT((_5shaozhuchou_month_day!$A$3:$A$900&gt;=$C85)*(_5shaozhuchou_month_day!$A$3:$A$900&lt;$C86),_5shaozhuchou_month_day!V$3:V$900)/SUMPRODUCT((_5shaozhuchou_month_day!$A$3:$A$900&gt;=$C85)*(_5shaozhuchou_month_day!$A$3:$A$900&lt;$C86)*(_5shaozhuchou_month_day!V$3:V$900&gt;0)))</f>
        <v>0</v>
      </c>
      <c r="S85" s="145">
        <f>IF(G85=0,0,SUMPRODUCT((_5shaozhuchou_month_day!$A$3:$A$900&gt;=$C85)*(_5shaozhuchou_month_day!$A$3:$A$900&lt;$C86),_5shaozhuchou_month_day!W$3:W$900)/SUMPRODUCT((_5shaozhuchou_month_day!$A$3:$A$900&gt;=$C85)*(_5shaozhuchou_month_day!$A$3:$A$900&lt;$C86)*(_5shaozhuchou_month_day!W$3:W$900&lt;0)))</f>
        <v>0</v>
      </c>
      <c r="T85" s="145" t="str">
        <f>主抽数据!K87</f>
        <v/>
      </c>
      <c r="U85" s="132" t="str">
        <f>主抽数据!L87</f>
        <v/>
      </c>
      <c r="V85" s="148">
        <f>查询与汇总!$J$1*M85</f>
        <v>0</v>
      </c>
      <c r="W85" s="149">
        <f t="shared" si="26"/>
        <v>0</v>
      </c>
      <c r="X85" s="151"/>
      <c r="Y85" s="164"/>
      <c r="Z85" s="163"/>
      <c r="AA85" s="160" t="str">
        <f>主抽数据!M87</f>
        <v/>
      </c>
      <c r="AB85" s="161" t="str">
        <f>主抽数据!N87</f>
        <v/>
      </c>
      <c r="AC85" s="162">
        <f t="shared" si="31"/>
        <v>0</v>
      </c>
      <c r="AE85" s="123" t="e">
        <f t="shared" si="27"/>
        <v>#VALUE!</v>
      </c>
      <c r="AF85" s="123" t="e">
        <f t="shared" si="28"/>
        <v>#VALUE!</v>
      </c>
      <c r="AG85" s="123">
        <f t="shared" si="29"/>
        <v>0</v>
      </c>
      <c r="AH85" s="123">
        <f t="shared" si="30"/>
        <v>0</v>
      </c>
    </row>
    <row r="86" spans="1:34" ht="20.25" customHeight="1">
      <c r="A86" s="194">
        <f t="shared" si="32"/>
        <v>43371</v>
      </c>
      <c r="B86" s="134">
        <f t="shared" si="37"/>
        <v>0.66666666666666696</v>
      </c>
      <c r="C86" s="133">
        <f t="shared" si="38"/>
        <v>43371.666666666664</v>
      </c>
      <c r="D86" s="134" t="str">
        <f t="shared" si="34"/>
        <v>中班</v>
      </c>
      <c r="E86" s="143">
        <f>'6烧主抽电耗'!E86</f>
        <v>2</v>
      </c>
      <c r="F86" s="143" t="str">
        <f>'6烧主抽电耗'!F86</f>
        <v>乙班</v>
      </c>
      <c r="G86" s="132">
        <f>SUMPRODUCT((_5shaozhuchou_month_day!$A$3:$A$900&gt;=C86)*(_5shaozhuchou_month_day!$A$3:$A$900&lt;C87),_5shaozhuchou_month_day!$Y$3:$Y$900)/8</f>
        <v>0</v>
      </c>
      <c r="H86" s="132">
        <f t="shared" si="23"/>
        <v>0</v>
      </c>
      <c r="I86" s="195">
        <f t="shared" si="36"/>
        <v>0</v>
      </c>
      <c r="J86" s="196">
        <f>SUMPRODUCT((主抽数据!$AU$5:$AU$97=$A86)*(主抽数据!$AV$5:$AV$97=$F86),主抽数据!$AH$5:$AH$97)</f>
        <v>0</v>
      </c>
      <c r="K86" s="196">
        <f>SUMPRODUCT((主抽数据!$AU$5:$AU$97=$A86)*(主抽数据!$AV$5:$AV$97=$F86),主抽数据!$AI$5:$AI$97)</f>
        <v>0</v>
      </c>
      <c r="L86" s="143">
        <f t="shared" si="24"/>
        <v>0</v>
      </c>
      <c r="M86" s="143">
        <f>SUMPRODUCT((_5shaozhuchou_month_day!$A$3:$A$900&gt;=C86)*(_5shaozhuchou_month_day!$A$3:$A$900&lt;C87),_5shaozhuchou_month_day!$Z$3:$Z$900)</f>
        <v>0</v>
      </c>
      <c r="N86" s="132">
        <f>M86*查询与汇总!$F$1</f>
        <v>0</v>
      </c>
      <c r="O86" s="144">
        <f t="shared" si="25"/>
        <v>0</v>
      </c>
      <c r="P86" s="143">
        <f>IF(G86=0,0,SUMPRODUCT((_5shaozhuchou_month_day!$A$3:$A$900&gt;=$C86)*(_5shaozhuchou_month_day!$A$3:$A$900&lt;$C87),_5shaozhuchou_month_day!T$3:T$900)/SUMPRODUCT((_5shaozhuchou_month_day!$A$3:$A$900&gt;=$C86)*(_5shaozhuchou_month_day!$A$3:$A$900&lt;$C87)*(_5shaozhuchou_month_day!T$3:T$900&gt;0)))</f>
        <v>0</v>
      </c>
      <c r="Q86" s="145">
        <f>IF(G86=0,0,SUMPRODUCT((_5shaozhuchou_month_day!$A$3:$A$900&gt;=$C86)*(_5shaozhuchou_month_day!$A$3:$A$900&lt;$C87),_5shaozhuchou_month_day!U$3:U$900)/SUMPRODUCT((_5shaozhuchou_month_day!$A$3:$A$900&gt;=$C86)*(_5shaozhuchou_month_day!$A$3:$A$900&lt;$C87)*(_5shaozhuchou_month_day!U$3:U$900&lt;0)))</f>
        <v>0</v>
      </c>
      <c r="R86" s="143">
        <f>IF(G86=0,0,SUMPRODUCT((_5shaozhuchou_month_day!$A$3:$A$900&gt;=$C86)*(_5shaozhuchou_month_day!$A$3:$A$900&lt;$C87),_5shaozhuchou_month_day!V$3:V$900)/SUMPRODUCT((_5shaozhuchou_month_day!$A$3:$A$900&gt;=$C86)*(_5shaozhuchou_month_day!$A$3:$A$900&lt;$C87)*(_5shaozhuchou_month_day!V$3:V$900&gt;0)))</f>
        <v>0</v>
      </c>
      <c r="S86" s="145">
        <f>IF(G86=0,0,SUMPRODUCT((_5shaozhuchou_month_day!$A$3:$A$900&gt;=$C86)*(_5shaozhuchou_month_day!$A$3:$A$900&lt;$C87),_5shaozhuchou_month_day!W$3:W$900)/SUMPRODUCT((_5shaozhuchou_month_day!$A$3:$A$900&gt;=$C86)*(_5shaozhuchou_month_day!$A$3:$A$900&lt;$C87)*(_5shaozhuchou_month_day!W$3:W$900&lt;0)))</f>
        <v>0</v>
      </c>
      <c r="T86" s="145" t="str">
        <f>主抽数据!K88</f>
        <v/>
      </c>
      <c r="U86" s="132" t="str">
        <f>主抽数据!L88</f>
        <v/>
      </c>
      <c r="V86" s="148">
        <f>查询与汇总!$J$1*M86</f>
        <v>0</v>
      </c>
      <c r="W86" s="149">
        <f t="shared" si="26"/>
        <v>0</v>
      </c>
      <c r="X86" s="174"/>
      <c r="Y86" s="177"/>
      <c r="Z86" s="178"/>
      <c r="AA86" s="160" t="str">
        <f>主抽数据!M88</f>
        <v/>
      </c>
      <c r="AB86" s="161" t="str">
        <f>主抽数据!N88</f>
        <v/>
      </c>
      <c r="AC86" s="162">
        <f t="shared" si="31"/>
        <v>0</v>
      </c>
      <c r="AE86" s="123" t="e">
        <f t="shared" si="27"/>
        <v>#VALUE!</v>
      </c>
      <c r="AF86" s="123" t="e">
        <f t="shared" si="28"/>
        <v>#VALUE!</v>
      </c>
      <c r="AG86" s="123">
        <f t="shared" si="29"/>
        <v>0</v>
      </c>
      <c r="AH86" s="123">
        <f t="shared" si="30"/>
        <v>0</v>
      </c>
    </row>
    <row r="87" spans="1:34" ht="20.25" customHeight="1">
      <c r="A87" s="194">
        <f t="shared" si="32"/>
        <v>43372</v>
      </c>
      <c r="B87" s="134">
        <f t="shared" si="37"/>
        <v>0</v>
      </c>
      <c r="C87" s="133">
        <f t="shared" si="38"/>
        <v>43372</v>
      </c>
      <c r="D87" s="134" t="str">
        <f t="shared" si="34"/>
        <v>夜班</v>
      </c>
      <c r="E87" s="143">
        <f>'6烧主抽电耗'!E87</f>
        <v>4</v>
      </c>
      <c r="F87" s="143" t="str">
        <f>'6烧主抽电耗'!F87</f>
        <v>丁班</v>
      </c>
      <c r="G87" s="132">
        <f>SUMPRODUCT((_5shaozhuchou_month_day!$A$3:$A$900&gt;=C87)*(_5shaozhuchou_month_day!$A$3:$A$900&lt;C88),_5shaozhuchou_month_day!$Y$3:$Y$900)/8</f>
        <v>0</v>
      </c>
      <c r="H87" s="132">
        <f t="shared" si="23"/>
        <v>0</v>
      </c>
      <c r="I87" s="195">
        <f t="shared" si="36"/>
        <v>0</v>
      </c>
      <c r="J87" s="196">
        <f>SUMPRODUCT((主抽数据!$AU$5:$AU$97=$A87)*(主抽数据!$AV$5:$AV$97=$F87),主抽数据!$AH$5:$AH$97)</f>
        <v>0</v>
      </c>
      <c r="K87" s="196">
        <f>SUMPRODUCT((主抽数据!$AU$5:$AU$97=$A87)*(主抽数据!$AV$5:$AV$97=$F87),主抽数据!$AI$5:$AI$97)</f>
        <v>0</v>
      </c>
      <c r="L87" s="143">
        <f t="shared" si="24"/>
        <v>0</v>
      </c>
      <c r="M87" s="143">
        <f>SUMPRODUCT((_5shaozhuchou_month_day!$A$3:$A$900&gt;=C87)*(_5shaozhuchou_month_day!$A$3:$A$900&lt;C88),_5shaozhuchou_month_day!$Z$3:$Z$900)</f>
        <v>0</v>
      </c>
      <c r="N87" s="132">
        <f>M87*查询与汇总!$F$1</f>
        <v>0</v>
      </c>
      <c r="O87" s="144">
        <f t="shared" si="25"/>
        <v>0</v>
      </c>
      <c r="P87" s="143">
        <f>IF(G87=0,0,SUMPRODUCT((_5shaozhuchou_month_day!$A$3:$A$900&gt;=$C87)*(_5shaozhuchou_month_day!$A$3:$A$900&lt;$C88),_5shaozhuchou_month_day!T$3:T$900)/SUMPRODUCT((_5shaozhuchou_month_day!$A$3:$A$900&gt;=$C87)*(_5shaozhuchou_month_day!$A$3:$A$900&lt;$C88)*(_5shaozhuchou_month_day!T$3:T$900&gt;0)))</f>
        <v>0</v>
      </c>
      <c r="Q87" s="145">
        <f>IF(G87=0,0,SUMPRODUCT((_5shaozhuchou_month_day!$A$3:$A$900&gt;=$C87)*(_5shaozhuchou_month_day!$A$3:$A$900&lt;$C88),_5shaozhuchou_month_day!U$3:U$900)/SUMPRODUCT((_5shaozhuchou_month_day!$A$3:$A$900&gt;=$C87)*(_5shaozhuchou_month_day!$A$3:$A$900&lt;$C88)*(_5shaozhuchou_month_day!U$3:U$900&lt;0)))</f>
        <v>0</v>
      </c>
      <c r="R87" s="143">
        <f>IF(G87=0,0,SUMPRODUCT((_5shaozhuchou_month_day!$A$3:$A$900&gt;=$C87)*(_5shaozhuchou_month_day!$A$3:$A$900&lt;$C88),_5shaozhuchou_month_day!V$3:V$900)/SUMPRODUCT((_5shaozhuchou_month_day!$A$3:$A$900&gt;=$C87)*(_5shaozhuchou_month_day!$A$3:$A$900&lt;$C88)*(_5shaozhuchou_month_day!V$3:V$900&gt;0)))</f>
        <v>0</v>
      </c>
      <c r="S87" s="145">
        <f>IF(G87=0,0,SUMPRODUCT((_5shaozhuchou_month_day!$A$3:$A$900&gt;=$C87)*(_5shaozhuchou_month_day!$A$3:$A$900&lt;$C88),_5shaozhuchou_month_day!W$3:W$900)/SUMPRODUCT((_5shaozhuchou_month_day!$A$3:$A$900&gt;=$C87)*(_5shaozhuchou_month_day!$A$3:$A$900&lt;$C88)*(_5shaozhuchou_month_day!W$3:W$900&lt;0)))</f>
        <v>0</v>
      </c>
      <c r="T87" s="145" t="str">
        <f>主抽数据!K89</f>
        <v/>
      </c>
      <c r="U87" s="132" t="str">
        <f>主抽数据!L89</f>
        <v/>
      </c>
      <c r="V87" s="148">
        <f>查询与汇总!$J$1*M87</f>
        <v>0</v>
      </c>
      <c r="W87" s="149">
        <f t="shared" si="26"/>
        <v>0</v>
      </c>
      <c r="X87" s="174"/>
      <c r="Y87" s="177"/>
      <c r="Z87" s="178"/>
      <c r="AA87" s="160" t="str">
        <f>主抽数据!M89</f>
        <v/>
      </c>
      <c r="AB87" s="161" t="str">
        <f>主抽数据!N89</f>
        <v/>
      </c>
      <c r="AC87" s="162">
        <f t="shared" si="31"/>
        <v>0</v>
      </c>
      <c r="AE87" s="123" t="e">
        <f t="shared" si="27"/>
        <v>#VALUE!</v>
      </c>
      <c r="AF87" s="123" t="e">
        <f t="shared" si="28"/>
        <v>#VALUE!</v>
      </c>
      <c r="AG87" s="123">
        <f t="shared" si="29"/>
        <v>0</v>
      </c>
      <c r="AH87" s="123">
        <f t="shared" si="30"/>
        <v>0</v>
      </c>
    </row>
    <row r="88" spans="1:34" ht="30" customHeight="1">
      <c r="A88" s="194">
        <f t="shared" si="32"/>
        <v>43372</v>
      </c>
      <c r="B88" s="134">
        <f t="shared" si="37"/>
        <v>0.33333333333333298</v>
      </c>
      <c r="C88" s="133">
        <f t="shared" si="38"/>
        <v>43372.333333333336</v>
      </c>
      <c r="D88" s="134" t="str">
        <f t="shared" si="34"/>
        <v>白班</v>
      </c>
      <c r="E88" s="143">
        <f>'6烧主抽电耗'!E88</f>
        <v>1</v>
      </c>
      <c r="F88" s="143" t="str">
        <f>'6烧主抽电耗'!F88</f>
        <v>甲班</v>
      </c>
      <c r="G88" s="132">
        <f>SUMPRODUCT((_5shaozhuchou_month_day!$A$3:$A$900&gt;=C88)*(_5shaozhuchou_month_day!$A$3:$A$900&lt;C89),_5shaozhuchou_month_day!$Y$3:$Y$900)/8</f>
        <v>0</v>
      </c>
      <c r="H88" s="132">
        <f t="shared" si="23"/>
        <v>0</v>
      </c>
      <c r="I88" s="195">
        <f t="shared" si="36"/>
        <v>0</v>
      </c>
      <c r="J88" s="196">
        <f>SUMPRODUCT((主抽数据!$AU$5:$AU$97=$A88)*(主抽数据!$AV$5:$AV$97=$F88),主抽数据!$AH$5:$AH$97)</f>
        <v>0</v>
      </c>
      <c r="K88" s="196">
        <f>SUMPRODUCT((主抽数据!$AU$5:$AU$97=$A88)*(主抽数据!$AV$5:$AV$97=$F88),主抽数据!$AI$5:$AI$97)</f>
        <v>0</v>
      </c>
      <c r="L88" s="143">
        <f t="shared" si="24"/>
        <v>0</v>
      </c>
      <c r="M88" s="143">
        <f>SUMPRODUCT((_5shaozhuchou_month_day!$A$3:$A$900&gt;=C88)*(_5shaozhuchou_month_day!$A$3:$A$900&lt;C89),_5shaozhuchou_month_day!$Z$3:$Z$900)</f>
        <v>0</v>
      </c>
      <c r="N88" s="132">
        <f>M88*查询与汇总!$F$1</f>
        <v>0</v>
      </c>
      <c r="O88" s="144">
        <f t="shared" si="25"/>
        <v>0</v>
      </c>
      <c r="P88" s="143">
        <f>IF(G88=0,0,SUMPRODUCT((_5shaozhuchou_month_day!$A$3:$A$900&gt;=$C88)*(_5shaozhuchou_month_day!$A$3:$A$900&lt;$C89),_5shaozhuchou_month_day!T$3:T$900)/SUMPRODUCT((_5shaozhuchou_month_day!$A$3:$A$900&gt;=$C88)*(_5shaozhuchou_month_day!$A$3:$A$900&lt;$C89)*(_5shaozhuchou_month_day!T$3:T$900&gt;0)))</f>
        <v>0</v>
      </c>
      <c r="Q88" s="145">
        <f>IF(G88=0,0,SUMPRODUCT((_5shaozhuchou_month_day!$A$3:$A$900&gt;=$C88)*(_5shaozhuchou_month_day!$A$3:$A$900&lt;$C89),_5shaozhuchou_month_day!U$3:U$900)/SUMPRODUCT((_5shaozhuchou_month_day!$A$3:$A$900&gt;=$C88)*(_5shaozhuchou_month_day!$A$3:$A$900&lt;$C89)*(_5shaozhuchou_month_day!U$3:U$900&lt;0)))</f>
        <v>0</v>
      </c>
      <c r="R88" s="143">
        <f>IF(G88=0,0,SUMPRODUCT((_5shaozhuchou_month_day!$A$3:$A$900&gt;=$C88)*(_5shaozhuchou_month_day!$A$3:$A$900&lt;$C89),_5shaozhuchou_month_day!V$3:V$900)/SUMPRODUCT((_5shaozhuchou_month_day!$A$3:$A$900&gt;=$C88)*(_5shaozhuchou_month_day!$A$3:$A$900&lt;$C89)*(_5shaozhuchou_month_day!V$3:V$900&gt;0)))</f>
        <v>0</v>
      </c>
      <c r="S88" s="145">
        <f>IF(G88=0,0,SUMPRODUCT((_5shaozhuchou_month_day!$A$3:$A$900&gt;=$C88)*(_5shaozhuchou_month_day!$A$3:$A$900&lt;$C89),_5shaozhuchou_month_day!W$3:W$900)/SUMPRODUCT((_5shaozhuchou_month_day!$A$3:$A$900&gt;=$C88)*(_5shaozhuchou_month_day!$A$3:$A$900&lt;$C89)*(_5shaozhuchou_month_day!W$3:W$900&lt;0)))</f>
        <v>0</v>
      </c>
      <c r="T88" s="145" t="str">
        <f>主抽数据!K90</f>
        <v/>
      </c>
      <c r="U88" s="132" t="str">
        <f>主抽数据!L90</f>
        <v/>
      </c>
      <c r="V88" s="148">
        <f>查询与汇总!$J$1*M88</f>
        <v>0</v>
      </c>
      <c r="W88" s="149">
        <f t="shared" si="26"/>
        <v>0</v>
      </c>
      <c r="X88" s="174"/>
      <c r="Y88" s="177"/>
      <c r="Z88" s="178"/>
      <c r="AA88" s="160" t="str">
        <f>主抽数据!M90</f>
        <v/>
      </c>
      <c r="AB88" s="161" t="str">
        <f>主抽数据!N90</f>
        <v/>
      </c>
      <c r="AC88" s="162">
        <f t="shared" si="31"/>
        <v>0</v>
      </c>
      <c r="AE88" s="123" t="e">
        <f t="shared" si="27"/>
        <v>#VALUE!</v>
      </c>
      <c r="AF88" s="123" t="e">
        <f t="shared" si="28"/>
        <v>#VALUE!</v>
      </c>
      <c r="AG88" s="123">
        <f t="shared" si="29"/>
        <v>0</v>
      </c>
      <c r="AH88" s="123">
        <f t="shared" si="30"/>
        <v>0</v>
      </c>
    </row>
    <row r="89" spans="1:34" ht="30" customHeight="1">
      <c r="A89" s="194">
        <f t="shared" si="32"/>
        <v>43372</v>
      </c>
      <c r="B89" s="134">
        <f t="shared" si="37"/>
        <v>0.66666666666666696</v>
      </c>
      <c r="C89" s="133">
        <f t="shared" si="38"/>
        <v>43372.666666666664</v>
      </c>
      <c r="D89" s="134" t="str">
        <f t="shared" si="34"/>
        <v>中班</v>
      </c>
      <c r="E89" s="143">
        <f>'6烧主抽电耗'!E89</f>
        <v>2</v>
      </c>
      <c r="F89" s="143" t="str">
        <f>'6烧主抽电耗'!F89</f>
        <v>乙班</v>
      </c>
      <c r="G89" s="132">
        <f>SUMPRODUCT((_5shaozhuchou_month_day!$A$3:$A$900&gt;=C89)*(_5shaozhuchou_month_day!$A$3:$A$900&lt;C90),_5shaozhuchou_month_day!$Y$3:$Y$900)/8</f>
        <v>0</v>
      </c>
      <c r="H89" s="132">
        <f t="shared" si="23"/>
        <v>0</v>
      </c>
      <c r="I89" s="195">
        <f t="shared" si="36"/>
        <v>0</v>
      </c>
      <c r="J89" s="196">
        <f>SUMPRODUCT((主抽数据!$AU$5:$AU$97=$A89)*(主抽数据!$AV$5:$AV$97=$F89),主抽数据!$AH$5:$AH$97)</f>
        <v>0</v>
      </c>
      <c r="K89" s="196">
        <f>SUMPRODUCT((主抽数据!$AU$5:$AU$97=$A89)*(主抽数据!$AV$5:$AV$97=$F89),主抽数据!$AI$5:$AI$97)</f>
        <v>0</v>
      </c>
      <c r="L89" s="143">
        <f t="shared" si="24"/>
        <v>0</v>
      </c>
      <c r="M89" s="143">
        <f>SUMPRODUCT((_5shaozhuchou_month_day!$A$3:$A$900&gt;=C89)*(_5shaozhuchou_month_day!$A$3:$A$900&lt;C90),_5shaozhuchou_month_day!$Z$3:$Z$900)</f>
        <v>0</v>
      </c>
      <c r="N89" s="132">
        <f>M89*查询与汇总!$F$1</f>
        <v>0</v>
      </c>
      <c r="O89" s="144">
        <f t="shared" si="25"/>
        <v>0</v>
      </c>
      <c r="P89" s="143">
        <f>IF(G89=0,0,SUMPRODUCT((_5shaozhuchou_month_day!$A$3:$A$900&gt;=$C89)*(_5shaozhuchou_month_day!$A$3:$A$900&lt;$C90),_5shaozhuchou_month_day!T$3:T$900)/SUMPRODUCT((_5shaozhuchou_month_day!$A$3:$A$900&gt;=$C89)*(_5shaozhuchou_month_day!$A$3:$A$900&lt;$C90)*(_5shaozhuchou_month_day!T$3:T$900&gt;0)))</f>
        <v>0</v>
      </c>
      <c r="Q89" s="145">
        <f>IF(G89=0,0,SUMPRODUCT((_5shaozhuchou_month_day!$A$3:$A$900&gt;=$C89)*(_5shaozhuchou_month_day!$A$3:$A$900&lt;$C90),_5shaozhuchou_month_day!U$3:U$900)/SUMPRODUCT((_5shaozhuchou_month_day!$A$3:$A$900&gt;=$C89)*(_5shaozhuchou_month_day!$A$3:$A$900&lt;$C90)*(_5shaozhuchou_month_day!U$3:U$900&lt;0)))</f>
        <v>0</v>
      </c>
      <c r="R89" s="143">
        <f>IF(G89=0,0,SUMPRODUCT((_5shaozhuchou_month_day!$A$3:$A$900&gt;=$C89)*(_5shaozhuchou_month_day!$A$3:$A$900&lt;$C90),_5shaozhuchou_month_day!V$3:V$900)/SUMPRODUCT((_5shaozhuchou_month_day!$A$3:$A$900&gt;=$C89)*(_5shaozhuchou_month_day!$A$3:$A$900&lt;$C90)*(_5shaozhuchou_month_day!V$3:V$900&gt;0)))</f>
        <v>0</v>
      </c>
      <c r="S89" s="145">
        <f>IF(G89=0,0,SUMPRODUCT((_5shaozhuchou_month_day!$A$3:$A$900&gt;=$C89)*(_5shaozhuchou_month_day!$A$3:$A$900&lt;$C90),_5shaozhuchou_month_day!W$3:W$900)/SUMPRODUCT((_5shaozhuchou_month_day!$A$3:$A$900&gt;=$C89)*(_5shaozhuchou_month_day!$A$3:$A$900&lt;$C90)*(_5shaozhuchou_month_day!W$3:W$900&lt;0)))</f>
        <v>0</v>
      </c>
      <c r="T89" s="145" t="str">
        <f>主抽数据!K91</f>
        <v/>
      </c>
      <c r="U89" s="132" t="str">
        <f>主抽数据!L91</f>
        <v/>
      </c>
      <c r="V89" s="148">
        <f>查询与汇总!$J$1*M89</f>
        <v>0</v>
      </c>
      <c r="W89" s="149">
        <f t="shared" si="26"/>
        <v>0</v>
      </c>
      <c r="X89" s="174"/>
      <c r="Y89" s="177"/>
      <c r="Z89" s="178"/>
      <c r="AA89" s="160" t="str">
        <f>主抽数据!M91</f>
        <v/>
      </c>
      <c r="AB89" s="161" t="str">
        <f>主抽数据!N91</f>
        <v/>
      </c>
      <c r="AC89" s="162">
        <f t="shared" si="31"/>
        <v>0</v>
      </c>
      <c r="AE89" s="123" t="e">
        <f t="shared" si="27"/>
        <v>#VALUE!</v>
      </c>
      <c r="AF89" s="123" t="e">
        <f t="shared" si="28"/>
        <v>#VALUE!</v>
      </c>
      <c r="AG89" s="123">
        <f t="shared" si="29"/>
        <v>0</v>
      </c>
      <c r="AH89" s="123">
        <f t="shared" si="30"/>
        <v>0</v>
      </c>
    </row>
    <row r="90" spans="1:34" ht="20.25" customHeight="1">
      <c r="A90" s="194">
        <f t="shared" si="32"/>
        <v>43373</v>
      </c>
      <c r="B90" s="134">
        <f t="shared" si="37"/>
        <v>0</v>
      </c>
      <c r="C90" s="133">
        <f t="shared" si="38"/>
        <v>43373</v>
      </c>
      <c r="D90" s="134" t="str">
        <f t="shared" si="34"/>
        <v>夜班</v>
      </c>
      <c r="E90" s="143">
        <f>'6烧主抽电耗'!E90</f>
        <v>3</v>
      </c>
      <c r="F90" s="143" t="str">
        <f>'6烧主抽电耗'!F90</f>
        <v>丙班</v>
      </c>
      <c r="G90" s="132">
        <f>SUMPRODUCT((_5shaozhuchou_month_day!$A$3:$A$900&gt;=C90)*(_5shaozhuchou_month_day!$A$3:$A$900&lt;C91),_5shaozhuchou_month_day!$Y$3:$Y$900)/8</f>
        <v>0</v>
      </c>
      <c r="H90" s="132">
        <f t="shared" si="23"/>
        <v>0</v>
      </c>
      <c r="I90" s="195">
        <f t="shared" si="36"/>
        <v>0</v>
      </c>
      <c r="J90" s="196">
        <f>SUMPRODUCT((主抽数据!$AU$5:$AU$97=$A90)*(主抽数据!$AV$5:$AV$97=$F90),主抽数据!$AH$5:$AH$97)</f>
        <v>0</v>
      </c>
      <c r="K90" s="196">
        <f>SUMPRODUCT((主抽数据!$AU$5:$AU$97=$A90)*(主抽数据!$AV$5:$AV$97=$F90),主抽数据!$AI$5:$AI$97)</f>
        <v>0</v>
      </c>
      <c r="L90" s="143">
        <f t="shared" si="24"/>
        <v>0</v>
      </c>
      <c r="M90" s="143">
        <f>SUMPRODUCT((_5shaozhuchou_month_day!$A$3:$A$900&gt;=C90)*(_5shaozhuchou_month_day!$A$3:$A$900&lt;C91),_5shaozhuchou_month_day!$Z$3:$Z$900)</f>
        <v>0</v>
      </c>
      <c r="N90" s="132">
        <f>M90*查询与汇总!$F$1</f>
        <v>0</v>
      </c>
      <c r="O90" s="144">
        <f t="shared" si="25"/>
        <v>0</v>
      </c>
      <c r="P90" s="143">
        <f>IF(G90=0,0,SUMPRODUCT((_5shaozhuchou_month_day!$A$3:$A$900&gt;=$C90)*(_5shaozhuchou_month_day!$A$3:$A$900&lt;$C91),_5shaozhuchou_month_day!T$3:T$900)/SUMPRODUCT((_5shaozhuchou_month_day!$A$3:$A$900&gt;=$C90)*(_5shaozhuchou_month_day!$A$3:$A$900&lt;$C91)*(_5shaozhuchou_month_day!T$3:T$900&gt;0)))</f>
        <v>0</v>
      </c>
      <c r="Q90" s="145">
        <f>IF(G90=0,0,SUMPRODUCT((_5shaozhuchou_month_day!$A$3:$A$900&gt;=$C90)*(_5shaozhuchou_month_day!$A$3:$A$900&lt;$C91),_5shaozhuchou_month_day!U$3:U$900)/SUMPRODUCT((_5shaozhuchou_month_day!$A$3:$A$900&gt;=$C90)*(_5shaozhuchou_month_day!$A$3:$A$900&lt;$C91)*(_5shaozhuchou_month_day!U$3:U$900&lt;0)))</f>
        <v>0</v>
      </c>
      <c r="R90" s="143">
        <f>IF(G90=0,0,SUMPRODUCT((_5shaozhuchou_month_day!$A$3:$A$900&gt;=$C90)*(_5shaozhuchou_month_day!$A$3:$A$900&lt;$C91),_5shaozhuchou_month_day!V$3:V$900)/SUMPRODUCT((_5shaozhuchou_month_day!$A$3:$A$900&gt;=$C90)*(_5shaozhuchou_month_day!$A$3:$A$900&lt;$C91)*(_5shaozhuchou_month_day!V$3:V$900&gt;0)))</f>
        <v>0</v>
      </c>
      <c r="S90" s="145">
        <f>IF(G90=0,0,SUMPRODUCT((_5shaozhuchou_month_day!$A$3:$A$900&gt;=$C90)*(_5shaozhuchou_month_day!$A$3:$A$900&lt;$C91),_5shaozhuchou_month_day!W$3:W$900)/SUMPRODUCT((_5shaozhuchou_month_day!$A$3:$A$900&gt;=$C90)*(_5shaozhuchou_month_day!$A$3:$A$900&lt;$C91)*(_5shaozhuchou_month_day!W$3:W$900&lt;0)))</f>
        <v>0</v>
      </c>
      <c r="T90" s="145" t="str">
        <f>主抽数据!K92</f>
        <v/>
      </c>
      <c r="U90" s="132" t="str">
        <f>主抽数据!L92</f>
        <v/>
      </c>
      <c r="V90" s="148">
        <f>查询与汇总!$J$1*M90</f>
        <v>0</v>
      </c>
      <c r="W90" s="149">
        <f t="shared" si="26"/>
        <v>0</v>
      </c>
      <c r="X90" s="174"/>
      <c r="Y90" s="177"/>
      <c r="Z90" s="178"/>
      <c r="AA90" s="160" t="str">
        <f>主抽数据!M92</f>
        <v/>
      </c>
      <c r="AB90" s="161" t="str">
        <f>主抽数据!N92</f>
        <v/>
      </c>
      <c r="AC90" s="162">
        <f t="shared" si="31"/>
        <v>0</v>
      </c>
      <c r="AE90" s="123" t="e">
        <f t="shared" si="27"/>
        <v>#VALUE!</v>
      </c>
      <c r="AF90" s="123" t="e">
        <f t="shared" si="28"/>
        <v>#VALUE!</v>
      </c>
      <c r="AG90" s="123">
        <f t="shared" si="29"/>
        <v>0</v>
      </c>
      <c r="AH90" s="123">
        <f t="shared" si="30"/>
        <v>0</v>
      </c>
    </row>
    <row r="91" spans="1:34" ht="20.25" customHeight="1">
      <c r="A91" s="194">
        <f t="shared" si="32"/>
        <v>43373</v>
      </c>
      <c r="B91" s="134">
        <f t="shared" si="37"/>
        <v>0.33333333333333298</v>
      </c>
      <c r="C91" s="133">
        <f t="shared" si="38"/>
        <v>43373.333333333336</v>
      </c>
      <c r="D91" s="134" t="str">
        <f t="shared" si="34"/>
        <v>白班</v>
      </c>
      <c r="E91" s="143">
        <f>'6烧主抽电耗'!E91</f>
        <v>4</v>
      </c>
      <c r="F91" s="143" t="str">
        <f>'6烧主抽电耗'!F91</f>
        <v>丁班</v>
      </c>
      <c r="G91" s="132">
        <f>SUMPRODUCT((_5shaozhuchou_month_day!$A$3:$A$900&gt;=C91)*(_5shaozhuchou_month_day!$A$3:$A$900&lt;C92),_5shaozhuchou_month_day!$Y$3:$Y$900)/8</f>
        <v>0</v>
      </c>
      <c r="H91" s="132">
        <f t="shared" si="23"/>
        <v>0</v>
      </c>
      <c r="I91" s="195">
        <f t="shared" si="36"/>
        <v>0</v>
      </c>
      <c r="J91" s="196">
        <f>SUMPRODUCT((主抽数据!$AU$5:$AU$97=$A91)*(主抽数据!$AV$5:$AV$97=$F91),主抽数据!$AH$5:$AH$97)</f>
        <v>0</v>
      </c>
      <c r="K91" s="196">
        <f>SUMPRODUCT((主抽数据!$AU$5:$AU$97=$A91)*(主抽数据!$AV$5:$AV$97=$F91),主抽数据!$AI$5:$AI$97)</f>
        <v>0</v>
      </c>
      <c r="L91" s="143">
        <f t="shared" si="24"/>
        <v>0</v>
      </c>
      <c r="M91" s="143">
        <f>SUMPRODUCT((_5shaozhuchou_month_day!$A$3:$A$900&gt;=C91)*(_5shaozhuchou_month_day!$A$3:$A$900&lt;C92),_5shaozhuchou_month_day!$Z$3:$Z$900)</f>
        <v>0</v>
      </c>
      <c r="N91" s="132">
        <f>M91*查询与汇总!$F$1</f>
        <v>0</v>
      </c>
      <c r="O91" s="144">
        <f t="shared" si="25"/>
        <v>0</v>
      </c>
      <c r="P91" s="143">
        <f>IF(G91=0,0,SUMPRODUCT((_5shaozhuchou_month_day!$A$3:$A$900&gt;=$C91)*(_5shaozhuchou_month_day!$A$3:$A$900&lt;$C92),_5shaozhuchou_month_day!T$3:T$900)/SUMPRODUCT((_5shaozhuchou_month_day!$A$3:$A$900&gt;=$C91)*(_5shaozhuchou_month_day!$A$3:$A$900&lt;$C92)*(_5shaozhuchou_month_day!T$3:T$900&gt;0)))</f>
        <v>0</v>
      </c>
      <c r="Q91" s="145">
        <f>IF(G91=0,0,SUMPRODUCT((_5shaozhuchou_month_day!$A$3:$A$900&gt;=$C91)*(_5shaozhuchou_month_day!$A$3:$A$900&lt;$C92),_5shaozhuchou_month_day!U$3:U$900)/SUMPRODUCT((_5shaozhuchou_month_day!$A$3:$A$900&gt;=$C91)*(_5shaozhuchou_month_day!$A$3:$A$900&lt;$C92)*(_5shaozhuchou_month_day!U$3:U$900&lt;0)))</f>
        <v>0</v>
      </c>
      <c r="R91" s="143">
        <f>IF(G91=0,0,SUMPRODUCT((_5shaozhuchou_month_day!$A$3:$A$900&gt;=$C91)*(_5shaozhuchou_month_day!$A$3:$A$900&lt;$C92),_5shaozhuchou_month_day!V$3:V$900)/SUMPRODUCT((_5shaozhuchou_month_day!$A$3:$A$900&gt;=$C91)*(_5shaozhuchou_month_day!$A$3:$A$900&lt;$C92)*(_5shaozhuchou_month_day!V$3:V$900&gt;0)))</f>
        <v>0</v>
      </c>
      <c r="S91" s="145">
        <f>IF(G91=0,0,SUMPRODUCT((_5shaozhuchou_month_day!$A$3:$A$900&gt;=$C91)*(_5shaozhuchou_month_day!$A$3:$A$900&lt;$C92),_5shaozhuchou_month_day!W$3:W$900)/SUMPRODUCT((_5shaozhuchou_month_day!$A$3:$A$900&gt;=$C91)*(_5shaozhuchou_month_day!$A$3:$A$900&lt;$C92)*(_5shaozhuchou_month_day!W$3:W$900&lt;0)))</f>
        <v>0</v>
      </c>
      <c r="T91" s="145" t="str">
        <f>主抽数据!K93</f>
        <v/>
      </c>
      <c r="U91" s="132" t="str">
        <f>主抽数据!L93</f>
        <v/>
      </c>
      <c r="V91" s="148">
        <f>查询与汇总!$J$1*M91</f>
        <v>0</v>
      </c>
      <c r="W91" s="149">
        <f t="shared" si="26"/>
        <v>0</v>
      </c>
      <c r="X91" s="174"/>
      <c r="Y91" s="177"/>
      <c r="Z91" s="178"/>
      <c r="AA91" s="160" t="str">
        <f>主抽数据!M93</f>
        <v/>
      </c>
      <c r="AB91" s="161" t="str">
        <f>主抽数据!N93</f>
        <v/>
      </c>
      <c r="AC91" s="162">
        <f t="shared" si="31"/>
        <v>0</v>
      </c>
      <c r="AE91" s="123" t="e">
        <f t="shared" si="27"/>
        <v>#VALUE!</v>
      </c>
      <c r="AF91" s="123" t="e">
        <f t="shared" si="28"/>
        <v>#VALUE!</v>
      </c>
      <c r="AG91" s="123">
        <f t="shared" si="29"/>
        <v>0</v>
      </c>
      <c r="AH91" s="123">
        <f t="shared" si="30"/>
        <v>0</v>
      </c>
    </row>
    <row r="92" spans="1:34" ht="20.25" customHeight="1">
      <c r="A92" s="194">
        <f t="shared" si="32"/>
        <v>43373</v>
      </c>
      <c r="B92" s="134">
        <f t="shared" si="37"/>
        <v>0.66666666666666696</v>
      </c>
      <c r="C92" s="133">
        <f t="shared" si="38"/>
        <v>43373.666666666664</v>
      </c>
      <c r="D92" s="134" t="str">
        <f t="shared" si="34"/>
        <v>中班</v>
      </c>
      <c r="E92" s="143">
        <f>'6烧主抽电耗'!E92</f>
        <v>1</v>
      </c>
      <c r="F92" s="143" t="str">
        <f>'6烧主抽电耗'!F92</f>
        <v>甲班</v>
      </c>
      <c r="G92" s="132">
        <f>SUMPRODUCT((_5shaozhuchou_month_day!$A$3:$A$900&gt;=C92)*(_5shaozhuchou_month_day!$A$3:$A$900&lt;C93),_5shaozhuchou_month_day!$Y$3:$Y$900)/8</f>
        <v>0</v>
      </c>
      <c r="H92" s="132">
        <f t="shared" si="23"/>
        <v>0</v>
      </c>
      <c r="I92" s="195">
        <f t="shared" si="36"/>
        <v>0</v>
      </c>
      <c r="J92" s="196">
        <f>SUMPRODUCT((主抽数据!$AU$5:$AU$97=$A92)*(主抽数据!$AV$5:$AV$97=$F92),主抽数据!$AH$5:$AH$97)</f>
        <v>0</v>
      </c>
      <c r="K92" s="196">
        <f>SUMPRODUCT((主抽数据!$AU$5:$AU$97=$A92)*(主抽数据!$AV$5:$AV$97=$F92),主抽数据!$AI$5:$AI$97)</f>
        <v>0</v>
      </c>
      <c r="L92" s="143">
        <f t="shared" si="24"/>
        <v>0</v>
      </c>
      <c r="M92" s="143">
        <f>SUMPRODUCT((_5shaozhuchou_month_day!$A$3:$A$900&gt;=C92)*(_5shaozhuchou_month_day!$A$3:$A$900&lt;C93),_5shaozhuchou_month_day!$Z$3:$Z$900)</f>
        <v>0</v>
      </c>
      <c r="N92" s="132">
        <f>M92*查询与汇总!$F$1</f>
        <v>0</v>
      </c>
      <c r="O92" s="144">
        <f t="shared" si="25"/>
        <v>0</v>
      </c>
      <c r="P92" s="143">
        <f>IF(G92=0,0,SUMPRODUCT((_5shaozhuchou_month_day!$A$3:$A$900&gt;=$C92)*(_5shaozhuchou_month_day!$A$3:$A$900&lt;$C93),_5shaozhuchou_month_day!T$3:T$900)/SUMPRODUCT((_5shaozhuchou_month_day!$A$3:$A$900&gt;=$C92)*(_5shaozhuchou_month_day!$A$3:$A$900&lt;$C93)*(_5shaozhuchou_month_day!T$3:T$900&gt;0)))</f>
        <v>0</v>
      </c>
      <c r="Q92" s="145">
        <f>IF(G92=0,0,SUMPRODUCT((_5shaozhuchou_month_day!$A$3:$A$900&gt;=$C92)*(_5shaozhuchou_month_day!$A$3:$A$900&lt;$C93),_5shaozhuchou_month_day!U$3:U$900)/SUMPRODUCT((_5shaozhuchou_month_day!$A$3:$A$900&gt;=$C92)*(_5shaozhuchou_month_day!$A$3:$A$900&lt;$C93)*(_5shaozhuchou_month_day!U$3:U$900&lt;0)))</f>
        <v>0</v>
      </c>
      <c r="R92" s="143">
        <f>IF(G92=0,0,SUMPRODUCT((_5shaozhuchou_month_day!$A$3:$A$900&gt;=$C92)*(_5shaozhuchou_month_day!$A$3:$A$900&lt;$C93),_5shaozhuchou_month_day!V$3:V$900)/SUMPRODUCT((_5shaozhuchou_month_day!$A$3:$A$900&gt;=$C92)*(_5shaozhuchou_month_day!$A$3:$A$900&lt;$C93)*(_5shaozhuchou_month_day!V$3:V$900&gt;0)))</f>
        <v>0</v>
      </c>
      <c r="S92" s="145">
        <f>IF(G92=0,0,SUMPRODUCT((_5shaozhuchou_month_day!$A$3:$A$900&gt;=$C92)*(_5shaozhuchou_month_day!$A$3:$A$900&lt;$C93),_5shaozhuchou_month_day!W$3:W$900)/SUMPRODUCT((_5shaozhuchou_month_day!$A$3:$A$900&gt;=$C92)*(_5shaozhuchou_month_day!$A$3:$A$900&lt;$C93)*(_5shaozhuchou_month_day!W$3:W$900&lt;0)))</f>
        <v>0</v>
      </c>
      <c r="T92" s="145" t="str">
        <f>主抽数据!K94</f>
        <v/>
      </c>
      <c r="U92" s="132" t="str">
        <f>主抽数据!L94</f>
        <v/>
      </c>
      <c r="V92" s="148">
        <f>查询与汇总!$J$1*M92</f>
        <v>0</v>
      </c>
      <c r="W92" s="149">
        <f t="shared" si="26"/>
        <v>0</v>
      </c>
      <c r="X92" s="174"/>
      <c r="Y92" s="177"/>
      <c r="Z92" s="178"/>
      <c r="AA92" s="160" t="str">
        <f>主抽数据!M94</f>
        <v/>
      </c>
      <c r="AB92" s="161" t="str">
        <f>主抽数据!N94</f>
        <v/>
      </c>
      <c r="AC92" s="162">
        <f t="shared" si="31"/>
        <v>0</v>
      </c>
      <c r="AE92" s="123" t="e">
        <f t="shared" si="27"/>
        <v>#VALUE!</v>
      </c>
      <c r="AF92" s="123" t="e">
        <f t="shared" si="28"/>
        <v>#VALUE!</v>
      </c>
      <c r="AG92" s="123">
        <f t="shared" si="29"/>
        <v>0</v>
      </c>
      <c r="AH92" s="123">
        <f t="shared" si="30"/>
        <v>0</v>
      </c>
    </row>
    <row r="93" spans="1:34" ht="20.25" customHeight="1">
      <c r="A93" s="194">
        <f t="shared" si="32"/>
        <v>43374</v>
      </c>
      <c r="B93" s="134">
        <f t="shared" si="37"/>
        <v>0</v>
      </c>
      <c r="C93" s="133">
        <f t="shared" si="38"/>
        <v>43374</v>
      </c>
      <c r="D93" s="134" t="str">
        <f t="shared" si="34"/>
        <v>夜班</v>
      </c>
      <c r="E93" s="143">
        <f>'6烧主抽电耗'!E93</f>
        <v>3</v>
      </c>
      <c r="F93" s="143" t="str">
        <f>'6烧主抽电耗'!F93</f>
        <v>丙班</v>
      </c>
      <c r="G93" s="132">
        <f>SUMPRODUCT((_5shaozhuchou_month_day!$A$3:$A$900&gt;=C93)*(_5shaozhuchou_month_day!$A$3:$A$900&lt;C94),_5shaozhuchou_month_day!$Y$3:$Y$900)/8</f>
        <v>0</v>
      </c>
      <c r="H93" s="132">
        <f t="shared" si="23"/>
        <v>0</v>
      </c>
      <c r="I93" s="195">
        <f t="shared" si="36"/>
        <v>0</v>
      </c>
      <c r="J93" s="196">
        <f>SUMPRODUCT((主抽数据!$AU$5:$AU$97=$A93)*(主抽数据!$AV$5:$AV$97=$F93),主抽数据!$AH$5:$AH$97)</f>
        <v>0</v>
      </c>
      <c r="K93" s="196">
        <f>SUMPRODUCT((主抽数据!$AU$5:$AU$97=$A93)*(主抽数据!$AV$5:$AV$97=$F93),主抽数据!$AI$5:$AI$97)</f>
        <v>0</v>
      </c>
      <c r="L93" s="143">
        <f t="shared" si="24"/>
        <v>0</v>
      </c>
      <c r="M93" s="143">
        <f>SUMPRODUCT((_5shaozhuchou_month_day!$A$3:$A$900&gt;=C93)*(_5shaozhuchou_month_day!$A$3:$A$900&lt;C94),_5shaozhuchou_month_day!$Z$3:$Z$900)</f>
        <v>0</v>
      </c>
      <c r="N93" s="132">
        <f>M93*查询与汇总!$F$1</f>
        <v>0</v>
      </c>
      <c r="O93" s="144">
        <f t="shared" si="25"/>
        <v>0</v>
      </c>
      <c r="P93" s="143">
        <f>IF(G93=0,0,SUMPRODUCT((_5shaozhuchou_month_day!$A$3:$A$900&gt;=$C93)*(_5shaozhuchou_month_day!$A$3:$A$900&lt;$C94),_5shaozhuchou_month_day!T$3:T$900)/SUMPRODUCT((_5shaozhuchou_month_day!$A$3:$A$900&gt;=$C93)*(_5shaozhuchou_month_day!$A$3:$A$900&lt;$C94)*(_5shaozhuchou_month_day!T$3:T$900&gt;0)))</f>
        <v>0</v>
      </c>
      <c r="Q93" s="145">
        <f>IF(G93=0,0,SUMPRODUCT((_5shaozhuchou_month_day!$A$3:$A$900&gt;=$C93)*(_5shaozhuchou_month_day!$A$3:$A$900&lt;$C94),_5shaozhuchou_month_day!U$3:U$900)/SUMPRODUCT((_5shaozhuchou_month_day!$A$3:$A$900&gt;=$C93)*(_5shaozhuchou_month_day!$A$3:$A$900&lt;$C94)*(_5shaozhuchou_month_day!U$3:U$900&lt;0)))</f>
        <v>0</v>
      </c>
      <c r="R93" s="143">
        <f>IF(G93=0,0,SUMPRODUCT((_5shaozhuchou_month_day!$A$3:$A$900&gt;=$C93)*(_5shaozhuchou_month_day!$A$3:$A$900&lt;$C94),_5shaozhuchou_month_day!V$3:V$900)/SUMPRODUCT((_5shaozhuchou_month_day!$A$3:$A$900&gt;=$C93)*(_5shaozhuchou_month_day!$A$3:$A$900&lt;$C94)*(_5shaozhuchou_month_day!V$3:V$900&gt;0)))</f>
        <v>0</v>
      </c>
      <c r="S93" s="145">
        <f>IF(G93=0,0,SUMPRODUCT((_5shaozhuchou_month_day!$A$3:$A$900&gt;=$C93)*(_5shaozhuchou_month_day!$A$3:$A$900&lt;$C94),_5shaozhuchou_month_day!W$3:W$900)/SUMPRODUCT((_5shaozhuchou_month_day!$A$3:$A$900&gt;=$C93)*(_5shaozhuchou_month_day!$A$3:$A$900&lt;$C94)*(_5shaozhuchou_month_day!W$3:W$900&lt;0)))</f>
        <v>0</v>
      </c>
      <c r="T93" s="145" t="str">
        <f>主抽数据!K95</f>
        <v/>
      </c>
      <c r="U93" s="132" t="str">
        <f>主抽数据!L95</f>
        <v/>
      </c>
      <c r="V93" s="148">
        <f>查询与汇总!$J$1*M93</f>
        <v>0</v>
      </c>
      <c r="W93" s="149">
        <f t="shared" si="26"/>
        <v>0</v>
      </c>
      <c r="X93" s="174"/>
      <c r="Y93" s="177"/>
      <c r="Z93" s="178"/>
      <c r="AA93" s="160" t="str">
        <f>主抽数据!M95</f>
        <v/>
      </c>
      <c r="AB93" s="161" t="str">
        <f>主抽数据!N95</f>
        <v/>
      </c>
      <c r="AC93" s="162">
        <f t="shared" si="31"/>
        <v>0</v>
      </c>
      <c r="AE93" s="123" t="e">
        <f t="shared" si="27"/>
        <v>#VALUE!</v>
      </c>
      <c r="AF93" s="123" t="e">
        <f t="shared" si="28"/>
        <v>#VALUE!</v>
      </c>
      <c r="AG93" s="123">
        <f t="shared" si="29"/>
        <v>0</v>
      </c>
      <c r="AH93" s="123">
        <f t="shared" si="30"/>
        <v>0</v>
      </c>
    </row>
    <row r="94" spans="1:34" ht="20.25" customHeight="1">
      <c r="A94" s="194">
        <f t="shared" si="32"/>
        <v>43374</v>
      </c>
      <c r="B94" s="134">
        <f t="shared" si="37"/>
        <v>0.33333333333333298</v>
      </c>
      <c r="C94" s="133">
        <f t="shared" si="38"/>
        <v>43374.333333333336</v>
      </c>
      <c r="D94" s="134" t="str">
        <f t="shared" si="34"/>
        <v>白班</v>
      </c>
      <c r="E94" s="143">
        <f>'6烧主抽电耗'!E94</f>
        <v>4</v>
      </c>
      <c r="F94" s="143" t="str">
        <f>'6烧主抽电耗'!F94</f>
        <v>丁班</v>
      </c>
      <c r="G94" s="132">
        <f>SUMPRODUCT((_5shaozhuchou_month_day!$A$3:$A$900&gt;=C94)*(_5shaozhuchou_month_day!$A$3:$A$900&lt;C95),_5shaozhuchou_month_day!$Y$3:$Y$900)/8</f>
        <v>0</v>
      </c>
      <c r="H94" s="132">
        <f t="shared" si="23"/>
        <v>0</v>
      </c>
      <c r="I94" s="195">
        <f t="shared" si="36"/>
        <v>0</v>
      </c>
      <c r="J94" s="196">
        <f>SUMPRODUCT((主抽数据!$AU$5:$AU$97=$A94)*(主抽数据!$AV$5:$AV$97=$F94),主抽数据!$AH$5:$AH$97)</f>
        <v>0</v>
      </c>
      <c r="K94" s="196">
        <f>SUMPRODUCT((主抽数据!$AU$5:$AU$97=$A94)*(主抽数据!$AV$5:$AV$97=$F94),主抽数据!$AI$5:$AI$97)</f>
        <v>0</v>
      </c>
      <c r="L94" s="143">
        <f t="shared" si="24"/>
        <v>0</v>
      </c>
      <c r="M94" s="143">
        <f>SUMPRODUCT((_5shaozhuchou_month_day!$A$3:$A$900&gt;=C94)*(_5shaozhuchou_month_day!$A$3:$A$900&lt;C95),_5shaozhuchou_month_day!$Z$3:$Z$900)</f>
        <v>0</v>
      </c>
      <c r="N94" s="132">
        <f>M94*查询与汇总!$F$1</f>
        <v>0</v>
      </c>
      <c r="O94" s="144">
        <f t="shared" si="25"/>
        <v>0</v>
      </c>
      <c r="P94" s="143">
        <f>IF(G94=0,0,SUMPRODUCT((_5shaozhuchou_month_day!$A$3:$A$900&gt;=$C94)*(_5shaozhuchou_month_day!$A$3:$A$900&lt;$C95),_5shaozhuchou_month_day!T$3:T$900)/SUMPRODUCT((_5shaozhuchou_month_day!$A$3:$A$900&gt;=$C94)*(_5shaozhuchou_month_day!$A$3:$A$900&lt;$C95)*(_5shaozhuchou_month_day!T$3:T$900&gt;0)))</f>
        <v>0</v>
      </c>
      <c r="Q94" s="145">
        <f>IF(G94=0,0,SUMPRODUCT((_5shaozhuchou_month_day!$A$3:$A$900&gt;=$C94)*(_5shaozhuchou_month_day!$A$3:$A$900&lt;$C95),_5shaozhuchou_month_day!U$3:U$900)/SUMPRODUCT((_5shaozhuchou_month_day!$A$3:$A$900&gt;=$C94)*(_5shaozhuchou_month_day!$A$3:$A$900&lt;$C95)*(_5shaozhuchou_month_day!U$3:U$900&lt;0)))</f>
        <v>0</v>
      </c>
      <c r="R94" s="143">
        <f>IF(G94=0,0,SUMPRODUCT((_5shaozhuchou_month_day!$A$3:$A$900&gt;=$C94)*(_5shaozhuchou_month_day!$A$3:$A$900&lt;$C95),_5shaozhuchou_month_day!V$3:V$900)/SUMPRODUCT((_5shaozhuchou_month_day!$A$3:$A$900&gt;=$C94)*(_5shaozhuchou_month_day!$A$3:$A$900&lt;$C95)*(_5shaozhuchou_month_day!V$3:V$900&gt;0)))</f>
        <v>0</v>
      </c>
      <c r="S94" s="145">
        <f>IF(G94=0,0,SUMPRODUCT((_5shaozhuchou_month_day!$A$3:$A$900&gt;=$C94)*(_5shaozhuchou_month_day!$A$3:$A$900&lt;$C95),_5shaozhuchou_month_day!W$3:W$900)/SUMPRODUCT((_5shaozhuchou_month_day!$A$3:$A$900&gt;=$C94)*(_5shaozhuchou_month_day!$A$3:$A$900&lt;$C95)*(_5shaozhuchou_month_day!W$3:W$900&lt;0)))</f>
        <v>0</v>
      </c>
      <c r="T94" s="145" t="str">
        <f>主抽数据!K96</f>
        <v/>
      </c>
      <c r="U94" s="132" t="str">
        <f>主抽数据!L96</f>
        <v/>
      </c>
      <c r="V94" s="148">
        <f>查询与汇总!$J$1*M94</f>
        <v>0</v>
      </c>
      <c r="W94" s="149">
        <f t="shared" si="26"/>
        <v>0</v>
      </c>
      <c r="X94" s="174"/>
      <c r="Y94" s="177"/>
      <c r="Z94" s="178"/>
      <c r="AA94" s="160" t="str">
        <f>主抽数据!M96</f>
        <v/>
      </c>
      <c r="AB94" s="161" t="str">
        <f>主抽数据!N96</f>
        <v/>
      </c>
      <c r="AC94" s="162">
        <f t="shared" si="31"/>
        <v>0</v>
      </c>
      <c r="AE94" s="123" t="e">
        <f t="shared" si="27"/>
        <v>#VALUE!</v>
      </c>
      <c r="AF94" s="123" t="e">
        <f t="shared" si="28"/>
        <v>#VALUE!</v>
      </c>
      <c r="AG94" s="123">
        <f t="shared" si="29"/>
        <v>0</v>
      </c>
      <c r="AH94" s="123">
        <f t="shared" si="30"/>
        <v>0</v>
      </c>
    </row>
    <row r="95" spans="1:34" ht="20.25" customHeight="1">
      <c r="A95" s="194">
        <f t="shared" si="32"/>
        <v>43374</v>
      </c>
      <c r="B95" s="134">
        <f t="shared" si="37"/>
        <v>0.66666666666666696</v>
      </c>
      <c r="C95" s="133">
        <f t="shared" si="38"/>
        <v>43374.666666666664</v>
      </c>
      <c r="D95" s="134" t="str">
        <f t="shared" si="34"/>
        <v>中班</v>
      </c>
      <c r="E95" s="143">
        <f>'6烧主抽电耗'!E95</f>
        <v>1</v>
      </c>
      <c r="F95" s="143" t="str">
        <f>'6烧主抽电耗'!F95</f>
        <v>甲班</v>
      </c>
      <c r="G95" s="132">
        <f>SUMPRODUCT((_5shaozhuchou_month_day!$A$3:$A$900&gt;=C95)*(_5shaozhuchou_month_day!$A$3:$A$900&lt;C96),_5shaozhuchou_month_day!$Y$3:$Y$900)/8</f>
        <v>0</v>
      </c>
      <c r="H95" s="132">
        <f t="shared" si="23"/>
        <v>0</v>
      </c>
      <c r="I95" s="195">
        <f t="shared" si="36"/>
        <v>0</v>
      </c>
      <c r="J95" s="196">
        <f>SUMPRODUCT((主抽数据!$AU$5:$AU$97=$A95)*(主抽数据!$AV$5:$AV$97=$F95),主抽数据!$AH$5:$AH$97)</f>
        <v>0</v>
      </c>
      <c r="K95" s="196">
        <f>SUMPRODUCT((主抽数据!$AU$5:$AU$97=$A95)*(主抽数据!$AV$5:$AV$97=$F95),主抽数据!$AI$5:$AI$97)</f>
        <v>0</v>
      </c>
      <c r="L95" s="143">
        <f t="shared" si="24"/>
        <v>0</v>
      </c>
      <c r="M95" s="143">
        <f>SUMPRODUCT((_5shaozhuchou_month_day!$A$3:$A$900&gt;=C95)*(_5shaozhuchou_month_day!$A$3:$A$900&lt;C96),_5shaozhuchou_month_day!$Z$3:$Z$900)</f>
        <v>0</v>
      </c>
      <c r="N95" s="132">
        <f>M95*查询与汇总!$F$1</f>
        <v>0</v>
      </c>
      <c r="O95" s="144">
        <f t="shared" si="25"/>
        <v>0</v>
      </c>
      <c r="P95" s="143">
        <f>IF(G95=0,0,SUMPRODUCT((_5shaozhuchou_month_day!$A$3:$A$900&gt;=$C95)*(_5shaozhuchou_month_day!$A$3:$A$900&lt;$C96),_5shaozhuchou_month_day!T$3:T$900)/SUMPRODUCT((_5shaozhuchou_month_day!$A$3:$A$900&gt;=$C95)*(_5shaozhuchou_month_day!$A$3:$A$900&lt;$C96)*(_5shaozhuchou_month_day!T$3:T$900&gt;0)))</f>
        <v>0</v>
      </c>
      <c r="Q95" s="145">
        <f>IF(G95=0,0,SUMPRODUCT((_5shaozhuchou_month_day!$A$3:$A$900&gt;=$C95)*(_5shaozhuchou_month_day!$A$3:$A$900&lt;$C96),_5shaozhuchou_month_day!U$3:U$900)/SUMPRODUCT((_5shaozhuchou_month_day!$A$3:$A$900&gt;=$C95)*(_5shaozhuchou_month_day!$A$3:$A$900&lt;$C96)*(_5shaozhuchou_month_day!U$3:U$900&lt;0)))</f>
        <v>0</v>
      </c>
      <c r="R95" s="143">
        <f>IF(G95=0,0,SUMPRODUCT((_5shaozhuchou_month_day!$A$3:$A$900&gt;=$C95)*(_5shaozhuchou_month_day!$A$3:$A$900&lt;$C96),_5shaozhuchou_month_day!V$3:V$900)/SUMPRODUCT((_5shaozhuchou_month_day!$A$3:$A$900&gt;=$C95)*(_5shaozhuchou_month_day!$A$3:$A$900&lt;$C96)*(_5shaozhuchou_month_day!V$3:V$900&gt;0)))</f>
        <v>0</v>
      </c>
      <c r="S95" s="145">
        <f>IF(G95=0,0,SUMPRODUCT((_5shaozhuchou_month_day!$A$3:$A$900&gt;=$C95)*(_5shaozhuchou_month_day!$A$3:$A$900&lt;$C96),_5shaozhuchou_month_day!W$3:W$900)/SUMPRODUCT((_5shaozhuchou_month_day!$A$3:$A$900&gt;=$C95)*(_5shaozhuchou_month_day!$A$3:$A$900&lt;$C96)*(_5shaozhuchou_month_day!W$3:W$900&lt;0)))</f>
        <v>0</v>
      </c>
      <c r="T95" s="145" t="str">
        <f>主抽数据!K97</f>
        <v/>
      </c>
      <c r="U95" s="132" t="str">
        <f>主抽数据!L97</f>
        <v/>
      </c>
      <c r="V95" s="148">
        <f>查询与汇总!$J$1*M95</f>
        <v>0</v>
      </c>
      <c r="W95" s="149">
        <f t="shared" si="26"/>
        <v>0</v>
      </c>
      <c r="X95" s="174"/>
      <c r="Y95" s="177"/>
      <c r="Z95" s="178"/>
      <c r="AA95" s="160" t="str">
        <f>主抽数据!M97</f>
        <v/>
      </c>
      <c r="AB95" s="161" t="str">
        <f>主抽数据!N97</f>
        <v/>
      </c>
      <c r="AC95" s="162">
        <f t="shared" si="31"/>
        <v>0</v>
      </c>
      <c r="AE95" s="123" t="e">
        <f t="shared" si="27"/>
        <v>#VALUE!</v>
      </c>
      <c r="AF95" s="123" t="e">
        <f t="shared" si="28"/>
        <v>#VALUE!</v>
      </c>
      <c r="AG95" s="123">
        <f t="shared" si="29"/>
        <v>0</v>
      </c>
      <c r="AH95" s="123">
        <f t="shared" si="30"/>
        <v>0</v>
      </c>
    </row>
    <row r="96" spans="1:34" ht="20.25" customHeight="1">
      <c r="A96" s="194">
        <f t="shared" si="32"/>
        <v>43375</v>
      </c>
      <c r="B96" s="134"/>
      <c r="C96" s="133"/>
      <c r="D96" s="134"/>
      <c r="E96" s="143"/>
      <c r="F96" s="143"/>
      <c r="G96" s="132"/>
      <c r="H96" s="132"/>
      <c r="I96" s="195"/>
      <c r="J96" s="196"/>
      <c r="K96" s="196"/>
      <c r="L96" s="143"/>
      <c r="M96" s="143"/>
      <c r="N96" s="132"/>
      <c r="O96" s="144"/>
      <c r="P96" s="143"/>
      <c r="Q96" s="132"/>
      <c r="R96" s="143"/>
      <c r="S96" s="132"/>
      <c r="T96" s="175"/>
      <c r="U96" s="203"/>
      <c r="V96" s="148"/>
      <c r="W96" s="149"/>
      <c r="X96" s="174"/>
      <c r="Y96" s="177"/>
      <c r="Z96" s="178"/>
      <c r="AA96" s="160"/>
      <c r="AB96" s="161"/>
      <c r="AC96" s="162"/>
    </row>
    <row r="97" spans="1:29" ht="20.25" customHeight="1">
      <c r="A97" s="200" t="s">
        <v>75</v>
      </c>
      <c r="B97" s="172"/>
      <c r="C97" s="172"/>
      <c r="D97" s="172"/>
      <c r="E97" s="143"/>
      <c r="F97" s="143"/>
      <c r="G97" s="173"/>
      <c r="H97" s="173">
        <f>SUM(H3:H95)</f>
        <v>0</v>
      </c>
      <c r="I97" s="201">
        <f>SUM(I3:I95)</f>
        <v>0</v>
      </c>
      <c r="J97" s="173">
        <f>SUM(J3:J95)</f>
        <v>-130633080</v>
      </c>
      <c r="K97" s="173">
        <f>SUM(K3:K95)</f>
        <v>-105060087</v>
      </c>
      <c r="L97" s="173">
        <f>SUM(L3:L95)</f>
        <v>-235693167</v>
      </c>
      <c r="M97" s="143">
        <f>SUMPRODUCT((_5shaozhuchou_month_day!$A$3:$A$192&gt;=C97)*(_5shaozhuchou_month_day!$A$3:$A$192&lt;C98),_5shaozhuchou_month_day!$Z$3:$Z$192)</f>
        <v>0</v>
      </c>
      <c r="N97" s="173">
        <f>SUM(N3:N95)</f>
        <v>0</v>
      </c>
      <c r="O97" s="144" t="e">
        <f>L97*1000/N97/5.8</f>
        <v>#DIV/0!</v>
      </c>
      <c r="P97" s="202"/>
      <c r="Q97" s="173"/>
      <c r="R97" s="202"/>
      <c r="S97" s="173"/>
      <c r="T97" s="172"/>
      <c r="U97" s="173"/>
      <c r="V97" s="148"/>
      <c r="W97" s="149" t="e">
        <f>O97-V97</f>
        <v>#DIV/0!</v>
      </c>
      <c r="X97" s="172">
        <f>SUM(X3:X95)</f>
        <v>0</v>
      </c>
      <c r="Y97" s="172"/>
      <c r="Z97" s="172"/>
      <c r="AA97" s="160"/>
      <c r="AB97" s="161"/>
      <c r="AC97" s="162">
        <f>SUM(AC3:AC96)</f>
        <v>-15332.756429999999</v>
      </c>
    </row>
  </sheetData>
  <protectedRanges>
    <protectedRange sqref="M3:M95" name="区域2_1" securityDescriptor=""/>
    <protectedRange sqref="Y10" name="区域1_3_3" securityDescriptor=""/>
  </protectedRanges>
  <mergeCells count="1">
    <mergeCell ref="A1:Z1"/>
  </mergeCells>
  <phoneticPr fontId="53" type="noConversion"/>
  <pageMargins left="0.75" right="0.75" top="1" bottom="1" header="0.5" footer="0.5"/>
  <pageSetup paperSize="9" orientation="portrait" horizont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AS746"/>
  <sheetViews>
    <sheetView topLeftCell="Y1" workbookViewId="0">
      <pane ySplit="1" topLeftCell="A2" activePane="bottomLeft" state="frozen"/>
      <selection pane="bottomLeft" activeCell="Z23" sqref="Z23"/>
    </sheetView>
  </sheetViews>
  <sheetFormatPr defaultColWidth="9" defaultRowHeight="14.25"/>
  <cols>
    <col min="1" max="1" width="17.25" style="11"/>
    <col min="2" max="2" width="3.5" style="183"/>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pans="1:45" ht="57" customHeight="1">
      <c r="A1" s="184" t="s">
        <v>12</v>
      </c>
      <c r="B1" s="184" t="s">
        <v>101</v>
      </c>
      <c r="C1" s="184" t="s">
        <v>102</v>
      </c>
      <c r="D1" s="184" t="s">
        <v>103</v>
      </c>
      <c r="E1" s="184" t="s">
        <v>104</v>
      </c>
      <c r="F1" s="184" t="s">
        <v>105</v>
      </c>
      <c r="G1" s="184" t="s">
        <v>106</v>
      </c>
      <c r="H1" s="184" t="s">
        <v>107</v>
      </c>
      <c r="I1" s="184" t="s">
        <v>108</v>
      </c>
      <c r="J1" s="184" t="s">
        <v>109</v>
      </c>
      <c r="K1" s="184" t="s">
        <v>110</v>
      </c>
      <c r="L1" s="184" t="s">
        <v>111</v>
      </c>
      <c r="M1" s="184" t="s">
        <v>112</v>
      </c>
      <c r="N1" s="184" t="s">
        <v>113</v>
      </c>
      <c r="O1" s="187" t="s">
        <v>114</v>
      </c>
      <c r="P1" s="184" t="s">
        <v>115</v>
      </c>
      <c r="Q1" s="187" t="s">
        <v>116</v>
      </c>
      <c r="R1" s="184" t="s">
        <v>117</v>
      </c>
      <c r="S1" s="184" t="s">
        <v>118</v>
      </c>
      <c r="T1" s="184" t="s">
        <v>119</v>
      </c>
      <c r="U1" s="184" t="s">
        <v>120</v>
      </c>
      <c r="V1" s="184" t="s">
        <v>121</v>
      </c>
      <c r="W1" s="184" t="s">
        <v>122</v>
      </c>
      <c r="X1" s="184" t="s">
        <v>123</v>
      </c>
      <c r="Y1" s="184" t="s">
        <v>124</v>
      </c>
      <c r="Z1" s="184" t="s">
        <v>125</v>
      </c>
      <c r="AA1" s="184" t="s">
        <v>126</v>
      </c>
      <c r="AB1" s="184" t="s">
        <v>127</v>
      </c>
      <c r="AC1" s="184" t="s">
        <v>128</v>
      </c>
      <c r="AD1" s="184" t="s">
        <v>129</v>
      </c>
      <c r="AE1" s="184" t="s">
        <v>130</v>
      </c>
      <c r="AF1" s="184" t="s">
        <v>131</v>
      </c>
      <c r="AG1" s="184" t="s">
        <v>132</v>
      </c>
      <c r="AH1" s="184" t="s">
        <v>133</v>
      </c>
      <c r="AI1" s="184" t="s">
        <v>134</v>
      </c>
      <c r="AJ1" s="184" t="s">
        <v>135</v>
      </c>
      <c r="AK1" s="184" t="s">
        <v>136</v>
      </c>
      <c r="AL1" s="184" t="s">
        <v>137</v>
      </c>
      <c r="AM1" s="184" t="s">
        <v>138</v>
      </c>
      <c r="AN1" s="184" t="s">
        <v>139</v>
      </c>
      <c r="AO1" s="184" t="s">
        <v>140</v>
      </c>
      <c r="AP1" s="184" t="s">
        <v>141</v>
      </c>
      <c r="AQ1" s="184" t="s">
        <v>142</v>
      </c>
      <c r="AR1" s="184" t="s">
        <v>143</v>
      </c>
      <c r="AS1" s="184" t="s">
        <v>144</v>
      </c>
    </row>
    <row r="2" spans="1:45" s="182" customFormat="1" ht="57">
      <c r="A2" s="185"/>
      <c r="C2" s="182" t="s">
        <v>145</v>
      </c>
      <c r="H2" s="182" t="s">
        <v>146</v>
      </c>
      <c r="I2" s="182" t="s">
        <v>147</v>
      </c>
      <c r="J2" s="182" t="s">
        <v>148</v>
      </c>
      <c r="K2" s="182" t="s">
        <v>149</v>
      </c>
      <c r="L2" s="182" t="s">
        <v>150</v>
      </c>
      <c r="M2" s="182" t="s">
        <v>151</v>
      </c>
      <c r="N2" s="182" t="s">
        <v>152</v>
      </c>
      <c r="O2" s="182" t="s">
        <v>153</v>
      </c>
      <c r="P2" s="182" t="s">
        <v>154</v>
      </c>
      <c r="Q2" s="182" t="s">
        <v>155</v>
      </c>
      <c r="R2" s="182" t="s">
        <v>156</v>
      </c>
      <c r="S2" s="182" t="s">
        <v>157</v>
      </c>
      <c r="T2" s="182" t="s">
        <v>158</v>
      </c>
      <c r="U2" s="182" t="s">
        <v>159</v>
      </c>
      <c r="V2" s="182" t="s">
        <v>160</v>
      </c>
      <c r="W2" s="182" t="s">
        <v>161</v>
      </c>
      <c r="X2" s="182" t="s">
        <v>145</v>
      </c>
      <c r="Y2" s="182" t="s">
        <v>162</v>
      </c>
      <c r="Z2" s="182" t="s">
        <v>145</v>
      </c>
      <c r="AA2" s="182" t="s">
        <v>163</v>
      </c>
      <c r="AB2" s="182" t="s">
        <v>164</v>
      </c>
      <c r="AC2" s="182" t="s">
        <v>165</v>
      </c>
      <c r="AD2" s="182" t="s">
        <v>166</v>
      </c>
      <c r="AE2" s="182" t="s">
        <v>167</v>
      </c>
      <c r="AF2" s="188" t="s">
        <v>168</v>
      </c>
      <c r="AG2" s="188" t="s">
        <v>169</v>
      </c>
      <c r="AH2" s="188"/>
      <c r="AI2" s="182" t="s">
        <v>170</v>
      </c>
      <c r="AJ2" s="182" t="s">
        <v>171</v>
      </c>
      <c r="AK2" s="188"/>
      <c r="AL2" s="182" t="s">
        <v>145</v>
      </c>
      <c r="AM2" s="182" t="s">
        <v>145</v>
      </c>
      <c r="AN2" s="182" t="s">
        <v>145</v>
      </c>
      <c r="AO2" s="182" t="s">
        <v>145</v>
      </c>
      <c r="AP2" s="182" t="s">
        <v>145</v>
      </c>
      <c r="AQ2" s="182" t="s">
        <v>145</v>
      </c>
    </row>
    <row r="3" spans="1:45">
      <c r="A3" s="186"/>
      <c r="B3" s="11"/>
    </row>
    <row r="4" spans="1:45">
      <c r="A4" s="186"/>
      <c r="B4" s="11"/>
    </row>
    <row r="5" spans="1:45">
      <c r="A5" s="186"/>
      <c r="B5" s="11"/>
    </row>
    <row r="6" spans="1:45">
      <c r="A6" s="186"/>
      <c r="B6" s="11"/>
    </row>
    <row r="7" spans="1:45">
      <c r="A7" s="186"/>
      <c r="B7" s="11"/>
    </row>
    <row r="8" spans="1:45">
      <c r="A8" s="186"/>
      <c r="B8" s="11"/>
    </row>
    <row r="9" spans="1:45">
      <c r="A9" s="186"/>
      <c r="B9" s="11"/>
    </row>
    <row r="10" spans="1:45">
      <c r="A10" s="186"/>
      <c r="B10" s="11"/>
    </row>
    <row r="11" spans="1:45">
      <c r="A11" s="186"/>
      <c r="B11" s="11"/>
    </row>
    <row r="12" spans="1:45">
      <c r="A12" s="186"/>
      <c r="B12" s="11"/>
    </row>
    <row r="13" spans="1:45">
      <c r="A13" s="186"/>
      <c r="B13" s="11"/>
    </row>
    <row r="14" spans="1:45">
      <c r="A14" s="186"/>
      <c r="B14" s="11"/>
    </row>
    <row r="15" spans="1:45">
      <c r="A15" s="186"/>
      <c r="B15" s="11"/>
    </row>
    <row r="16" spans="1:45">
      <c r="A16" s="186"/>
      <c r="B16" s="11"/>
    </row>
    <row r="17" spans="1:1" s="11" customFormat="1">
      <c r="A17" s="186"/>
    </row>
    <row r="18" spans="1:1" s="11" customFormat="1">
      <c r="A18" s="186"/>
    </row>
    <row r="19" spans="1:1" s="11" customFormat="1">
      <c r="A19" s="186"/>
    </row>
    <row r="20" spans="1:1" s="11" customFormat="1">
      <c r="A20" s="186"/>
    </row>
    <row r="21" spans="1:1" s="11" customFormat="1">
      <c r="A21" s="186"/>
    </row>
    <row r="22" spans="1:1" s="11" customFormat="1">
      <c r="A22" s="186"/>
    </row>
    <row r="23" spans="1:1" s="11" customFormat="1">
      <c r="A23" s="186"/>
    </row>
    <row r="24" spans="1:1" s="11" customFormat="1">
      <c r="A24" s="186"/>
    </row>
    <row r="25" spans="1:1" s="11" customFormat="1">
      <c r="A25" s="186"/>
    </row>
    <row r="26" spans="1:1" s="11" customFormat="1">
      <c r="A26" s="186"/>
    </row>
    <row r="27" spans="1:1" s="11" customFormat="1">
      <c r="A27" s="186"/>
    </row>
    <row r="28" spans="1:1" s="11" customFormat="1">
      <c r="A28" s="186"/>
    </row>
    <row r="29" spans="1:1" s="11" customFormat="1">
      <c r="A29" s="186"/>
    </row>
    <row r="30" spans="1:1" s="11" customFormat="1">
      <c r="A30" s="186"/>
    </row>
    <row r="31" spans="1:1" s="11" customFormat="1">
      <c r="A31" s="186"/>
    </row>
    <row r="32" spans="1:1" s="11" customFormat="1">
      <c r="A32" s="186"/>
    </row>
    <row r="33" spans="1:1" s="11" customFormat="1">
      <c r="A33" s="186"/>
    </row>
    <row r="34" spans="1:1" s="11" customFormat="1">
      <c r="A34" s="186"/>
    </row>
    <row r="35" spans="1:1" s="11" customFormat="1">
      <c r="A35" s="186"/>
    </row>
    <row r="36" spans="1:1" s="11" customFormat="1">
      <c r="A36" s="186"/>
    </row>
    <row r="37" spans="1:1" s="11" customFormat="1">
      <c r="A37" s="186"/>
    </row>
    <row r="38" spans="1:1" s="11" customFormat="1">
      <c r="A38" s="186"/>
    </row>
    <row r="39" spans="1:1" s="11" customFormat="1">
      <c r="A39" s="186"/>
    </row>
    <row r="40" spans="1:1" s="11" customFormat="1">
      <c r="A40" s="186"/>
    </row>
    <row r="41" spans="1:1" s="11" customFormat="1">
      <c r="A41" s="186"/>
    </row>
    <row r="42" spans="1:1" s="11" customFormat="1">
      <c r="A42" s="186"/>
    </row>
    <row r="43" spans="1:1" s="11" customFormat="1">
      <c r="A43" s="186"/>
    </row>
    <row r="44" spans="1:1" s="11" customFormat="1">
      <c r="A44" s="186"/>
    </row>
    <row r="45" spans="1:1" s="11" customFormat="1">
      <c r="A45" s="186"/>
    </row>
    <row r="46" spans="1:1" s="11" customFormat="1">
      <c r="A46" s="186"/>
    </row>
    <row r="47" spans="1:1" s="11" customFormat="1">
      <c r="A47" s="186"/>
    </row>
    <row r="48" spans="1:1" s="11" customFormat="1">
      <c r="A48" s="186"/>
    </row>
    <row r="49" spans="1:1" s="11" customFormat="1">
      <c r="A49" s="186"/>
    </row>
    <row r="50" spans="1:1" s="11" customFormat="1">
      <c r="A50" s="186"/>
    </row>
    <row r="51" spans="1:1" s="11" customFormat="1">
      <c r="A51" s="186"/>
    </row>
    <row r="52" spans="1:1" s="11" customFormat="1">
      <c r="A52" s="186"/>
    </row>
    <row r="53" spans="1:1" s="11" customFormat="1">
      <c r="A53" s="186"/>
    </row>
    <row r="54" spans="1:1" s="11" customFormat="1">
      <c r="A54" s="186"/>
    </row>
    <row r="55" spans="1:1" s="11" customFormat="1">
      <c r="A55" s="186"/>
    </row>
    <row r="56" spans="1:1" s="11" customFormat="1">
      <c r="A56" s="186"/>
    </row>
    <row r="57" spans="1:1" s="11" customFormat="1">
      <c r="A57" s="186"/>
    </row>
    <row r="58" spans="1:1" s="11" customFormat="1">
      <c r="A58" s="186"/>
    </row>
    <row r="59" spans="1:1" s="11" customFormat="1">
      <c r="A59" s="186"/>
    </row>
    <row r="60" spans="1:1" s="11" customFormat="1">
      <c r="A60" s="186"/>
    </row>
    <row r="61" spans="1:1" s="11" customFormat="1">
      <c r="A61" s="186"/>
    </row>
    <row r="62" spans="1:1" s="11" customFormat="1">
      <c r="A62" s="186"/>
    </row>
    <row r="63" spans="1:1" s="11" customFormat="1">
      <c r="A63" s="186"/>
    </row>
    <row r="64" spans="1:1" s="11" customFormat="1">
      <c r="A64" s="186"/>
    </row>
    <row r="65" spans="1:1" s="11" customFormat="1">
      <c r="A65" s="186"/>
    </row>
    <row r="66" spans="1:1" s="11" customFormat="1">
      <c r="A66" s="186"/>
    </row>
    <row r="67" spans="1:1" s="11" customFormat="1">
      <c r="A67" s="186"/>
    </row>
    <row r="68" spans="1:1" s="11" customFormat="1">
      <c r="A68" s="186"/>
    </row>
    <row r="69" spans="1:1" s="11" customFormat="1">
      <c r="A69" s="186"/>
    </row>
    <row r="70" spans="1:1" s="11" customFormat="1">
      <c r="A70" s="186"/>
    </row>
    <row r="71" spans="1:1" s="11" customFormat="1">
      <c r="A71" s="186"/>
    </row>
    <row r="72" spans="1:1" s="11" customFormat="1">
      <c r="A72" s="186"/>
    </row>
    <row r="73" spans="1:1" s="11" customFormat="1">
      <c r="A73" s="186"/>
    </row>
    <row r="74" spans="1:1" s="11" customFormat="1">
      <c r="A74" s="186"/>
    </row>
    <row r="75" spans="1:1" s="11" customFormat="1">
      <c r="A75" s="186"/>
    </row>
    <row r="76" spans="1:1" s="11" customFormat="1">
      <c r="A76" s="186"/>
    </row>
    <row r="77" spans="1:1" s="11" customFormat="1">
      <c r="A77" s="186"/>
    </row>
    <row r="78" spans="1:1" s="11" customFormat="1">
      <c r="A78" s="186"/>
    </row>
    <row r="79" spans="1:1" s="11" customFormat="1">
      <c r="A79" s="186"/>
    </row>
    <row r="80" spans="1:1" s="11" customFormat="1">
      <c r="A80" s="186"/>
    </row>
    <row r="81" spans="1:1" s="11" customFormat="1">
      <c r="A81" s="186"/>
    </row>
    <row r="82" spans="1:1" s="11" customFormat="1">
      <c r="A82" s="186"/>
    </row>
    <row r="83" spans="1:1" s="11" customFormat="1">
      <c r="A83" s="186"/>
    </row>
    <row r="84" spans="1:1" s="11" customFormat="1">
      <c r="A84" s="186"/>
    </row>
    <row r="85" spans="1:1" s="11" customFormat="1">
      <c r="A85" s="186"/>
    </row>
    <row r="86" spans="1:1" s="11" customFormat="1">
      <c r="A86" s="186"/>
    </row>
    <row r="87" spans="1:1" s="11" customFormat="1">
      <c r="A87" s="186"/>
    </row>
    <row r="88" spans="1:1" s="11" customFormat="1">
      <c r="A88" s="186"/>
    </row>
    <row r="89" spans="1:1" s="11" customFormat="1">
      <c r="A89" s="186"/>
    </row>
    <row r="90" spans="1:1" s="11" customFormat="1">
      <c r="A90" s="186"/>
    </row>
    <row r="91" spans="1:1" s="11" customFormat="1">
      <c r="A91" s="186"/>
    </row>
    <row r="92" spans="1:1" s="11" customFormat="1">
      <c r="A92" s="186"/>
    </row>
    <row r="93" spans="1:1" s="11" customFormat="1">
      <c r="A93" s="186"/>
    </row>
    <row r="94" spans="1:1" s="11" customFormat="1">
      <c r="A94" s="186"/>
    </row>
    <row r="95" spans="1:1" s="11" customFormat="1">
      <c r="A95" s="186"/>
    </row>
    <row r="96" spans="1:1" s="11" customFormat="1">
      <c r="A96" s="186"/>
    </row>
    <row r="97" spans="1:1" s="11" customFormat="1">
      <c r="A97" s="186"/>
    </row>
    <row r="98" spans="1:1" s="11" customFormat="1">
      <c r="A98" s="186"/>
    </row>
    <row r="99" spans="1:1" s="11" customFormat="1">
      <c r="A99" s="186"/>
    </row>
    <row r="100" spans="1:1" s="11" customFormat="1">
      <c r="A100" s="186"/>
    </row>
    <row r="101" spans="1:1" s="11" customFormat="1">
      <c r="A101" s="186"/>
    </row>
    <row r="102" spans="1:1" s="11" customFormat="1">
      <c r="A102" s="186"/>
    </row>
    <row r="103" spans="1:1" s="11" customFormat="1">
      <c r="A103" s="186"/>
    </row>
    <row r="104" spans="1:1" s="11" customFormat="1">
      <c r="A104" s="186"/>
    </row>
    <row r="105" spans="1:1" s="11" customFormat="1">
      <c r="A105" s="186"/>
    </row>
    <row r="106" spans="1:1" s="11" customFormat="1">
      <c r="A106" s="186"/>
    </row>
    <row r="107" spans="1:1" s="11" customFormat="1">
      <c r="A107" s="186"/>
    </row>
    <row r="108" spans="1:1" s="11" customFormat="1">
      <c r="A108" s="186"/>
    </row>
    <row r="109" spans="1:1" s="11" customFormat="1">
      <c r="A109" s="186"/>
    </row>
    <row r="110" spans="1:1" s="11" customFormat="1">
      <c r="A110" s="186"/>
    </row>
    <row r="111" spans="1:1" s="11" customFormat="1">
      <c r="A111" s="186"/>
    </row>
    <row r="112" spans="1:1" s="11" customFormat="1">
      <c r="A112" s="186"/>
    </row>
    <row r="113" spans="1:1" s="11" customFormat="1">
      <c r="A113" s="186"/>
    </row>
    <row r="114" spans="1:1" s="11" customFormat="1">
      <c r="A114" s="186"/>
    </row>
    <row r="115" spans="1:1" s="11" customFormat="1">
      <c r="A115" s="186"/>
    </row>
    <row r="116" spans="1:1" s="11" customFormat="1">
      <c r="A116" s="186"/>
    </row>
    <row r="117" spans="1:1" s="11" customFormat="1">
      <c r="A117" s="186"/>
    </row>
    <row r="118" spans="1:1" s="11" customFormat="1">
      <c r="A118" s="186"/>
    </row>
    <row r="119" spans="1:1" s="11" customFormat="1">
      <c r="A119" s="186"/>
    </row>
    <row r="120" spans="1:1" s="11" customFormat="1">
      <c r="A120" s="186"/>
    </row>
    <row r="121" spans="1:1" s="11" customFormat="1">
      <c r="A121" s="186"/>
    </row>
    <row r="122" spans="1:1" s="11" customFormat="1">
      <c r="A122" s="186"/>
    </row>
    <row r="123" spans="1:1" s="11" customFormat="1">
      <c r="A123" s="186"/>
    </row>
    <row r="124" spans="1:1" s="11" customFormat="1">
      <c r="A124" s="186"/>
    </row>
    <row r="125" spans="1:1" s="11" customFormat="1">
      <c r="A125" s="186"/>
    </row>
    <row r="126" spans="1:1" s="11" customFormat="1">
      <c r="A126" s="186"/>
    </row>
    <row r="127" spans="1:1" s="11" customFormat="1">
      <c r="A127" s="186"/>
    </row>
    <row r="128" spans="1:1" s="11" customFormat="1">
      <c r="A128" s="186"/>
    </row>
    <row r="129" spans="1:1" s="11" customFormat="1">
      <c r="A129" s="186"/>
    </row>
    <row r="130" spans="1:1" s="11" customFormat="1">
      <c r="A130" s="186"/>
    </row>
    <row r="131" spans="1:1" s="11" customFormat="1">
      <c r="A131" s="186"/>
    </row>
    <row r="132" spans="1:1" s="11" customFormat="1">
      <c r="A132" s="186"/>
    </row>
    <row r="133" spans="1:1" s="11" customFormat="1">
      <c r="A133" s="186"/>
    </row>
    <row r="134" spans="1:1" s="11" customFormat="1">
      <c r="A134" s="186"/>
    </row>
    <row r="135" spans="1:1" s="11" customFormat="1">
      <c r="A135" s="186"/>
    </row>
    <row r="136" spans="1:1" s="11" customFormat="1">
      <c r="A136" s="186"/>
    </row>
    <row r="137" spans="1:1" s="11" customFormat="1">
      <c r="A137" s="186"/>
    </row>
    <row r="138" spans="1:1" s="11" customFormat="1">
      <c r="A138" s="186"/>
    </row>
    <row r="139" spans="1:1" s="11" customFormat="1">
      <c r="A139" s="186"/>
    </row>
    <row r="140" spans="1:1" s="11" customFormat="1">
      <c r="A140" s="186"/>
    </row>
    <row r="141" spans="1:1" s="11" customFormat="1">
      <c r="A141" s="186"/>
    </row>
    <row r="142" spans="1:1" s="11" customFormat="1">
      <c r="A142" s="186"/>
    </row>
    <row r="143" spans="1:1" s="11" customFormat="1">
      <c r="A143" s="186"/>
    </row>
    <row r="144" spans="1:1" s="11" customFormat="1">
      <c r="A144" s="186"/>
    </row>
    <row r="145" spans="1:1" s="11" customFormat="1">
      <c r="A145" s="186"/>
    </row>
    <row r="146" spans="1:1" s="11" customFormat="1">
      <c r="A146" s="186"/>
    </row>
    <row r="147" spans="1:1" s="11" customFormat="1">
      <c r="A147" s="186"/>
    </row>
    <row r="148" spans="1:1" s="11" customFormat="1">
      <c r="A148" s="186"/>
    </row>
    <row r="149" spans="1:1" s="11" customFormat="1">
      <c r="A149" s="186"/>
    </row>
    <row r="150" spans="1:1" s="11" customFormat="1">
      <c r="A150" s="186"/>
    </row>
    <row r="151" spans="1:1" s="11" customFormat="1">
      <c r="A151" s="186"/>
    </row>
    <row r="152" spans="1:1" s="11" customFormat="1">
      <c r="A152" s="186"/>
    </row>
    <row r="153" spans="1:1" s="11" customFormat="1">
      <c r="A153" s="186"/>
    </row>
    <row r="154" spans="1:1" s="11" customFormat="1">
      <c r="A154" s="186"/>
    </row>
    <row r="155" spans="1:1" s="11" customFormat="1">
      <c r="A155" s="186"/>
    </row>
    <row r="156" spans="1:1" s="11" customFormat="1">
      <c r="A156" s="186"/>
    </row>
    <row r="157" spans="1:1" s="11" customFormat="1">
      <c r="A157" s="186"/>
    </row>
    <row r="158" spans="1:1" s="11" customFormat="1">
      <c r="A158" s="186"/>
    </row>
    <row r="159" spans="1:1" s="11" customFormat="1">
      <c r="A159" s="186"/>
    </row>
    <row r="160" spans="1:1" s="11" customFormat="1">
      <c r="A160" s="186"/>
    </row>
    <row r="161" spans="1:1" s="11" customFormat="1">
      <c r="A161" s="186"/>
    </row>
    <row r="162" spans="1:1" s="11" customFormat="1">
      <c r="A162" s="186"/>
    </row>
    <row r="163" spans="1:1" s="11" customFormat="1">
      <c r="A163" s="186"/>
    </row>
    <row r="164" spans="1:1" s="11" customFormat="1">
      <c r="A164" s="186"/>
    </row>
    <row r="165" spans="1:1" s="11" customFormat="1">
      <c r="A165" s="186"/>
    </row>
    <row r="166" spans="1:1" s="11" customFormat="1">
      <c r="A166" s="186"/>
    </row>
    <row r="167" spans="1:1" s="11" customFormat="1">
      <c r="A167" s="186"/>
    </row>
    <row r="168" spans="1:1" s="11" customFormat="1">
      <c r="A168" s="186"/>
    </row>
    <row r="169" spans="1:1" s="11" customFormat="1">
      <c r="A169" s="186"/>
    </row>
    <row r="170" spans="1:1" s="11" customFormat="1">
      <c r="A170" s="186"/>
    </row>
    <row r="171" spans="1:1" s="11" customFormat="1">
      <c r="A171" s="186"/>
    </row>
    <row r="172" spans="1:1" s="11" customFormat="1">
      <c r="A172" s="186"/>
    </row>
    <row r="173" spans="1:1" s="11" customFormat="1">
      <c r="A173" s="186"/>
    </row>
    <row r="174" spans="1:1" s="11" customFormat="1">
      <c r="A174" s="186"/>
    </row>
    <row r="175" spans="1:1" s="11" customFormat="1">
      <c r="A175" s="186"/>
    </row>
    <row r="176" spans="1:1" s="11" customFormat="1">
      <c r="A176" s="186"/>
    </row>
    <row r="177" spans="1:1" s="11" customFormat="1">
      <c r="A177" s="186"/>
    </row>
    <row r="178" spans="1:1" s="11" customFormat="1">
      <c r="A178" s="186"/>
    </row>
    <row r="179" spans="1:1" s="11" customFormat="1">
      <c r="A179" s="186"/>
    </row>
    <row r="180" spans="1:1" s="11" customFormat="1">
      <c r="A180" s="186"/>
    </row>
    <row r="181" spans="1:1" s="11" customFormat="1">
      <c r="A181" s="186"/>
    </row>
    <row r="182" spans="1:1" s="11" customFormat="1">
      <c r="A182" s="186"/>
    </row>
    <row r="183" spans="1:1" s="11" customFormat="1">
      <c r="A183" s="186"/>
    </row>
    <row r="184" spans="1:1" s="11" customFormat="1">
      <c r="A184" s="186"/>
    </row>
    <row r="185" spans="1:1" s="11" customFormat="1">
      <c r="A185" s="186"/>
    </row>
    <row r="186" spans="1:1" s="11" customFormat="1">
      <c r="A186" s="186"/>
    </row>
    <row r="187" spans="1:1" s="11" customFormat="1">
      <c r="A187" s="186"/>
    </row>
    <row r="188" spans="1:1" s="11" customFormat="1">
      <c r="A188" s="186"/>
    </row>
    <row r="189" spans="1:1" s="11" customFormat="1">
      <c r="A189" s="186"/>
    </row>
    <row r="190" spans="1:1" s="11" customFormat="1">
      <c r="A190" s="186"/>
    </row>
    <row r="191" spans="1:1" s="11" customFormat="1">
      <c r="A191" s="186"/>
    </row>
    <row r="192" spans="1:1" s="11" customFormat="1">
      <c r="A192" s="186"/>
    </row>
    <row r="193" spans="1:1" s="11" customFormat="1">
      <c r="A193" s="186"/>
    </row>
    <row r="194" spans="1:1" s="11" customFormat="1">
      <c r="A194" s="186"/>
    </row>
    <row r="195" spans="1:1" s="11" customFormat="1">
      <c r="A195" s="186"/>
    </row>
    <row r="196" spans="1:1" s="11" customFormat="1">
      <c r="A196" s="186"/>
    </row>
    <row r="197" spans="1:1" s="11" customFormat="1">
      <c r="A197" s="186"/>
    </row>
    <row r="198" spans="1:1" s="11" customFormat="1">
      <c r="A198" s="186"/>
    </row>
    <row r="199" spans="1:1" s="11" customFormat="1">
      <c r="A199" s="186"/>
    </row>
    <row r="200" spans="1:1" s="11" customFormat="1">
      <c r="A200" s="186"/>
    </row>
    <row r="201" spans="1:1" s="11" customFormat="1">
      <c r="A201" s="186"/>
    </row>
    <row r="202" spans="1:1" s="11" customFormat="1">
      <c r="A202" s="186"/>
    </row>
    <row r="203" spans="1:1" s="11" customFormat="1">
      <c r="A203" s="186"/>
    </row>
    <row r="204" spans="1:1" s="11" customFormat="1">
      <c r="A204" s="186"/>
    </row>
    <row r="205" spans="1:1" s="11" customFormat="1">
      <c r="A205" s="186"/>
    </row>
    <row r="206" spans="1:1" s="11" customFormat="1">
      <c r="A206" s="186"/>
    </row>
    <row r="207" spans="1:1" s="11" customFormat="1">
      <c r="A207" s="186"/>
    </row>
    <row r="208" spans="1:1" s="11" customFormat="1">
      <c r="A208" s="186"/>
    </row>
    <row r="209" spans="1:1" s="11" customFormat="1">
      <c r="A209" s="186"/>
    </row>
    <row r="210" spans="1:1" s="11" customFormat="1">
      <c r="A210" s="186"/>
    </row>
    <row r="211" spans="1:1" s="11" customFormat="1">
      <c r="A211" s="186"/>
    </row>
    <row r="212" spans="1:1" s="11" customFormat="1">
      <c r="A212" s="186"/>
    </row>
    <row r="213" spans="1:1" s="11" customFormat="1">
      <c r="A213" s="186"/>
    </row>
    <row r="214" spans="1:1" s="11" customFormat="1">
      <c r="A214" s="186"/>
    </row>
    <row r="215" spans="1:1" s="11" customFormat="1">
      <c r="A215" s="186"/>
    </row>
    <row r="216" spans="1:1" s="11" customFormat="1">
      <c r="A216" s="186"/>
    </row>
    <row r="217" spans="1:1" s="11" customFormat="1">
      <c r="A217" s="186"/>
    </row>
    <row r="218" spans="1:1" s="11" customFormat="1">
      <c r="A218" s="186"/>
    </row>
    <row r="219" spans="1:1" s="11" customFormat="1">
      <c r="A219" s="186"/>
    </row>
    <row r="220" spans="1:1" s="11" customFormat="1">
      <c r="A220" s="186"/>
    </row>
    <row r="221" spans="1:1" s="11" customFormat="1">
      <c r="A221" s="186"/>
    </row>
    <row r="222" spans="1:1" s="11" customFormat="1">
      <c r="A222" s="186"/>
    </row>
    <row r="223" spans="1:1" s="11" customFormat="1">
      <c r="A223" s="186"/>
    </row>
    <row r="224" spans="1:1" s="11" customFormat="1">
      <c r="A224" s="186"/>
    </row>
    <row r="225" spans="1:1" s="11" customFormat="1">
      <c r="A225" s="186"/>
    </row>
    <row r="226" spans="1:1" s="11" customFormat="1">
      <c r="A226" s="186"/>
    </row>
    <row r="227" spans="1:1" s="11" customFormat="1">
      <c r="A227" s="186"/>
    </row>
    <row r="228" spans="1:1" s="11" customFormat="1">
      <c r="A228" s="186"/>
    </row>
    <row r="229" spans="1:1" s="11" customFormat="1">
      <c r="A229" s="186"/>
    </row>
    <row r="230" spans="1:1" s="11" customFormat="1">
      <c r="A230" s="186"/>
    </row>
    <row r="231" spans="1:1" s="11" customFormat="1">
      <c r="A231" s="186"/>
    </row>
    <row r="232" spans="1:1" s="11" customFormat="1">
      <c r="A232" s="186"/>
    </row>
    <row r="233" spans="1:1" s="11" customFormat="1">
      <c r="A233" s="186"/>
    </row>
    <row r="234" spans="1:1" s="11" customFormat="1">
      <c r="A234" s="186"/>
    </row>
    <row r="235" spans="1:1" s="11" customFormat="1">
      <c r="A235" s="186"/>
    </row>
    <row r="236" spans="1:1" s="11" customFormat="1">
      <c r="A236" s="186"/>
    </row>
    <row r="237" spans="1:1" s="11" customFormat="1">
      <c r="A237" s="186"/>
    </row>
    <row r="238" spans="1:1" s="11" customFormat="1">
      <c r="A238" s="186"/>
    </row>
    <row r="239" spans="1:1" s="11" customFormat="1">
      <c r="A239" s="186"/>
    </row>
    <row r="240" spans="1:1" s="11" customFormat="1">
      <c r="A240" s="186"/>
    </row>
    <row r="241" spans="1:1" s="11" customFormat="1">
      <c r="A241" s="186"/>
    </row>
    <row r="242" spans="1:1" s="11" customFormat="1">
      <c r="A242" s="186"/>
    </row>
    <row r="243" spans="1:1" s="11" customFormat="1">
      <c r="A243" s="186"/>
    </row>
    <row r="244" spans="1:1" s="11" customFormat="1">
      <c r="A244" s="186"/>
    </row>
    <row r="245" spans="1:1" s="11" customFormat="1">
      <c r="A245" s="186"/>
    </row>
    <row r="246" spans="1:1" s="11" customFormat="1">
      <c r="A246" s="186"/>
    </row>
    <row r="247" spans="1:1" s="11" customFormat="1">
      <c r="A247" s="186"/>
    </row>
    <row r="248" spans="1:1" s="11" customFormat="1">
      <c r="A248" s="186"/>
    </row>
    <row r="249" spans="1:1" s="11" customFormat="1">
      <c r="A249" s="186"/>
    </row>
    <row r="250" spans="1:1" s="11" customFormat="1">
      <c r="A250" s="186"/>
    </row>
    <row r="251" spans="1:1" s="11" customFormat="1">
      <c r="A251" s="186"/>
    </row>
    <row r="252" spans="1:1" s="11" customFormat="1">
      <c r="A252" s="186"/>
    </row>
    <row r="253" spans="1:1" s="11" customFormat="1">
      <c r="A253" s="186"/>
    </row>
    <row r="254" spans="1:1" s="11" customFormat="1">
      <c r="A254" s="186"/>
    </row>
    <row r="255" spans="1:1" s="11" customFormat="1">
      <c r="A255" s="186"/>
    </row>
    <row r="256" spans="1:1" s="11" customFormat="1">
      <c r="A256" s="186"/>
    </row>
    <row r="257" spans="1:1" s="11" customFormat="1">
      <c r="A257" s="186"/>
    </row>
    <row r="258" spans="1:1" s="11" customFormat="1">
      <c r="A258" s="186"/>
    </row>
    <row r="259" spans="1:1" s="11" customFormat="1">
      <c r="A259" s="186"/>
    </row>
    <row r="260" spans="1:1" s="11" customFormat="1">
      <c r="A260" s="186"/>
    </row>
    <row r="261" spans="1:1" s="11" customFormat="1">
      <c r="A261" s="186"/>
    </row>
    <row r="262" spans="1:1" s="11" customFormat="1">
      <c r="A262" s="186"/>
    </row>
    <row r="263" spans="1:1" s="11" customFormat="1">
      <c r="A263" s="186"/>
    </row>
    <row r="264" spans="1:1" s="11" customFormat="1">
      <c r="A264" s="186"/>
    </row>
    <row r="265" spans="1:1" s="11" customFormat="1">
      <c r="A265" s="186"/>
    </row>
    <row r="266" spans="1:1" s="11" customFormat="1">
      <c r="A266" s="186"/>
    </row>
    <row r="267" spans="1:1" s="11" customFormat="1">
      <c r="A267" s="186"/>
    </row>
    <row r="268" spans="1:1" s="11" customFormat="1">
      <c r="A268" s="186"/>
    </row>
    <row r="269" spans="1:1" s="11" customFormat="1">
      <c r="A269" s="186"/>
    </row>
    <row r="270" spans="1:1" s="11" customFormat="1">
      <c r="A270" s="186"/>
    </row>
    <row r="271" spans="1:1" s="11" customFormat="1">
      <c r="A271" s="186"/>
    </row>
    <row r="272" spans="1:1" s="11" customFormat="1">
      <c r="A272" s="186"/>
    </row>
    <row r="273" spans="1:1" s="11" customFormat="1">
      <c r="A273" s="186"/>
    </row>
    <row r="274" spans="1:1" s="11" customFormat="1">
      <c r="A274" s="186"/>
    </row>
    <row r="275" spans="1:1" s="11" customFormat="1">
      <c r="A275" s="186"/>
    </row>
    <row r="276" spans="1:1" s="11" customFormat="1">
      <c r="A276" s="186"/>
    </row>
    <row r="277" spans="1:1" s="11" customFormat="1">
      <c r="A277" s="186"/>
    </row>
    <row r="278" spans="1:1" s="11" customFormat="1">
      <c r="A278" s="186"/>
    </row>
    <row r="279" spans="1:1" s="11" customFormat="1">
      <c r="A279" s="186"/>
    </row>
    <row r="280" spans="1:1" s="11" customFormat="1">
      <c r="A280" s="186"/>
    </row>
    <row r="281" spans="1:1" s="11" customFormat="1">
      <c r="A281" s="186"/>
    </row>
    <row r="282" spans="1:1" s="11" customFormat="1">
      <c r="A282" s="186"/>
    </row>
    <row r="283" spans="1:1" s="11" customFormat="1">
      <c r="A283" s="186"/>
    </row>
    <row r="284" spans="1:1" s="11" customFormat="1">
      <c r="A284" s="186"/>
    </row>
    <row r="285" spans="1:1" s="11" customFormat="1">
      <c r="A285" s="186"/>
    </row>
    <row r="286" spans="1:1" s="11" customFormat="1">
      <c r="A286" s="186"/>
    </row>
    <row r="287" spans="1:1" s="11" customFormat="1">
      <c r="A287" s="186"/>
    </row>
    <row r="288" spans="1:1" s="11" customFormat="1">
      <c r="A288" s="186"/>
    </row>
    <row r="289" spans="1:1" s="11" customFormat="1">
      <c r="A289" s="186"/>
    </row>
    <row r="290" spans="1:1" s="11" customFormat="1">
      <c r="A290" s="186"/>
    </row>
    <row r="291" spans="1:1" s="11" customFormat="1">
      <c r="A291" s="186"/>
    </row>
    <row r="292" spans="1:1" s="11" customFormat="1">
      <c r="A292" s="186"/>
    </row>
    <row r="293" spans="1:1" s="11" customFormat="1">
      <c r="A293" s="186"/>
    </row>
    <row r="294" spans="1:1" s="11" customFormat="1">
      <c r="A294" s="186"/>
    </row>
    <row r="295" spans="1:1" s="11" customFormat="1">
      <c r="A295" s="186"/>
    </row>
    <row r="296" spans="1:1" s="11" customFormat="1">
      <c r="A296" s="186"/>
    </row>
    <row r="297" spans="1:1" s="11" customFormat="1">
      <c r="A297" s="186"/>
    </row>
    <row r="298" spans="1:1" s="11" customFormat="1">
      <c r="A298" s="186"/>
    </row>
    <row r="299" spans="1:1" s="11" customFormat="1">
      <c r="A299" s="186"/>
    </row>
    <row r="300" spans="1:1" s="11" customFormat="1">
      <c r="A300" s="186"/>
    </row>
    <row r="301" spans="1:1" s="11" customFormat="1">
      <c r="A301" s="186"/>
    </row>
    <row r="302" spans="1:1" s="11" customFormat="1">
      <c r="A302" s="186"/>
    </row>
    <row r="303" spans="1:1" s="11" customFormat="1">
      <c r="A303" s="186"/>
    </row>
    <row r="304" spans="1:1" s="11" customFormat="1">
      <c r="A304" s="186"/>
    </row>
    <row r="305" spans="1:1" s="11" customFormat="1">
      <c r="A305" s="186"/>
    </row>
    <row r="306" spans="1:1" s="11" customFormat="1">
      <c r="A306" s="186"/>
    </row>
    <row r="307" spans="1:1" s="11" customFormat="1">
      <c r="A307" s="186"/>
    </row>
    <row r="308" spans="1:1" s="11" customFormat="1">
      <c r="A308" s="186"/>
    </row>
    <row r="309" spans="1:1" s="11" customFormat="1">
      <c r="A309" s="186"/>
    </row>
    <row r="310" spans="1:1" s="11" customFormat="1">
      <c r="A310" s="186"/>
    </row>
    <row r="311" spans="1:1" s="11" customFormat="1">
      <c r="A311" s="186"/>
    </row>
    <row r="312" spans="1:1" s="11" customFormat="1">
      <c r="A312" s="186"/>
    </row>
    <row r="313" spans="1:1" s="11" customFormat="1">
      <c r="A313" s="186"/>
    </row>
    <row r="314" spans="1:1" s="11" customFormat="1">
      <c r="A314" s="186"/>
    </row>
    <row r="315" spans="1:1" s="11" customFormat="1">
      <c r="A315" s="186"/>
    </row>
    <row r="316" spans="1:1" s="11" customFormat="1">
      <c r="A316" s="186"/>
    </row>
    <row r="317" spans="1:1" s="11" customFormat="1">
      <c r="A317" s="186"/>
    </row>
    <row r="318" spans="1:1" s="11" customFormat="1">
      <c r="A318" s="186"/>
    </row>
    <row r="319" spans="1:1" s="11" customFormat="1">
      <c r="A319" s="186"/>
    </row>
    <row r="320" spans="1:1" s="11" customFormat="1">
      <c r="A320" s="186"/>
    </row>
    <row r="321" spans="1:1" s="11" customFormat="1">
      <c r="A321" s="186"/>
    </row>
    <row r="322" spans="1:1" s="11" customFormat="1">
      <c r="A322" s="186"/>
    </row>
    <row r="323" spans="1:1" s="11" customFormat="1">
      <c r="A323" s="186"/>
    </row>
    <row r="324" spans="1:1" s="11" customFormat="1">
      <c r="A324" s="186"/>
    </row>
    <row r="325" spans="1:1" s="11" customFormat="1">
      <c r="A325" s="186"/>
    </row>
    <row r="326" spans="1:1" s="11" customFormat="1">
      <c r="A326" s="186"/>
    </row>
    <row r="327" spans="1:1" s="11" customFormat="1">
      <c r="A327" s="186"/>
    </row>
    <row r="328" spans="1:1" s="11" customFormat="1">
      <c r="A328" s="186"/>
    </row>
    <row r="329" spans="1:1" s="11" customFormat="1">
      <c r="A329" s="186"/>
    </row>
    <row r="330" spans="1:1" s="11" customFormat="1">
      <c r="A330" s="186"/>
    </row>
    <row r="331" spans="1:1" s="11" customFormat="1">
      <c r="A331" s="186"/>
    </row>
    <row r="332" spans="1:1" s="11" customFormat="1">
      <c r="A332" s="186"/>
    </row>
    <row r="333" spans="1:1" s="11" customFormat="1">
      <c r="A333" s="186"/>
    </row>
    <row r="334" spans="1:1" s="11" customFormat="1">
      <c r="A334" s="186"/>
    </row>
    <row r="335" spans="1:1" s="11" customFormat="1">
      <c r="A335" s="186"/>
    </row>
    <row r="336" spans="1:1" s="11" customFormat="1">
      <c r="A336" s="186"/>
    </row>
    <row r="337" spans="1:1" s="11" customFormat="1">
      <c r="A337" s="186"/>
    </row>
    <row r="338" spans="1:1" s="11" customFormat="1">
      <c r="A338" s="186"/>
    </row>
    <row r="339" spans="1:1" s="11" customFormat="1">
      <c r="A339" s="186"/>
    </row>
    <row r="340" spans="1:1" s="11" customFormat="1">
      <c r="A340" s="186"/>
    </row>
    <row r="341" spans="1:1" s="11" customFormat="1">
      <c r="A341" s="186"/>
    </row>
    <row r="342" spans="1:1" s="11" customFormat="1">
      <c r="A342" s="186"/>
    </row>
    <row r="343" spans="1:1" s="11" customFormat="1">
      <c r="A343" s="186"/>
    </row>
    <row r="344" spans="1:1" s="11" customFormat="1">
      <c r="A344" s="186"/>
    </row>
    <row r="345" spans="1:1" s="11" customFormat="1">
      <c r="A345" s="186"/>
    </row>
    <row r="346" spans="1:1" s="11" customFormat="1">
      <c r="A346" s="186"/>
    </row>
    <row r="347" spans="1:1" s="11" customFormat="1">
      <c r="A347" s="186"/>
    </row>
    <row r="348" spans="1:1" s="11" customFormat="1">
      <c r="A348" s="186"/>
    </row>
    <row r="349" spans="1:1" s="11" customFormat="1">
      <c r="A349" s="186"/>
    </row>
    <row r="350" spans="1:1" s="11" customFormat="1">
      <c r="A350" s="186"/>
    </row>
    <row r="351" spans="1:1" s="11" customFormat="1">
      <c r="A351" s="186"/>
    </row>
    <row r="352" spans="1:1" s="11" customFormat="1">
      <c r="A352" s="186"/>
    </row>
    <row r="353" spans="1:1" s="11" customFormat="1">
      <c r="A353" s="186"/>
    </row>
    <row r="354" spans="1:1" s="11" customFormat="1">
      <c r="A354" s="186"/>
    </row>
    <row r="355" spans="1:1" s="11" customFormat="1">
      <c r="A355" s="186"/>
    </row>
    <row r="356" spans="1:1" s="11" customFormat="1">
      <c r="A356" s="186"/>
    </row>
    <row r="357" spans="1:1" s="11" customFormat="1">
      <c r="A357" s="186"/>
    </row>
    <row r="358" spans="1:1" s="11" customFormat="1">
      <c r="A358" s="186"/>
    </row>
    <row r="359" spans="1:1" s="11" customFormat="1">
      <c r="A359" s="186"/>
    </row>
    <row r="360" spans="1:1" s="11" customFormat="1">
      <c r="A360" s="186"/>
    </row>
    <row r="361" spans="1:1" s="11" customFormat="1">
      <c r="A361" s="186"/>
    </row>
    <row r="362" spans="1:1" s="11" customFormat="1">
      <c r="A362" s="186"/>
    </row>
    <row r="363" spans="1:1" s="11" customFormat="1">
      <c r="A363" s="186"/>
    </row>
    <row r="364" spans="1:1" s="11" customFormat="1">
      <c r="A364" s="186"/>
    </row>
    <row r="365" spans="1:1" s="11" customFormat="1">
      <c r="A365" s="186"/>
    </row>
    <row r="366" spans="1:1" s="11" customFormat="1">
      <c r="A366" s="186"/>
    </row>
    <row r="367" spans="1:1" s="11" customFormat="1">
      <c r="A367" s="186"/>
    </row>
    <row r="368" spans="1:1" s="11" customFormat="1">
      <c r="A368" s="186"/>
    </row>
    <row r="369" spans="1:1" s="11" customFormat="1">
      <c r="A369" s="186"/>
    </row>
    <row r="370" spans="1:1" s="11" customFormat="1">
      <c r="A370" s="186"/>
    </row>
    <row r="371" spans="1:1" s="11" customFormat="1">
      <c r="A371" s="186"/>
    </row>
    <row r="372" spans="1:1" s="11" customFormat="1">
      <c r="A372" s="186"/>
    </row>
    <row r="373" spans="1:1" s="11" customFormat="1">
      <c r="A373" s="186"/>
    </row>
    <row r="374" spans="1:1" s="11" customFormat="1">
      <c r="A374" s="186"/>
    </row>
    <row r="375" spans="1:1" s="11" customFormat="1">
      <c r="A375" s="186"/>
    </row>
    <row r="376" spans="1:1" s="11" customFormat="1">
      <c r="A376" s="186"/>
    </row>
    <row r="377" spans="1:1" s="11" customFormat="1">
      <c r="A377" s="186"/>
    </row>
    <row r="378" spans="1:1" s="11" customFormat="1">
      <c r="A378" s="186"/>
    </row>
    <row r="379" spans="1:1" s="11" customFormat="1">
      <c r="A379" s="186"/>
    </row>
    <row r="380" spans="1:1" s="11" customFormat="1">
      <c r="A380" s="186"/>
    </row>
    <row r="381" spans="1:1" s="11" customFormat="1">
      <c r="A381" s="186"/>
    </row>
    <row r="382" spans="1:1" s="11" customFormat="1">
      <c r="A382" s="186"/>
    </row>
    <row r="383" spans="1:1" s="11" customFormat="1">
      <c r="A383" s="186"/>
    </row>
    <row r="384" spans="1:1" s="11" customFormat="1">
      <c r="A384" s="186"/>
    </row>
    <row r="385" spans="1:1" s="11" customFormat="1">
      <c r="A385" s="186"/>
    </row>
    <row r="386" spans="1:1" s="11" customFormat="1">
      <c r="A386" s="186"/>
    </row>
    <row r="387" spans="1:1" s="11" customFormat="1">
      <c r="A387" s="186"/>
    </row>
    <row r="388" spans="1:1" s="11" customFormat="1">
      <c r="A388" s="186"/>
    </row>
    <row r="389" spans="1:1" s="11" customFormat="1">
      <c r="A389" s="186"/>
    </row>
    <row r="390" spans="1:1" s="11" customFormat="1">
      <c r="A390" s="186"/>
    </row>
    <row r="391" spans="1:1" s="11" customFormat="1">
      <c r="A391" s="186"/>
    </row>
    <row r="392" spans="1:1" s="11" customFormat="1">
      <c r="A392" s="186"/>
    </row>
    <row r="393" spans="1:1" s="11" customFormat="1">
      <c r="A393" s="186"/>
    </row>
    <row r="394" spans="1:1" s="11" customFormat="1">
      <c r="A394" s="186"/>
    </row>
    <row r="395" spans="1:1" s="11" customFormat="1">
      <c r="A395" s="186"/>
    </row>
    <row r="396" spans="1:1" s="11" customFormat="1">
      <c r="A396" s="186"/>
    </row>
    <row r="397" spans="1:1" s="11" customFormat="1">
      <c r="A397" s="186"/>
    </row>
    <row r="398" spans="1:1" s="11" customFormat="1">
      <c r="A398" s="186"/>
    </row>
    <row r="399" spans="1:1" s="11" customFormat="1">
      <c r="A399" s="186"/>
    </row>
    <row r="400" spans="1:1" s="11" customFormat="1">
      <c r="A400" s="186"/>
    </row>
    <row r="401" spans="1:1" s="11" customFormat="1">
      <c r="A401" s="186"/>
    </row>
    <row r="402" spans="1:1" s="11" customFormat="1">
      <c r="A402" s="186"/>
    </row>
    <row r="403" spans="1:1" s="11" customFormat="1">
      <c r="A403" s="186"/>
    </row>
    <row r="404" spans="1:1" s="11" customFormat="1">
      <c r="A404" s="186"/>
    </row>
    <row r="405" spans="1:1" s="11" customFormat="1">
      <c r="A405" s="186"/>
    </row>
    <row r="406" spans="1:1" s="11" customFormat="1">
      <c r="A406" s="186"/>
    </row>
    <row r="407" spans="1:1" s="11" customFormat="1">
      <c r="A407" s="186"/>
    </row>
    <row r="408" spans="1:1" s="11" customFormat="1">
      <c r="A408" s="186"/>
    </row>
    <row r="409" spans="1:1" s="11" customFormat="1">
      <c r="A409" s="186"/>
    </row>
    <row r="410" spans="1:1" s="11" customFormat="1">
      <c r="A410" s="186"/>
    </row>
    <row r="411" spans="1:1" s="11" customFormat="1">
      <c r="A411" s="186"/>
    </row>
    <row r="412" spans="1:1" s="11" customFormat="1">
      <c r="A412" s="186"/>
    </row>
    <row r="413" spans="1:1" s="11" customFormat="1">
      <c r="A413" s="186"/>
    </row>
    <row r="414" spans="1:1" s="11" customFormat="1">
      <c r="A414" s="186"/>
    </row>
    <row r="415" spans="1:1" s="11" customFormat="1">
      <c r="A415" s="186"/>
    </row>
    <row r="416" spans="1:1" s="11" customFormat="1">
      <c r="A416" s="186"/>
    </row>
    <row r="417" spans="1:1" s="11" customFormat="1">
      <c r="A417" s="186"/>
    </row>
    <row r="418" spans="1:1" s="11" customFormat="1">
      <c r="A418" s="186"/>
    </row>
    <row r="419" spans="1:1" s="11" customFormat="1">
      <c r="A419" s="186"/>
    </row>
    <row r="420" spans="1:1" s="11" customFormat="1">
      <c r="A420" s="186"/>
    </row>
    <row r="421" spans="1:1" s="11" customFormat="1">
      <c r="A421" s="186"/>
    </row>
    <row r="422" spans="1:1" s="11" customFormat="1">
      <c r="A422" s="186"/>
    </row>
    <row r="423" spans="1:1" s="11" customFormat="1">
      <c r="A423" s="186"/>
    </row>
    <row r="424" spans="1:1" s="11" customFormat="1">
      <c r="A424" s="186"/>
    </row>
    <row r="425" spans="1:1" s="11" customFormat="1">
      <c r="A425" s="186"/>
    </row>
    <row r="426" spans="1:1" s="11" customFormat="1">
      <c r="A426" s="186"/>
    </row>
    <row r="427" spans="1:1" s="11" customFormat="1">
      <c r="A427" s="186"/>
    </row>
    <row r="428" spans="1:1" s="11" customFormat="1">
      <c r="A428" s="186"/>
    </row>
    <row r="429" spans="1:1" s="11" customFormat="1">
      <c r="A429" s="186"/>
    </row>
    <row r="430" spans="1:1" s="11" customFormat="1">
      <c r="A430" s="186"/>
    </row>
    <row r="431" spans="1:1" s="11" customFormat="1">
      <c r="A431" s="186"/>
    </row>
    <row r="432" spans="1:1" s="11" customFormat="1">
      <c r="A432" s="186"/>
    </row>
    <row r="433" spans="1:1" s="11" customFormat="1">
      <c r="A433" s="186"/>
    </row>
    <row r="434" spans="1:1" s="11" customFormat="1">
      <c r="A434" s="186"/>
    </row>
    <row r="435" spans="1:1" s="11" customFormat="1">
      <c r="A435" s="186"/>
    </row>
    <row r="436" spans="1:1" s="11" customFormat="1">
      <c r="A436" s="186"/>
    </row>
    <row r="437" spans="1:1" s="11" customFormat="1">
      <c r="A437" s="186"/>
    </row>
    <row r="438" spans="1:1" s="11" customFormat="1">
      <c r="A438" s="186"/>
    </row>
    <row r="439" spans="1:1" s="11" customFormat="1">
      <c r="A439" s="186"/>
    </row>
    <row r="440" spans="1:1" s="11" customFormat="1">
      <c r="A440" s="186"/>
    </row>
    <row r="441" spans="1:1" s="11" customFormat="1">
      <c r="A441" s="186"/>
    </row>
    <row r="442" spans="1:1" s="11" customFormat="1">
      <c r="A442" s="186"/>
    </row>
    <row r="443" spans="1:1" s="11" customFormat="1">
      <c r="A443" s="186"/>
    </row>
    <row r="444" spans="1:1" s="11" customFormat="1">
      <c r="A444" s="186"/>
    </row>
    <row r="445" spans="1:1" s="11" customFormat="1">
      <c r="A445" s="186"/>
    </row>
    <row r="446" spans="1:1" s="11" customFormat="1">
      <c r="A446" s="186"/>
    </row>
    <row r="447" spans="1:1" s="11" customFormat="1">
      <c r="A447" s="186"/>
    </row>
    <row r="448" spans="1:1" s="11" customFormat="1">
      <c r="A448" s="186"/>
    </row>
    <row r="449" spans="1:1" s="11" customFormat="1">
      <c r="A449" s="186"/>
    </row>
    <row r="450" spans="1:1" s="11" customFormat="1">
      <c r="A450" s="186"/>
    </row>
    <row r="451" spans="1:1" s="11" customFormat="1">
      <c r="A451" s="186"/>
    </row>
    <row r="452" spans="1:1" s="11" customFormat="1">
      <c r="A452" s="186"/>
    </row>
    <row r="453" spans="1:1" s="11" customFormat="1">
      <c r="A453" s="186"/>
    </row>
    <row r="454" spans="1:1" s="11" customFormat="1">
      <c r="A454" s="186"/>
    </row>
    <row r="455" spans="1:1" s="11" customFormat="1">
      <c r="A455" s="186"/>
    </row>
    <row r="456" spans="1:1" s="11" customFormat="1">
      <c r="A456" s="186"/>
    </row>
    <row r="457" spans="1:1" s="11" customFormat="1">
      <c r="A457" s="186"/>
    </row>
    <row r="458" spans="1:1" s="11" customFormat="1">
      <c r="A458" s="186"/>
    </row>
    <row r="459" spans="1:1" s="11" customFormat="1">
      <c r="A459" s="186"/>
    </row>
    <row r="460" spans="1:1" s="11" customFormat="1">
      <c r="A460" s="186"/>
    </row>
    <row r="461" spans="1:1" s="11" customFormat="1">
      <c r="A461" s="186"/>
    </row>
    <row r="462" spans="1:1" s="11" customFormat="1">
      <c r="A462" s="186"/>
    </row>
    <row r="463" spans="1:1" s="11" customFormat="1">
      <c r="A463" s="186"/>
    </row>
    <row r="464" spans="1:1" s="11" customFormat="1">
      <c r="A464" s="186"/>
    </row>
    <row r="465" spans="1:1" s="11" customFormat="1">
      <c r="A465" s="186"/>
    </row>
    <row r="466" spans="1:1" s="11" customFormat="1">
      <c r="A466" s="186"/>
    </row>
    <row r="467" spans="1:1" s="11" customFormat="1">
      <c r="A467" s="186"/>
    </row>
    <row r="468" spans="1:1" s="11" customFormat="1">
      <c r="A468" s="186"/>
    </row>
    <row r="469" spans="1:1" s="11" customFormat="1">
      <c r="A469" s="186"/>
    </row>
    <row r="470" spans="1:1" s="11" customFormat="1">
      <c r="A470" s="186"/>
    </row>
    <row r="471" spans="1:1" s="11" customFormat="1">
      <c r="A471" s="186"/>
    </row>
    <row r="472" spans="1:1" s="11" customFormat="1">
      <c r="A472" s="186"/>
    </row>
    <row r="473" spans="1:1" s="11" customFormat="1">
      <c r="A473" s="186"/>
    </row>
    <row r="474" spans="1:1" s="11" customFormat="1">
      <c r="A474" s="186"/>
    </row>
    <row r="475" spans="1:1" s="11" customFormat="1">
      <c r="A475" s="186"/>
    </row>
    <row r="476" spans="1:1" s="11" customFormat="1">
      <c r="A476" s="186"/>
    </row>
    <row r="477" spans="1:1" s="11" customFormat="1">
      <c r="A477" s="186"/>
    </row>
    <row r="478" spans="1:1" s="11" customFormat="1">
      <c r="A478" s="186"/>
    </row>
    <row r="479" spans="1:1" s="11" customFormat="1">
      <c r="A479" s="186"/>
    </row>
    <row r="480" spans="1:1" s="11" customFormat="1">
      <c r="A480" s="186"/>
    </row>
    <row r="481" spans="1:1" s="11" customFormat="1">
      <c r="A481" s="186"/>
    </row>
    <row r="482" spans="1:1" s="11" customFormat="1">
      <c r="A482" s="186"/>
    </row>
    <row r="483" spans="1:1" s="11" customFormat="1">
      <c r="A483" s="186"/>
    </row>
    <row r="484" spans="1:1" s="11" customFormat="1">
      <c r="A484" s="186"/>
    </row>
    <row r="485" spans="1:1" s="11" customFormat="1">
      <c r="A485" s="186"/>
    </row>
    <row r="486" spans="1:1" s="11" customFormat="1">
      <c r="A486" s="186"/>
    </row>
    <row r="487" spans="1:1" s="11" customFormat="1">
      <c r="A487" s="186"/>
    </row>
    <row r="488" spans="1:1" s="11" customFormat="1">
      <c r="A488" s="186"/>
    </row>
    <row r="489" spans="1:1" s="11" customFormat="1">
      <c r="A489" s="186"/>
    </row>
    <row r="490" spans="1:1" s="11" customFormat="1">
      <c r="A490" s="186"/>
    </row>
    <row r="491" spans="1:1" s="11" customFormat="1">
      <c r="A491" s="186"/>
    </row>
    <row r="492" spans="1:1" s="11" customFormat="1">
      <c r="A492" s="186"/>
    </row>
    <row r="493" spans="1:1" s="11" customFormat="1">
      <c r="A493" s="186"/>
    </row>
    <row r="494" spans="1:1" s="11" customFormat="1">
      <c r="A494" s="186"/>
    </row>
    <row r="495" spans="1:1" s="11" customFormat="1">
      <c r="A495" s="186"/>
    </row>
    <row r="496" spans="1:1" s="11" customFormat="1">
      <c r="A496" s="186"/>
    </row>
    <row r="497" spans="1:1" s="11" customFormat="1">
      <c r="A497" s="186"/>
    </row>
    <row r="498" spans="1:1" s="11" customFormat="1">
      <c r="A498" s="186"/>
    </row>
    <row r="499" spans="1:1" s="11" customFormat="1">
      <c r="A499" s="186"/>
    </row>
    <row r="500" spans="1:1" s="11" customFormat="1">
      <c r="A500" s="186"/>
    </row>
    <row r="501" spans="1:1" s="11" customFormat="1">
      <c r="A501" s="186"/>
    </row>
    <row r="502" spans="1:1" s="11" customFormat="1">
      <c r="A502" s="186"/>
    </row>
    <row r="503" spans="1:1" s="11" customFormat="1">
      <c r="A503" s="186"/>
    </row>
    <row r="504" spans="1:1" s="11" customFormat="1">
      <c r="A504" s="186"/>
    </row>
    <row r="505" spans="1:1" s="11" customFormat="1">
      <c r="A505" s="186"/>
    </row>
    <row r="506" spans="1:1" s="11" customFormat="1">
      <c r="A506" s="186"/>
    </row>
    <row r="507" spans="1:1" s="11" customFormat="1">
      <c r="A507" s="186"/>
    </row>
    <row r="508" spans="1:1" s="11" customFormat="1">
      <c r="A508" s="186"/>
    </row>
    <row r="509" spans="1:1" s="11" customFormat="1">
      <c r="A509" s="186"/>
    </row>
    <row r="510" spans="1:1" s="11" customFormat="1">
      <c r="A510" s="186"/>
    </row>
    <row r="511" spans="1:1" s="11" customFormat="1">
      <c r="A511" s="186"/>
    </row>
    <row r="512" spans="1:1" s="11" customFormat="1">
      <c r="A512" s="186"/>
    </row>
    <row r="513" spans="1:1" s="11" customFormat="1">
      <c r="A513" s="186"/>
    </row>
    <row r="514" spans="1:1" s="11" customFormat="1">
      <c r="A514" s="186"/>
    </row>
    <row r="515" spans="1:1" s="11" customFormat="1">
      <c r="A515" s="186"/>
    </row>
    <row r="516" spans="1:1" s="11" customFormat="1">
      <c r="A516" s="186"/>
    </row>
    <row r="517" spans="1:1" s="11" customFormat="1">
      <c r="A517" s="186"/>
    </row>
    <row r="518" spans="1:1" s="11" customFormat="1">
      <c r="A518" s="186"/>
    </row>
    <row r="519" spans="1:1" s="11" customFormat="1">
      <c r="A519" s="186"/>
    </row>
    <row r="520" spans="1:1" s="11" customFormat="1">
      <c r="A520" s="186"/>
    </row>
    <row r="521" spans="1:1" s="11" customFormat="1">
      <c r="A521" s="186"/>
    </row>
    <row r="522" spans="1:1" s="11" customFormat="1">
      <c r="A522" s="186"/>
    </row>
    <row r="523" spans="1:1" s="11" customFormat="1">
      <c r="A523" s="186"/>
    </row>
    <row r="524" spans="1:1" s="11" customFormat="1">
      <c r="A524" s="186"/>
    </row>
    <row r="525" spans="1:1" s="11" customFormat="1">
      <c r="A525" s="186"/>
    </row>
    <row r="526" spans="1:1" s="11" customFormat="1">
      <c r="A526" s="186"/>
    </row>
    <row r="527" spans="1:1" s="11" customFormat="1">
      <c r="A527" s="186"/>
    </row>
    <row r="528" spans="1:1" s="11" customFormat="1">
      <c r="A528" s="186"/>
    </row>
    <row r="529" spans="1:1" s="11" customFormat="1">
      <c r="A529" s="186"/>
    </row>
    <row r="530" spans="1:1" s="11" customFormat="1">
      <c r="A530" s="186"/>
    </row>
    <row r="531" spans="1:1" s="11" customFormat="1">
      <c r="A531" s="186"/>
    </row>
    <row r="532" spans="1:1" s="11" customFormat="1">
      <c r="A532" s="186"/>
    </row>
    <row r="533" spans="1:1" s="11" customFormat="1">
      <c r="A533" s="186"/>
    </row>
    <row r="534" spans="1:1" s="11" customFormat="1">
      <c r="A534" s="186"/>
    </row>
    <row r="535" spans="1:1" s="11" customFormat="1">
      <c r="A535" s="186"/>
    </row>
    <row r="536" spans="1:1" s="11" customFormat="1">
      <c r="A536" s="186"/>
    </row>
    <row r="537" spans="1:1" s="11" customFormat="1">
      <c r="A537" s="186"/>
    </row>
    <row r="538" spans="1:1" s="11" customFormat="1">
      <c r="A538" s="186"/>
    </row>
    <row r="539" spans="1:1" s="11" customFormat="1">
      <c r="A539" s="186"/>
    </row>
    <row r="540" spans="1:1" s="11" customFormat="1">
      <c r="A540" s="186"/>
    </row>
    <row r="541" spans="1:1" s="11" customFormat="1">
      <c r="A541" s="186"/>
    </row>
    <row r="542" spans="1:1" s="11" customFormat="1">
      <c r="A542" s="186"/>
    </row>
    <row r="543" spans="1:1" s="11" customFormat="1">
      <c r="A543" s="186"/>
    </row>
    <row r="544" spans="1:1" s="11" customFormat="1">
      <c r="A544" s="186"/>
    </row>
    <row r="545" spans="1:1" s="11" customFormat="1">
      <c r="A545" s="186"/>
    </row>
    <row r="546" spans="1:1" s="11" customFormat="1">
      <c r="A546" s="186"/>
    </row>
    <row r="547" spans="1:1" s="11" customFormat="1">
      <c r="A547" s="186"/>
    </row>
    <row r="548" spans="1:1" s="11" customFormat="1">
      <c r="A548" s="186"/>
    </row>
    <row r="549" spans="1:1" s="11" customFormat="1">
      <c r="A549" s="186"/>
    </row>
    <row r="550" spans="1:1" s="11" customFormat="1">
      <c r="A550" s="186"/>
    </row>
    <row r="551" spans="1:1" s="11" customFormat="1">
      <c r="A551" s="186"/>
    </row>
    <row r="552" spans="1:1" s="11" customFormat="1">
      <c r="A552" s="186"/>
    </row>
    <row r="553" spans="1:1" s="11" customFormat="1">
      <c r="A553" s="186"/>
    </row>
    <row r="554" spans="1:1" s="11" customFormat="1">
      <c r="A554" s="186"/>
    </row>
    <row r="555" spans="1:1" s="11" customFormat="1">
      <c r="A555" s="186"/>
    </row>
    <row r="556" spans="1:1" s="11" customFormat="1">
      <c r="A556" s="186"/>
    </row>
    <row r="557" spans="1:1" s="11" customFormat="1">
      <c r="A557" s="186"/>
    </row>
    <row r="558" spans="1:1" s="11" customFormat="1">
      <c r="A558" s="186"/>
    </row>
    <row r="559" spans="1:1" s="11" customFormat="1">
      <c r="A559" s="186"/>
    </row>
    <row r="560" spans="1:1" s="11" customFormat="1">
      <c r="A560" s="186"/>
    </row>
    <row r="561" spans="1:1" s="11" customFormat="1">
      <c r="A561" s="186"/>
    </row>
    <row r="562" spans="1:1" s="11" customFormat="1">
      <c r="A562" s="186"/>
    </row>
    <row r="563" spans="1:1" s="11" customFormat="1">
      <c r="A563" s="186"/>
    </row>
    <row r="564" spans="1:1" s="11" customFormat="1">
      <c r="A564" s="186"/>
    </row>
    <row r="565" spans="1:1" s="11" customFormat="1">
      <c r="A565" s="186"/>
    </row>
    <row r="566" spans="1:1" s="11" customFormat="1">
      <c r="A566" s="186"/>
    </row>
    <row r="567" spans="1:1" s="11" customFormat="1">
      <c r="A567" s="186"/>
    </row>
    <row r="568" spans="1:1" s="11" customFormat="1">
      <c r="A568" s="186"/>
    </row>
    <row r="569" spans="1:1" s="11" customFormat="1">
      <c r="A569" s="186"/>
    </row>
    <row r="570" spans="1:1" s="11" customFormat="1">
      <c r="A570" s="186"/>
    </row>
    <row r="571" spans="1:1" s="11" customFormat="1">
      <c r="A571" s="186"/>
    </row>
    <row r="572" spans="1:1" s="11" customFormat="1">
      <c r="A572" s="186"/>
    </row>
    <row r="573" spans="1:1" s="11" customFormat="1">
      <c r="A573" s="186"/>
    </row>
    <row r="574" spans="1:1" s="11" customFormat="1">
      <c r="A574" s="186"/>
    </row>
    <row r="575" spans="1:1" s="11" customFormat="1">
      <c r="A575" s="186"/>
    </row>
    <row r="576" spans="1:1" s="11" customFormat="1">
      <c r="A576" s="186"/>
    </row>
    <row r="577" spans="1:1" s="11" customFormat="1">
      <c r="A577" s="186"/>
    </row>
    <row r="578" spans="1:1" s="11" customFormat="1">
      <c r="A578" s="186"/>
    </row>
    <row r="579" spans="1:1" s="11" customFormat="1">
      <c r="A579" s="186"/>
    </row>
    <row r="580" spans="1:1" s="11" customFormat="1">
      <c r="A580" s="186"/>
    </row>
    <row r="581" spans="1:1" s="11" customFormat="1">
      <c r="A581" s="186"/>
    </row>
    <row r="582" spans="1:1" s="11" customFormat="1">
      <c r="A582" s="186"/>
    </row>
    <row r="583" spans="1:1" s="11" customFormat="1">
      <c r="A583" s="186"/>
    </row>
    <row r="584" spans="1:1" s="11" customFormat="1">
      <c r="A584" s="186"/>
    </row>
    <row r="585" spans="1:1" s="11" customFormat="1">
      <c r="A585" s="186"/>
    </row>
    <row r="586" spans="1:1" s="11" customFormat="1">
      <c r="A586" s="186"/>
    </row>
    <row r="587" spans="1:1" s="11" customFormat="1">
      <c r="A587" s="186"/>
    </row>
    <row r="588" spans="1:1" s="11" customFormat="1">
      <c r="A588" s="186"/>
    </row>
    <row r="589" spans="1:1" s="11" customFormat="1">
      <c r="A589" s="186"/>
    </row>
    <row r="590" spans="1:1" s="11" customFormat="1">
      <c r="A590" s="186"/>
    </row>
    <row r="591" spans="1:1" s="11" customFormat="1">
      <c r="A591" s="186"/>
    </row>
    <row r="592" spans="1:1" s="11" customFormat="1">
      <c r="A592" s="186"/>
    </row>
    <row r="593" spans="1:1" s="11" customFormat="1">
      <c r="A593" s="186"/>
    </row>
    <row r="594" spans="1:1" s="11" customFormat="1">
      <c r="A594" s="186"/>
    </row>
    <row r="595" spans="1:1" s="11" customFormat="1">
      <c r="A595" s="186"/>
    </row>
    <row r="596" spans="1:1" s="11" customFormat="1">
      <c r="A596" s="186"/>
    </row>
    <row r="597" spans="1:1" s="11" customFormat="1">
      <c r="A597" s="186"/>
    </row>
    <row r="598" spans="1:1" s="11" customFormat="1">
      <c r="A598" s="186"/>
    </row>
    <row r="599" spans="1:1" s="11" customFormat="1">
      <c r="A599" s="186"/>
    </row>
    <row r="600" spans="1:1" s="11" customFormat="1">
      <c r="A600" s="186"/>
    </row>
    <row r="601" spans="1:1" s="11" customFormat="1">
      <c r="A601" s="186"/>
    </row>
    <row r="602" spans="1:1" s="11" customFormat="1">
      <c r="A602" s="186"/>
    </row>
    <row r="603" spans="1:1" s="11" customFormat="1">
      <c r="A603" s="186"/>
    </row>
    <row r="604" spans="1:1" s="11" customFormat="1">
      <c r="A604" s="186"/>
    </row>
    <row r="605" spans="1:1" s="11" customFormat="1">
      <c r="A605" s="186"/>
    </row>
    <row r="606" spans="1:1" s="11" customFormat="1">
      <c r="A606" s="186"/>
    </row>
    <row r="607" spans="1:1" s="11" customFormat="1">
      <c r="A607" s="186"/>
    </row>
    <row r="608" spans="1:1" s="11" customFormat="1">
      <c r="A608" s="186"/>
    </row>
    <row r="609" spans="1:1" s="11" customFormat="1">
      <c r="A609" s="186"/>
    </row>
    <row r="610" spans="1:1" s="11" customFormat="1">
      <c r="A610" s="186"/>
    </row>
    <row r="611" spans="1:1" s="11" customFormat="1">
      <c r="A611" s="186"/>
    </row>
    <row r="612" spans="1:1" s="11" customFormat="1">
      <c r="A612" s="186"/>
    </row>
    <row r="613" spans="1:1" s="11" customFormat="1">
      <c r="A613" s="186"/>
    </row>
    <row r="614" spans="1:1" s="11" customFormat="1">
      <c r="A614" s="186"/>
    </row>
    <row r="615" spans="1:1" s="11" customFormat="1">
      <c r="A615" s="186"/>
    </row>
    <row r="616" spans="1:1" s="11" customFormat="1">
      <c r="A616" s="186"/>
    </row>
    <row r="617" spans="1:1" s="11" customFormat="1">
      <c r="A617" s="186"/>
    </row>
    <row r="618" spans="1:1" s="11" customFormat="1">
      <c r="A618" s="186"/>
    </row>
    <row r="619" spans="1:1" s="11" customFormat="1">
      <c r="A619" s="186"/>
    </row>
    <row r="620" spans="1:1" s="11" customFormat="1">
      <c r="A620" s="186"/>
    </row>
    <row r="621" spans="1:1" s="11" customFormat="1">
      <c r="A621" s="186"/>
    </row>
    <row r="622" spans="1:1" s="11" customFormat="1">
      <c r="A622" s="186"/>
    </row>
    <row r="623" spans="1:1" s="11" customFormat="1">
      <c r="A623" s="186"/>
    </row>
    <row r="624" spans="1:1" s="11" customFormat="1">
      <c r="A624" s="186"/>
    </row>
    <row r="625" spans="1:1" s="11" customFormat="1">
      <c r="A625" s="186"/>
    </row>
    <row r="626" spans="1:1" s="11" customFormat="1">
      <c r="A626" s="186"/>
    </row>
    <row r="627" spans="1:1" s="11" customFormat="1">
      <c r="A627" s="186"/>
    </row>
    <row r="628" spans="1:1" s="11" customFormat="1">
      <c r="A628" s="186"/>
    </row>
    <row r="629" spans="1:1" s="11" customFormat="1">
      <c r="A629" s="186"/>
    </row>
    <row r="630" spans="1:1" s="11" customFormat="1">
      <c r="A630" s="186"/>
    </row>
    <row r="631" spans="1:1" s="11" customFormat="1">
      <c r="A631" s="186"/>
    </row>
    <row r="632" spans="1:1" s="11" customFormat="1">
      <c r="A632" s="186"/>
    </row>
    <row r="633" spans="1:1" s="11" customFormat="1">
      <c r="A633" s="186"/>
    </row>
    <row r="634" spans="1:1" s="11" customFormat="1">
      <c r="A634" s="186"/>
    </row>
    <row r="635" spans="1:1" s="11" customFormat="1">
      <c r="A635" s="186"/>
    </row>
    <row r="636" spans="1:1" s="11" customFormat="1">
      <c r="A636" s="186"/>
    </row>
    <row r="637" spans="1:1" s="11" customFormat="1">
      <c r="A637" s="186"/>
    </row>
    <row r="638" spans="1:1" s="11" customFormat="1">
      <c r="A638" s="186"/>
    </row>
    <row r="639" spans="1:1" s="11" customFormat="1">
      <c r="A639" s="186"/>
    </row>
    <row r="640" spans="1:1" s="11" customFormat="1">
      <c r="A640" s="186"/>
    </row>
    <row r="641" spans="1:1" s="11" customFormat="1">
      <c r="A641" s="186"/>
    </row>
    <row r="642" spans="1:1" s="11" customFormat="1">
      <c r="A642" s="186"/>
    </row>
    <row r="643" spans="1:1" s="11" customFormat="1">
      <c r="A643" s="186"/>
    </row>
    <row r="644" spans="1:1" s="11" customFormat="1">
      <c r="A644" s="186"/>
    </row>
    <row r="645" spans="1:1" s="11" customFormat="1">
      <c r="A645" s="186"/>
    </row>
    <row r="646" spans="1:1" s="11" customFormat="1">
      <c r="A646" s="186"/>
    </row>
    <row r="647" spans="1:1" s="11" customFormat="1">
      <c r="A647" s="186"/>
    </row>
    <row r="648" spans="1:1" s="11" customFormat="1">
      <c r="A648" s="186"/>
    </row>
    <row r="649" spans="1:1" s="11" customFormat="1">
      <c r="A649" s="186"/>
    </row>
    <row r="650" spans="1:1" s="11" customFormat="1">
      <c r="A650" s="186"/>
    </row>
    <row r="651" spans="1:1" s="11" customFormat="1">
      <c r="A651" s="186"/>
    </row>
    <row r="652" spans="1:1" s="11" customFormat="1">
      <c r="A652" s="186"/>
    </row>
    <row r="653" spans="1:1" s="11" customFormat="1">
      <c r="A653" s="186"/>
    </row>
    <row r="654" spans="1:1" s="11" customFormat="1">
      <c r="A654" s="186"/>
    </row>
    <row r="655" spans="1:1" s="11" customFormat="1">
      <c r="A655" s="186"/>
    </row>
    <row r="656" spans="1:1" s="11" customFormat="1">
      <c r="A656" s="186"/>
    </row>
    <row r="657" spans="1:1" s="11" customFormat="1">
      <c r="A657" s="186"/>
    </row>
    <row r="658" spans="1:1" s="11" customFormat="1">
      <c r="A658" s="186"/>
    </row>
    <row r="659" spans="1:1" s="11" customFormat="1">
      <c r="A659" s="186"/>
    </row>
    <row r="660" spans="1:1" s="11" customFormat="1">
      <c r="A660" s="186"/>
    </row>
    <row r="661" spans="1:1" s="11" customFormat="1">
      <c r="A661" s="186"/>
    </row>
    <row r="662" spans="1:1" s="11" customFormat="1">
      <c r="A662" s="186"/>
    </row>
    <row r="663" spans="1:1" s="11" customFormat="1">
      <c r="A663" s="186"/>
    </row>
    <row r="664" spans="1:1" s="11" customFormat="1">
      <c r="A664" s="186"/>
    </row>
    <row r="665" spans="1:1" s="11" customFormat="1">
      <c r="A665" s="186"/>
    </row>
    <row r="666" spans="1:1" s="11" customFormat="1">
      <c r="A666" s="186"/>
    </row>
    <row r="667" spans="1:1" s="11" customFormat="1">
      <c r="A667" s="186"/>
    </row>
    <row r="668" spans="1:1" s="11" customFormat="1">
      <c r="A668" s="186"/>
    </row>
    <row r="669" spans="1:1" s="11" customFormat="1">
      <c r="A669" s="186"/>
    </row>
    <row r="670" spans="1:1" s="11" customFormat="1">
      <c r="A670" s="186"/>
    </row>
    <row r="671" spans="1:1" s="11" customFormat="1">
      <c r="A671" s="186"/>
    </row>
    <row r="672" spans="1:1" s="11" customFormat="1">
      <c r="A672" s="186"/>
    </row>
    <row r="673" spans="1:1" s="11" customFormat="1">
      <c r="A673" s="186"/>
    </row>
    <row r="674" spans="1:1" s="11" customFormat="1">
      <c r="A674" s="186"/>
    </row>
    <row r="675" spans="1:1" s="11" customFormat="1">
      <c r="A675" s="186"/>
    </row>
    <row r="676" spans="1:1" s="11" customFormat="1">
      <c r="A676" s="186"/>
    </row>
    <row r="677" spans="1:1" s="11" customFormat="1">
      <c r="A677" s="186"/>
    </row>
    <row r="678" spans="1:1" s="11" customFormat="1">
      <c r="A678" s="186"/>
    </row>
    <row r="679" spans="1:1" s="11" customFormat="1">
      <c r="A679" s="186"/>
    </row>
    <row r="680" spans="1:1" s="11" customFormat="1">
      <c r="A680" s="186"/>
    </row>
    <row r="681" spans="1:1" s="11" customFormat="1">
      <c r="A681" s="186"/>
    </row>
    <row r="682" spans="1:1" s="11" customFormat="1">
      <c r="A682" s="186"/>
    </row>
    <row r="683" spans="1:1" s="11" customFormat="1">
      <c r="A683" s="186"/>
    </row>
    <row r="684" spans="1:1" s="11" customFormat="1">
      <c r="A684" s="186"/>
    </row>
    <row r="685" spans="1:1" s="11" customFormat="1">
      <c r="A685" s="186"/>
    </row>
    <row r="686" spans="1:1" s="11" customFormat="1">
      <c r="A686" s="186"/>
    </row>
    <row r="687" spans="1:1" s="11" customFormat="1">
      <c r="A687" s="186"/>
    </row>
    <row r="688" spans="1:1" s="11" customFormat="1">
      <c r="A688" s="186"/>
    </row>
    <row r="689" spans="1:1" s="11" customFormat="1">
      <c r="A689" s="186"/>
    </row>
    <row r="690" spans="1:1" s="11" customFormat="1">
      <c r="A690" s="186"/>
    </row>
    <row r="691" spans="1:1" s="11" customFormat="1">
      <c r="A691" s="186"/>
    </row>
    <row r="692" spans="1:1" s="11" customFormat="1">
      <c r="A692" s="186"/>
    </row>
    <row r="693" spans="1:1" s="11" customFormat="1">
      <c r="A693" s="186"/>
    </row>
    <row r="694" spans="1:1" s="11" customFormat="1">
      <c r="A694" s="186"/>
    </row>
    <row r="695" spans="1:1" s="11" customFormat="1">
      <c r="A695" s="186"/>
    </row>
    <row r="696" spans="1:1" s="11" customFormat="1">
      <c r="A696" s="186"/>
    </row>
    <row r="697" spans="1:1" s="11" customFormat="1">
      <c r="A697" s="186"/>
    </row>
    <row r="698" spans="1:1" s="11" customFormat="1">
      <c r="A698" s="186"/>
    </row>
    <row r="699" spans="1:1" s="11" customFormat="1">
      <c r="A699" s="186"/>
    </row>
    <row r="700" spans="1:1" s="11" customFormat="1">
      <c r="A700" s="186"/>
    </row>
    <row r="701" spans="1:1" s="11" customFormat="1">
      <c r="A701" s="186"/>
    </row>
    <row r="702" spans="1:1" s="11" customFormat="1">
      <c r="A702" s="186"/>
    </row>
    <row r="703" spans="1:1" s="11" customFormat="1">
      <c r="A703" s="186"/>
    </row>
    <row r="704" spans="1:1" s="11" customFormat="1">
      <c r="A704" s="186"/>
    </row>
    <row r="705" spans="1:1" s="11" customFormat="1">
      <c r="A705" s="186"/>
    </row>
    <row r="706" spans="1:1" s="11" customFormat="1">
      <c r="A706" s="186"/>
    </row>
    <row r="707" spans="1:1" s="11" customFormat="1">
      <c r="A707" s="186"/>
    </row>
    <row r="708" spans="1:1" s="11" customFormat="1">
      <c r="A708" s="186"/>
    </row>
    <row r="709" spans="1:1" s="11" customFormat="1">
      <c r="A709" s="186"/>
    </row>
    <row r="710" spans="1:1" s="11" customFormat="1">
      <c r="A710" s="186"/>
    </row>
    <row r="711" spans="1:1" s="11" customFormat="1">
      <c r="A711" s="186"/>
    </row>
    <row r="712" spans="1:1" s="11" customFormat="1">
      <c r="A712" s="186"/>
    </row>
    <row r="713" spans="1:1" s="11" customFormat="1">
      <c r="A713" s="186"/>
    </row>
    <row r="714" spans="1:1" s="11" customFormat="1">
      <c r="A714" s="186"/>
    </row>
    <row r="715" spans="1:1" s="11" customFormat="1">
      <c r="A715" s="186"/>
    </row>
    <row r="716" spans="1:1" s="11" customFormat="1">
      <c r="A716" s="186"/>
    </row>
    <row r="717" spans="1:1" s="11" customFormat="1">
      <c r="A717" s="186"/>
    </row>
    <row r="718" spans="1:1" s="11" customFormat="1">
      <c r="A718" s="186"/>
    </row>
    <row r="719" spans="1:1" s="11" customFormat="1">
      <c r="A719" s="186"/>
    </row>
    <row r="720" spans="1:1" s="11" customFormat="1">
      <c r="A720" s="186"/>
    </row>
    <row r="721" spans="1:45">
      <c r="A721" s="186"/>
      <c r="B721" s="11"/>
    </row>
    <row r="722" spans="1:45">
      <c r="A722" s="186">
        <v>42581.958333333299</v>
      </c>
      <c r="B722" s="11">
        <v>31</v>
      </c>
      <c r="C722" s="11" t="s">
        <v>172</v>
      </c>
      <c r="D722" s="11" t="s">
        <v>173</v>
      </c>
      <c r="E722" s="11" t="s">
        <v>41</v>
      </c>
      <c r="F722" s="11" t="s">
        <v>174</v>
      </c>
      <c r="G722" s="11" t="s">
        <v>175</v>
      </c>
      <c r="H722" s="11">
        <v>5.77</v>
      </c>
      <c r="I722" s="11">
        <v>6.59</v>
      </c>
      <c r="J722" s="11">
        <v>2.14</v>
      </c>
      <c r="K722" s="11">
        <v>750</v>
      </c>
      <c r="L722" s="11">
        <v>712</v>
      </c>
      <c r="M722" s="11">
        <v>16.61</v>
      </c>
      <c r="N722" s="11">
        <v>299.55</v>
      </c>
      <c r="O722" s="11">
        <v>22.84</v>
      </c>
      <c r="P722" s="11">
        <v>282.42</v>
      </c>
      <c r="Q722" s="11">
        <v>22.94</v>
      </c>
      <c r="R722" s="11">
        <v>1073.24</v>
      </c>
      <c r="S722" s="11">
        <v>-44.01</v>
      </c>
      <c r="T722" s="11">
        <v>83.9</v>
      </c>
      <c r="U722" s="11">
        <v>-14.2</v>
      </c>
      <c r="V722" s="11">
        <v>109.6</v>
      </c>
      <c r="W722" s="11">
        <v>-13.7</v>
      </c>
      <c r="X722" s="11">
        <v>1.46</v>
      </c>
      <c r="Y722" s="11">
        <v>792.6</v>
      </c>
      <c r="Z722" s="11">
        <v>4214</v>
      </c>
      <c r="AA722" s="11">
        <v>81.95</v>
      </c>
      <c r="AB722" s="11">
        <v>22.5</v>
      </c>
      <c r="AC722" s="11">
        <v>9.9</v>
      </c>
      <c r="AD722" s="11">
        <v>3.2</v>
      </c>
      <c r="AE722" s="11">
        <v>4.95</v>
      </c>
      <c r="AF722" s="11">
        <v>1.98</v>
      </c>
      <c r="AG722" s="11">
        <v>2.97</v>
      </c>
      <c r="AH722" s="11">
        <v>10.76</v>
      </c>
      <c r="AI722" s="11">
        <v>4.13</v>
      </c>
      <c r="AJ722" s="11">
        <v>17.28</v>
      </c>
      <c r="AK722" s="11">
        <v>0</v>
      </c>
      <c r="AL722" s="11">
        <v>56.7</v>
      </c>
      <c r="AM722" s="11">
        <v>1.8</v>
      </c>
      <c r="AN722" s="11">
        <v>0</v>
      </c>
      <c r="AO722" s="11">
        <v>0</v>
      </c>
      <c r="AP722" s="11">
        <v>0</v>
      </c>
      <c r="AQ722" s="11">
        <v>0</v>
      </c>
      <c r="AS722" s="11" t="s">
        <v>176</v>
      </c>
    </row>
    <row r="723" spans="1:45">
      <c r="A723" s="186"/>
      <c r="B723" s="11"/>
    </row>
    <row r="724" spans="1:45">
      <c r="A724" s="186"/>
      <c r="B724" s="11"/>
    </row>
    <row r="725" spans="1:45">
      <c r="A725" s="186"/>
      <c r="B725" s="11"/>
    </row>
    <row r="726" spans="1:45">
      <c r="A726" s="186"/>
      <c r="B726" s="11"/>
    </row>
    <row r="727" spans="1:45">
      <c r="A727" s="186"/>
      <c r="B727" s="11"/>
    </row>
    <row r="728" spans="1:45">
      <c r="A728" s="186"/>
      <c r="B728" s="11"/>
    </row>
    <row r="729" spans="1:45">
      <c r="A729" s="186"/>
      <c r="B729" s="11"/>
    </row>
    <row r="730" spans="1:45">
      <c r="A730" s="186"/>
      <c r="B730" s="11"/>
    </row>
    <row r="731" spans="1:45">
      <c r="A731" s="186"/>
      <c r="B731" s="11"/>
    </row>
    <row r="732" spans="1:45">
      <c r="A732" s="186"/>
      <c r="B732" s="11"/>
    </row>
    <row r="733" spans="1:45">
      <c r="A733" s="186"/>
      <c r="B733" s="11"/>
    </row>
    <row r="734" spans="1:45">
      <c r="A734" s="186"/>
      <c r="B734" s="11"/>
    </row>
    <row r="735" spans="1:45">
      <c r="A735" s="186"/>
      <c r="B735" s="11"/>
    </row>
    <row r="736" spans="1:45">
      <c r="A736" s="186"/>
      <c r="B736" s="11"/>
    </row>
    <row r="737" spans="1:1" s="11" customFormat="1">
      <c r="A737" s="186"/>
    </row>
    <row r="738" spans="1:1" s="11" customFormat="1">
      <c r="A738" s="186"/>
    </row>
    <row r="739" spans="1:1" s="11" customFormat="1">
      <c r="A739" s="186"/>
    </row>
    <row r="740" spans="1:1" s="11" customFormat="1">
      <c r="A740" s="186"/>
    </row>
    <row r="741" spans="1:1" s="11" customFormat="1">
      <c r="A741" s="186"/>
    </row>
    <row r="742" spans="1:1" s="11" customFormat="1">
      <c r="A742" s="186"/>
    </row>
    <row r="743" spans="1:1" s="11" customFormat="1">
      <c r="A743" s="186"/>
    </row>
    <row r="744" spans="1:1" s="11" customFormat="1">
      <c r="A744" s="186"/>
    </row>
    <row r="745" spans="1:1" s="11" customFormat="1">
      <c r="A745" s="186"/>
    </row>
    <row r="746" spans="1:1" s="11" customFormat="1">
      <c r="A746" s="186"/>
    </row>
  </sheetData>
  <phoneticPr fontId="53" type="noConversion"/>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D97"/>
  <sheetViews>
    <sheetView workbookViewId="0">
      <pane xSplit="1" ySplit="2" topLeftCell="B3" activePane="bottomRight" state="frozen"/>
      <selection pane="topRight"/>
      <selection pane="bottomLeft"/>
      <selection pane="bottomRight" activeCell="I4" sqref="H4:I4"/>
    </sheetView>
  </sheetViews>
  <sheetFormatPr defaultColWidth="9" defaultRowHeight="20.25" customHeight="1"/>
  <cols>
    <col min="1" max="1" width="13.125" style="111" customWidth="1"/>
    <col min="2" max="2" width="10.625" style="111" customWidth="1"/>
    <col min="3" max="3" width="10.125" style="111" customWidth="1"/>
    <col min="4" max="4" width="9.875" style="111" customWidth="1"/>
    <col min="5" max="5" width="6.25" style="111" hidden="1" customWidth="1"/>
    <col min="6" max="6" width="8.125" style="111" customWidth="1"/>
    <col min="7" max="7" width="7.75" style="112" customWidth="1"/>
    <col min="8" max="8" width="10.625" style="112" customWidth="1"/>
    <col min="9" max="9" width="9.125" style="113" customWidth="1"/>
    <col min="10" max="10" width="9.875" style="112" customWidth="1"/>
    <col min="11" max="11" width="10.125" style="112" customWidth="1"/>
    <col min="12" max="12" width="13.625" style="111" customWidth="1"/>
    <col min="13" max="13" width="11.75" style="114" customWidth="1"/>
    <col min="14" max="14" width="11.75" style="112" customWidth="1"/>
    <col min="15" max="16" width="11.625" style="115" customWidth="1"/>
    <col min="17" max="17" width="11.625" style="116" customWidth="1"/>
    <col min="18" max="21" width="11.625" style="115" customWidth="1"/>
    <col min="22" max="22" width="12.375" style="117" customWidth="1"/>
    <col min="23" max="23" width="11" style="118" customWidth="1"/>
    <col min="24" max="24" width="9" style="119"/>
    <col min="25" max="25" width="22.25" style="120" customWidth="1"/>
    <col min="26" max="26" width="27.25" style="121" customWidth="1"/>
    <col min="27" max="28" width="9" style="118"/>
    <col min="29" max="29" width="9.875" style="122" customWidth="1"/>
    <col min="30" max="238" width="9" style="123"/>
  </cols>
  <sheetData>
    <row r="1" spans="1:238" ht="25.5" customHeight="1">
      <c r="A1" s="369" t="s">
        <v>177</v>
      </c>
      <c r="B1" s="369"/>
      <c r="C1" s="369"/>
      <c r="D1" s="369"/>
      <c r="E1" s="369"/>
      <c r="F1" s="369"/>
      <c r="G1" s="369"/>
      <c r="H1" s="369"/>
      <c r="I1" s="369"/>
      <c r="J1" s="369"/>
      <c r="K1" s="369"/>
      <c r="L1" s="369"/>
      <c r="M1" s="369"/>
      <c r="N1" s="369"/>
      <c r="O1" s="369"/>
      <c r="P1" s="369"/>
      <c r="Q1" s="371"/>
      <c r="R1" s="369"/>
      <c r="S1" s="369"/>
      <c r="T1" s="369"/>
      <c r="U1" s="369"/>
      <c r="V1" s="370"/>
      <c r="W1" s="370"/>
      <c r="X1" s="369"/>
      <c r="Y1" s="369"/>
      <c r="Z1" s="369"/>
      <c r="ID1"/>
    </row>
    <row r="2" spans="1:238" s="109" customFormat="1" ht="45" customHeight="1">
      <c r="A2" s="124" t="s">
        <v>66</v>
      </c>
      <c r="B2" s="125"/>
      <c r="C2" s="125"/>
      <c r="D2" s="125" t="s">
        <v>13</v>
      </c>
      <c r="E2" s="125"/>
      <c r="F2" s="125" t="s">
        <v>14</v>
      </c>
      <c r="G2" s="126" t="s">
        <v>77</v>
      </c>
      <c r="H2" s="127" t="s">
        <v>78</v>
      </c>
      <c r="I2" s="384" t="s">
        <v>267</v>
      </c>
      <c r="J2" s="137" t="s">
        <v>80</v>
      </c>
      <c r="K2" s="137" t="s">
        <v>81</v>
      </c>
      <c r="L2" s="138" t="s">
        <v>82</v>
      </c>
      <c r="M2" s="139" t="s">
        <v>68</v>
      </c>
      <c r="N2" s="137" t="s">
        <v>69</v>
      </c>
      <c r="O2" s="140" t="s">
        <v>178</v>
      </c>
      <c r="P2" s="140" t="s">
        <v>84</v>
      </c>
      <c r="Q2" s="147" t="s">
        <v>85</v>
      </c>
      <c r="R2" s="140" t="s">
        <v>86</v>
      </c>
      <c r="S2" s="137" t="s">
        <v>87</v>
      </c>
      <c r="T2" s="140" t="s">
        <v>88</v>
      </c>
      <c r="U2" s="140" t="s">
        <v>89</v>
      </c>
      <c r="V2" s="139" t="s">
        <v>90</v>
      </c>
      <c r="W2" s="139" t="s">
        <v>74</v>
      </c>
      <c r="X2" s="140" t="s">
        <v>91</v>
      </c>
      <c r="Y2" s="138" t="s">
        <v>92</v>
      </c>
      <c r="Z2" s="154" t="s">
        <v>93</v>
      </c>
      <c r="AA2" s="155" t="s">
        <v>94</v>
      </c>
      <c r="AB2" s="156" t="s">
        <v>95</v>
      </c>
      <c r="AC2" s="157" t="s">
        <v>96</v>
      </c>
      <c r="AE2" s="155" t="s">
        <v>97</v>
      </c>
      <c r="AF2" s="156" t="s">
        <v>98</v>
      </c>
      <c r="AG2" s="169" t="s">
        <v>99</v>
      </c>
      <c r="AH2" s="169" t="s">
        <v>100</v>
      </c>
    </row>
    <row r="3" spans="1:238" ht="22.5" customHeight="1">
      <c r="A3" s="128">
        <f>主抽数据!B3</f>
        <v>43344</v>
      </c>
      <c r="B3" s="129">
        <v>0</v>
      </c>
      <c r="C3" s="128">
        <f t="shared" ref="C3:C66" si="0">A3+B3</f>
        <v>43344</v>
      </c>
      <c r="D3" s="128" t="s">
        <v>37</v>
      </c>
      <c r="E3" s="130">
        <v>2</v>
      </c>
      <c r="F3" s="131" t="str">
        <f>IF(AND(E3=1),"甲班",IF(AND(E3=2),"乙班",IF(AND(E3=3),"丙班",IF(AND(E3=4),"丁班",))))</f>
        <v>乙班</v>
      </c>
      <c r="G3" s="132">
        <f>SUMPRODUCT((_6shaozhuchou_month_day!$A$2:$A$906&gt;=C3)*(_6shaozhuchou_month_day!$A$2:$A$906&lt;C4),_6shaozhuchou_month_day!$Y$2:$Y$906)/8</f>
        <v>0</v>
      </c>
      <c r="H3" s="132">
        <f>(G3-G3*25%)*0.83*8</f>
        <v>0</v>
      </c>
      <c r="I3" s="141">
        <f>X3</f>
        <v>0</v>
      </c>
      <c r="J3" s="142" t="e">
        <f>SUMPRODUCT((主抽数据!$AU$5:$AU$97=$A3)*(主抽数据!$AV$5:$AV$97=$F3),主抽数据!$AK$5:$AK$97)</f>
        <v>#REF!</v>
      </c>
      <c r="K3" s="142" t="e">
        <f>SUMPRODUCT((主抽数据!$AU$5:$AU$97=$A3)*(主抽数据!$AV$5:$AV$97=$F3),主抽数据!$AL$5:$AL$97)</f>
        <v>#REF!</v>
      </c>
      <c r="L3" s="143" t="e">
        <f>J3+K3</f>
        <v>#REF!</v>
      </c>
      <c r="M3" s="143">
        <f>SUMPRODUCT((_6shaozhuchou_month_day!$A$2:$A$906&gt;=C3)*(_6shaozhuchou_month_day!$A$2:$A$906&lt;C4),_6shaozhuchou_month_day!$Z$2:$Z$906)</f>
        <v>0</v>
      </c>
      <c r="N3" s="132">
        <f>M3*查询与汇总!$O$1</f>
        <v>0</v>
      </c>
      <c r="O3" s="144">
        <f>IF(N3=0,0,L3/N3)</f>
        <v>0</v>
      </c>
      <c r="P3" s="145">
        <f>IF(G3=0,0,SUMPRODUCT((_6shaozhuchou_month_day!$A$2:$A$906&gt;=$C3)*(_6shaozhuchou_month_day!$A$2:$A$906&lt;$C4),_6shaozhuchou_month_day!T$2:T$906)/SUMPRODUCT((_6shaozhuchou_month_day!$A$2:$A$906&gt;=$C3)*(_6shaozhuchou_month_day!$A$2:$A$906&lt;$C4)*(_6shaozhuchou_month_day!T$2:T$906&gt;0)))</f>
        <v>0</v>
      </c>
      <c r="Q3" s="145">
        <f>IF(G3=0,0,SUMPRODUCT((_6shaozhuchou_month_day!$A$2:$A$906&gt;=$C3)*(_6shaozhuchou_month_day!$A$2:$A$906&lt;$C4),_6shaozhuchou_month_day!U$2:U$906)/SUMPRODUCT((_6shaozhuchou_month_day!$A$2:$A$906&gt;=$C3)*(_6shaozhuchou_month_day!$A$2:$A$906&lt;$C4)*(_6shaozhuchou_month_day!U$2:U$906&lt;0)))</f>
        <v>0</v>
      </c>
      <c r="R3" s="145">
        <f>IF(G3=0,0,SUMPRODUCT((_6shaozhuchou_month_day!$A$2:$A$906&gt;=$C3)*(_6shaozhuchou_month_day!$A$2:$A$906&lt;$C4),_6shaozhuchou_month_day!V$2:V$906)/SUMPRODUCT((_6shaozhuchou_month_day!$A$2:$A$906&gt;=$C3)*(_6shaozhuchou_month_day!$A$2:$A$906&lt;$C4)*(_6shaozhuchou_month_day!V$2:V$906&gt;0)))</f>
        <v>0</v>
      </c>
      <c r="S3" s="145">
        <f>IF(G3=0,0,SUMPRODUCT((_6shaozhuchou_month_day!$A$2:$A$906&gt;=$C3)*(_6shaozhuchou_month_day!$A$2:$A$906&lt;$C4),_6shaozhuchou_month_day!W$2:W$906)/SUMPRODUCT((_6shaozhuchou_month_day!$A$2:$A$906&gt;=$C3)*(_6shaozhuchou_month_day!$A$2:$A$906&lt;$C4)*(_6shaozhuchou_month_day!W$2:W$906&lt;0)))</f>
        <v>0</v>
      </c>
      <c r="T3" s="145" t="str">
        <f>主抽数据!Z5</f>
        <v/>
      </c>
      <c r="U3" s="145" t="str">
        <f>主抽数据!AA5</f>
        <v/>
      </c>
      <c r="V3" s="148">
        <f>查询与汇总!$S$1*M3</f>
        <v>0</v>
      </c>
      <c r="W3" s="149" t="e">
        <f>L3-V3</f>
        <v>#REF!</v>
      </c>
      <c r="X3" s="150"/>
      <c r="Y3" s="158"/>
      <c r="Z3" s="159"/>
      <c r="AA3" s="160" t="str">
        <f>主抽数据!AB5</f>
        <v/>
      </c>
      <c r="AB3" s="161" t="str">
        <f>主抽数据!AC5</f>
        <v/>
      </c>
      <c r="AC3" s="162" t="e">
        <f>IF(V3=-W3,0,W3*0.62/10000)</f>
        <v>#REF!</v>
      </c>
      <c r="AE3" s="123" t="e">
        <f>AA3/10</f>
        <v>#VALUE!</v>
      </c>
      <c r="AF3" s="123" t="e">
        <f>AB3/10</f>
        <v>#VALUE!</v>
      </c>
      <c r="AG3" s="123">
        <f>-Q3</f>
        <v>0</v>
      </c>
      <c r="AH3" s="123">
        <f>-S3</f>
        <v>0</v>
      </c>
    </row>
    <row r="4" spans="1:238" ht="20.25" customHeight="1">
      <c r="A4" s="133">
        <f>A3</f>
        <v>43344</v>
      </c>
      <c r="B4" s="134">
        <v>0.33333333333333298</v>
      </c>
      <c r="C4" s="133">
        <f t="shared" si="0"/>
        <v>43344.333333333336</v>
      </c>
      <c r="D4" s="133" t="s">
        <v>39</v>
      </c>
      <c r="E4" s="131">
        <f>IF(AND(E3=4),1,IF(AND(E3&lt;4),(E3+1),))</f>
        <v>3</v>
      </c>
      <c r="F4" s="131" t="str">
        <f t="shared" ref="F4:F67" si="1">IF(AND(E4=1),"甲班",IF(AND(E4=2),"乙班",IF(AND(E4=3),"丙班",IF(AND(E4=4),"丁班",))))</f>
        <v>丙班</v>
      </c>
      <c r="G4" s="132">
        <f>SUMPRODUCT((_6shaozhuchou_month_day!$A$2:$A$906&gt;=C4)*(_6shaozhuchou_month_day!$A$2:$A$906&lt;C5),_6shaozhuchou_month_day!$Y$2:$Y$906)/8</f>
        <v>0</v>
      </c>
      <c r="H4" s="132">
        <f t="shared" ref="H4:H67" si="2">(G4-G4*25%)*0.83*8</f>
        <v>0</v>
      </c>
      <c r="I4" s="141">
        <f t="shared" ref="I4:I35" si="3">X4</f>
        <v>0</v>
      </c>
      <c r="J4" s="142" t="e">
        <f>SUMPRODUCT((主抽数据!$AU$5:$AU$97=$A4)*(主抽数据!$AV$5:$AV$97=$F4),主抽数据!$AK$5:$AK$97)</f>
        <v>#REF!</v>
      </c>
      <c r="K4" s="142" t="e">
        <f>SUMPRODUCT((主抽数据!$AU$5:$AU$97=$A4)*(主抽数据!$AV$5:$AV$97=$F4),主抽数据!$AL$5:$AL$97)</f>
        <v>#REF!</v>
      </c>
      <c r="L4" s="143" t="e">
        <f t="shared" ref="L4:L35" si="4">J4+K4</f>
        <v>#REF!</v>
      </c>
      <c r="M4" s="143">
        <f>SUMPRODUCT((_6shaozhuchou_month_day!$A$2:$A$906&gt;=C4)*(_6shaozhuchou_month_day!$A$2:$A$906&lt;C5),_6shaozhuchou_month_day!$Z$2:$Z$906)</f>
        <v>0</v>
      </c>
      <c r="N4" s="132">
        <f>M4*查询与汇总!$O$1</f>
        <v>0</v>
      </c>
      <c r="O4" s="144">
        <f>IF(N4=0,0,L4/N4)</f>
        <v>0</v>
      </c>
      <c r="P4" s="145">
        <f>IF(G4=0,0,SUMPRODUCT((_6shaozhuchou_month_day!$A$2:$A$906&gt;=$C4)*(_6shaozhuchou_month_day!$A$2:$A$906&lt;$C5),_6shaozhuchou_month_day!T$2:T$906)/SUMPRODUCT((_6shaozhuchou_month_day!$A$2:$A$906&gt;=$C4)*(_6shaozhuchou_month_day!$A$2:$A$906&lt;$C5)*(_6shaozhuchou_month_day!T$2:T$906&gt;0)))</f>
        <v>0</v>
      </c>
      <c r="Q4" s="145">
        <f>IF(G4=0,0,SUMPRODUCT((_6shaozhuchou_month_day!$A$2:$A$906&gt;=$C4)*(_6shaozhuchou_month_day!$A$2:$A$906&lt;$C5),_6shaozhuchou_month_day!U$2:U$906)/SUMPRODUCT((_6shaozhuchou_month_day!$A$2:$A$906&gt;=$C4)*(_6shaozhuchou_month_day!$A$2:$A$906&lt;$C5)*(_6shaozhuchou_month_day!U$2:U$906&lt;0)))</f>
        <v>0</v>
      </c>
      <c r="R4" s="145">
        <f>IF(G4=0,0,SUMPRODUCT((_6shaozhuchou_month_day!$A$2:$A$906&gt;=$C4)*(_6shaozhuchou_month_day!$A$2:$A$906&lt;$C5),_6shaozhuchou_month_day!V$2:V$906)/SUMPRODUCT((_6shaozhuchou_month_day!$A$2:$A$906&gt;=$C4)*(_6shaozhuchou_month_day!$A$2:$A$906&lt;$C5)*(_6shaozhuchou_month_day!V$2:V$906&gt;0)))</f>
        <v>0</v>
      </c>
      <c r="S4" s="145">
        <f>IF(G4=0,0,SUMPRODUCT((_6shaozhuchou_month_day!$A$2:$A$906&gt;=$C4)*(_6shaozhuchou_month_day!$A$2:$A$906&lt;$C5),_6shaozhuchou_month_day!W$2:W$906)/SUMPRODUCT((_6shaozhuchou_month_day!$A$2:$A$906&gt;=$C4)*(_6shaozhuchou_month_day!$A$2:$A$906&lt;$C5)*(_6shaozhuchou_month_day!W$2:W$906&lt;0)))</f>
        <v>0</v>
      </c>
      <c r="T4" s="145" t="str">
        <f>主抽数据!Z6</f>
        <v/>
      </c>
      <c r="U4" s="145" t="str">
        <f>主抽数据!AA6</f>
        <v/>
      </c>
      <c r="V4" s="148">
        <f>查询与汇总!$S$1*M4</f>
        <v>0</v>
      </c>
      <c r="W4" s="149" t="e">
        <f t="shared" ref="W4:W35" si="5">L4-V4</f>
        <v>#REF!</v>
      </c>
      <c r="X4" s="150"/>
      <c r="Y4" s="158"/>
      <c r="Z4" s="159"/>
      <c r="AA4" s="160" t="str">
        <f>主抽数据!AB6</f>
        <v/>
      </c>
      <c r="AB4" s="161" t="str">
        <f>主抽数据!AC6</f>
        <v/>
      </c>
      <c r="AC4" s="162" t="e">
        <f t="shared" ref="AC4:AC35" si="6">IF(V4=-W4,0,W4*0.62/10000)</f>
        <v>#REF!</v>
      </c>
      <c r="AE4" s="123" t="e">
        <f t="shared" ref="AE4:AE35" si="7">AA4/10</f>
        <v>#VALUE!</v>
      </c>
      <c r="AF4" s="123" t="e">
        <f t="shared" ref="AF4:AF35" si="8">AB4/10</f>
        <v>#VALUE!</v>
      </c>
      <c r="AG4" s="123">
        <f t="shared" ref="AG4:AG67" si="9">-Q4</f>
        <v>0</v>
      </c>
      <c r="AH4" s="123">
        <f t="shared" ref="AH4:AH67" si="10">-S4</f>
        <v>0</v>
      </c>
    </row>
    <row r="5" spans="1:238" ht="27.95" customHeight="1">
      <c r="A5" s="133">
        <f>A4</f>
        <v>43344</v>
      </c>
      <c r="B5" s="134">
        <v>0.66666666666666696</v>
      </c>
      <c r="C5" s="133">
        <f t="shared" si="0"/>
        <v>43344.666666666664</v>
      </c>
      <c r="D5" s="133" t="s">
        <v>41</v>
      </c>
      <c r="E5" s="131">
        <f>IF(AND(E4=4),1,IF(AND(E4&lt;4),(E4+1),))</f>
        <v>4</v>
      </c>
      <c r="F5" s="131" t="str">
        <f t="shared" si="1"/>
        <v>丁班</v>
      </c>
      <c r="G5" s="132">
        <f>SUMPRODUCT((_6shaozhuchou_month_day!$A$2:$A$906&gt;=C5)*(_6shaozhuchou_month_day!$A$2:$A$906&lt;C6),_6shaozhuchou_month_day!$Y$2:$Y$906)/8</f>
        <v>0</v>
      </c>
      <c r="H5" s="132">
        <f t="shared" si="2"/>
        <v>0</v>
      </c>
      <c r="I5" s="141">
        <f t="shared" si="3"/>
        <v>0</v>
      </c>
      <c r="J5" s="142" t="e">
        <f>SUMPRODUCT((主抽数据!$AU$5:$AU$97=$A5)*(主抽数据!$AV$5:$AV$97=$F5),主抽数据!$AK$5:$AK$97)</f>
        <v>#REF!</v>
      </c>
      <c r="K5" s="142" t="e">
        <f>SUMPRODUCT((主抽数据!$AU$5:$AU$97=$A5)*(主抽数据!$AV$5:$AV$97=$F5),主抽数据!$AL$5:$AL$97)</f>
        <v>#REF!</v>
      </c>
      <c r="L5" s="143" t="e">
        <f t="shared" si="4"/>
        <v>#REF!</v>
      </c>
      <c r="M5" s="143">
        <f>SUMPRODUCT((_6shaozhuchou_month_day!$A$2:$A$906&gt;=C5)*(_6shaozhuchou_month_day!$A$2:$A$906&lt;C6),_6shaozhuchou_month_day!$Z$2:$Z$906)</f>
        <v>0</v>
      </c>
      <c r="N5" s="132">
        <f>M5*查询与汇总!$O$1</f>
        <v>0</v>
      </c>
      <c r="O5" s="144">
        <f t="shared" ref="O5:O35" si="11">IF(N5=0,0,L5/N5)</f>
        <v>0</v>
      </c>
      <c r="P5" s="145">
        <f>IF(G5=0,0,SUMPRODUCT((_6shaozhuchou_month_day!$A$2:$A$906&gt;=$C5)*(_6shaozhuchou_month_day!$A$2:$A$906&lt;$C6),_6shaozhuchou_month_day!T$2:T$906)/SUMPRODUCT((_6shaozhuchou_month_day!$A$2:$A$906&gt;=$C5)*(_6shaozhuchou_month_day!$A$2:$A$906&lt;$C6)*(_6shaozhuchou_month_day!T$2:T$906&gt;0)))</f>
        <v>0</v>
      </c>
      <c r="Q5" s="145">
        <f>IF(G5=0,0,SUMPRODUCT((_6shaozhuchou_month_day!$A$2:$A$906&gt;=$C5)*(_6shaozhuchou_month_day!$A$2:$A$906&lt;$C6),_6shaozhuchou_month_day!U$2:U$906)/SUMPRODUCT((_6shaozhuchou_month_day!$A$2:$A$906&gt;=$C5)*(_6shaozhuchou_month_day!$A$2:$A$906&lt;$C6)*(_6shaozhuchou_month_day!U$2:U$906&lt;0)))</f>
        <v>0</v>
      </c>
      <c r="R5" s="145">
        <f>IF(G5=0,0,SUMPRODUCT((_6shaozhuchou_month_day!$A$2:$A$906&gt;=$C5)*(_6shaozhuchou_month_day!$A$2:$A$906&lt;$C6),_6shaozhuchou_month_day!V$2:V$906)/SUMPRODUCT((_6shaozhuchou_month_day!$A$2:$A$906&gt;=$C5)*(_6shaozhuchou_month_day!$A$2:$A$906&lt;$C6)*(_6shaozhuchou_month_day!V$2:V$906&gt;0)))</f>
        <v>0</v>
      </c>
      <c r="S5" s="145">
        <f>IF(G5=0,0,SUMPRODUCT((_6shaozhuchou_month_day!$A$2:$A$906&gt;=$C5)*(_6shaozhuchou_month_day!$A$2:$A$906&lt;$C6),_6shaozhuchou_month_day!W$2:W$906)/SUMPRODUCT((_6shaozhuchou_month_day!$A$2:$A$906&gt;=$C5)*(_6shaozhuchou_month_day!$A$2:$A$906&lt;$C6)*(_6shaozhuchou_month_day!W$2:W$906&lt;0)))</f>
        <v>0</v>
      </c>
      <c r="T5" s="145" t="str">
        <f>主抽数据!Z7</f>
        <v/>
      </c>
      <c r="U5" s="145" t="str">
        <f>主抽数据!AA7</f>
        <v/>
      </c>
      <c r="V5" s="148">
        <f>查询与汇总!$S$1*M5</f>
        <v>0</v>
      </c>
      <c r="W5" s="149" t="e">
        <f t="shared" si="5"/>
        <v>#REF!</v>
      </c>
      <c r="X5" s="150"/>
      <c r="Y5" s="158"/>
      <c r="Z5" s="159"/>
      <c r="AA5" s="160" t="str">
        <f>主抽数据!AB7</f>
        <v/>
      </c>
      <c r="AB5" s="161" t="str">
        <f>主抽数据!AC7</f>
        <v/>
      </c>
      <c r="AC5" s="162" t="e">
        <f t="shared" si="6"/>
        <v>#REF!</v>
      </c>
      <c r="AE5" s="123" t="e">
        <f t="shared" si="7"/>
        <v>#VALUE!</v>
      </c>
      <c r="AF5" s="123" t="e">
        <f t="shared" si="8"/>
        <v>#VALUE!</v>
      </c>
      <c r="AG5" s="123">
        <f t="shared" si="9"/>
        <v>0</v>
      </c>
      <c r="AH5" s="123">
        <f t="shared" si="10"/>
        <v>0</v>
      </c>
    </row>
    <row r="6" spans="1:238" ht="20.25" customHeight="1">
      <c r="A6" s="133">
        <f t="shared" ref="A6:A69" si="12">A3+1</f>
        <v>43345</v>
      </c>
      <c r="B6" s="134">
        <f t="shared" ref="B6:B69" si="13">B3</f>
        <v>0</v>
      </c>
      <c r="C6" s="133">
        <f t="shared" si="0"/>
        <v>43345</v>
      </c>
      <c r="D6" s="134" t="str">
        <f t="shared" ref="D6:D69" si="14">D3</f>
        <v>夜班</v>
      </c>
      <c r="E6" s="130">
        <v>1</v>
      </c>
      <c r="F6" s="131" t="str">
        <f t="shared" si="1"/>
        <v>甲班</v>
      </c>
      <c r="G6" s="132">
        <f>SUMPRODUCT((_6shaozhuchou_month_day!$A$2:$A$906&gt;=C6)*(_6shaozhuchou_month_day!$A$2:$A$906&lt;C7),_6shaozhuchou_month_day!$Y$2:$Y$906)/8</f>
        <v>0</v>
      </c>
      <c r="H6" s="132">
        <f t="shared" si="2"/>
        <v>0</v>
      </c>
      <c r="I6" s="141">
        <f t="shared" si="3"/>
        <v>0</v>
      </c>
      <c r="J6" s="142" t="e">
        <f>SUMPRODUCT((主抽数据!$AU$5:$AU$97=$A6)*(主抽数据!$AV$5:$AV$97=$F6),主抽数据!$AK$5:$AK$97)</f>
        <v>#REF!</v>
      </c>
      <c r="K6" s="142" t="e">
        <f>SUMPRODUCT((主抽数据!$AU$5:$AU$97=$A6)*(主抽数据!$AV$5:$AV$97=$F6),主抽数据!$AL$5:$AL$97)</f>
        <v>#REF!</v>
      </c>
      <c r="L6" s="143" t="e">
        <f t="shared" si="4"/>
        <v>#REF!</v>
      </c>
      <c r="M6" s="143">
        <f>SUMPRODUCT((_6shaozhuchou_month_day!$A$2:$A$906&gt;=C6)*(_6shaozhuchou_month_day!$A$2:$A$906&lt;C7),_6shaozhuchou_month_day!$Z$2:$Z$906)</f>
        <v>0</v>
      </c>
      <c r="N6" s="132">
        <f>M6*查询与汇总!$O$1</f>
        <v>0</v>
      </c>
      <c r="O6" s="144">
        <f t="shared" si="11"/>
        <v>0</v>
      </c>
      <c r="P6" s="145">
        <f>IF(G6=0,0,SUMPRODUCT((_6shaozhuchou_month_day!$A$2:$A$906&gt;=$C6)*(_6shaozhuchou_month_day!$A$2:$A$906&lt;$C7),_6shaozhuchou_month_day!T$2:T$906)/SUMPRODUCT((_6shaozhuchou_month_day!$A$2:$A$906&gt;=$C6)*(_6shaozhuchou_month_day!$A$2:$A$906&lt;$C7)*(_6shaozhuchou_month_day!T$2:T$906&gt;0)))</f>
        <v>0</v>
      </c>
      <c r="Q6" s="145">
        <f>IF(G6=0,0,SUMPRODUCT((_6shaozhuchou_month_day!$A$2:$A$906&gt;=$C6)*(_6shaozhuchou_month_day!$A$2:$A$906&lt;$C7),_6shaozhuchou_month_day!U$2:U$906)/SUMPRODUCT((_6shaozhuchou_month_day!$A$2:$A$906&gt;=$C6)*(_6shaozhuchou_month_day!$A$2:$A$906&lt;$C7)*(_6shaozhuchou_month_day!U$2:U$906&lt;0)))</f>
        <v>0</v>
      </c>
      <c r="R6" s="145">
        <f>IF(G6=0,0,SUMPRODUCT((_6shaozhuchou_month_day!$A$2:$A$906&gt;=$C6)*(_6shaozhuchou_month_day!$A$2:$A$906&lt;$C7),_6shaozhuchou_month_day!V$2:V$906)/SUMPRODUCT((_6shaozhuchou_month_day!$A$2:$A$906&gt;=$C6)*(_6shaozhuchou_month_day!$A$2:$A$906&lt;$C7)*(_6shaozhuchou_month_day!V$2:V$906&gt;0)))</f>
        <v>0</v>
      </c>
      <c r="S6" s="145">
        <f>IF(G6=0,0,SUMPRODUCT((_6shaozhuchou_month_day!$A$2:$A$906&gt;=$C6)*(_6shaozhuchou_month_day!$A$2:$A$906&lt;$C7),_6shaozhuchou_month_day!W$2:W$906)/SUMPRODUCT((_6shaozhuchou_month_day!$A$2:$A$906&gt;=$C6)*(_6shaozhuchou_month_day!$A$2:$A$906&lt;$C7)*(_6shaozhuchou_month_day!W$2:W$906&lt;0)))</f>
        <v>0</v>
      </c>
      <c r="T6" s="145" t="str">
        <f>主抽数据!Z8</f>
        <v/>
      </c>
      <c r="U6" s="145" t="str">
        <f>主抽数据!AA8</f>
        <v/>
      </c>
      <c r="V6" s="148">
        <f>查询与汇总!$S$1*M6</f>
        <v>0</v>
      </c>
      <c r="W6" s="149" t="e">
        <f t="shared" si="5"/>
        <v>#REF!</v>
      </c>
      <c r="X6" s="150"/>
      <c r="Y6" s="158"/>
      <c r="Z6" s="163"/>
      <c r="AA6" s="160" t="str">
        <f>主抽数据!AB8</f>
        <v/>
      </c>
      <c r="AB6" s="161" t="str">
        <f>主抽数据!AC8</f>
        <v/>
      </c>
      <c r="AC6" s="162" t="e">
        <f t="shared" si="6"/>
        <v>#REF!</v>
      </c>
      <c r="AE6" s="123" t="e">
        <f t="shared" si="7"/>
        <v>#VALUE!</v>
      </c>
      <c r="AF6" s="123" t="e">
        <f t="shared" si="8"/>
        <v>#VALUE!</v>
      </c>
      <c r="AG6" s="123">
        <f t="shared" si="9"/>
        <v>0</v>
      </c>
      <c r="AH6" s="123">
        <f t="shared" si="10"/>
        <v>0</v>
      </c>
    </row>
    <row r="7" spans="1:238" ht="36" customHeight="1">
      <c r="A7" s="133">
        <f t="shared" si="12"/>
        <v>43345</v>
      </c>
      <c r="B7" s="134">
        <f t="shared" si="13"/>
        <v>0.33333333333333298</v>
      </c>
      <c r="C7" s="133">
        <f t="shared" si="0"/>
        <v>43345.333333333336</v>
      </c>
      <c r="D7" s="134" t="str">
        <f t="shared" si="14"/>
        <v>白班</v>
      </c>
      <c r="E7" s="131">
        <f>IF(AND(E6=4),1,IF(AND(E6&lt;4),(E6+1),))</f>
        <v>2</v>
      </c>
      <c r="F7" s="131" t="str">
        <f t="shared" si="1"/>
        <v>乙班</v>
      </c>
      <c r="G7" s="132">
        <f>SUMPRODUCT((_6shaozhuchou_month_day!$A$2:$A$906&gt;=C7)*(_6shaozhuchou_month_day!$A$2:$A$906&lt;C8),_6shaozhuchou_month_day!$Y$2:$Y$906)/8</f>
        <v>0</v>
      </c>
      <c r="H7" s="132">
        <f t="shared" si="2"/>
        <v>0</v>
      </c>
      <c r="I7" s="141">
        <f t="shared" si="3"/>
        <v>0</v>
      </c>
      <c r="J7" s="142" t="e">
        <f>SUMPRODUCT((主抽数据!$AU$5:$AU$97=$A7)*(主抽数据!$AV$5:$AV$97=$F7),主抽数据!$AK$5:$AK$97)</f>
        <v>#REF!</v>
      </c>
      <c r="K7" s="142" t="e">
        <f>SUMPRODUCT((主抽数据!$AU$5:$AU$97=$A7)*(主抽数据!$AV$5:$AV$97=$F7),主抽数据!$AL$5:$AL$97)</f>
        <v>#REF!</v>
      </c>
      <c r="L7" s="143" t="e">
        <f t="shared" si="4"/>
        <v>#REF!</v>
      </c>
      <c r="M7" s="143">
        <f>SUMPRODUCT((_6shaozhuchou_month_day!$A$2:$A$906&gt;=C7)*(_6shaozhuchou_month_day!$A$2:$A$906&lt;C8),_6shaozhuchou_month_day!$Z$2:$Z$906)</f>
        <v>0</v>
      </c>
      <c r="N7" s="132">
        <f>M7*查询与汇总!$O$1</f>
        <v>0</v>
      </c>
      <c r="O7" s="144">
        <f t="shared" si="11"/>
        <v>0</v>
      </c>
      <c r="P7" s="145">
        <f>IF(G7=0,0,SUMPRODUCT((_6shaozhuchou_month_day!$A$2:$A$906&gt;=$C7)*(_6shaozhuchou_month_day!$A$2:$A$906&lt;$C8),_6shaozhuchou_month_day!T$2:T$906)/SUMPRODUCT((_6shaozhuchou_month_day!$A$2:$A$906&gt;=$C7)*(_6shaozhuchou_month_day!$A$2:$A$906&lt;$C8)*(_6shaozhuchou_month_day!T$2:T$906&gt;0)))</f>
        <v>0</v>
      </c>
      <c r="Q7" s="145">
        <f>IF(G7=0,0,SUMPRODUCT((_6shaozhuchou_month_day!$A$2:$A$906&gt;=$C7)*(_6shaozhuchou_month_day!$A$2:$A$906&lt;$C8),_6shaozhuchou_month_day!U$2:U$906)/SUMPRODUCT((_6shaozhuchou_month_day!$A$2:$A$906&gt;=$C7)*(_6shaozhuchou_month_day!$A$2:$A$906&lt;$C8)*(_6shaozhuchou_month_day!U$2:U$906&lt;0)))</f>
        <v>0</v>
      </c>
      <c r="R7" s="145">
        <f>IF(G7=0,0,SUMPRODUCT((_6shaozhuchou_month_day!$A$2:$A$906&gt;=$C7)*(_6shaozhuchou_month_day!$A$2:$A$906&lt;$C8),_6shaozhuchou_month_day!V$2:V$906)/SUMPRODUCT((_6shaozhuchou_month_day!$A$2:$A$906&gt;=$C7)*(_6shaozhuchou_month_day!$A$2:$A$906&lt;$C8)*(_6shaozhuchou_month_day!V$2:V$906&gt;0)))</f>
        <v>0</v>
      </c>
      <c r="S7" s="145">
        <f>IF(G7=0,0,SUMPRODUCT((_6shaozhuchou_month_day!$A$2:$A$906&gt;=$C7)*(_6shaozhuchou_month_day!$A$2:$A$906&lt;$C8),_6shaozhuchou_month_day!W$2:W$906)/SUMPRODUCT((_6shaozhuchou_month_day!$A$2:$A$906&gt;=$C7)*(_6shaozhuchou_month_day!$A$2:$A$906&lt;$C8)*(_6shaozhuchou_month_day!W$2:W$906&lt;0)))</f>
        <v>0</v>
      </c>
      <c r="T7" s="145" t="str">
        <f>主抽数据!Z9</f>
        <v/>
      </c>
      <c r="U7" s="145" t="str">
        <f>主抽数据!AA9</f>
        <v/>
      </c>
      <c r="V7" s="148">
        <f>查询与汇总!$S$1*M7</f>
        <v>0</v>
      </c>
      <c r="W7" s="149" t="e">
        <f t="shared" si="5"/>
        <v>#REF!</v>
      </c>
      <c r="X7" s="150"/>
      <c r="Y7" s="158"/>
      <c r="Z7" s="159"/>
      <c r="AA7" s="160" t="str">
        <f>主抽数据!AB9</f>
        <v/>
      </c>
      <c r="AB7" s="161" t="str">
        <f>主抽数据!AC9</f>
        <v/>
      </c>
      <c r="AC7" s="162" t="e">
        <f t="shared" si="6"/>
        <v>#REF!</v>
      </c>
      <c r="AE7" s="123" t="e">
        <f t="shared" si="7"/>
        <v>#VALUE!</v>
      </c>
      <c r="AF7" s="123" t="e">
        <f t="shared" si="8"/>
        <v>#VALUE!</v>
      </c>
      <c r="AG7" s="123">
        <f t="shared" si="9"/>
        <v>0</v>
      </c>
      <c r="AH7" s="123">
        <f t="shared" si="10"/>
        <v>0</v>
      </c>
    </row>
    <row r="8" spans="1:238" ht="20.25" customHeight="1">
      <c r="A8" s="133">
        <f t="shared" si="12"/>
        <v>43345</v>
      </c>
      <c r="B8" s="134">
        <f t="shared" si="13"/>
        <v>0.66666666666666696</v>
      </c>
      <c r="C8" s="133">
        <f t="shared" si="0"/>
        <v>43345.666666666664</v>
      </c>
      <c r="D8" s="134" t="str">
        <f t="shared" si="14"/>
        <v>中班</v>
      </c>
      <c r="E8" s="131">
        <f>IF(AND(E7=4),1,IF(AND(E7&lt;4),(E7+1),))</f>
        <v>3</v>
      </c>
      <c r="F8" s="131" t="str">
        <f t="shared" si="1"/>
        <v>丙班</v>
      </c>
      <c r="G8" s="132">
        <f>SUMPRODUCT((_6shaozhuchou_month_day!$A$2:$A$906&gt;=C8)*(_6shaozhuchou_month_day!$A$2:$A$906&lt;C9),_6shaozhuchou_month_day!$Y$2:$Y$906)/8</f>
        <v>0</v>
      </c>
      <c r="H8" s="132">
        <f t="shared" si="2"/>
        <v>0</v>
      </c>
      <c r="I8" s="141">
        <f t="shared" si="3"/>
        <v>0</v>
      </c>
      <c r="J8" s="142" t="e">
        <f>SUMPRODUCT((主抽数据!$AU$5:$AU$97=$A8)*(主抽数据!$AV$5:$AV$97=$F8),主抽数据!$AK$5:$AK$97)</f>
        <v>#REF!</v>
      </c>
      <c r="K8" s="142" t="e">
        <f>SUMPRODUCT((主抽数据!$AU$5:$AU$97=$A8)*(主抽数据!$AV$5:$AV$97=$F8),主抽数据!$AL$5:$AL$97)</f>
        <v>#REF!</v>
      </c>
      <c r="L8" s="143" t="e">
        <f t="shared" si="4"/>
        <v>#REF!</v>
      </c>
      <c r="M8" s="143">
        <f>SUMPRODUCT((_6shaozhuchou_month_day!$A$2:$A$906&gt;=C8)*(_6shaozhuchou_month_day!$A$2:$A$906&lt;C9),_6shaozhuchou_month_day!$Z$2:$Z$906)</f>
        <v>0</v>
      </c>
      <c r="N8" s="132">
        <f>M8*查询与汇总!$O$1</f>
        <v>0</v>
      </c>
      <c r="O8" s="144">
        <f t="shared" si="11"/>
        <v>0</v>
      </c>
      <c r="P8" s="145">
        <f>IF(G8=0,0,SUMPRODUCT((_6shaozhuchou_month_day!$A$2:$A$906&gt;=$C8)*(_6shaozhuchou_month_day!$A$2:$A$906&lt;$C9),_6shaozhuchou_month_day!T$2:T$906)/SUMPRODUCT((_6shaozhuchou_month_day!$A$2:$A$906&gt;=$C8)*(_6shaozhuchou_month_day!$A$2:$A$906&lt;$C9)*(_6shaozhuchou_month_day!T$2:T$906&gt;0)))</f>
        <v>0</v>
      </c>
      <c r="Q8" s="145">
        <f>IF(G8=0,0,SUMPRODUCT((_6shaozhuchou_month_day!$A$2:$A$906&gt;=$C8)*(_6shaozhuchou_month_day!$A$2:$A$906&lt;$C9),_6shaozhuchou_month_day!U$2:U$906)/SUMPRODUCT((_6shaozhuchou_month_day!$A$2:$A$906&gt;=$C8)*(_6shaozhuchou_month_day!$A$2:$A$906&lt;$C9)*(_6shaozhuchou_month_day!U$2:U$906&lt;0)))</f>
        <v>0</v>
      </c>
      <c r="R8" s="145">
        <f>IF(G8=0,0,SUMPRODUCT((_6shaozhuchou_month_day!$A$2:$A$906&gt;=$C8)*(_6shaozhuchou_month_day!$A$2:$A$906&lt;$C9),_6shaozhuchou_month_day!V$2:V$906)/SUMPRODUCT((_6shaozhuchou_month_day!$A$2:$A$906&gt;=$C8)*(_6shaozhuchou_month_day!$A$2:$A$906&lt;$C9)*(_6shaozhuchou_month_day!V$2:V$906&gt;0)))</f>
        <v>0</v>
      </c>
      <c r="S8" s="145">
        <f>IF(G8=0,0,SUMPRODUCT((_6shaozhuchou_month_day!$A$2:$A$906&gt;=$C8)*(_6shaozhuchou_month_day!$A$2:$A$906&lt;$C9),_6shaozhuchou_month_day!W$2:W$906)/SUMPRODUCT((_6shaozhuchou_month_day!$A$2:$A$906&gt;=$C8)*(_6shaozhuchou_month_day!$A$2:$A$906&lt;$C9)*(_6shaozhuchou_month_day!W$2:W$906&lt;0)))</f>
        <v>0</v>
      </c>
      <c r="T8" s="145" t="str">
        <f>主抽数据!Z10</f>
        <v/>
      </c>
      <c r="U8" s="145" t="str">
        <f>主抽数据!AA10</f>
        <v/>
      </c>
      <c r="V8" s="148">
        <f>查询与汇总!$S$1*M8</f>
        <v>0</v>
      </c>
      <c r="W8" s="149" t="e">
        <f t="shared" si="5"/>
        <v>#REF!</v>
      </c>
      <c r="X8" s="150"/>
      <c r="Y8" s="158"/>
      <c r="Z8" s="159"/>
      <c r="AA8" s="160" t="str">
        <f>主抽数据!AB10</f>
        <v/>
      </c>
      <c r="AB8" s="161" t="str">
        <f>主抽数据!AC10</f>
        <v/>
      </c>
      <c r="AC8" s="162" t="e">
        <f t="shared" si="6"/>
        <v>#REF!</v>
      </c>
      <c r="AE8" s="123" t="e">
        <f t="shared" si="7"/>
        <v>#VALUE!</v>
      </c>
      <c r="AF8" s="123" t="e">
        <f t="shared" si="8"/>
        <v>#VALUE!</v>
      </c>
      <c r="AG8" s="123">
        <f t="shared" si="9"/>
        <v>0</v>
      </c>
      <c r="AH8" s="123">
        <f t="shared" si="10"/>
        <v>0</v>
      </c>
    </row>
    <row r="9" spans="1:238" ht="24" customHeight="1">
      <c r="A9" s="133">
        <f t="shared" si="12"/>
        <v>43346</v>
      </c>
      <c r="B9" s="134">
        <f t="shared" si="13"/>
        <v>0</v>
      </c>
      <c r="C9" s="133">
        <f t="shared" si="0"/>
        <v>43346</v>
      </c>
      <c r="D9" s="134" t="str">
        <f t="shared" si="14"/>
        <v>夜班</v>
      </c>
      <c r="E9" s="131">
        <f>IF(AND(E3=1),4,IF(AND(E3&gt;1),(E3-1),))</f>
        <v>1</v>
      </c>
      <c r="F9" s="131" t="str">
        <f t="shared" si="1"/>
        <v>甲班</v>
      </c>
      <c r="G9" s="132">
        <f>SUMPRODUCT((_6shaozhuchou_month_day!$A$2:$A$906&gt;=C9)*(_6shaozhuchou_month_day!$A$2:$A$906&lt;C10),_6shaozhuchou_month_day!$Y$2:$Y$906)/8</f>
        <v>0</v>
      </c>
      <c r="H9" s="132">
        <f t="shared" si="2"/>
        <v>0</v>
      </c>
      <c r="I9" s="141">
        <f t="shared" si="3"/>
        <v>0</v>
      </c>
      <c r="J9" s="142" t="e">
        <f>SUMPRODUCT((主抽数据!$AU$5:$AU$97=$A9)*(主抽数据!$AV$5:$AV$97=$F9),主抽数据!$AK$5:$AK$97)</f>
        <v>#REF!</v>
      </c>
      <c r="K9" s="142" t="e">
        <f>SUMPRODUCT((主抽数据!$AU$5:$AU$97=$A9)*(主抽数据!$AV$5:$AV$97=$F9),主抽数据!$AL$5:$AL$97)</f>
        <v>#REF!</v>
      </c>
      <c r="L9" s="143" t="e">
        <f t="shared" si="4"/>
        <v>#REF!</v>
      </c>
      <c r="M9" s="143">
        <f>SUMPRODUCT((_6shaozhuchou_month_day!$A$2:$A$906&gt;=C9)*(_6shaozhuchou_month_day!$A$2:$A$906&lt;C10),_6shaozhuchou_month_day!$Z$2:$Z$906)</f>
        <v>0</v>
      </c>
      <c r="N9" s="132">
        <f>M9*查询与汇总!$O$1</f>
        <v>0</v>
      </c>
      <c r="O9" s="144">
        <f t="shared" si="11"/>
        <v>0</v>
      </c>
      <c r="P9" s="145">
        <f>IF(G9=0,0,SUMPRODUCT((_6shaozhuchou_month_day!$A$2:$A$906&gt;=$C9)*(_6shaozhuchou_month_day!$A$2:$A$906&lt;$C10),_6shaozhuchou_month_day!T$2:T$906)/SUMPRODUCT((_6shaozhuchou_month_day!$A$2:$A$906&gt;=$C9)*(_6shaozhuchou_month_day!$A$2:$A$906&lt;$C10)*(_6shaozhuchou_month_day!T$2:T$906&gt;0)))</f>
        <v>0</v>
      </c>
      <c r="Q9" s="145">
        <f>IF(G9=0,0,SUMPRODUCT((_6shaozhuchou_month_day!$A$2:$A$906&gt;=$C9)*(_6shaozhuchou_month_day!$A$2:$A$906&lt;$C10),_6shaozhuchou_month_day!U$2:U$906)/SUMPRODUCT((_6shaozhuchou_month_day!$A$2:$A$906&gt;=$C9)*(_6shaozhuchou_month_day!$A$2:$A$906&lt;$C10)*(_6shaozhuchou_month_day!U$2:U$906&lt;0)))</f>
        <v>0</v>
      </c>
      <c r="R9" s="145">
        <f>IF(G9=0,0,SUMPRODUCT((_6shaozhuchou_month_day!$A$2:$A$906&gt;=$C9)*(_6shaozhuchou_month_day!$A$2:$A$906&lt;$C10),_6shaozhuchou_month_day!V$2:V$906)/SUMPRODUCT((_6shaozhuchou_month_day!$A$2:$A$906&gt;=$C9)*(_6shaozhuchou_month_day!$A$2:$A$906&lt;$C10)*(_6shaozhuchou_month_day!V$2:V$906&gt;0)))</f>
        <v>0</v>
      </c>
      <c r="S9" s="145">
        <f>IF(G9=0,0,SUMPRODUCT((_6shaozhuchou_month_day!$A$2:$A$906&gt;=$C9)*(_6shaozhuchou_month_day!$A$2:$A$906&lt;$C10),_6shaozhuchou_month_day!W$2:W$906)/SUMPRODUCT((_6shaozhuchou_month_day!$A$2:$A$906&gt;=$C9)*(_6shaozhuchou_month_day!$A$2:$A$906&lt;$C10)*(_6shaozhuchou_month_day!W$2:W$906&lt;0)))</f>
        <v>0</v>
      </c>
      <c r="T9" s="145" t="str">
        <f>主抽数据!Z11</f>
        <v/>
      </c>
      <c r="U9" s="145" t="str">
        <f>主抽数据!AA11</f>
        <v/>
      </c>
      <c r="V9" s="148">
        <f>查询与汇总!$S$1*M9</f>
        <v>0</v>
      </c>
      <c r="W9" s="149" t="e">
        <f t="shared" si="5"/>
        <v>#REF!</v>
      </c>
      <c r="X9" s="150"/>
      <c r="Y9" s="158"/>
      <c r="Z9" s="159"/>
      <c r="AA9" s="160" t="str">
        <f>主抽数据!AB11</f>
        <v/>
      </c>
      <c r="AB9" s="161" t="str">
        <f>主抽数据!AC11</f>
        <v/>
      </c>
      <c r="AC9" s="162" t="e">
        <f t="shared" si="6"/>
        <v>#REF!</v>
      </c>
      <c r="AE9" s="123" t="e">
        <f t="shared" si="7"/>
        <v>#VALUE!</v>
      </c>
      <c r="AF9" s="123" t="e">
        <f t="shared" si="8"/>
        <v>#VALUE!</v>
      </c>
      <c r="AG9" s="123">
        <f t="shared" si="9"/>
        <v>0</v>
      </c>
      <c r="AH9" s="123">
        <f t="shared" si="10"/>
        <v>0</v>
      </c>
    </row>
    <row r="10" spans="1:238" ht="21" customHeight="1">
      <c r="A10" s="133">
        <f t="shared" si="12"/>
        <v>43346</v>
      </c>
      <c r="B10" s="134">
        <f t="shared" si="13"/>
        <v>0.33333333333333298</v>
      </c>
      <c r="C10" s="133">
        <f t="shared" si="0"/>
        <v>43346.333333333336</v>
      </c>
      <c r="D10" s="134" t="str">
        <f t="shared" si="14"/>
        <v>白班</v>
      </c>
      <c r="E10" s="131">
        <f t="shared" ref="E10:E73" si="15">IF(AND(E4=1),4,IF(AND(E4&gt;1),(E4-1),))</f>
        <v>2</v>
      </c>
      <c r="F10" s="131" t="str">
        <f t="shared" si="1"/>
        <v>乙班</v>
      </c>
      <c r="G10" s="132">
        <f>SUMPRODUCT((_6shaozhuchou_month_day!$A$2:$A$906&gt;=C10)*(_6shaozhuchou_month_day!$A$2:$A$906&lt;C11),_6shaozhuchou_month_day!$Y$2:$Y$906)/8</f>
        <v>0</v>
      </c>
      <c r="H10" s="132">
        <f t="shared" si="2"/>
        <v>0</v>
      </c>
      <c r="I10" s="141">
        <f t="shared" si="3"/>
        <v>0</v>
      </c>
      <c r="J10" s="142" t="e">
        <f>SUMPRODUCT((主抽数据!$AU$5:$AU$97=$A10)*(主抽数据!$AV$5:$AV$97=$F10),主抽数据!$AK$5:$AK$97)</f>
        <v>#REF!</v>
      </c>
      <c r="K10" s="142" t="e">
        <f>SUMPRODUCT((主抽数据!$AU$5:$AU$97=$A10)*(主抽数据!$AV$5:$AV$97=$F10),主抽数据!$AL$5:$AL$97)</f>
        <v>#REF!</v>
      </c>
      <c r="L10" s="143" t="e">
        <f t="shared" si="4"/>
        <v>#REF!</v>
      </c>
      <c r="M10" s="143">
        <f>SUMPRODUCT((_6shaozhuchou_month_day!$A$2:$A$906&gt;=C10)*(_6shaozhuchou_month_day!$A$2:$A$906&lt;C11),_6shaozhuchou_month_day!$Z$2:$Z$906)</f>
        <v>0</v>
      </c>
      <c r="N10" s="132">
        <f>M10*查询与汇总!$O$1</f>
        <v>0</v>
      </c>
      <c r="O10" s="144">
        <f t="shared" si="11"/>
        <v>0</v>
      </c>
      <c r="P10" s="145">
        <f>IF(G10=0,0,SUMPRODUCT((_6shaozhuchou_month_day!$A$2:$A$906&gt;=$C10)*(_6shaozhuchou_month_day!$A$2:$A$906&lt;$C11),_6shaozhuchou_month_day!T$2:T$906)/SUMPRODUCT((_6shaozhuchou_month_day!$A$2:$A$906&gt;=$C10)*(_6shaozhuchou_month_day!$A$2:$A$906&lt;$C11)*(_6shaozhuchou_month_day!T$2:T$906&gt;0)))</f>
        <v>0</v>
      </c>
      <c r="Q10" s="145">
        <f>IF(G10=0,0,SUMPRODUCT((_6shaozhuchou_month_day!$A$2:$A$906&gt;=$C10)*(_6shaozhuchou_month_day!$A$2:$A$906&lt;$C11),_6shaozhuchou_month_day!U$2:U$906)/SUMPRODUCT((_6shaozhuchou_month_day!$A$2:$A$906&gt;=$C10)*(_6shaozhuchou_month_day!$A$2:$A$906&lt;$C11)*(_6shaozhuchou_month_day!U$2:U$906&lt;0)))</f>
        <v>0</v>
      </c>
      <c r="R10" s="145">
        <f>IF(G10=0,0,SUMPRODUCT((_6shaozhuchou_month_day!$A$2:$A$906&gt;=$C10)*(_6shaozhuchou_month_day!$A$2:$A$906&lt;$C11),_6shaozhuchou_month_day!V$2:V$906)/SUMPRODUCT((_6shaozhuchou_month_day!$A$2:$A$906&gt;=$C10)*(_6shaozhuchou_month_day!$A$2:$A$906&lt;$C11)*(_6shaozhuchou_month_day!V$2:V$906&gt;0)))</f>
        <v>0</v>
      </c>
      <c r="S10" s="145">
        <f>IF(G10=0,0,SUMPRODUCT((_6shaozhuchou_month_day!$A$2:$A$906&gt;=$C10)*(_6shaozhuchou_month_day!$A$2:$A$906&lt;$C11),_6shaozhuchou_month_day!W$2:W$906)/SUMPRODUCT((_6shaozhuchou_month_day!$A$2:$A$906&gt;=$C10)*(_6shaozhuchou_month_day!$A$2:$A$906&lt;$C11)*(_6shaozhuchou_month_day!W$2:W$906&lt;0)))</f>
        <v>0</v>
      </c>
      <c r="T10" s="145" t="str">
        <f>主抽数据!Z12</f>
        <v/>
      </c>
      <c r="U10" s="145" t="str">
        <f>主抽数据!AA12</f>
        <v/>
      </c>
      <c r="V10" s="148">
        <f>查询与汇总!$S$1*M10</f>
        <v>0</v>
      </c>
      <c r="W10" s="149" t="e">
        <f t="shared" si="5"/>
        <v>#REF!</v>
      </c>
      <c r="X10" s="150"/>
      <c r="Y10" s="158"/>
      <c r="Z10" s="159"/>
      <c r="AA10" s="160" t="str">
        <f>主抽数据!AB12</f>
        <v/>
      </c>
      <c r="AB10" s="161" t="str">
        <f>主抽数据!AC16</f>
        <v/>
      </c>
      <c r="AC10" s="162" t="e">
        <f t="shared" si="6"/>
        <v>#REF!</v>
      </c>
      <c r="AE10" s="123" t="e">
        <f t="shared" si="7"/>
        <v>#VALUE!</v>
      </c>
      <c r="AF10" s="123" t="e">
        <f t="shared" si="8"/>
        <v>#VALUE!</v>
      </c>
      <c r="AG10" s="123">
        <f t="shared" si="9"/>
        <v>0</v>
      </c>
      <c r="AH10" s="123">
        <f t="shared" si="10"/>
        <v>0</v>
      </c>
    </row>
    <row r="11" spans="1:238" ht="51" customHeight="1">
      <c r="A11" s="133">
        <f t="shared" si="12"/>
        <v>43346</v>
      </c>
      <c r="B11" s="134">
        <f t="shared" si="13"/>
        <v>0.66666666666666696</v>
      </c>
      <c r="C11" s="133">
        <f t="shared" si="0"/>
        <v>43346.666666666664</v>
      </c>
      <c r="D11" s="134" t="str">
        <f t="shared" si="14"/>
        <v>中班</v>
      </c>
      <c r="E11" s="131">
        <f t="shared" si="15"/>
        <v>3</v>
      </c>
      <c r="F11" s="131" t="str">
        <f t="shared" si="1"/>
        <v>丙班</v>
      </c>
      <c r="G11" s="132">
        <f>SUMPRODUCT((_6shaozhuchou_month_day!$A$2:$A$906&gt;=C11)*(_6shaozhuchou_month_day!$A$2:$A$906&lt;C12),_6shaozhuchou_month_day!$Y$2:$Y$906)/8</f>
        <v>0</v>
      </c>
      <c r="H11" s="132">
        <f t="shared" si="2"/>
        <v>0</v>
      </c>
      <c r="I11" s="141">
        <f t="shared" si="3"/>
        <v>0</v>
      </c>
      <c r="J11" s="142" t="e">
        <f>SUMPRODUCT((主抽数据!$AU$5:$AU$97=$A11)*(主抽数据!$AV$5:$AV$97=$F11),主抽数据!$AK$5:$AK$97)</f>
        <v>#REF!</v>
      </c>
      <c r="K11" s="142" t="e">
        <f>SUMPRODUCT((主抽数据!$AU$5:$AU$97=$A11)*(主抽数据!$AV$5:$AV$97=$F11),主抽数据!$AL$5:$AL$97)</f>
        <v>#REF!</v>
      </c>
      <c r="L11" s="143" t="e">
        <f t="shared" si="4"/>
        <v>#REF!</v>
      </c>
      <c r="M11" s="143">
        <f>SUMPRODUCT((_6shaozhuchou_month_day!$A$2:$A$906&gt;=C11)*(_6shaozhuchou_month_day!$A$2:$A$906&lt;C12),_6shaozhuchou_month_day!$Z$2:$Z$906)</f>
        <v>0</v>
      </c>
      <c r="N11" s="132">
        <f>M11*查询与汇总!$O$1</f>
        <v>0</v>
      </c>
      <c r="O11" s="144">
        <f t="shared" si="11"/>
        <v>0</v>
      </c>
      <c r="P11" s="145">
        <f>IF(G11=0,0,SUMPRODUCT((_6shaozhuchou_month_day!$A$2:$A$906&gt;=$C11)*(_6shaozhuchou_month_day!$A$2:$A$906&lt;$C12),_6shaozhuchou_month_day!T$2:T$906)/SUMPRODUCT((_6shaozhuchou_month_day!$A$2:$A$906&gt;=$C11)*(_6shaozhuchou_month_day!$A$2:$A$906&lt;$C12)*(_6shaozhuchou_month_day!T$2:T$906&gt;0)))</f>
        <v>0</v>
      </c>
      <c r="Q11" s="145">
        <f>IF(G11=0,0,SUMPRODUCT((_6shaozhuchou_month_day!$A$2:$A$906&gt;=$C11)*(_6shaozhuchou_month_day!$A$2:$A$906&lt;$C12),_6shaozhuchou_month_day!U$2:U$906)/SUMPRODUCT((_6shaozhuchou_month_day!$A$2:$A$906&gt;=$C11)*(_6shaozhuchou_month_day!$A$2:$A$906&lt;$C12)*(_6shaozhuchou_month_day!U$2:U$906&lt;0)))</f>
        <v>0</v>
      </c>
      <c r="R11" s="145">
        <f>IF(G11=0,0,SUMPRODUCT((_6shaozhuchou_month_day!$A$2:$A$906&gt;=$C11)*(_6shaozhuchou_month_day!$A$2:$A$906&lt;$C12),_6shaozhuchou_month_day!V$2:V$906)/SUMPRODUCT((_6shaozhuchou_month_day!$A$2:$A$906&gt;=$C11)*(_6shaozhuchou_month_day!$A$2:$A$906&lt;$C12)*(_6shaozhuchou_month_day!V$2:V$906&gt;0)))</f>
        <v>0</v>
      </c>
      <c r="S11" s="145">
        <f>IF(G11=0,0,SUMPRODUCT((_6shaozhuchou_month_day!$A$2:$A$906&gt;=$C11)*(_6shaozhuchou_month_day!$A$2:$A$906&lt;$C12),_6shaozhuchou_month_day!W$2:W$906)/SUMPRODUCT((_6shaozhuchou_month_day!$A$2:$A$906&gt;=$C11)*(_6shaozhuchou_month_day!$A$2:$A$906&lt;$C12)*(_6shaozhuchou_month_day!W$2:W$906&lt;0)))</f>
        <v>0</v>
      </c>
      <c r="T11" s="145" t="str">
        <f>主抽数据!Z13</f>
        <v/>
      </c>
      <c r="U11" s="145" t="str">
        <f>主抽数据!AA13</f>
        <v/>
      </c>
      <c r="V11" s="148">
        <f>查询与汇总!$S$1*M11</f>
        <v>0</v>
      </c>
      <c r="W11" s="149" t="e">
        <f t="shared" si="5"/>
        <v>#REF!</v>
      </c>
      <c r="X11" s="151"/>
      <c r="Y11" s="164"/>
      <c r="Z11" s="159"/>
      <c r="AA11" s="160" t="str">
        <f>主抽数据!AB13</f>
        <v/>
      </c>
      <c r="AB11" s="161" t="str">
        <f>主抽数据!AC13</f>
        <v/>
      </c>
      <c r="AC11" s="162" t="e">
        <f t="shared" si="6"/>
        <v>#REF!</v>
      </c>
      <c r="AE11" s="123" t="e">
        <f t="shared" si="7"/>
        <v>#VALUE!</v>
      </c>
      <c r="AF11" s="123" t="e">
        <f t="shared" si="8"/>
        <v>#VALUE!</v>
      </c>
      <c r="AG11" s="123">
        <f t="shared" si="9"/>
        <v>0</v>
      </c>
      <c r="AH11" s="123">
        <f t="shared" si="10"/>
        <v>0</v>
      </c>
    </row>
    <row r="12" spans="1:238" ht="51" customHeight="1">
      <c r="A12" s="133">
        <f t="shared" si="12"/>
        <v>43347</v>
      </c>
      <c r="B12" s="134">
        <f t="shared" si="13"/>
        <v>0</v>
      </c>
      <c r="C12" s="133">
        <f t="shared" si="0"/>
        <v>43347</v>
      </c>
      <c r="D12" s="134" t="str">
        <f t="shared" si="14"/>
        <v>夜班</v>
      </c>
      <c r="E12" s="131">
        <f t="shared" si="15"/>
        <v>4</v>
      </c>
      <c r="F12" s="131" t="str">
        <f t="shared" si="1"/>
        <v>丁班</v>
      </c>
      <c r="G12" s="132">
        <f>SUMPRODUCT((_6shaozhuchou_month_day!$A$2:$A$906&gt;=C12)*(_6shaozhuchou_month_day!$A$2:$A$906&lt;C13),_6shaozhuchou_month_day!$Y$2:$Y$906)/8</f>
        <v>0</v>
      </c>
      <c r="H12" s="132">
        <f t="shared" si="2"/>
        <v>0</v>
      </c>
      <c r="I12" s="141">
        <f t="shared" si="3"/>
        <v>0</v>
      </c>
      <c r="J12" s="142" t="e">
        <f>SUMPRODUCT((主抽数据!$AU$5:$AU$97=$A12)*(主抽数据!$AV$5:$AV$97=$F12),主抽数据!$AK$5:$AK$97)</f>
        <v>#REF!</v>
      </c>
      <c r="K12" s="142" t="e">
        <f>SUMPRODUCT((主抽数据!$AU$5:$AU$97=$A12)*(主抽数据!$AV$5:$AV$97=$F12),主抽数据!$AL$5:$AL$97)</f>
        <v>#REF!</v>
      </c>
      <c r="L12" s="143" t="e">
        <f t="shared" si="4"/>
        <v>#REF!</v>
      </c>
      <c r="M12" s="143">
        <f>SUMPRODUCT((_6shaozhuchou_month_day!$A$2:$A$906&gt;=C12)*(_6shaozhuchou_month_day!$A$2:$A$906&lt;C13),_6shaozhuchou_month_day!$Z$2:$Z$906)</f>
        <v>0</v>
      </c>
      <c r="N12" s="132">
        <f>M12*查询与汇总!$O$1</f>
        <v>0</v>
      </c>
      <c r="O12" s="144">
        <f t="shared" si="11"/>
        <v>0</v>
      </c>
      <c r="P12" s="145">
        <f>IF(G12=0,0,SUMPRODUCT((_6shaozhuchou_month_day!$A$2:$A$906&gt;=$C12)*(_6shaozhuchou_month_day!$A$2:$A$906&lt;$C13),_6shaozhuchou_month_day!T$2:T$906)/SUMPRODUCT((_6shaozhuchou_month_day!$A$2:$A$906&gt;=$C12)*(_6shaozhuchou_month_day!$A$2:$A$906&lt;$C13)*(_6shaozhuchou_month_day!T$2:T$906&gt;0)))</f>
        <v>0</v>
      </c>
      <c r="Q12" s="145">
        <f>IF(G12=0,0,SUMPRODUCT((_6shaozhuchou_month_day!$A$2:$A$906&gt;=$C12)*(_6shaozhuchou_month_day!$A$2:$A$906&lt;$C13),_6shaozhuchou_month_day!U$2:U$906)/SUMPRODUCT((_6shaozhuchou_month_day!$A$2:$A$906&gt;=$C12)*(_6shaozhuchou_month_day!$A$2:$A$906&lt;$C13)*(_6shaozhuchou_month_day!U$2:U$906&lt;0)))</f>
        <v>0</v>
      </c>
      <c r="R12" s="145">
        <f>IF(G12=0,0,SUMPRODUCT((_6shaozhuchou_month_day!$A$2:$A$906&gt;=$C12)*(_6shaozhuchou_month_day!$A$2:$A$906&lt;$C13),_6shaozhuchou_month_day!V$2:V$906)/SUMPRODUCT((_6shaozhuchou_month_day!$A$2:$A$906&gt;=$C12)*(_6shaozhuchou_month_day!$A$2:$A$906&lt;$C13)*(_6shaozhuchou_month_day!V$2:V$906&gt;0)))</f>
        <v>0</v>
      </c>
      <c r="S12" s="145">
        <f>IF(G12=0,0,SUMPRODUCT((_6shaozhuchou_month_day!$A$2:$A$906&gt;=$C12)*(_6shaozhuchou_month_day!$A$2:$A$906&lt;$C13),_6shaozhuchou_month_day!W$2:W$906)/SUMPRODUCT((_6shaozhuchou_month_day!$A$2:$A$906&gt;=$C12)*(_6shaozhuchou_month_day!$A$2:$A$906&lt;$C13)*(_6shaozhuchou_month_day!W$2:W$906&lt;0)))</f>
        <v>0</v>
      </c>
      <c r="T12" s="145" t="str">
        <f>主抽数据!Z14</f>
        <v/>
      </c>
      <c r="U12" s="145" t="str">
        <f>主抽数据!AA14</f>
        <v/>
      </c>
      <c r="V12" s="148">
        <f>查询与汇总!$S$1*M12</f>
        <v>0</v>
      </c>
      <c r="W12" s="149" t="e">
        <f t="shared" si="5"/>
        <v>#REF!</v>
      </c>
      <c r="X12" s="151"/>
      <c r="Y12" s="164"/>
      <c r="Z12" s="165"/>
      <c r="AA12" s="160" t="str">
        <f>主抽数据!AB14</f>
        <v/>
      </c>
      <c r="AB12" s="161" t="str">
        <f>主抽数据!AC14</f>
        <v/>
      </c>
      <c r="AC12" s="162" t="e">
        <f t="shared" si="6"/>
        <v>#REF!</v>
      </c>
      <c r="AE12" s="123" t="e">
        <f t="shared" si="7"/>
        <v>#VALUE!</v>
      </c>
      <c r="AF12" s="123" t="e">
        <f t="shared" si="8"/>
        <v>#VALUE!</v>
      </c>
      <c r="AG12" s="123">
        <f t="shared" si="9"/>
        <v>0</v>
      </c>
      <c r="AH12" s="123">
        <f t="shared" si="10"/>
        <v>0</v>
      </c>
    </row>
    <row r="13" spans="1:238" ht="24.95" customHeight="1">
      <c r="A13" s="133">
        <f t="shared" si="12"/>
        <v>43347</v>
      </c>
      <c r="B13" s="134">
        <f t="shared" si="13"/>
        <v>0.33333333333333298</v>
      </c>
      <c r="C13" s="133">
        <f t="shared" si="0"/>
        <v>43347.333333333336</v>
      </c>
      <c r="D13" s="134" t="str">
        <f t="shared" si="14"/>
        <v>白班</v>
      </c>
      <c r="E13" s="131">
        <f t="shared" si="15"/>
        <v>1</v>
      </c>
      <c r="F13" s="131" t="str">
        <f t="shared" si="1"/>
        <v>甲班</v>
      </c>
      <c r="G13" s="132">
        <f>SUMPRODUCT((_6shaozhuchou_month_day!$A$2:$A$906&gt;=C13)*(_6shaozhuchou_month_day!$A$2:$A$906&lt;C14),_6shaozhuchou_month_day!$Y$2:$Y$906)/8</f>
        <v>0</v>
      </c>
      <c r="H13" s="132">
        <f t="shared" si="2"/>
        <v>0</v>
      </c>
      <c r="I13" s="141">
        <f t="shared" si="3"/>
        <v>0</v>
      </c>
      <c r="J13" s="142" t="e">
        <f>SUMPRODUCT((主抽数据!$AU$5:$AU$97=$A13)*(主抽数据!$AV$5:$AV$97=$F13),主抽数据!$AK$5:$AK$97)</f>
        <v>#REF!</v>
      </c>
      <c r="K13" s="142" t="e">
        <f>SUMPRODUCT((主抽数据!$AU$5:$AU$97=$A13)*(主抽数据!$AV$5:$AV$97=$F13),主抽数据!$AL$5:$AL$97)</f>
        <v>#REF!</v>
      </c>
      <c r="L13" s="143" t="e">
        <f t="shared" si="4"/>
        <v>#REF!</v>
      </c>
      <c r="M13" s="143">
        <f>SUMPRODUCT((_6shaozhuchou_month_day!$A$2:$A$906&gt;=C13)*(_6shaozhuchou_month_day!$A$2:$A$906&lt;C14),_6shaozhuchou_month_day!$Z$2:$Z$906)</f>
        <v>0</v>
      </c>
      <c r="N13" s="132">
        <f>M13*查询与汇总!$O$1</f>
        <v>0</v>
      </c>
      <c r="O13" s="144">
        <f t="shared" si="11"/>
        <v>0</v>
      </c>
      <c r="P13" s="145">
        <f>IF(G13=0,0,SUMPRODUCT((_6shaozhuchou_month_day!$A$2:$A$906&gt;=$C13)*(_6shaozhuchou_month_day!$A$2:$A$906&lt;$C14),_6shaozhuchou_month_day!T$2:T$906)/SUMPRODUCT((_6shaozhuchou_month_day!$A$2:$A$906&gt;=$C13)*(_6shaozhuchou_month_day!$A$2:$A$906&lt;$C14)*(_6shaozhuchou_month_day!T$2:T$906&gt;0)))</f>
        <v>0</v>
      </c>
      <c r="Q13" s="145">
        <f>IF(G13=0,0,SUMPRODUCT((_6shaozhuchou_month_day!$A$2:$A$906&gt;=$C13)*(_6shaozhuchou_month_day!$A$2:$A$906&lt;$C14),_6shaozhuchou_month_day!U$2:U$906)/SUMPRODUCT((_6shaozhuchou_month_day!$A$2:$A$906&gt;=$C13)*(_6shaozhuchou_month_day!$A$2:$A$906&lt;$C14)*(_6shaozhuchou_month_day!U$2:U$906&lt;0)))</f>
        <v>0</v>
      </c>
      <c r="R13" s="145">
        <f>IF(G13=0,0,SUMPRODUCT((_6shaozhuchou_month_day!$A$2:$A$906&gt;=$C13)*(_6shaozhuchou_month_day!$A$2:$A$906&lt;$C14),_6shaozhuchou_month_day!V$2:V$906)/SUMPRODUCT((_6shaozhuchou_month_day!$A$2:$A$906&gt;=$C13)*(_6shaozhuchou_month_day!$A$2:$A$906&lt;$C14)*(_6shaozhuchou_month_day!V$2:V$906&gt;0)))</f>
        <v>0</v>
      </c>
      <c r="S13" s="145">
        <f>IF(G13=0,0,SUMPRODUCT((_6shaozhuchou_month_day!$A$2:$A$906&gt;=$C13)*(_6shaozhuchou_month_day!$A$2:$A$906&lt;$C14),_6shaozhuchou_month_day!W$2:W$906)/SUMPRODUCT((_6shaozhuchou_month_day!$A$2:$A$906&gt;=$C13)*(_6shaozhuchou_month_day!$A$2:$A$906&lt;$C14)*(_6shaozhuchou_month_day!W$2:W$906&lt;0)))</f>
        <v>0</v>
      </c>
      <c r="T13" s="145" t="str">
        <f>主抽数据!Z15</f>
        <v/>
      </c>
      <c r="U13" s="145" t="str">
        <f>主抽数据!AA15</f>
        <v/>
      </c>
      <c r="V13" s="148">
        <f>查询与汇总!$S$1*M13</f>
        <v>0</v>
      </c>
      <c r="W13" s="149" t="e">
        <f t="shared" si="5"/>
        <v>#REF!</v>
      </c>
      <c r="X13" s="151"/>
      <c r="Y13" s="164"/>
      <c r="Z13" s="165"/>
      <c r="AA13" s="160" t="str">
        <f>主抽数据!AB15</f>
        <v/>
      </c>
      <c r="AB13" s="161" t="str">
        <f>主抽数据!AC15</f>
        <v/>
      </c>
      <c r="AC13" s="162" t="e">
        <f t="shared" si="6"/>
        <v>#REF!</v>
      </c>
      <c r="AE13" s="123" t="e">
        <f t="shared" si="7"/>
        <v>#VALUE!</v>
      </c>
      <c r="AF13" s="123" t="e">
        <f t="shared" si="8"/>
        <v>#VALUE!</v>
      </c>
      <c r="AG13" s="123">
        <f t="shared" si="9"/>
        <v>0</v>
      </c>
      <c r="AH13" s="123">
        <f t="shared" si="10"/>
        <v>0</v>
      </c>
    </row>
    <row r="14" spans="1:238" ht="27" customHeight="1">
      <c r="A14" s="133">
        <f t="shared" si="12"/>
        <v>43347</v>
      </c>
      <c r="B14" s="134">
        <f t="shared" si="13"/>
        <v>0.66666666666666696</v>
      </c>
      <c r="C14" s="133">
        <f t="shared" si="0"/>
        <v>43347.666666666664</v>
      </c>
      <c r="D14" s="134" t="str">
        <f t="shared" si="14"/>
        <v>中班</v>
      </c>
      <c r="E14" s="131">
        <f t="shared" si="15"/>
        <v>2</v>
      </c>
      <c r="F14" s="131" t="str">
        <f t="shared" si="1"/>
        <v>乙班</v>
      </c>
      <c r="G14" s="132">
        <f>SUMPRODUCT((_6shaozhuchou_month_day!$A$2:$A$906&gt;=C14)*(_6shaozhuchou_month_day!$A$2:$A$906&lt;C15),_6shaozhuchou_month_day!$Y$2:$Y$906)/8</f>
        <v>0</v>
      </c>
      <c r="H14" s="132">
        <f t="shared" si="2"/>
        <v>0</v>
      </c>
      <c r="I14" s="141">
        <f t="shared" si="3"/>
        <v>0</v>
      </c>
      <c r="J14" s="142" t="e">
        <f>SUMPRODUCT((主抽数据!$AU$5:$AU$97=$A14)*(主抽数据!$AV$5:$AV$97=$F14),主抽数据!$AK$5:$AK$97)</f>
        <v>#REF!</v>
      </c>
      <c r="K14" s="142" t="e">
        <f>SUMPRODUCT((主抽数据!$AU$5:$AU$97=$A14)*(主抽数据!$AV$5:$AV$97=$F14),主抽数据!$AL$5:$AL$97)</f>
        <v>#REF!</v>
      </c>
      <c r="L14" s="143" t="e">
        <f t="shared" si="4"/>
        <v>#REF!</v>
      </c>
      <c r="M14" s="143">
        <f>SUMPRODUCT((_6shaozhuchou_month_day!$A$2:$A$906&gt;=C14)*(_6shaozhuchou_month_day!$A$2:$A$906&lt;C15),_6shaozhuchou_month_day!$Z$2:$Z$906)</f>
        <v>0</v>
      </c>
      <c r="N14" s="132">
        <f>M14*查询与汇总!$O$1</f>
        <v>0</v>
      </c>
      <c r="O14" s="144">
        <f t="shared" si="11"/>
        <v>0</v>
      </c>
      <c r="P14" s="145">
        <f>IF(G14=0,0,SUMPRODUCT((_6shaozhuchou_month_day!$A$2:$A$906&gt;=$C14)*(_6shaozhuchou_month_day!$A$2:$A$906&lt;$C15),_6shaozhuchou_month_day!T$2:T$906)/SUMPRODUCT((_6shaozhuchou_month_day!$A$2:$A$906&gt;=$C14)*(_6shaozhuchou_month_day!$A$2:$A$906&lt;$C15)*(_6shaozhuchou_month_day!T$2:T$906&gt;0)))</f>
        <v>0</v>
      </c>
      <c r="Q14" s="145">
        <f>IF(G14=0,0,SUMPRODUCT((_6shaozhuchou_month_day!$A$2:$A$906&gt;=$C14)*(_6shaozhuchou_month_day!$A$2:$A$906&lt;$C15),_6shaozhuchou_month_day!U$2:U$906)/SUMPRODUCT((_6shaozhuchou_month_day!$A$2:$A$906&gt;=$C14)*(_6shaozhuchou_month_day!$A$2:$A$906&lt;$C15)*(_6shaozhuchou_month_day!U$2:U$906&lt;0)))</f>
        <v>0</v>
      </c>
      <c r="R14" s="145">
        <f>IF(G14=0,0,SUMPRODUCT((_6shaozhuchou_month_day!$A$2:$A$906&gt;=$C14)*(_6shaozhuchou_month_day!$A$2:$A$906&lt;$C15),_6shaozhuchou_month_day!V$2:V$906)/SUMPRODUCT((_6shaozhuchou_month_day!$A$2:$A$906&gt;=$C14)*(_6shaozhuchou_month_day!$A$2:$A$906&lt;$C15)*(_6shaozhuchou_month_day!V$2:V$906&gt;0)))</f>
        <v>0</v>
      </c>
      <c r="S14" s="145">
        <f>IF(G14=0,0,SUMPRODUCT((_6shaozhuchou_month_day!$A$2:$A$906&gt;=$C14)*(_6shaozhuchou_month_day!$A$2:$A$906&lt;$C15),_6shaozhuchou_month_day!W$2:W$906)/SUMPRODUCT((_6shaozhuchou_month_day!$A$2:$A$906&gt;=$C14)*(_6shaozhuchou_month_day!$A$2:$A$906&lt;$C15)*(_6shaozhuchou_month_day!W$2:W$906&lt;0)))</f>
        <v>0</v>
      </c>
      <c r="T14" s="145" t="str">
        <f>主抽数据!Z16</f>
        <v/>
      </c>
      <c r="U14" s="145" t="str">
        <f>主抽数据!AA16</f>
        <v/>
      </c>
      <c r="V14" s="148">
        <f>查询与汇总!$S$1*M14</f>
        <v>0</v>
      </c>
      <c r="W14" s="149" t="e">
        <f t="shared" si="5"/>
        <v>#REF!</v>
      </c>
      <c r="X14" s="151"/>
      <c r="Y14" s="164"/>
      <c r="Z14" s="165"/>
      <c r="AA14" s="160" t="str">
        <f>主抽数据!AB16</f>
        <v/>
      </c>
      <c r="AB14" s="161" t="e">
        <f>主抽数据!#REF!</f>
        <v>#REF!</v>
      </c>
      <c r="AC14" s="162" t="e">
        <f t="shared" si="6"/>
        <v>#REF!</v>
      </c>
      <c r="AE14" s="123" t="e">
        <f t="shared" si="7"/>
        <v>#VALUE!</v>
      </c>
      <c r="AF14" s="123" t="e">
        <f t="shared" si="8"/>
        <v>#REF!</v>
      </c>
      <c r="AG14" s="123">
        <f t="shared" si="9"/>
        <v>0</v>
      </c>
      <c r="AH14" s="123">
        <f t="shared" si="10"/>
        <v>0</v>
      </c>
    </row>
    <row r="15" spans="1:238" ht="37.5" customHeight="1">
      <c r="A15" s="133">
        <f t="shared" si="12"/>
        <v>43348</v>
      </c>
      <c r="B15" s="134">
        <f t="shared" si="13"/>
        <v>0</v>
      </c>
      <c r="C15" s="133">
        <f t="shared" si="0"/>
        <v>43348</v>
      </c>
      <c r="D15" s="134" t="str">
        <f t="shared" si="14"/>
        <v>夜班</v>
      </c>
      <c r="E15" s="131">
        <f t="shared" si="15"/>
        <v>4</v>
      </c>
      <c r="F15" s="131" t="str">
        <f t="shared" si="1"/>
        <v>丁班</v>
      </c>
      <c r="G15" s="132">
        <f>SUMPRODUCT((_6shaozhuchou_month_day!$A$2:$A$906&gt;=C15)*(_6shaozhuchou_month_day!$A$2:$A$906&lt;C16),_6shaozhuchou_month_day!$Y$2:$Y$906)/8</f>
        <v>0</v>
      </c>
      <c r="H15" s="132">
        <f t="shared" si="2"/>
        <v>0</v>
      </c>
      <c r="I15" s="141">
        <f t="shared" si="3"/>
        <v>0</v>
      </c>
      <c r="J15" s="142" t="e">
        <f>SUMPRODUCT((主抽数据!$AU$5:$AU$97=$A15)*(主抽数据!$AV$5:$AV$97=$F15),主抽数据!$AK$5:$AK$97)</f>
        <v>#REF!</v>
      </c>
      <c r="K15" s="142" t="e">
        <f>SUMPRODUCT((主抽数据!$AU$5:$AU$97=$A15)*(主抽数据!$AV$5:$AV$97=$F15),主抽数据!$AL$5:$AL$97)</f>
        <v>#REF!</v>
      </c>
      <c r="L15" s="143" t="e">
        <f t="shared" si="4"/>
        <v>#REF!</v>
      </c>
      <c r="M15" s="143">
        <f>SUMPRODUCT((_6shaozhuchou_month_day!$A$2:$A$906&gt;=C15)*(_6shaozhuchou_month_day!$A$2:$A$906&lt;C16),_6shaozhuchou_month_day!$Z$2:$Z$906)</f>
        <v>0</v>
      </c>
      <c r="N15" s="132">
        <f>M15*查询与汇总!$O$1</f>
        <v>0</v>
      </c>
      <c r="O15" s="144">
        <f t="shared" si="11"/>
        <v>0</v>
      </c>
      <c r="P15" s="145">
        <f>IF(G15=0,0,SUMPRODUCT((_6shaozhuchou_month_day!$A$2:$A$906&gt;=$C15)*(_6shaozhuchou_month_day!$A$2:$A$906&lt;$C16),_6shaozhuchou_month_day!T$2:T$906)/SUMPRODUCT((_6shaozhuchou_month_day!$A$2:$A$906&gt;=$C15)*(_6shaozhuchou_month_day!$A$2:$A$906&lt;$C16)*(_6shaozhuchou_month_day!T$2:T$906&gt;0)))</f>
        <v>0</v>
      </c>
      <c r="Q15" s="145">
        <f>IF(G15=0,0,SUMPRODUCT((_6shaozhuchou_month_day!$A$2:$A$906&gt;=$C15)*(_6shaozhuchou_month_day!$A$2:$A$906&lt;$C16),_6shaozhuchou_month_day!U$2:U$906)/SUMPRODUCT((_6shaozhuchou_month_day!$A$2:$A$906&gt;=$C15)*(_6shaozhuchou_month_day!$A$2:$A$906&lt;$C16)*(_6shaozhuchou_month_day!U$2:U$906&lt;0)))</f>
        <v>0</v>
      </c>
      <c r="R15" s="145">
        <f>IF(G15=0,0,SUMPRODUCT((_6shaozhuchou_month_day!$A$2:$A$906&gt;=$C15)*(_6shaozhuchou_month_day!$A$2:$A$906&lt;$C16),_6shaozhuchou_month_day!V$2:V$906)/SUMPRODUCT((_6shaozhuchou_month_day!$A$2:$A$906&gt;=$C15)*(_6shaozhuchou_month_day!$A$2:$A$906&lt;$C16)*(_6shaozhuchou_month_day!V$2:V$906&gt;0)))</f>
        <v>0</v>
      </c>
      <c r="S15" s="145">
        <f>IF(G15=0,0,SUMPRODUCT((_6shaozhuchou_month_day!$A$2:$A$906&gt;=$C15)*(_6shaozhuchou_month_day!$A$2:$A$906&lt;$C16),_6shaozhuchou_month_day!W$2:W$906)/SUMPRODUCT((_6shaozhuchou_month_day!$A$2:$A$906&gt;=$C15)*(_6shaozhuchou_month_day!$A$2:$A$906&lt;$C16)*(_6shaozhuchou_month_day!W$2:W$906&lt;0)))</f>
        <v>0</v>
      </c>
      <c r="T15" s="145" t="str">
        <f>主抽数据!Z17</f>
        <v/>
      </c>
      <c r="U15" s="145" t="str">
        <f>主抽数据!AA17</f>
        <v/>
      </c>
      <c r="V15" s="148">
        <f>查询与汇总!$S$1*M15</f>
        <v>0</v>
      </c>
      <c r="W15" s="149" t="e">
        <f t="shared" si="5"/>
        <v>#REF!</v>
      </c>
      <c r="X15" s="151"/>
      <c r="Y15" s="164"/>
      <c r="Z15" s="165"/>
      <c r="AA15" s="160" t="str">
        <f>主抽数据!AB17</f>
        <v/>
      </c>
      <c r="AB15" s="161" t="str">
        <f>主抽数据!AC17</f>
        <v/>
      </c>
      <c r="AC15" s="162" t="e">
        <f t="shared" si="6"/>
        <v>#REF!</v>
      </c>
      <c r="AE15" s="123" t="e">
        <f t="shared" si="7"/>
        <v>#VALUE!</v>
      </c>
      <c r="AF15" s="123" t="e">
        <f t="shared" si="8"/>
        <v>#VALUE!</v>
      </c>
      <c r="AG15" s="123">
        <f t="shared" si="9"/>
        <v>0</v>
      </c>
      <c r="AH15" s="123">
        <f t="shared" si="10"/>
        <v>0</v>
      </c>
    </row>
    <row r="16" spans="1:238" ht="20.25" customHeight="1">
      <c r="A16" s="133">
        <f t="shared" si="12"/>
        <v>43348</v>
      </c>
      <c r="B16" s="134">
        <f t="shared" si="13"/>
        <v>0.33333333333333298</v>
      </c>
      <c r="C16" s="133">
        <f t="shared" si="0"/>
        <v>43348.333333333336</v>
      </c>
      <c r="D16" s="134" t="str">
        <f t="shared" si="14"/>
        <v>白班</v>
      </c>
      <c r="E16" s="131">
        <f t="shared" si="15"/>
        <v>1</v>
      </c>
      <c r="F16" s="131" t="str">
        <f t="shared" si="1"/>
        <v>甲班</v>
      </c>
      <c r="G16" s="132">
        <f>SUMPRODUCT((_6shaozhuchou_month_day!$A$2:$A$906&gt;=C16)*(_6shaozhuchou_month_day!$A$2:$A$906&lt;C17),_6shaozhuchou_month_day!$Y$2:$Y$906)/8</f>
        <v>0</v>
      </c>
      <c r="H16" s="132">
        <f t="shared" si="2"/>
        <v>0</v>
      </c>
      <c r="I16" s="141">
        <f t="shared" si="3"/>
        <v>0</v>
      </c>
      <c r="J16" s="142" t="e">
        <f>SUMPRODUCT((主抽数据!$AU$5:$AU$97=$A16)*(主抽数据!$AV$5:$AV$97=$F16),主抽数据!$AK$5:$AK$97)</f>
        <v>#REF!</v>
      </c>
      <c r="K16" s="142" t="e">
        <f>SUMPRODUCT((主抽数据!$AU$5:$AU$97=$A16)*(主抽数据!$AV$5:$AV$97=$F16),主抽数据!$AL$5:$AL$97)</f>
        <v>#REF!</v>
      </c>
      <c r="L16" s="143" t="e">
        <f t="shared" si="4"/>
        <v>#REF!</v>
      </c>
      <c r="M16" s="143">
        <f>SUMPRODUCT((_6shaozhuchou_month_day!$A$2:$A$906&gt;=C16)*(_6shaozhuchou_month_day!$A$2:$A$906&lt;C17),_6shaozhuchou_month_day!$Z$2:$Z$906)</f>
        <v>0</v>
      </c>
      <c r="N16" s="132">
        <f>M16*查询与汇总!$O$1</f>
        <v>0</v>
      </c>
      <c r="O16" s="144">
        <f t="shared" si="11"/>
        <v>0</v>
      </c>
      <c r="P16" s="145">
        <f>IF(G16=0,0,SUMPRODUCT((_6shaozhuchou_month_day!$A$2:$A$906&gt;=$C16)*(_6shaozhuchou_month_day!$A$2:$A$906&lt;$C17),_6shaozhuchou_month_day!T$2:T$906)/SUMPRODUCT((_6shaozhuchou_month_day!$A$2:$A$906&gt;=$C16)*(_6shaozhuchou_month_day!$A$2:$A$906&lt;$C17)*(_6shaozhuchou_month_day!T$2:T$906&gt;0)))</f>
        <v>0</v>
      </c>
      <c r="Q16" s="145">
        <f>IF(G16=0,0,SUMPRODUCT((_6shaozhuchou_month_day!$A$2:$A$906&gt;=$C16)*(_6shaozhuchou_month_day!$A$2:$A$906&lt;$C17),_6shaozhuchou_month_day!U$2:U$906)/SUMPRODUCT((_6shaozhuchou_month_day!$A$2:$A$906&gt;=$C16)*(_6shaozhuchou_month_day!$A$2:$A$906&lt;$C17)*(_6shaozhuchou_month_day!U$2:U$906&lt;0)))</f>
        <v>0</v>
      </c>
      <c r="R16" s="145">
        <f>IF(G16=0,0,SUMPRODUCT((_6shaozhuchou_month_day!$A$2:$A$906&gt;=$C16)*(_6shaozhuchou_month_day!$A$2:$A$906&lt;$C17),_6shaozhuchou_month_day!V$2:V$906)/SUMPRODUCT((_6shaozhuchou_month_day!$A$2:$A$906&gt;=$C16)*(_6shaozhuchou_month_day!$A$2:$A$906&lt;$C17)*(_6shaozhuchou_month_day!V$2:V$906&gt;0)))</f>
        <v>0</v>
      </c>
      <c r="S16" s="145">
        <f>IF(G16=0,0,SUMPRODUCT((_6shaozhuchou_month_day!$A$2:$A$906&gt;=$C16)*(_6shaozhuchou_month_day!$A$2:$A$906&lt;$C17),_6shaozhuchou_month_day!W$2:W$906)/SUMPRODUCT((_6shaozhuchou_month_day!$A$2:$A$906&gt;=$C16)*(_6shaozhuchou_month_day!$A$2:$A$906&lt;$C17)*(_6shaozhuchou_month_day!W$2:W$906&lt;0)))</f>
        <v>0</v>
      </c>
      <c r="T16" s="145" t="str">
        <f>主抽数据!Z18</f>
        <v/>
      </c>
      <c r="U16" s="145" t="str">
        <f>主抽数据!AA18</f>
        <v/>
      </c>
      <c r="V16" s="148">
        <f>查询与汇总!$S$1*M16</f>
        <v>0</v>
      </c>
      <c r="W16" s="149" t="e">
        <f t="shared" si="5"/>
        <v>#REF!</v>
      </c>
      <c r="X16" s="151"/>
      <c r="Y16" s="164"/>
      <c r="Z16" s="163"/>
      <c r="AA16" s="160" t="str">
        <f>主抽数据!AB18</f>
        <v/>
      </c>
      <c r="AB16" s="161" t="str">
        <f>主抽数据!AC18</f>
        <v/>
      </c>
      <c r="AC16" s="162" t="e">
        <f t="shared" si="6"/>
        <v>#REF!</v>
      </c>
      <c r="AE16" s="123" t="e">
        <f t="shared" si="7"/>
        <v>#VALUE!</v>
      </c>
      <c r="AF16" s="123" t="e">
        <f t="shared" si="8"/>
        <v>#VALUE!</v>
      </c>
      <c r="AG16" s="123">
        <f t="shared" si="9"/>
        <v>0</v>
      </c>
      <c r="AH16" s="123">
        <f t="shared" si="10"/>
        <v>0</v>
      </c>
    </row>
    <row r="17" spans="1:34" ht="20.25" customHeight="1">
      <c r="A17" s="133">
        <f t="shared" si="12"/>
        <v>43348</v>
      </c>
      <c r="B17" s="134">
        <f t="shared" si="13"/>
        <v>0.66666666666666696</v>
      </c>
      <c r="C17" s="133">
        <f t="shared" si="0"/>
        <v>43348.666666666664</v>
      </c>
      <c r="D17" s="134" t="str">
        <f t="shared" si="14"/>
        <v>中班</v>
      </c>
      <c r="E17" s="131">
        <f t="shared" si="15"/>
        <v>2</v>
      </c>
      <c r="F17" s="131" t="str">
        <f t="shared" si="1"/>
        <v>乙班</v>
      </c>
      <c r="G17" s="132">
        <f>SUMPRODUCT((_6shaozhuchou_month_day!$A$2:$A$906&gt;=C17)*(_6shaozhuchou_month_day!$A$2:$A$906&lt;C18),_6shaozhuchou_month_day!$Y$2:$Y$906)/8</f>
        <v>0</v>
      </c>
      <c r="H17" s="132">
        <f t="shared" si="2"/>
        <v>0</v>
      </c>
      <c r="I17" s="141">
        <f t="shared" si="3"/>
        <v>0</v>
      </c>
      <c r="J17" s="142" t="e">
        <f>SUMPRODUCT((主抽数据!$AU$5:$AU$97=$A17)*(主抽数据!$AV$5:$AV$97=$F17),主抽数据!$AK$5:$AK$97)</f>
        <v>#REF!</v>
      </c>
      <c r="K17" s="142" t="e">
        <f>SUMPRODUCT((主抽数据!$AU$5:$AU$97=$A17)*(主抽数据!$AV$5:$AV$97=$F17),主抽数据!$AL$5:$AL$97)</f>
        <v>#REF!</v>
      </c>
      <c r="L17" s="143" t="e">
        <f t="shared" si="4"/>
        <v>#REF!</v>
      </c>
      <c r="M17" s="143">
        <f>SUMPRODUCT((_6shaozhuchou_month_day!$A$2:$A$906&gt;=C17)*(_6shaozhuchou_month_day!$A$2:$A$906&lt;C18),_6shaozhuchou_month_day!$Z$2:$Z$906)</f>
        <v>0</v>
      </c>
      <c r="N17" s="132">
        <f>M17*查询与汇总!$O$1</f>
        <v>0</v>
      </c>
      <c r="O17" s="144">
        <f t="shared" si="11"/>
        <v>0</v>
      </c>
      <c r="P17" s="145">
        <f>IF(G17=0,0,SUMPRODUCT((_6shaozhuchou_month_day!$A$2:$A$906&gt;=$C17)*(_6shaozhuchou_month_day!$A$2:$A$906&lt;$C18),_6shaozhuchou_month_day!T$2:T$906)/SUMPRODUCT((_6shaozhuchou_month_day!$A$2:$A$906&gt;=$C17)*(_6shaozhuchou_month_day!$A$2:$A$906&lt;$C18)*(_6shaozhuchou_month_day!T$2:T$906&gt;0)))</f>
        <v>0</v>
      </c>
      <c r="Q17" s="145">
        <f>IF(G17=0,0,SUMPRODUCT((_6shaozhuchou_month_day!$A$2:$A$906&gt;=$C17)*(_6shaozhuchou_month_day!$A$2:$A$906&lt;$C18),_6shaozhuchou_month_day!U$2:U$906)/SUMPRODUCT((_6shaozhuchou_month_day!$A$2:$A$906&gt;=$C17)*(_6shaozhuchou_month_day!$A$2:$A$906&lt;$C18)*(_6shaozhuchou_month_day!U$2:U$906&lt;0)))</f>
        <v>0</v>
      </c>
      <c r="R17" s="145">
        <f>IF(G17=0,0,SUMPRODUCT((_6shaozhuchou_month_day!$A$2:$A$906&gt;=$C17)*(_6shaozhuchou_month_day!$A$2:$A$906&lt;$C18),_6shaozhuchou_month_day!V$2:V$906)/SUMPRODUCT((_6shaozhuchou_month_day!$A$2:$A$906&gt;=$C17)*(_6shaozhuchou_month_day!$A$2:$A$906&lt;$C18)*(_6shaozhuchou_month_day!V$2:V$906&gt;0)))</f>
        <v>0</v>
      </c>
      <c r="S17" s="145">
        <f>IF(G17=0,0,SUMPRODUCT((_6shaozhuchou_month_day!$A$2:$A$906&gt;=$C17)*(_6shaozhuchou_month_day!$A$2:$A$906&lt;$C18),_6shaozhuchou_month_day!W$2:W$906)/SUMPRODUCT((_6shaozhuchou_month_day!$A$2:$A$906&gt;=$C17)*(_6shaozhuchou_month_day!$A$2:$A$906&lt;$C18)*(_6shaozhuchou_month_day!W$2:W$906&lt;0)))</f>
        <v>0</v>
      </c>
      <c r="T17" s="145" t="str">
        <f>主抽数据!Z19</f>
        <v/>
      </c>
      <c r="U17" s="145" t="str">
        <f>主抽数据!AA19</f>
        <v/>
      </c>
      <c r="V17" s="148">
        <f>查询与汇总!$S$1*M17</f>
        <v>0</v>
      </c>
      <c r="W17" s="149" t="e">
        <f t="shared" si="5"/>
        <v>#REF!</v>
      </c>
      <c r="X17" s="151"/>
      <c r="Y17" s="164"/>
      <c r="Z17" s="163"/>
      <c r="AA17" s="160" t="str">
        <f>主抽数据!AB19</f>
        <v/>
      </c>
      <c r="AB17" s="161" t="str">
        <f>主抽数据!AC19</f>
        <v/>
      </c>
      <c r="AC17" s="162" t="e">
        <f t="shared" si="6"/>
        <v>#REF!</v>
      </c>
      <c r="AE17" s="123" t="e">
        <f t="shared" si="7"/>
        <v>#VALUE!</v>
      </c>
      <c r="AF17" s="123" t="e">
        <f t="shared" si="8"/>
        <v>#VALUE!</v>
      </c>
      <c r="AG17" s="123">
        <f t="shared" si="9"/>
        <v>0</v>
      </c>
      <c r="AH17" s="123">
        <f t="shared" si="10"/>
        <v>0</v>
      </c>
    </row>
    <row r="18" spans="1:34" ht="20.25" customHeight="1">
      <c r="A18" s="133">
        <f t="shared" si="12"/>
        <v>43349</v>
      </c>
      <c r="B18" s="134">
        <f t="shared" si="13"/>
        <v>0</v>
      </c>
      <c r="C18" s="133">
        <f t="shared" si="0"/>
        <v>43349</v>
      </c>
      <c r="D18" s="134" t="str">
        <f t="shared" si="14"/>
        <v>夜班</v>
      </c>
      <c r="E18" s="131">
        <f t="shared" si="15"/>
        <v>3</v>
      </c>
      <c r="F18" s="131" t="str">
        <f t="shared" si="1"/>
        <v>丙班</v>
      </c>
      <c r="G18" s="132">
        <f>SUMPRODUCT((_6shaozhuchou_month_day!$A$2:$A$906&gt;=C18)*(_6shaozhuchou_month_day!$A$2:$A$906&lt;C19),_6shaozhuchou_month_day!$Y$2:$Y$906)/8</f>
        <v>0</v>
      </c>
      <c r="H18" s="132">
        <f t="shared" si="2"/>
        <v>0</v>
      </c>
      <c r="I18" s="141">
        <f t="shared" si="3"/>
        <v>0</v>
      </c>
      <c r="J18" s="142" t="e">
        <f>SUMPRODUCT((主抽数据!$AU$5:$AU$97=$A18)*(主抽数据!$AV$5:$AV$97=$F18),主抽数据!$AK$5:$AK$97)</f>
        <v>#REF!</v>
      </c>
      <c r="K18" s="142" t="e">
        <f>SUMPRODUCT((主抽数据!$AU$5:$AU$97=$A18)*(主抽数据!$AV$5:$AV$97=$F18),主抽数据!$AL$5:$AL$97)</f>
        <v>#REF!</v>
      </c>
      <c r="L18" s="143" t="e">
        <f t="shared" si="4"/>
        <v>#REF!</v>
      </c>
      <c r="M18" s="143">
        <f>SUMPRODUCT((_6shaozhuchou_month_day!$A$2:$A$906&gt;=C18)*(_6shaozhuchou_month_day!$A$2:$A$906&lt;C19),_6shaozhuchou_month_day!$Z$2:$Z$906)</f>
        <v>0</v>
      </c>
      <c r="N18" s="132">
        <f>M18*查询与汇总!$O$1</f>
        <v>0</v>
      </c>
      <c r="O18" s="144">
        <f t="shared" si="11"/>
        <v>0</v>
      </c>
      <c r="P18" s="145">
        <f>IF(G18=0,0,SUMPRODUCT((_6shaozhuchou_month_day!$A$2:$A$906&gt;=$C18)*(_6shaozhuchou_month_day!$A$2:$A$906&lt;$C19),_6shaozhuchou_month_day!T$2:T$906)/SUMPRODUCT((_6shaozhuchou_month_day!$A$2:$A$906&gt;=$C18)*(_6shaozhuchou_month_day!$A$2:$A$906&lt;$C19)*(_6shaozhuchou_month_day!T$2:T$906&gt;0)))</f>
        <v>0</v>
      </c>
      <c r="Q18" s="145">
        <f>IF(G18=0,0,SUMPRODUCT((_6shaozhuchou_month_day!$A$2:$A$906&gt;=$C18)*(_6shaozhuchou_month_day!$A$2:$A$906&lt;$C19),_6shaozhuchou_month_day!U$2:U$906)/SUMPRODUCT((_6shaozhuchou_month_day!$A$2:$A$906&gt;=$C18)*(_6shaozhuchou_month_day!$A$2:$A$906&lt;$C19)*(_6shaozhuchou_month_day!U$2:U$906&lt;0)))</f>
        <v>0</v>
      </c>
      <c r="R18" s="145">
        <f>IF(G18=0,0,SUMPRODUCT((_6shaozhuchou_month_day!$A$2:$A$906&gt;=$C18)*(_6shaozhuchou_month_day!$A$2:$A$906&lt;$C19),_6shaozhuchou_month_day!V$2:V$906)/SUMPRODUCT((_6shaozhuchou_month_day!$A$2:$A$906&gt;=$C18)*(_6shaozhuchou_month_day!$A$2:$A$906&lt;$C19)*(_6shaozhuchou_month_day!V$2:V$906&gt;0)))</f>
        <v>0</v>
      </c>
      <c r="S18" s="145">
        <f>IF(G18=0,0,SUMPRODUCT((_6shaozhuchou_month_day!$A$2:$A$906&gt;=$C18)*(_6shaozhuchou_month_day!$A$2:$A$906&lt;$C19),_6shaozhuchou_month_day!W$2:W$906)/SUMPRODUCT((_6shaozhuchou_month_day!$A$2:$A$906&gt;=$C18)*(_6shaozhuchou_month_day!$A$2:$A$906&lt;$C19)*(_6shaozhuchou_month_day!W$2:W$906&lt;0)))</f>
        <v>0</v>
      </c>
      <c r="T18" s="145" t="str">
        <f>主抽数据!Z20</f>
        <v/>
      </c>
      <c r="U18" s="145" t="str">
        <f>主抽数据!AA20</f>
        <v/>
      </c>
      <c r="V18" s="148">
        <f>查询与汇总!$S$1*M18</f>
        <v>0</v>
      </c>
      <c r="W18" s="149" t="e">
        <f t="shared" si="5"/>
        <v>#REF!</v>
      </c>
      <c r="X18" s="151"/>
      <c r="Y18" s="164"/>
      <c r="Z18" s="163"/>
      <c r="AA18" s="160" t="str">
        <f>主抽数据!AB20</f>
        <v/>
      </c>
      <c r="AB18" s="161" t="str">
        <f>主抽数据!AC20</f>
        <v/>
      </c>
      <c r="AC18" s="162" t="e">
        <f t="shared" si="6"/>
        <v>#REF!</v>
      </c>
      <c r="AE18" s="123" t="e">
        <f t="shared" si="7"/>
        <v>#VALUE!</v>
      </c>
      <c r="AF18" s="123" t="e">
        <f t="shared" si="8"/>
        <v>#VALUE!</v>
      </c>
      <c r="AG18" s="123">
        <f t="shared" si="9"/>
        <v>0</v>
      </c>
      <c r="AH18" s="123">
        <f t="shared" si="10"/>
        <v>0</v>
      </c>
    </row>
    <row r="19" spans="1:34" ht="20.25" customHeight="1">
      <c r="A19" s="133">
        <f t="shared" si="12"/>
        <v>43349</v>
      </c>
      <c r="B19" s="134">
        <f t="shared" si="13"/>
        <v>0.33333333333333298</v>
      </c>
      <c r="C19" s="133">
        <f t="shared" si="0"/>
        <v>43349.333333333336</v>
      </c>
      <c r="D19" s="134" t="str">
        <f t="shared" si="14"/>
        <v>白班</v>
      </c>
      <c r="E19" s="131">
        <f t="shared" si="15"/>
        <v>4</v>
      </c>
      <c r="F19" s="131" t="str">
        <f t="shared" si="1"/>
        <v>丁班</v>
      </c>
      <c r="G19" s="132">
        <f>SUMPRODUCT((_6shaozhuchou_month_day!$A$2:$A$906&gt;=C19)*(_6shaozhuchou_month_day!$A$2:$A$906&lt;C20),_6shaozhuchou_month_day!$Y$2:$Y$906)/8</f>
        <v>0</v>
      </c>
      <c r="H19" s="132">
        <f t="shared" si="2"/>
        <v>0</v>
      </c>
      <c r="I19" s="141">
        <f t="shared" si="3"/>
        <v>0</v>
      </c>
      <c r="J19" s="142" t="e">
        <f>SUMPRODUCT((主抽数据!$AU$5:$AU$97=$A19)*(主抽数据!$AV$5:$AV$97=$F19),主抽数据!$AK$5:$AK$97)</f>
        <v>#REF!</v>
      </c>
      <c r="K19" s="142" t="e">
        <f>SUMPRODUCT((主抽数据!$AU$5:$AU$97=$A19)*(主抽数据!$AV$5:$AV$97=$F19),主抽数据!$AL$5:$AL$97)</f>
        <v>#REF!</v>
      </c>
      <c r="L19" s="143" t="e">
        <f t="shared" si="4"/>
        <v>#REF!</v>
      </c>
      <c r="M19" s="143">
        <f>SUMPRODUCT((_6shaozhuchou_month_day!$A$2:$A$906&gt;=C19)*(_6shaozhuchou_month_day!$A$2:$A$906&lt;C20),_6shaozhuchou_month_day!$Z$2:$Z$906)</f>
        <v>0</v>
      </c>
      <c r="N19" s="132">
        <f>M19*查询与汇总!$O$1</f>
        <v>0</v>
      </c>
      <c r="O19" s="144">
        <f t="shared" si="11"/>
        <v>0</v>
      </c>
      <c r="P19" s="145">
        <f>IF(G19=0,0,SUMPRODUCT((_6shaozhuchou_month_day!$A$2:$A$906&gt;=$C19)*(_6shaozhuchou_month_day!$A$2:$A$906&lt;$C20),_6shaozhuchou_month_day!T$2:T$906)/SUMPRODUCT((_6shaozhuchou_month_day!$A$2:$A$906&gt;=$C19)*(_6shaozhuchou_month_day!$A$2:$A$906&lt;$C20)*(_6shaozhuchou_month_day!T$2:T$906&gt;0)))</f>
        <v>0</v>
      </c>
      <c r="Q19" s="145">
        <f>IF(G19=0,0,SUMPRODUCT((_6shaozhuchou_month_day!$A$2:$A$906&gt;=$C19)*(_6shaozhuchou_month_day!$A$2:$A$906&lt;$C20),_6shaozhuchou_month_day!U$2:U$906)/SUMPRODUCT((_6shaozhuchou_month_day!$A$2:$A$906&gt;=$C19)*(_6shaozhuchou_month_day!$A$2:$A$906&lt;$C20)*(_6shaozhuchou_month_day!U$2:U$906&lt;0)))</f>
        <v>0</v>
      </c>
      <c r="R19" s="145">
        <f>IF(G19=0,0,SUMPRODUCT((_6shaozhuchou_month_day!$A$2:$A$906&gt;=$C19)*(_6shaozhuchou_month_day!$A$2:$A$906&lt;$C20),_6shaozhuchou_month_day!V$2:V$906)/SUMPRODUCT((_6shaozhuchou_month_day!$A$2:$A$906&gt;=$C19)*(_6shaozhuchou_month_day!$A$2:$A$906&lt;$C20)*(_6shaozhuchou_month_day!V$2:V$906&gt;0)))</f>
        <v>0</v>
      </c>
      <c r="S19" s="145">
        <f>IF(G19=0,0,SUMPRODUCT((_6shaozhuchou_month_day!$A$2:$A$906&gt;=$C19)*(_6shaozhuchou_month_day!$A$2:$A$906&lt;$C20),_6shaozhuchou_month_day!W$2:W$906)/SUMPRODUCT((_6shaozhuchou_month_day!$A$2:$A$906&gt;=$C19)*(_6shaozhuchou_month_day!$A$2:$A$906&lt;$C20)*(_6shaozhuchou_month_day!W$2:W$906&lt;0)))</f>
        <v>0</v>
      </c>
      <c r="T19" s="145" t="str">
        <f>主抽数据!Z23</f>
        <v/>
      </c>
      <c r="U19" s="145" t="str">
        <f>主抽数据!AA23</f>
        <v/>
      </c>
      <c r="V19" s="148">
        <f>查询与汇总!$S$1*M19</f>
        <v>0</v>
      </c>
      <c r="W19" s="149" t="e">
        <f t="shared" si="5"/>
        <v>#REF!</v>
      </c>
      <c r="X19" s="151"/>
      <c r="Y19" s="164"/>
      <c r="Z19" s="165"/>
      <c r="AA19" s="160" t="str">
        <f>主抽数据!AB23</f>
        <v/>
      </c>
      <c r="AB19" s="161" t="str">
        <f>主抽数据!AC23</f>
        <v/>
      </c>
      <c r="AC19" s="162" t="e">
        <f t="shared" si="6"/>
        <v>#REF!</v>
      </c>
      <c r="AE19" s="123" t="e">
        <f t="shared" si="7"/>
        <v>#VALUE!</v>
      </c>
      <c r="AF19" s="123" t="e">
        <f t="shared" si="8"/>
        <v>#VALUE!</v>
      </c>
      <c r="AG19" s="123">
        <f t="shared" si="9"/>
        <v>0</v>
      </c>
      <c r="AH19" s="123">
        <f t="shared" si="10"/>
        <v>0</v>
      </c>
    </row>
    <row r="20" spans="1:34" ht="20.25" customHeight="1">
      <c r="A20" s="133">
        <f t="shared" si="12"/>
        <v>43349</v>
      </c>
      <c r="B20" s="134">
        <f t="shared" si="13"/>
        <v>0.66666666666666696</v>
      </c>
      <c r="C20" s="133">
        <f t="shared" si="0"/>
        <v>43349.666666666664</v>
      </c>
      <c r="D20" s="134" t="str">
        <f t="shared" si="14"/>
        <v>中班</v>
      </c>
      <c r="E20" s="131">
        <f t="shared" si="15"/>
        <v>1</v>
      </c>
      <c r="F20" s="131" t="str">
        <f t="shared" si="1"/>
        <v>甲班</v>
      </c>
      <c r="G20" s="132">
        <f>SUMPRODUCT((_6shaozhuchou_month_day!$A$2:$A$906&gt;=C20)*(_6shaozhuchou_month_day!$A$2:$A$906&lt;C21),_6shaozhuchou_month_day!$Y$2:$Y$906)/8</f>
        <v>0</v>
      </c>
      <c r="H20" s="132">
        <f t="shared" si="2"/>
        <v>0</v>
      </c>
      <c r="I20" s="141">
        <f t="shared" si="3"/>
        <v>0</v>
      </c>
      <c r="J20" s="142" t="e">
        <f>SUMPRODUCT((主抽数据!$AU$5:$AU$97=$A20)*(主抽数据!$AV$5:$AV$97=$F20),主抽数据!$AK$5:$AK$97)</f>
        <v>#REF!</v>
      </c>
      <c r="K20" s="142" t="e">
        <f>SUMPRODUCT((主抽数据!$AU$5:$AU$97=$A20)*(主抽数据!$AV$5:$AV$97=$F20),主抽数据!$AL$5:$AL$97)</f>
        <v>#REF!</v>
      </c>
      <c r="L20" s="143" t="e">
        <f t="shared" si="4"/>
        <v>#REF!</v>
      </c>
      <c r="M20" s="143">
        <f>SUMPRODUCT((_6shaozhuchou_month_day!$A$2:$A$906&gt;=C20)*(_6shaozhuchou_month_day!$A$2:$A$906&lt;C21),_6shaozhuchou_month_day!$Z$2:$Z$906)</f>
        <v>0</v>
      </c>
      <c r="N20" s="132">
        <f>M20*查询与汇总!$O$1</f>
        <v>0</v>
      </c>
      <c r="O20" s="144">
        <f t="shared" si="11"/>
        <v>0</v>
      </c>
      <c r="P20" s="145">
        <f>IF(G20=0,0,SUMPRODUCT((_6shaozhuchou_month_day!$A$2:$A$906&gt;=$C20)*(_6shaozhuchou_month_day!$A$2:$A$906&lt;$C21),_6shaozhuchou_month_day!T$2:T$906)/SUMPRODUCT((_6shaozhuchou_month_day!$A$2:$A$906&gt;=$C20)*(_6shaozhuchou_month_day!$A$2:$A$906&lt;$C21)*(_6shaozhuchou_month_day!T$2:T$906&gt;0)))</f>
        <v>0</v>
      </c>
      <c r="Q20" s="145">
        <f>IF(G20=0,0,SUMPRODUCT((_6shaozhuchou_month_day!$A$2:$A$906&gt;=$C20)*(_6shaozhuchou_month_day!$A$2:$A$906&lt;$C21),_6shaozhuchou_month_day!U$2:U$906)/SUMPRODUCT((_6shaozhuchou_month_day!$A$2:$A$906&gt;=$C20)*(_6shaozhuchou_month_day!$A$2:$A$906&lt;$C21)*(_6shaozhuchou_month_day!U$2:U$906&lt;0)))</f>
        <v>0</v>
      </c>
      <c r="R20" s="145">
        <f>IF(G20=0,0,SUMPRODUCT((_6shaozhuchou_month_day!$A$2:$A$906&gt;=$C20)*(_6shaozhuchou_month_day!$A$2:$A$906&lt;$C21),_6shaozhuchou_month_day!V$2:V$906)/SUMPRODUCT((_6shaozhuchou_month_day!$A$2:$A$906&gt;=$C20)*(_6shaozhuchou_month_day!$A$2:$A$906&lt;$C21)*(_6shaozhuchou_month_day!V$2:V$906&gt;0)))</f>
        <v>0</v>
      </c>
      <c r="S20" s="145">
        <f>IF(G20=0,0,SUMPRODUCT((_6shaozhuchou_month_day!$A$2:$A$906&gt;=$C20)*(_6shaozhuchou_month_day!$A$2:$A$906&lt;$C21),_6shaozhuchou_month_day!W$2:W$906)/SUMPRODUCT((_6shaozhuchou_month_day!$A$2:$A$906&gt;=$C20)*(_6shaozhuchou_month_day!$A$2:$A$906&lt;$C21)*(_6shaozhuchou_month_day!W$2:W$906&lt;0)))</f>
        <v>0</v>
      </c>
      <c r="T20" s="145" t="str">
        <f>主抽数据!Z24</f>
        <v/>
      </c>
      <c r="U20" s="145" t="str">
        <f>主抽数据!AA24</f>
        <v/>
      </c>
      <c r="V20" s="148">
        <f>查询与汇总!$S$1*M20</f>
        <v>0</v>
      </c>
      <c r="W20" s="149" t="e">
        <f t="shared" si="5"/>
        <v>#REF!</v>
      </c>
      <c r="X20" s="151"/>
      <c r="Y20" s="164"/>
      <c r="Z20" s="163"/>
      <c r="AA20" s="160" t="str">
        <f>主抽数据!AB24</f>
        <v/>
      </c>
      <c r="AB20" s="161" t="str">
        <f>主抽数据!AC24</f>
        <v/>
      </c>
      <c r="AC20" s="162" t="e">
        <f t="shared" si="6"/>
        <v>#REF!</v>
      </c>
      <c r="AE20" s="123" t="e">
        <f t="shared" si="7"/>
        <v>#VALUE!</v>
      </c>
      <c r="AF20" s="123" t="e">
        <f t="shared" si="8"/>
        <v>#VALUE!</v>
      </c>
      <c r="AG20" s="123">
        <f t="shared" si="9"/>
        <v>0</v>
      </c>
      <c r="AH20" s="123">
        <f t="shared" si="10"/>
        <v>0</v>
      </c>
    </row>
    <row r="21" spans="1:34" ht="20.25" customHeight="1">
      <c r="A21" s="133">
        <f t="shared" si="12"/>
        <v>43350</v>
      </c>
      <c r="B21" s="134">
        <f t="shared" si="13"/>
        <v>0</v>
      </c>
      <c r="C21" s="133">
        <f t="shared" si="0"/>
        <v>43350</v>
      </c>
      <c r="D21" s="134" t="str">
        <f t="shared" si="14"/>
        <v>夜班</v>
      </c>
      <c r="E21" s="131">
        <f t="shared" si="15"/>
        <v>3</v>
      </c>
      <c r="F21" s="131" t="str">
        <f t="shared" si="1"/>
        <v>丙班</v>
      </c>
      <c r="G21" s="132">
        <f>SUMPRODUCT((_6shaozhuchou_month_day!$A$2:$A$906&gt;=C21)*(_6shaozhuchou_month_day!$A$2:$A$906&lt;C22),_6shaozhuchou_month_day!$Y$2:$Y$906)/8</f>
        <v>0</v>
      </c>
      <c r="H21" s="132">
        <f t="shared" si="2"/>
        <v>0</v>
      </c>
      <c r="I21" s="141">
        <f t="shared" si="3"/>
        <v>0</v>
      </c>
      <c r="J21" s="142" t="e">
        <f>SUMPRODUCT((主抽数据!$AU$5:$AU$97=$A21)*(主抽数据!$AV$5:$AV$97=$F21),主抽数据!$AK$5:$AK$97)</f>
        <v>#REF!</v>
      </c>
      <c r="K21" s="142" t="e">
        <f>SUMPRODUCT((主抽数据!$AU$5:$AU$97=$A21)*(主抽数据!$AV$5:$AV$97=$F21),主抽数据!$AL$5:$AL$97)</f>
        <v>#REF!</v>
      </c>
      <c r="L21" s="143" t="e">
        <f t="shared" si="4"/>
        <v>#REF!</v>
      </c>
      <c r="M21" s="143">
        <f>SUMPRODUCT((_6shaozhuchou_month_day!$A$2:$A$906&gt;=C21)*(_6shaozhuchou_month_day!$A$2:$A$906&lt;C22),_6shaozhuchou_month_day!$Z$2:$Z$906)</f>
        <v>0</v>
      </c>
      <c r="N21" s="132">
        <f>M21*查询与汇总!$O$1</f>
        <v>0</v>
      </c>
      <c r="O21" s="144">
        <f t="shared" si="11"/>
        <v>0</v>
      </c>
      <c r="P21" s="145">
        <f>IF(G21=0,0,SUMPRODUCT((_6shaozhuchou_month_day!$A$2:$A$906&gt;=$C21)*(_6shaozhuchou_month_day!$A$2:$A$906&lt;$C22),_6shaozhuchou_month_day!T$2:T$906)/SUMPRODUCT((_6shaozhuchou_month_day!$A$2:$A$906&gt;=$C21)*(_6shaozhuchou_month_day!$A$2:$A$906&lt;$C22)*(_6shaozhuchou_month_day!T$2:T$906&gt;0)))</f>
        <v>0</v>
      </c>
      <c r="Q21" s="145">
        <f>IF(G21=0,0,SUMPRODUCT((_6shaozhuchou_month_day!$A$2:$A$906&gt;=$C21)*(_6shaozhuchou_month_day!$A$2:$A$906&lt;$C22),_6shaozhuchou_month_day!U$2:U$906)/SUMPRODUCT((_6shaozhuchou_month_day!$A$2:$A$906&gt;=$C21)*(_6shaozhuchou_month_day!$A$2:$A$906&lt;$C22)*(_6shaozhuchou_month_day!U$2:U$906&lt;0)))</f>
        <v>0</v>
      </c>
      <c r="R21" s="145">
        <f>IF(G21=0,0,SUMPRODUCT((_6shaozhuchou_month_day!$A$2:$A$906&gt;=$C21)*(_6shaozhuchou_month_day!$A$2:$A$906&lt;$C22),_6shaozhuchou_month_day!V$2:V$906)/SUMPRODUCT((_6shaozhuchou_month_day!$A$2:$A$906&gt;=$C21)*(_6shaozhuchou_month_day!$A$2:$A$906&lt;$C22)*(_6shaozhuchou_month_day!V$2:V$906&gt;0)))</f>
        <v>0</v>
      </c>
      <c r="S21" s="145">
        <f>IF(G21=0,0,SUMPRODUCT((_6shaozhuchou_month_day!$A$2:$A$906&gt;=$C21)*(_6shaozhuchou_month_day!$A$2:$A$906&lt;$C22),_6shaozhuchou_month_day!W$2:W$906)/SUMPRODUCT((_6shaozhuchou_month_day!$A$2:$A$906&gt;=$C21)*(_6shaozhuchou_month_day!$A$2:$A$906&lt;$C22)*(_6shaozhuchou_month_day!W$2:W$906&lt;0)))</f>
        <v>0</v>
      </c>
      <c r="T21" s="145" t="str">
        <f>主抽数据!Z25</f>
        <v/>
      </c>
      <c r="U21" s="145" t="str">
        <f>主抽数据!AA25</f>
        <v/>
      </c>
      <c r="V21" s="148">
        <f>查询与汇总!$S$1*M21</f>
        <v>0</v>
      </c>
      <c r="W21" s="149" t="e">
        <f t="shared" si="5"/>
        <v>#REF!</v>
      </c>
      <c r="X21" s="151"/>
      <c r="Y21" s="164"/>
      <c r="Z21" s="163"/>
      <c r="AA21" s="160" t="str">
        <f>主抽数据!AB25</f>
        <v/>
      </c>
      <c r="AB21" s="161" t="str">
        <f>主抽数据!AC25</f>
        <v/>
      </c>
      <c r="AC21" s="162" t="e">
        <f t="shared" si="6"/>
        <v>#REF!</v>
      </c>
      <c r="AE21" s="123" t="e">
        <f t="shared" si="7"/>
        <v>#VALUE!</v>
      </c>
      <c r="AF21" s="123" t="e">
        <f t="shared" si="8"/>
        <v>#VALUE!</v>
      </c>
      <c r="AG21" s="123">
        <f t="shared" si="9"/>
        <v>0</v>
      </c>
      <c r="AH21" s="123">
        <f t="shared" si="10"/>
        <v>0</v>
      </c>
    </row>
    <row r="22" spans="1:34" ht="30" customHeight="1">
      <c r="A22" s="133">
        <f t="shared" si="12"/>
        <v>43350</v>
      </c>
      <c r="B22" s="134">
        <f t="shared" si="13"/>
        <v>0.33333333333333298</v>
      </c>
      <c r="C22" s="133">
        <f t="shared" si="0"/>
        <v>43350.333333333336</v>
      </c>
      <c r="D22" s="134" t="str">
        <f t="shared" si="14"/>
        <v>白班</v>
      </c>
      <c r="E22" s="131">
        <f t="shared" si="15"/>
        <v>4</v>
      </c>
      <c r="F22" s="131" t="str">
        <f t="shared" si="1"/>
        <v>丁班</v>
      </c>
      <c r="G22" s="132">
        <f>SUMPRODUCT((_6shaozhuchou_month_day!$A$2:$A$906&gt;=C22)*(_6shaozhuchou_month_day!$A$2:$A$906&lt;C23),_6shaozhuchou_month_day!$Y$2:$Y$906)/8</f>
        <v>0</v>
      </c>
      <c r="H22" s="132">
        <f t="shared" si="2"/>
        <v>0</v>
      </c>
      <c r="I22" s="141">
        <f t="shared" si="3"/>
        <v>0</v>
      </c>
      <c r="J22" s="142" t="e">
        <f>SUMPRODUCT((主抽数据!$AU$5:$AU$97=$A22)*(主抽数据!$AV$5:$AV$97=$F22),主抽数据!$AK$5:$AK$97)</f>
        <v>#REF!</v>
      </c>
      <c r="K22" s="142" t="e">
        <f>SUMPRODUCT((主抽数据!$AU$5:$AU$97=$A22)*(主抽数据!$AV$5:$AV$97=$F22),主抽数据!$AL$5:$AL$97)</f>
        <v>#REF!</v>
      </c>
      <c r="L22" s="143" t="e">
        <f t="shared" si="4"/>
        <v>#REF!</v>
      </c>
      <c r="M22" s="143">
        <f>SUMPRODUCT((_6shaozhuchou_month_day!$A$2:$A$906&gt;=C22)*(_6shaozhuchou_month_day!$A$2:$A$906&lt;C23),_6shaozhuchou_month_day!$Z$2:$Z$906)</f>
        <v>0</v>
      </c>
      <c r="N22" s="132">
        <f>M22*查询与汇总!$O$1</f>
        <v>0</v>
      </c>
      <c r="O22" s="144">
        <f t="shared" si="11"/>
        <v>0</v>
      </c>
      <c r="P22" s="145">
        <f>IF(G22=0,0,SUMPRODUCT((_6shaozhuchou_month_day!$A$2:$A$906&gt;=$C22)*(_6shaozhuchou_month_day!$A$2:$A$906&lt;$C23),_6shaozhuchou_month_day!T$2:T$906)/SUMPRODUCT((_6shaozhuchou_month_day!$A$2:$A$906&gt;=$C22)*(_6shaozhuchou_month_day!$A$2:$A$906&lt;$C23)*(_6shaozhuchou_month_day!T$2:T$906&gt;0)))</f>
        <v>0</v>
      </c>
      <c r="Q22" s="145">
        <f>IF(G22=0,0,SUMPRODUCT((_6shaozhuchou_month_day!$A$2:$A$906&gt;=$C22)*(_6shaozhuchou_month_day!$A$2:$A$906&lt;$C23),_6shaozhuchou_month_day!U$2:U$906)/SUMPRODUCT((_6shaozhuchou_month_day!$A$2:$A$906&gt;=$C22)*(_6shaozhuchou_month_day!$A$2:$A$906&lt;$C23)*(_6shaozhuchou_month_day!U$2:U$906&lt;0)))</f>
        <v>0</v>
      </c>
      <c r="R22" s="145">
        <f>IF(G22=0,0,SUMPRODUCT((_6shaozhuchou_month_day!$A$2:$A$906&gt;=$C22)*(_6shaozhuchou_month_day!$A$2:$A$906&lt;$C23),_6shaozhuchou_month_day!V$2:V$906)/SUMPRODUCT((_6shaozhuchou_month_day!$A$2:$A$906&gt;=$C22)*(_6shaozhuchou_month_day!$A$2:$A$906&lt;$C23)*(_6shaozhuchou_month_day!V$2:V$906&gt;0)))</f>
        <v>0</v>
      </c>
      <c r="S22" s="145">
        <f>IF(G22=0,0,SUMPRODUCT((_6shaozhuchou_month_day!$A$2:$A$906&gt;=$C22)*(_6shaozhuchou_month_day!$A$2:$A$906&lt;$C23),_6shaozhuchou_month_day!W$2:W$906)/SUMPRODUCT((_6shaozhuchou_month_day!$A$2:$A$906&gt;=$C22)*(_6shaozhuchou_month_day!$A$2:$A$906&lt;$C23)*(_6shaozhuchou_month_day!W$2:W$906&lt;0)))</f>
        <v>0</v>
      </c>
      <c r="T22" s="145" t="str">
        <f>主抽数据!Z26</f>
        <v/>
      </c>
      <c r="U22" s="145" t="str">
        <f>主抽数据!AA26</f>
        <v/>
      </c>
      <c r="V22" s="148">
        <f>查询与汇总!$S$1*M22</f>
        <v>0</v>
      </c>
      <c r="W22" s="149" t="e">
        <f t="shared" si="5"/>
        <v>#REF!</v>
      </c>
      <c r="X22" s="151"/>
      <c r="Y22" s="164"/>
      <c r="Z22" s="163"/>
      <c r="AA22" s="160" t="str">
        <f>主抽数据!AB26</f>
        <v/>
      </c>
      <c r="AB22" s="161" t="str">
        <f>主抽数据!AC26</f>
        <v/>
      </c>
      <c r="AC22" s="162" t="e">
        <f t="shared" si="6"/>
        <v>#REF!</v>
      </c>
      <c r="AE22" s="123" t="e">
        <f t="shared" si="7"/>
        <v>#VALUE!</v>
      </c>
      <c r="AF22" s="123" t="e">
        <f t="shared" si="8"/>
        <v>#VALUE!</v>
      </c>
      <c r="AG22" s="123">
        <f t="shared" si="9"/>
        <v>0</v>
      </c>
      <c r="AH22" s="123">
        <f t="shared" si="10"/>
        <v>0</v>
      </c>
    </row>
    <row r="23" spans="1:34" ht="30" customHeight="1">
      <c r="A23" s="133">
        <f t="shared" si="12"/>
        <v>43350</v>
      </c>
      <c r="B23" s="134">
        <f t="shared" si="13"/>
        <v>0.66666666666666696</v>
      </c>
      <c r="C23" s="133">
        <f t="shared" si="0"/>
        <v>43350.666666666664</v>
      </c>
      <c r="D23" s="134" t="str">
        <f t="shared" si="14"/>
        <v>中班</v>
      </c>
      <c r="E23" s="131">
        <f t="shared" si="15"/>
        <v>1</v>
      </c>
      <c r="F23" s="131" t="str">
        <f t="shared" si="1"/>
        <v>甲班</v>
      </c>
      <c r="G23" s="132">
        <f>SUMPRODUCT((_6shaozhuchou_month_day!$A$2:$A$906&gt;=C23)*(_6shaozhuchou_month_day!$A$2:$A$906&lt;C24),_6shaozhuchou_month_day!$Y$2:$Y$906)/8</f>
        <v>0</v>
      </c>
      <c r="H23" s="132">
        <f t="shared" si="2"/>
        <v>0</v>
      </c>
      <c r="I23" s="141">
        <f t="shared" si="3"/>
        <v>0</v>
      </c>
      <c r="J23" s="142" t="e">
        <f>SUMPRODUCT((主抽数据!$AU$5:$AU$97=$A23)*(主抽数据!$AV$5:$AV$97=$F23),主抽数据!$AK$5:$AK$97)</f>
        <v>#REF!</v>
      </c>
      <c r="K23" s="142" t="e">
        <f>SUMPRODUCT((主抽数据!$AU$5:$AU$97=$A23)*(主抽数据!$AV$5:$AV$97=$F23),主抽数据!$AL$5:$AL$97)</f>
        <v>#REF!</v>
      </c>
      <c r="L23" s="143" t="e">
        <f t="shared" si="4"/>
        <v>#REF!</v>
      </c>
      <c r="M23" s="143">
        <f>SUMPRODUCT((_6shaozhuchou_month_day!$A$2:$A$906&gt;=C23)*(_6shaozhuchou_month_day!$A$2:$A$906&lt;C24),_6shaozhuchou_month_day!$Z$2:$Z$906)</f>
        <v>0</v>
      </c>
      <c r="N23" s="132">
        <f>M23*查询与汇总!$O$1</f>
        <v>0</v>
      </c>
      <c r="O23" s="144">
        <f t="shared" si="11"/>
        <v>0</v>
      </c>
      <c r="P23" s="145">
        <f>IF(G23=0,0,SUMPRODUCT((_6shaozhuchou_month_day!$A$2:$A$906&gt;=$C23)*(_6shaozhuchou_month_day!$A$2:$A$906&lt;$C24),_6shaozhuchou_month_day!T$2:T$906)/SUMPRODUCT((_6shaozhuchou_month_day!$A$2:$A$906&gt;=$C23)*(_6shaozhuchou_month_day!$A$2:$A$906&lt;$C24)*(_6shaozhuchou_month_day!T$2:T$906&gt;0)))</f>
        <v>0</v>
      </c>
      <c r="Q23" s="145">
        <f>IF(G23=0,0,SUMPRODUCT((_6shaozhuchou_month_day!$A$2:$A$906&gt;=$C23)*(_6shaozhuchou_month_day!$A$2:$A$906&lt;$C24),_6shaozhuchou_month_day!U$2:U$906)/SUMPRODUCT((_6shaozhuchou_month_day!$A$2:$A$906&gt;=$C23)*(_6shaozhuchou_month_day!$A$2:$A$906&lt;$C24)*(_6shaozhuchou_month_day!U$2:U$906&lt;0)))</f>
        <v>0</v>
      </c>
      <c r="R23" s="145">
        <f>IF(G23=0,0,SUMPRODUCT((_6shaozhuchou_month_day!$A$2:$A$906&gt;=$C23)*(_6shaozhuchou_month_day!$A$2:$A$906&lt;$C24),_6shaozhuchou_month_day!V$2:V$906)/SUMPRODUCT((_6shaozhuchou_month_day!$A$2:$A$906&gt;=$C23)*(_6shaozhuchou_month_day!$A$2:$A$906&lt;$C24)*(_6shaozhuchou_month_day!V$2:V$906&gt;0)))</f>
        <v>0</v>
      </c>
      <c r="S23" s="145">
        <f>IF(G23=0,0,SUMPRODUCT((_6shaozhuchou_month_day!$A$2:$A$906&gt;=$C23)*(_6shaozhuchou_month_day!$A$2:$A$906&lt;$C24),_6shaozhuchou_month_day!W$2:W$906)/SUMPRODUCT((_6shaozhuchou_month_day!$A$2:$A$906&gt;=$C23)*(_6shaozhuchou_month_day!$A$2:$A$906&lt;$C24)*(_6shaozhuchou_month_day!W$2:W$906&lt;0)))</f>
        <v>0</v>
      </c>
      <c r="T23" s="145" t="str">
        <f>主抽数据!Z27</f>
        <v/>
      </c>
      <c r="U23" s="145" t="str">
        <f>主抽数据!AA27</f>
        <v/>
      </c>
      <c r="V23" s="148">
        <f>查询与汇总!$S$1*M23</f>
        <v>0</v>
      </c>
      <c r="W23" s="149" t="e">
        <f t="shared" si="5"/>
        <v>#REF!</v>
      </c>
      <c r="X23" s="151"/>
      <c r="Y23" s="164"/>
      <c r="Z23" s="163"/>
      <c r="AA23" s="160" t="str">
        <f>主抽数据!AB27</f>
        <v/>
      </c>
      <c r="AB23" s="161" t="str">
        <f>主抽数据!AC27</f>
        <v/>
      </c>
      <c r="AC23" s="162" t="e">
        <f t="shared" si="6"/>
        <v>#REF!</v>
      </c>
      <c r="AE23" s="123" t="e">
        <f t="shared" si="7"/>
        <v>#VALUE!</v>
      </c>
      <c r="AF23" s="123" t="e">
        <f t="shared" si="8"/>
        <v>#VALUE!</v>
      </c>
      <c r="AG23" s="123">
        <f t="shared" si="9"/>
        <v>0</v>
      </c>
      <c r="AH23" s="123">
        <f t="shared" si="10"/>
        <v>0</v>
      </c>
    </row>
    <row r="24" spans="1:34" ht="20.25" customHeight="1">
      <c r="A24" s="133">
        <f t="shared" si="12"/>
        <v>43351</v>
      </c>
      <c r="B24" s="134">
        <f t="shared" si="13"/>
        <v>0</v>
      </c>
      <c r="C24" s="133">
        <f t="shared" si="0"/>
        <v>43351</v>
      </c>
      <c r="D24" s="134" t="str">
        <f t="shared" si="14"/>
        <v>夜班</v>
      </c>
      <c r="E24" s="131">
        <f t="shared" si="15"/>
        <v>2</v>
      </c>
      <c r="F24" s="131" t="str">
        <f t="shared" si="1"/>
        <v>乙班</v>
      </c>
      <c r="G24" s="132">
        <f>SUMPRODUCT((_6shaozhuchou_month_day!$A$2:$A$906&gt;=C24)*(_6shaozhuchou_month_day!$A$2:$A$906&lt;C25),_6shaozhuchou_month_day!$Y$2:$Y$906)/8</f>
        <v>0</v>
      </c>
      <c r="H24" s="132">
        <f t="shared" si="2"/>
        <v>0</v>
      </c>
      <c r="I24" s="141">
        <f t="shared" si="3"/>
        <v>0</v>
      </c>
      <c r="J24" s="142" t="e">
        <f>SUMPRODUCT((主抽数据!$AU$5:$AU$97=$A24)*(主抽数据!$AV$5:$AV$97=$F24),主抽数据!$AK$5:$AK$97)</f>
        <v>#REF!</v>
      </c>
      <c r="K24" s="142" t="e">
        <f>SUMPRODUCT((主抽数据!$AU$5:$AU$97=$A24)*(主抽数据!$AV$5:$AV$97=$F24),主抽数据!$AL$5:$AL$97)</f>
        <v>#REF!</v>
      </c>
      <c r="L24" s="143" t="e">
        <f t="shared" si="4"/>
        <v>#REF!</v>
      </c>
      <c r="M24" s="143">
        <f>SUMPRODUCT((_6shaozhuchou_month_day!$A$2:$A$906&gt;=C24)*(_6shaozhuchou_month_day!$A$2:$A$906&lt;C25),_6shaozhuchou_month_day!$Z$2:$Z$906)</f>
        <v>0</v>
      </c>
      <c r="N24" s="132">
        <f>M24*查询与汇总!$O$1</f>
        <v>0</v>
      </c>
      <c r="O24" s="144">
        <f t="shared" si="11"/>
        <v>0</v>
      </c>
      <c r="P24" s="145">
        <f>IF(G24=0,0,SUMPRODUCT((_6shaozhuchou_month_day!$A$2:$A$906&gt;=$C24)*(_6shaozhuchou_month_day!$A$2:$A$906&lt;$C25),_6shaozhuchou_month_day!T$2:T$906)/SUMPRODUCT((_6shaozhuchou_month_day!$A$2:$A$906&gt;=$C24)*(_6shaozhuchou_month_day!$A$2:$A$906&lt;$C25)*(_6shaozhuchou_month_day!T$2:T$906&gt;0)))</f>
        <v>0</v>
      </c>
      <c r="Q24" s="145">
        <f>IF(G24=0,0,SUMPRODUCT((_6shaozhuchou_month_day!$A$2:$A$906&gt;=$C24)*(_6shaozhuchou_month_day!$A$2:$A$906&lt;$C25),_6shaozhuchou_month_day!U$2:U$906)/SUMPRODUCT((_6shaozhuchou_month_day!$A$2:$A$906&gt;=$C24)*(_6shaozhuchou_month_day!$A$2:$A$906&lt;$C25)*(_6shaozhuchou_month_day!U$2:U$906&lt;0)))</f>
        <v>0</v>
      </c>
      <c r="R24" s="145">
        <f>IF(G24=0,0,SUMPRODUCT((_6shaozhuchou_month_day!$A$2:$A$906&gt;=$C24)*(_6shaozhuchou_month_day!$A$2:$A$906&lt;$C25),_6shaozhuchou_month_day!V$2:V$906)/SUMPRODUCT((_6shaozhuchou_month_day!$A$2:$A$906&gt;=$C24)*(_6shaozhuchou_month_day!$A$2:$A$906&lt;$C25)*(_6shaozhuchou_month_day!V$2:V$906&gt;0)))</f>
        <v>0</v>
      </c>
      <c r="S24" s="145">
        <f>IF(G24=0,0,SUMPRODUCT((_6shaozhuchou_month_day!$A$2:$A$906&gt;=$C24)*(_6shaozhuchou_month_day!$A$2:$A$906&lt;$C25),_6shaozhuchou_month_day!W$2:W$906)/SUMPRODUCT((_6shaozhuchou_month_day!$A$2:$A$906&gt;=$C24)*(_6shaozhuchou_month_day!$A$2:$A$906&lt;$C25)*(_6shaozhuchou_month_day!W$2:W$906&lt;0)))</f>
        <v>0</v>
      </c>
      <c r="T24" s="145" t="str">
        <f>主抽数据!Z28</f>
        <v/>
      </c>
      <c r="U24" s="145" t="str">
        <f>主抽数据!AA28</f>
        <v/>
      </c>
      <c r="V24" s="148">
        <f>查询与汇总!$S$1*M24</f>
        <v>0</v>
      </c>
      <c r="W24" s="149" t="e">
        <f t="shared" si="5"/>
        <v>#REF!</v>
      </c>
      <c r="X24" s="151"/>
      <c r="Y24" s="164"/>
      <c r="Z24" s="163"/>
      <c r="AA24" s="160" t="str">
        <f>主抽数据!AB28</f>
        <v/>
      </c>
      <c r="AB24" s="161" t="str">
        <f>主抽数据!AC28</f>
        <v/>
      </c>
      <c r="AC24" s="162" t="e">
        <f t="shared" si="6"/>
        <v>#REF!</v>
      </c>
      <c r="AE24" s="123" t="e">
        <f t="shared" si="7"/>
        <v>#VALUE!</v>
      </c>
      <c r="AF24" s="123" t="e">
        <f t="shared" si="8"/>
        <v>#VALUE!</v>
      </c>
      <c r="AG24" s="123">
        <f t="shared" si="9"/>
        <v>0</v>
      </c>
      <c r="AH24" s="123">
        <f t="shared" si="10"/>
        <v>0</v>
      </c>
    </row>
    <row r="25" spans="1:34" ht="20.25" customHeight="1">
      <c r="A25" s="133">
        <f t="shared" si="12"/>
        <v>43351</v>
      </c>
      <c r="B25" s="134">
        <f t="shared" si="13"/>
        <v>0.33333333333333298</v>
      </c>
      <c r="C25" s="133">
        <f t="shared" si="0"/>
        <v>43351.333333333336</v>
      </c>
      <c r="D25" s="134" t="str">
        <f t="shared" si="14"/>
        <v>白班</v>
      </c>
      <c r="E25" s="131">
        <f t="shared" si="15"/>
        <v>3</v>
      </c>
      <c r="F25" s="131" t="str">
        <f t="shared" si="1"/>
        <v>丙班</v>
      </c>
      <c r="G25" s="132">
        <f>SUMPRODUCT((_6shaozhuchou_month_day!$A$2:$A$906&gt;=C25)*(_6shaozhuchou_month_day!$A$2:$A$906&lt;C26),_6shaozhuchou_month_day!$Y$2:$Y$906)/8</f>
        <v>0</v>
      </c>
      <c r="H25" s="132">
        <f t="shared" si="2"/>
        <v>0</v>
      </c>
      <c r="I25" s="141">
        <f t="shared" si="3"/>
        <v>0</v>
      </c>
      <c r="J25" s="142" t="e">
        <f>SUMPRODUCT((主抽数据!$AU$5:$AU$97=$A25)*(主抽数据!$AV$5:$AV$97=$F25),主抽数据!$AK$5:$AK$97)</f>
        <v>#REF!</v>
      </c>
      <c r="K25" s="142" t="e">
        <f>SUMPRODUCT((主抽数据!$AU$5:$AU$97=$A25)*(主抽数据!$AV$5:$AV$97=$F25),主抽数据!$AL$5:$AL$97)</f>
        <v>#REF!</v>
      </c>
      <c r="L25" s="143" t="e">
        <f t="shared" si="4"/>
        <v>#REF!</v>
      </c>
      <c r="M25" s="143">
        <f>SUMPRODUCT((_6shaozhuchou_month_day!$A$2:$A$906&gt;=C25)*(_6shaozhuchou_month_day!$A$2:$A$906&lt;C26),_6shaozhuchou_month_day!$Z$2:$Z$906)</f>
        <v>0</v>
      </c>
      <c r="N25" s="132">
        <f>M25*查询与汇总!$O$1</f>
        <v>0</v>
      </c>
      <c r="O25" s="144">
        <f t="shared" si="11"/>
        <v>0</v>
      </c>
      <c r="P25" s="145">
        <f>IF(G25=0,0,SUMPRODUCT((_6shaozhuchou_month_day!$A$2:$A$906&gt;=$C25)*(_6shaozhuchou_month_day!$A$2:$A$906&lt;$C26),_6shaozhuchou_month_day!T$2:T$906)/SUMPRODUCT((_6shaozhuchou_month_day!$A$2:$A$906&gt;=$C25)*(_6shaozhuchou_month_day!$A$2:$A$906&lt;$C26)*(_6shaozhuchou_month_day!T$2:T$906&gt;0)))</f>
        <v>0</v>
      </c>
      <c r="Q25" s="145">
        <f>IF(G25=0,0,SUMPRODUCT((_6shaozhuchou_month_day!$A$2:$A$906&gt;=$C25)*(_6shaozhuchou_month_day!$A$2:$A$906&lt;$C26),_6shaozhuchou_month_day!U$2:U$906)/SUMPRODUCT((_6shaozhuchou_month_day!$A$2:$A$906&gt;=$C25)*(_6shaozhuchou_month_day!$A$2:$A$906&lt;$C26)*(_6shaozhuchou_month_day!U$2:U$906&lt;0)))</f>
        <v>0</v>
      </c>
      <c r="R25" s="145">
        <f>IF(G25=0,0,SUMPRODUCT((_6shaozhuchou_month_day!$A$2:$A$906&gt;=$C25)*(_6shaozhuchou_month_day!$A$2:$A$906&lt;$C26),_6shaozhuchou_month_day!V$2:V$906)/SUMPRODUCT((_6shaozhuchou_month_day!$A$2:$A$906&gt;=$C25)*(_6shaozhuchou_month_day!$A$2:$A$906&lt;$C26)*(_6shaozhuchou_month_day!V$2:V$906&gt;0)))</f>
        <v>0</v>
      </c>
      <c r="S25" s="145">
        <f>IF(G25=0,0,SUMPRODUCT((_6shaozhuchou_month_day!$A$2:$A$906&gt;=$C25)*(_6shaozhuchou_month_day!$A$2:$A$906&lt;$C26),_6shaozhuchou_month_day!W$2:W$906)/SUMPRODUCT((_6shaozhuchou_month_day!$A$2:$A$906&gt;=$C25)*(_6shaozhuchou_month_day!$A$2:$A$906&lt;$C26)*(_6shaozhuchou_month_day!W$2:W$906&lt;0)))</f>
        <v>0</v>
      </c>
      <c r="T25" s="145" t="str">
        <f>主抽数据!Z29</f>
        <v/>
      </c>
      <c r="U25" s="145" t="str">
        <f>主抽数据!AA29</f>
        <v/>
      </c>
      <c r="V25" s="148">
        <f>查询与汇总!$S$1*M25</f>
        <v>0</v>
      </c>
      <c r="W25" s="149" t="e">
        <f t="shared" si="5"/>
        <v>#REF!</v>
      </c>
      <c r="X25" s="151"/>
      <c r="Y25" s="164"/>
      <c r="Z25" s="163"/>
      <c r="AA25" s="160" t="str">
        <f>主抽数据!AB29</f>
        <v/>
      </c>
      <c r="AB25" s="161" t="str">
        <f>主抽数据!AC29</f>
        <v/>
      </c>
      <c r="AC25" s="162" t="e">
        <f t="shared" si="6"/>
        <v>#REF!</v>
      </c>
      <c r="AE25" s="123" t="e">
        <f t="shared" si="7"/>
        <v>#VALUE!</v>
      </c>
      <c r="AF25" s="123" t="e">
        <f t="shared" si="8"/>
        <v>#VALUE!</v>
      </c>
      <c r="AG25" s="123">
        <f t="shared" si="9"/>
        <v>0</v>
      </c>
      <c r="AH25" s="123">
        <f t="shared" si="10"/>
        <v>0</v>
      </c>
    </row>
    <row r="26" spans="1:34" ht="27.95" customHeight="1">
      <c r="A26" s="133">
        <f t="shared" si="12"/>
        <v>43351</v>
      </c>
      <c r="B26" s="134">
        <f t="shared" si="13"/>
        <v>0.66666666666666696</v>
      </c>
      <c r="C26" s="133">
        <f t="shared" si="0"/>
        <v>43351.666666666664</v>
      </c>
      <c r="D26" s="134" t="str">
        <f t="shared" si="14"/>
        <v>中班</v>
      </c>
      <c r="E26" s="131">
        <f t="shared" si="15"/>
        <v>4</v>
      </c>
      <c r="F26" s="131" t="str">
        <f t="shared" si="1"/>
        <v>丁班</v>
      </c>
      <c r="G26" s="132">
        <f>SUMPRODUCT((_6shaozhuchou_month_day!$A$2:$A$906&gt;=C26)*(_6shaozhuchou_month_day!$A$2:$A$906&lt;C27),_6shaozhuchou_month_day!$Y$2:$Y$906)/8</f>
        <v>0</v>
      </c>
      <c r="H26" s="132">
        <f t="shared" si="2"/>
        <v>0</v>
      </c>
      <c r="I26" s="141">
        <f t="shared" si="3"/>
        <v>0</v>
      </c>
      <c r="J26" s="142" t="e">
        <f>SUMPRODUCT((主抽数据!$AU$5:$AU$97=$A26)*(主抽数据!$AV$5:$AV$97=$F26),主抽数据!$AK$5:$AK$97)</f>
        <v>#REF!</v>
      </c>
      <c r="K26" s="142" t="e">
        <f>SUMPRODUCT((主抽数据!$AU$5:$AU$97=$A26)*(主抽数据!$AV$5:$AV$97=$F26),主抽数据!$AL$5:$AL$97)</f>
        <v>#REF!</v>
      </c>
      <c r="L26" s="143" t="e">
        <f t="shared" si="4"/>
        <v>#REF!</v>
      </c>
      <c r="M26" s="143">
        <f>SUMPRODUCT((_6shaozhuchou_month_day!$A$2:$A$906&gt;=C26)*(_6shaozhuchou_month_day!$A$2:$A$906&lt;C27),_6shaozhuchou_month_day!$Z$2:$Z$906)</f>
        <v>0</v>
      </c>
      <c r="N26" s="132">
        <f>M26*查询与汇总!$O$1</f>
        <v>0</v>
      </c>
      <c r="O26" s="144">
        <f t="shared" si="11"/>
        <v>0</v>
      </c>
      <c r="P26" s="145">
        <f>IF(G26=0,0,SUMPRODUCT((_6shaozhuchou_month_day!$A$2:$A$906&gt;=$C26)*(_6shaozhuchou_month_day!$A$2:$A$906&lt;$C27),_6shaozhuchou_month_day!T$2:T$906)/SUMPRODUCT((_6shaozhuchou_month_day!$A$2:$A$906&gt;=$C26)*(_6shaozhuchou_month_day!$A$2:$A$906&lt;$C27)*(_6shaozhuchou_month_day!T$2:T$906&gt;0)))</f>
        <v>0</v>
      </c>
      <c r="Q26" s="145">
        <f>IF(G26=0,0,SUMPRODUCT((_6shaozhuchou_month_day!$A$2:$A$906&gt;=$C26)*(_6shaozhuchou_month_day!$A$2:$A$906&lt;$C27),_6shaozhuchou_month_day!U$2:U$906)/SUMPRODUCT((_6shaozhuchou_month_day!$A$2:$A$906&gt;=$C26)*(_6shaozhuchou_month_day!$A$2:$A$906&lt;$C27)*(_6shaozhuchou_month_day!U$2:U$906&lt;0)))</f>
        <v>0</v>
      </c>
      <c r="R26" s="145">
        <f>IF(G26=0,0,SUMPRODUCT((_6shaozhuchou_month_day!$A$2:$A$906&gt;=$C26)*(_6shaozhuchou_month_day!$A$2:$A$906&lt;$C27),_6shaozhuchou_month_day!V$2:V$906)/SUMPRODUCT((_6shaozhuchou_month_day!$A$2:$A$906&gt;=$C26)*(_6shaozhuchou_month_day!$A$2:$A$906&lt;$C27)*(_6shaozhuchou_month_day!V$2:V$906&gt;0)))</f>
        <v>0</v>
      </c>
      <c r="S26" s="145">
        <f>IF(G26=0,0,SUMPRODUCT((_6shaozhuchou_month_day!$A$2:$A$906&gt;=$C26)*(_6shaozhuchou_month_day!$A$2:$A$906&lt;$C27),_6shaozhuchou_month_day!W$2:W$906)/SUMPRODUCT((_6shaozhuchou_month_day!$A$2:$A$906&gt;=$C26)*(_6shaozhuchou_month_day!$A$2:$A$906&lt;$C27)*(_6shaozhuchou_month_day!W$2:W$906&lt;0)))</f>
        <v>0</v>
      </c>
      <c r="T26" s="145" t="str">
        <f>主抽数据!Z30</f>
        <v/>
      </c>
      <c r="U26" s="145" t="str">
        <f>主抽数据!AA30</f>
        <v/>
      </c>
      <c r="V26" s="148">
        <f>查询与汇总!$S$1*M26</f>
        <v>0</v>
      </c>
      <c r="W26" s="149" t="e">
        <f t="shared" si="5"/>
        <v>#REF!</v>
      </c>
      <c r="X26" s="151"/>
      <c r="Y26" s="164"/>
      <c r="Z26" s="163"/>
      <c r="AA26" s="160" t="str">
        <f>主抽数据!AB30</f>
        <v/>
      </c>
      <c r="AB26" s="161" t="str">
        <f>主抽数据!AC30</f>
        <v/>
      </c>
      <c r="AC26" s="162" t="e">
        <f t="shared" si="6"/>
        <v>#REF!</v>
      </c>
      <c r="AE26" s="123" t="e">
        <f t="shared" si="7"/>
        <v>#VALUE!</v>
      </c>
      <c r="AF26" s="123" t="e">
        <f t="shared" si="8"/>
        <v>#VALUE!</v>
      </c>
      <c r="AG26" s="123">
        <f t="shared" si="9"/>
        <v>0</v>
      </c>
      <c r="AH26" s="123">
        <f t="shared" si="10"/>
        <v>0</v>
      </c>
    </row>
    <row r="27" spans="1:34" ht="20.25" customHeight="1">
      <c r="A27" s="133">
        <f t="shared" si="12"/>
        <v>43352</v>
      </c>
      <c r="B27" s="134">
        <f t="shared" si="13"/>
        <v>0</v>
      </c>
      <c r="C27" s="133">
        <f t="shared" si="0"/>
        <v>43352</v>
      </c>
      <c r="D27" s="134" t="str">
        <f t="shared" si="14"/>
        <v>夜班</v>
      </c>
      <c r="E27" s="131">
        <f t="shared" si="15"/>
        <v>2</v>
      </c>
      <c r="F27" s="131" t="str">
        <f t="shared" si="1"/>
        <v>乙班</v>
      </c>
      <c r="G27" s="132">
        <f>SUMPRODUCT((_6shaozhuchou_month_day!$A$2:$A$906&gt;=C27)*(_6shaozhuchou_month_day!$A$2:$A$906&lt;C28),_6shaozhuchou_month_day!$Y$2:$Y$906)/8</f>
        <v>0</v>
      </c>
      <c r="H27" s="132">
        <f t="shared" si="2"/>
        <v>0</v>
      </c>
      <c r="I27" s="141">
        <f t="shared" si="3"/>
        <v>0</v>
      </c>
      <c r="J27" s="142" t="e">
        <f>SUMPRODUCT((主抽数据!$AU$5:$AU$97=$A27)*(主抽数据!$AV$5:$AV$97=$F27),主抽数据!$AK$5:$AK$97)</f>
        <v>#REF!</v>
      </c>
      <c r="K27" s="142" t="e">
        <f>SUMPRODUCT((主抽数据!$AU$5:$AU$97=$A27)*(主抽数据!$AV$5:$AV$97=$F27),主抽数据!$AL$5:$AL$97)</f>
        <v>#REF!</v>
      </c>
      <c r="L27" s="143" t="e">
        <f t="shared" si="4"/>
        <v>#REF!</v>
      </c>
      <c r="M27" s="143">
        <f>SUMPRODUCT((_6shaozhuchou_month_day!$A$2:$A$906&gt;=C27)*(_6shaozhuchou_month_day!$A$2:$A$906&lt;C28),_6shaozhuchou_month_day!$Z$2:$Z$906)</f>
        <v>0</v>
      </c>
      <c r="N27" s="132">
        <f>M27*查询与汇总!$O$1</f>
        <v>0</v>
      </c>
      <c r="O27" s="144">
        <f t="shared" si="11"/>
        <v>0</v>
      </c>
      <c r="P27" s="145">
        <f>IF(G27=0,0,SUMPRODUCT((_6shaozhuchou_month_day!$A$2:$A$906&gt;=$C27)*(_6shaozhuchou_month_day!$A$2:$A$906&lt;$C28),_6shaozhuchou_month_day!T$2:T$906)/SUMPRODUCT((_6shaozhuchou_month_day!$A$2:$A$906&gt;=$C27)*(_6shaozhuchou_month_day!$A$2:$A$906&lt;$C28)*(_6shaozhuchou_month_day!T$2:T$906&gt;0)))</f>
        <v>0</v>
      </c>
      <c r="Q27" s="145">
        <f>IF(G27=0,0,SUMPRODUCT((_6shaozhuchou_month_day!$A$2:$A$906&gt;=$C27)*(_6shaozhuchou_month_day!$A$2:$A$906&lt;$C28),_6shaozhuchou_month_day!U$2:U$906)/SUMPRODUCT((_6shaozhuchou_month_day!$A$2:$A$906&gt;=$C27)*(_6shaozhuchou_month_day!$A$2:$A$906&lt;$C28)*(_6shaozhuchou_month_day!U$2:U$906&lt;0)))</f>
        <v>0</v>
      </c>
      <c r="R27" s="145">
        <f>IF(G27=0,0,SUMPRODUCT((_6shaozhuchou_month_day!$A$2:$A$906&gt;=$C27)*(_6shaozhuchou_month_day!$A$2:$A$906&lt;$C28),_6shaozhuchou_month_day!V$2:V$906)/SUMPRODUCT((_6shaozhuchou_month_day!$A$2:$A$906&gt;=$C27)*(_6shaozhuchou_month_day!$A$2:$A$906&lt;$C28)*(_6shaozhuchou_month_day!V$2:V$906&gt;0)))</f>
        <v>0</v>
      </c>
      <c r="S27" s="145">
        <f>IF(G27=0,0,SUMPRODUCT((_6shaozhuchou_month_day!$A$2:$A$906&gt;=$C27)*(_6shaozhuchou_month_day!$A$2:$A$906&lt;$C28),_6shaozhuchou_month_day!W$2:W$906)/SUMPRODUCT((_6shaozhuchou_month_day!$A$2:$A$906&gt;=$C27)*(_6shaozhuchou_month_day!$A$2:$A$906&lt;$C28)*(_6shaozhuchou_month_day!W$2:W$906&lt;0)))</f>
        <v>0</v>
      </c>
      <c r="T27" s="145" t="str">
        <f>主抽数据!Z31</f>
        <v/>
      </c>
      <c r="U27" s="145" t="str">
        <f>主抽数据!AA31</f>
        <v/>
      </c>
      <c r="V27" s="148">
        <f>查询与汇总!$S$1*M27</f>
        <v>0</v>
      </c>
      <c r="W27" s="149" t="e">
        <f t="shared" si="5"/>
        <v>#REF!</v>
      </c>
      <c r="X27" s="151"/>
      <c r="Z27" s="163"/>
      <c r="AA27" s="160" t="str">
        <f>主抽数据!AB31</f>
        <v/>
      </c>
      <c r="AB27" s="161" t="str">
        <f>主抽数据!AC31</f>
        <v/>
      </c>
      <c r="AC27" s="162" t="e">
        <f t="shared" si="6"/>
        <v>#REF!</v>
      </c>
      <c r="AE27" s="123" t="e">
        <f t="shared" si="7"/>
        <v>#VALUE!</v>
      </c>
      <c r="AF27" s="123" t="e">
        <f t="shared" si="8"/>
        <v>#VALUE!</v>
      </c>
      <c r="AG27" s="123">
        <f t="shared" si="9"/>
        <v>0</v>
      </c>
      <c r="AH27" s="123">
        <f t="shared" si="10"/>
        <v>0</v>
      </c>
    </row>
    <row r="28" spans="1:34" ht="36" customHeight="1">
      <c r="A28" s="133">
        <f t="shared" si="12"/>
        <v>43352</v>
      </c>
      <c r="B28" s="134">
        <f t="shared" si="13"/>
        <v>0.33333333333333298</v>
      </c>
      <c r="C28" s="133">
        <f t="shared" si="0"/>
        <v>43352.333333333336</v>
      </c>
      <c r="D28" s="134" t="str">
        <f t="shared" si="14"/>
        <v>白班</v>
      </c>
      <c r="E28" s="131">
        <f t="shared" si="15"/>
        <v>3</v>
      </c>
      <c r="F28" s="131" t="str">
        <f t="shared" si="1"/>
        <v>丙班</v>
      </c>
      <c r="G28" s="132">
        <f>SUMPRODUCT((_6shaozhuchou_month_day!$A$2:$A$906&gt;=C28)*(_6shaozhuchou_month_day!$A$2:$A$906&lt;C29),_6shaozhuchou_month_day!$Y$2:$Y$906)/8</f>
        <v>0</v>
      </c>
      <c r="H28" s="132">
        <f t="shared" si="2"/>
        <v>0</v>
      </c>
      <c r="I28" s="141">
        <f t="shared" si="3"/>
        <v>0</v>
      </c>
      <c r="J28" s="142" t="e">
        <f>SUMPRODUCT((主抽数据!$AU$5:$AU$97=$A28)*(主抽数据!$AV$5:$AV$97=$F28),主抽数据!$AK$5:$AK$97)</f>
        <v>#REF!</v>
      </c>
      <c r="K28" s="142" t="e">
        <f>SUMPRODUCT((主抽数据!$AU$5:$AU$97=$A28)*(主抽数据!$AV$5:$AV$97=$F28),主抽数据!$AL$5:$AL$97)</f>
        <v>#REF!</v>
      </c>
      <c r="L28" s="143" t="e">
        <f t="shared" si="4"/>
        <v>#REF!</v>
      </c>
      <c r="M28" s="143">
        <f>SUMPRODUCT((_6shaozhuchou_month_day!$A$2:$A$906&gt;=C28)*(_6shaozhuchou_month_day!$A$2:$A$906&lt;C29),_6shaozhuchou_month_day!$Z$2:$Z$906)</f>
        <v>0</v>
      </c>
      <c r="N28" s="132">
        <f>M28*查询与汇总!$O$1</f>
        <v>0</v>
      </c>
      <c r="O28" s="144">
        <f t="shared" si="11"/>
        <v>0</v>
      </c>
      <c r="P28" s="145">
        <f>IF(G28=0,0,SUMPRODUCT((_6shaozhuchou_month_day!$A$2:$A$906&gt;=$C28)*(_6shaozhuchou_month_day!$A$2:$A$906&lt;$C29),_6shaozhuchou_month_day!T$2:T$906)/SUMPRODUCT((_6shaozhuchou_month_day!$A$2:$A$906&gt;=$C28)*(_6shaozhuchou_month_day!$A$2:$A$906&lt;$C29)*(_6shaozhuchou_month_day!T$2:T$906&gt;0)))</f>
        <v>0</v>
      </c>
      <c r="Q28" s="145">
        <f>IF(G28=0,0,SUMPRODUCT((_6shaozhuchou_month_day!$A$2:$A$906&gt;=$C28)*(_6shaozhuchou_month_day!$A$2:$A$906&lt;$C29),_6shaozhuchou_month_day!U$2:U$906)/SUMPRODUCT((_6shaozhuchou_month_day!$A$2:$A$906&gt;=$C28)*(_6shaozhuchou_month_day!$A$2:$A$906&lt;$C29)*(_6shaozhuchou_month_day!U$2:U$906&lt;0)))</f>
        <v>0</v>
      </c>
      <c r="R28" s="145">
        <f>IF(G28=0,0,SUMPRODUCT((_6shaozhuchou_month_day!$A$2:$A$906&gt;=$C28)*(_6shaozhuchou_month_day!$A$2:$A$906&lt;$C29),_6shaozhuchou_month_day!V$2:V$906)/SUMPRODUCT((_6shaozhuchou_month_day!$A$2:$A$906&gt;=$C28)*(_6shaozhuchou_month_day!$A$2:$A$906&lt;$C29)*(_6shaozhuchou_month_day!V$2:V$906&gt;0)))</f>
        <v>0</v>
      </c>
      <c r="S28" s="145">
        <f>IF(G28=0,0,SUMPRODUCT((_6shaozhuchou_month_day!$A$2:$A$906&gt;=$C28)*(_6shaozhuchou_month_day!$A$2:$A$906&lt;$C29),_6shaozhuchou_month_day!W$2:W$906)/SUMPRODUCT((_6shaozhuchou_month_day!$A$2:$A$906&gt;=$C28)*(_6shaozhuchou_month_day!$A$2:$A$906&lt;$C29)*(_6shaozhuchou_month_day!W$2:W$906&lt;0)))</f>
        <v>0</v>
      </c>
      <c r="T28" s="145" t="str">
        <f>主抽数据!Z32</f>
        <v/>
      </c>
      <c r="U28" s="145" t="str">
        <f>主抽数据!AA32</f>
        <v/>
      </c>
      <c r="V28" s="148">
        <f>查询与汇总!$S$1*M28</f>
        <v>0</v>
      </c>
      <c r="W28" s="149" t="e">
        <f t="shared" si="5"/>
        <v>#REF!</v>
      </c>
      <c r="X28" s="151"/>
      <c r="Y28" s="164"/>
      <c r="Z28" s="165"/>
      <c r="AA28" s="160" t="str">
        <f>主抽数据!AB32</f>
        <v/>
      </c>
      <c r="AB28" s="161" t="str">
        <f>主抽数据!AC32</f>
        <v/>
      </c>
      <c r="AC28" s="162" t="e">
        <f t="shared" si="6"/>
        <v>#REF!</v>
      </c>
      <c r="AE28" s="123" t="e">
        <f t="shared" si="7"/>
        <v>#VALUE!</v>
      </c>
      <c r="AF28" s="123" t="e">
        <f t="shared" si="8"/>
        <v>#VALUE!</v>
      </c>
      <c r="AG28" s="123">
        <f t="shared" si="9"/>
        <v>0</v>
      </c>
      <c r="AH28" s="123">
        <f t="shared" si="10"/>
        <v>0</v>
      </c>
    </row>
    <row r="29" spans="1:34" ht="20.25" customHeight="1">
      <c r="A29" s="133">
        <f t="shared" si="12"/>
        <v>43352</v>
      </c>
      <c r="B29" s="134">
        <f t="shared" si="13"/>
        <v>0.66666666666666696</v>
      </c>
      <c r="C29" s="133">
        <f t="shared" si="0"/>
        <v>43352.666666666664</v>
      </c>
      <c r="D29" s="134" t="str">
        <f t="shared" si="14"/>
        <v>中班</v>
      </c>
      <c r="E29" s="131">
        <f t="shared" si="15"/>
        <v>4</v>
      </c>
      <c r="F29" s="131" t="str">
        <f t="shared" si="1"/>
        <v>丁班</v>
      </c>
      <c r="G29" s="132">
        <f>SUMPRODUCT((_6shaozhuchou_month_day!$A$2:$A$906&gt;=C29)*(_6shaozhuchou_month_day!$A$2:$A$906&lt;C30),_6shaozhuchou_month_day!$Y$2:$Y$906)/8</f>
        <v>0</v>
      </c>
      <c r="H29" s="132">
        <f t="shared" si="2"/>
        <v>0</v>
      </c>
      <c r="I29" s="141">
        <f t="shared" si="3"/>
        <v>0</v>
      </c>
      <c r="J29" s="142" t="e">
        <f>SUMPRODUCT((主抽数据!$AU$5:$AU$97=$A29)*(主抽数据!$AV$5:$AV$97=$F29),主抽数据!$AK$5:$AK$97)</f>
        <v>#REF!</v>
      </c>
      <c r="K29" s="142" t="e">
        <f>SUMPRODUCT((主抽数据!$AU$5:$AU$97=$A29)*(主抽数据!$AV$5:$AV$97=$F29),主抽数据!$AL$5:$AL$97)</f>
        <v>#REF!</v>
      </c>
      <c r="L29" s="143" t="e">
        <f t="shared" si="4"/>
        <v>#REF!</v>
      </c>
      <c r="M29" s="143">
        <f>SUMPRODUCT((_6shaozhuchou_month_day!$A$2:$A$906&gt;=C29)*(_6shaozhuchou_month_day!$A$2:$A$906&lt;C30),_6shaozhuchou_month_day!$Z$2:$Z$906)</f>
        <v>0</v>
      </c>
      <c r="N29" s="132">
        <f>M29*查询与汇总!$O$1</f>
        <v>0</v>
      </c>
      <c r="O29" s="144">
        <f t="shared" si="11"/>
        <v>0</v>
      </c>
      <c r="P29" s="145">
        <f>IF(G29=0,0,SUMPRODUCT((_6shaozhuchou_month_day!$A$2:$A$906&gt;=$C29)*(_6shaozhuchou_month_day!$A$2:$A$906&lt;$C30),_6shaozhuchou_month_day!T$2:T$906)/SUMPRODUCT((_6shaozhuchou_month_day!$A$2:$A$906&gt;=$C29)*(_6shaozhuchou_month_day!$A$2:$A$906&lt;$C30)*(_6shaozhuchou_month_day!T$2:T$906&gt;0)))</f>
        <v>0</v>
      </c>
      <c r="Q29" s="145">
        <f>IF(G29=0,0,SUMPRODUCT((_6shaozhuchou_month_day!$A$2:$A$906&gt;=$C29)*(_6shaozhuchou_month_day!$A$2:$A$906&lt;$C30),_6shaozhuchou_month_day!U$2:U$906)/SUMPRODUCT((_6shaozhuchou_month_day!$A$2:$A$906&gt;=$C29)*(_6shaozhuchou_month_day!$A$2:$A$906&lt;$C30)*(_6shaozhuchou_month_day!U$2:U$906&lt;0)))</f>
        <v>0</v>
      </c>
      <c r="R29" s="145">
        <f>IF(G29=0,0,SUMPRODUCT((_6shaozhuchou_month_day!$A$2:$A$906&gt;=$C29)*(_6shaozhuchou_month_day!$A$2:$A$906&lt;$C30),_6shaozhuchou_month_day!V$2:V$906)/SUMPRODUCT((_6shaozhuchou_month_day!$A$2:$A$906&gt;=$C29)*(_6shaozhuchou_month_day!$A$2:$A$906&lt;$C30)*(_6shaozhuchou_month_day!V$2:V$906&gt;0)))</f>
        <v>0</v>
      </c>
      <c r="S29" s="145">
        <f>IF(G29=0,0,SUMPRODUCT((_6shaozhuchou_month_day!$A$2:$A$906&gt;=$C29)*(_6shaozhuchou_month_day!$A$2:$A$906&lt;$C30),_6shaozhuchou_month_day!W$2:W$906)/SUMPRODUCT((_6shaozhuchou_month_day!$A$2:$A$906&gt;=$C29)*(_6shaozhuchou_month_day!$A$2:$A$906&lt;$C30)*(_6shaozhuchou_month_day!W$2:W$906&lt;0)))</f>
        <v>0</v>
      </c>
      <c r="T29" s="145" t="str">
        <f>主抽数据!Z33</f>
        <v/>
      </c>
      <c r="U29" s="145" t="str">
        <f>主抽数据!AA33</f>
        <v/>
      </c>
      <c r="V29" s="148">
        <f>查询与汇总!$S$1*M29</f>
        <v>0</v>
      </c>
      <c r="W29" s="149" t="e">
        <f t="shared" si="5"/>
        <v>#REF!</v>
      </c>
      <c r="X29" s="151"/>
      <c r="Y29" s="164"/>
      <c r="Z29" s="163"/>
      <c r="AA29" s="160" t="str">
        <f>主抽数据!AB33</f>
        <v/>
      </c>
      <c r="AB29" s="161" t="str">
        <f>主抽数据!AC33</f>
        <v/>
      </c>
      <c r="AC29" s="162" t="e">
        <f t="shared" si="6"/>
        <v>#REF!</v>
      </c>
      <c r="AE29" s="123" t="e">
        <f t="shared" si="7"/>
        <v>#VALUE!</v>
      </c>
      <c r="AF29" s="123" t="e">
        <f t="shared" si="8"/>
        <v>#VALUE!</v>
      </c>
      <c r="AG29" s="123">
        <f t="shared" si="9"/>
        <v>0</v>
      </c>
      <c r="AH29" s="123">
        <f t="shared" si="10"/>
        <v>0</v>
      </c>
    </row>
    <row r="30" spans="1:34" ht="20.25" customHeight="1">
      <c r="A30" s="133">
        <f t="shared" si="12"/>
        <v>43353</v>
      </c>
      <c r="B30" s="134">
        <f t="shared" si="13"/>
        <v>0</v>
      </c>
      <c r="C30" s="133">
        <f t="shared" si="0"/>
        <v>43353</v>
      </c>
      <c r="D30" s="134" t="str">
        <f t="shared" si="14"/>
        <v>夜班</v>
      </c>
      <c r="E30" s="131">
        <f t="shared" si="15"/>
        <v>1</v>
      </c>
      <c r="F30" s="131" t="str">
        <f t="shared" si="1"/>
        <v>甲班</v>
      </c>
      <c r="G30" s="132">
        <f>SUMPRODUCT((_6shaozhuchou_month_day!$A$2:$A$906&gt;=C30)*(_6shaozhuchou_month_day!$A$2:$A$906&lt;C31),_6shaozhuchou_month_day!$Y$2:$Y$906)/8</f>
        <v>0</v>
      </c>
      <c r="H30" s="132">
        <f t="shared" si="2"/>
        <v>0</v>
      </c>
      <c r="I30" s="141">
        <f t="shared" si="3"/>
        <v>0</v>
      </c>
      <c r="J30" s="142" t="e">
        <f>SUMPRODUCT((主抽数据!$AU$5:$AU$97=$A30)*(主抽数据!$AV$5:$AV$97=$F30),主抽数据!$AK$5:$AK$97)</f>
        <v>#REF!</v>
      </c>
      <c r="K30" s="142" t="e">
        <f>SUMPRODUCT((主抽数据!$AU$5:$AU$97=$A30)*(主抽数据!$AV$5:$AV$97=$F30),主抽数据!$AL$5:$AL$97)</f>
        <v>#REF!</v>
      </c>
      <c r="L30" s="143" t="e">
        <f t="shared" si="4"/>
        <v>#REF!</v>
      </c>
      <c r="M30" s="143">
        <f>SUMPRODUCT((_6shaozhuchou_month_day!$A$2:$A$906&gt;=C30)*(_6shaozhuchou_month_day!$A$2:$A$906&lt;C31),_6shaozhuchou_month_day!$Z$2:$Z$906)</f>
        <v>0</v>
      </c>
      <c r="N30" s="132">
        <f>M30*查询与汇总!$O$1</f>
        <v>0</v>
      </c>
      <c r="O30" s="144">
        <f t="shared" si="11"/>
        <v>0</v>
      </c>
      <c r="P30" s="145">
        <f>IF(G30=0,0,SUMPRODUCT((_6shaozhuchou_month_day!$A$2:$A$906&gt;=$C30)*(_6shaozhuchou_month_day!$A$2:$A$906&lt;$C31),_6shaozhuchou_month_day!T$2:T$906)/SUMPRODUCT((_6shaozhuchou_month_day!$A$2:$A$906&gt;=$C30)*(_6shaozhuchou_month_day!$A$2:$A$906&lt;$C31)*(_6shaozhuchou_month_day!T$2:T$906&gt;0)))</f>
        <v>0</v>
      </c>
      <c r="Q30" s="145">
        <f>IF(G30=0,0,SUMPRODUCT((_6shaozhuchou_month_day!$A$2:$A$906&gt;=$C30)*(_6shaozhuchou_month_day!$A$2:$A$906&lt;$C31),_6shaozhuchou_month_day!U$2:U$906)/SUMPRODUCT((_6shaozhuchou_month_day!$A$2:$A$906&gt;=$C30)*(_6shaozhuchou_month_day!$A$2:$A$906&lt;$C31)*(_6shaozhuchou_month_day!U$2:U$906&lt;0)))</f>
        <v>0</v>
      </c>
      <c r="R30" s="145">
        <f>IF(G30=0,0,SUMPRODUCT((_6shaozhuchou_month_day!$A$2:$A$906&gt;=$C30)*(_6shaozhuchou_month_day!$A$2:$A$906&lt;$C31),_6shaozhuchou_month_day!V$2:V$906)/SUMPRODUCT((_6shaozhuchou_month_day!$A$2:$A$906&gt;=$C30)*(_6shaozhuchou_month_day!$A$2:$A$906&lt;$C31)*(_6shaozhuchou_month_day!V$2:V$906&gt;0)))</f>
        <v>0</v>
      </c>
      <c r="S30" s="145">
        <f>IF(G30=0,0,SUMPRODUCT((_6shaozhuchou_month_day!$A$2:$A$906&gt;=$C30)*(_6shaozhuchou_month_day!$A$2:$A$906&lt;$C31),_6shaozhuchou_month_day!W$2:W$906)/SUMPRODUCT((_6shaozhuchou_month_day!$A$2:$A$906&gt;=$C30)*(_6shaozhuchou_month_day!$A$2:$A$906&lt;$C31)*(_6shaozhuchou_month_day!W$2:W$906&lt;0)))</f>
        <v>0</v>
      </c>
      <c r="T30" s="145" t="str">
        <f>主抽数据!Z34</f>
        <v/>
      </c>
      <c r="U30" s="145" t="str">
        <f>主抽数据!AA34</f>
        <v/>
      </c>
      <c r="V30" s="148">
        <f>查询与汇总!$S$1*M30</f>
        <v>0</v>
      </c>
      <c r="W30" s="149" t="e">
        <f t="shared" si="5"/>
        <v>#REF!</v>
      </c>
      <c r="X30" s="151"/>
      <c r="Y30" s="164"/>
      <c r="Z30" s="163"/>
      <c r="AA30" s="160" t="str">
        <f>主抽数据!AB34</f>
        <v/>
      </c>
      <c r="AB30" s="161" t="str">
        <f>主抽数据!AC34</f>
        <v/>
      </c>
      <c r="AC30" s="162" t="e">
        <f t="shared" si="6"/>
        <v>#REF!</v>
      </c>
      <c r="AE30" s="123" t="e">
        <f t="shared" si="7"/>
        <v>#VALUE!</v>
      </c>
      <c r="AF30" s="123" t="e">
        <f t="shared" si="8"/>
        <v>#VALUE!</v>
      </c>
      <c r="AG30" s="123">
        <f t="shared" si="9"/>
        <v>0</v>
      </c>
      <c r="AH30" s="123">
        <f t="shared" si="10"/>
        <v>0</v>
      </c>
    </row>
    <row r="31" spans="1:34" ht="30" customHeight="1">
      <c r="A31" s="133">
        <f t="shared" si="12"/>
        <v>43353</v>
      </c>
      <c r="B31" s="134">
        <f t="shared" si="13"/>
        <v>0.33333333333333298</v>
      </c>
      <c r="C31" s="133">
        <f t="shared" si="0"/>
        <v>43353.333333333336</v>
      </c>
      <c r="D31" s="134" t="str">
        <f t="shared" si="14"/>
        <v>白班</v>
      </c>
      <c r="E31" s="131">
        <f t="shared" si="15"/>
        <v>2</v>
      </c>
      <c r="F31" s="131" t="str">
        <f t="shared" si="1"/>
        <v>乙班</v>
      </c>
      <c r="G31" s="132">
        <f>SUMPRODUCT((_6shaozhuchou_month_day!$A$2:$A$906&gt;=C31)*(_6shaozhuchou_month_day!$A$2:$A$906&lt;C32),_6shaozhuchou_month_day!$Y$2:$Y$906)/8</f>
        <v>0</v>
      </c>
      <c r="H31" s="132">
        <f t="shared" si="2"/>
        <v>0</v>
      </c>
      <c r="I31" s="141">
        <f t="shared" si="3"/>
        <v>0</v>
      </c>
      <c r="J31" s="142" t="e">
        <f>SUMPRODUCT((主抽数据!$AU$5:$AU$97=$A31)*(主抽数据!$AV$5:$AV$97=$F31),主抽数据!$AK$5:$AK$97)</f>
        <v>#REF!</v>
      </c>
      <c r="K31" s="142" t="e">
        <f>SUMPRODUCT((主抽数据!$AU$5:$AU$97=$A31)*(主抽数据!$AV$5:$AV$97=$F31),主抽数据!$AL$5:$AL$97)</f>
        <v>#REF!</v>
      </c>
      <c r="L31" s="143" t="e">
        <f t="shared" si="4"/>
        <v>#REF!</v>
      </c>
      <c r="M31" s="143">
        <f>SUMPRODUCT((_6shaozhuchou_month_day!$A$2:$A$906&gt;=C31)*(_6shaozhuchou_month_day!$A$2:$A$906&lt;C32),_6shaozhuchou_month_day!$Z$2:$Z$906)</f>
        <v>0</v>
      </c>
      <c r="N31" s="132">
        <f>M31*查询与汇总!$O$1</f>
        <v>0</v>
      </c>
      <c r="O31" s="144">
        <f t="shared" si="11"/>
        <v>0</v>
      </c>
      <c r="P31" s="145">
        <f>IF(G31=0,0,SUMPRODUCT((_6shaozhuchou_month_day!$A$2:$A$906&gt;=$C31)*(_6shaozhuchou_month_day!$A$2:$A$906&lt;$C32),_6shaozhuchou_month_day!T$2:T$906)/SUMPRODUCT((_6shaozhuchou_month_day!$A$2:$A$906&gt;=$C31)*(_6shaozhuchou_month_day!$A$2:$A$906&lt;$C32)*(_6shaozhuchou_month_day!T$2:T$906&gt;0)))</f>
        <v>0</v>
      </c>
      <c r="Q31" s="145">
        <f>IF(G31=0,0,SUMPRODUCT((_6shaozhuchou_month_day!$A$2:$A$906&gt;=$C31)*(_6shaozhuchou_month_day!$A$2:$A$906&lt;$C32),_6shaozhuchou_month_day!U$2:U$906)/SUMPRODUCT((_6shaozhuchou_month_day!$A$2:$A$906&gt;=$C31)*(_6shaozhuchou_month_day!$A$2:$A$906&lt;$C32)*(_6shaozhuchou_month_day!U$2:U$906&lt;0)))</f>
        <v>0</v>
      </c>
      <c r="R31" s="145">
        <f>IF(G31=0,0,SUMPRODUCT((_6shaozhuchou_month_day!$A$2:$A$906&gt;=$C31)*(_6shaozhuchou_month_day!$A$2:$A$906&lt;$C32),_6shaozhuchou_month_day!V$2:V$906)/SUMPRODUCT((_6shaozhuchou_month_day!$A$2:$A$906&gt;=$C31)*(_6shaozhuchou_month_day!$A$2:$A$906&lt;$C32)*(_6shaozhuchou_month_day!V$2:V$906&gt;0)))</f>
        <v>0</v>
      </c>
      <c r="S31" s="145">
        <f>IF(G31=0,0,SUMPRODUCT((_6shaozhuchou_month_day!$A$2:$A$906&gt;=$C31)*(_6shaozhuchou_month_day!$A$2:$A$906&lt;$C32),_6shaozhuchou_month_day!W$2:W$906)/SUMPRODUCT((_6shaozhuchou_month_day!$A$2:$A$906&gt;=$C31)*(_6shaozhuchou_month_day!$A$2:$A$906&lt;$C32)*(_6shaozhuchou_month_day!W$2:W$906&lt;0)))</f>
        <v>0</v>
      </c>
      <c r="T31" s="145" t="str">
        <f>主抽数据!Z35</f>
        <v/>
      </c>
      <c r="U31" s="145" t="str">
        <f>主抽数据!AA35</f>
        <v/>
      </c>
      <c r="V31" s="148">
        <f>查询与汇总!$S$1*M31</f>
        <v>0</v>
      </c>
      <c r="W31" s="149" t="e">
        <f t="shared" si="5"/>
        <v>#REF!</v>
      </c>
      <c r="X31" s="151"/>
      <c r="Y31" s="164"/>
      <c r="Z31" s="165"/>
      <c r="AA31" s="160" t="str">
        <f>主抽数据!AB35</f>
        <v/>
      </c>
      <c r="AB31" s="161" t="str">
        <f>主抽数据!AC35</f>
        <v/>
      </c>
      <c r="AC31" s="162" t="e">
        <f t="shared" si="6"/>
        <v>#REF!</v>
      </c>
      <c r="AE31" s="123" t="e">
        <f t="shared" si="7"/>
        <v>#VALUE!</v>
      </c>
      <c r="AF31" s="123" t="e">
        <f t="shared" si="8"/>
        <v>#VALUE!</v>
      </c>
      <c r="AG31" s="123">
        <f t="shared" si="9"/>
        <v>0</v>
      </c>
      <c r="AH31" s="123">
        <f t="shared" si="10"/>
        <v>0</v>
      </c>
    </row>
    <row r="32" spans="1:34" ht="42" customHeight="1">
      <c r="A32" s="133">
        <f t="shared" si="12"/>
        <v>43353</v>
      </c>
      <c r="B32" s="134">
        <f t="shared" si="13"/>
        <v>0.66666666666666696</v>
      </c>
      <c r="C32" s="133">
        <f t="shared" si="0"/>
        <v>43353.666666666664</v>
      </c>
      <c r="D32" s="134" t="str">
        <f t="shared" si="14"/>
        <v>中班</v>
      </c>
      <c r="E32" s="131">
        <f t="shared" si="15"/>
        <v>3</v>
      </c>
      <c r="F32" s="131" t="str">
        <f t="shared" si="1"/>
        <v>丙班</v>
      </c>
      <c r="G32" s="132">
        <f>SUMPRODUCT((_6shaozhuchou_month_day!$A$2:$A$906&gt;=C32)*(_6shaozhuchou_month_day!$A$2:$A$906&lt;C33),_6shaozhuchou_month_day!$Y$2:$Y$906)/8</f>
        <v>0</v>
      </c>
      <c r="H32" s="132">
        <f t="shared" si="2"/>
        <v>0</v>
      </c>
      <c r="I32" s="141">
        <f t="shared" si="3"/>
        <v>0</v>
      </c>
      <c r="J32" s="142" t="e">
        <f>SUMPRODUCT((主抽数据!$AU$5:$AU$97=$A32)*(主抽数据!$AV$5:$AV$97=$F32),主抽数据!$AK$5:$AK$97)</f>
        <v>#REF!</v>
      </c>
      <c r="K32" s="142" t="e">
        <f>SUMPRODUCT((主抽数据!$AU$5:$AU$97=$A32)*(主抽数据!$AV$5:$AV$97=$F32),主抽数据!$AL$5:$AL$97)</f>
        <v>#REF!</v>
      </c>
      <c r="L32" s="143" t="e">
        <f t="shared" si="4"/>
        <v>#REF!</v>
      </c>
      <c r="M32" s="143">
        <f>SUMPRODUCT((_6shaozhuchou_month_day!$A$2:$A$906&gt;=C32)*(_6shaozhuchou_month_day!$A$2:$A$906&lt;C33),_6shaozhuchou_month_day!$Z$2:$Z$906)</f>
        <v>0</v>
      </c>
      <c r="N32" s="132">
        <f>M32*查询与汇总!$O$1</f>
        <v>0</v>
      </c>
      <c r="O32" s="144">
        <f t="shared" si="11"/>
        <v>0</v>
      </c>
      <c r="P32" s="145">
        <f>IF(G32=0,0,SUMPRODUCT((_6shaozhuchou_month_day!$A$2:$A$906&gt;=$C32)*(_6shaozhuchou_month_day!$A$2:$A$906&lt;$C33),_6shaozhuchou_month_day!T$2:T$906)/SUMPRODUCT((_6shaozhuchou_month_day!$A$2:$A$906&gt;=$C32)*(_6shaozhuchou_month_day!$A$2:$A$906&lt;$C33)*(_6shaozhuchou_month_day!T$2:T$906&gt;0)))</f>
        <v>0</v>
      </c>
      <c r="Q32" s="145">
        <f>IF(G32=0,0,SUMPRODUCT((_6shaozhuchou_month_day!$A$2:$A$906&gt;=$C32)*(_6shaozhuchou_month_day!$A$2:$A$906&lt;$C33),_6shaozhuchou_month_day!U$2:U$906)/SUMPRODUCT((_6shaozhuchou_month_day!$A$2:$A$906&gt;=$C32)*(_6shaozhuchou_month_day!$A$2:$A$906&lt;$C33)*(_6shaozhuchou_month_day!U$2:U$906&lt;0)))</f>
        <v>0</v>
      </c>
      <c r="R32" s="145">
        <f>IF(G32=0,0,SUMPRODUCT((_6shaozhuchou_month_day!$A$2:$A$906&gt;=$C32)*(_6shaozhuchou_month_day!$A$2:$A$906&lt;$C33),_6shaozhuchou_month_day!V$2:V$906)/SUMPRODUCT((_6shaozhuchou_month_day!$A$2:$A$906&gt;=$C32)*(_6shaozhuchou_month_day!$A$2:$A$906&lt;$C33)*(_6shaozhuchou_month_day!V$2:V$906&gt;0)))</f>
        <v>0</v>
      </c>
      <c r="S32" s="145">
        <f>IF(G32=0,0,SUMPRODUCT((_6shaozhuchou_month_day!$A$2:$A$906&gt;=$C32)*(_6shaozhuchou_month_day!$A$2:$A$906&lt;$C33),_6shaozhuchou_month_day!W$2:W$906)/SUMPRODUCT((_6shaozhuchou_month_day!$A$2:$A$906&gt;=$C32)*(_6shaozhuchou_month_day!$A$2:$A$906&lt;$C33)*(_6shaozhuchou_month_day!W$2:W$906&lt;0)))</f>
        <v>0</v>
      </c>
      <c r="T32" s="145" t="str">
        <f>主抽数据!Z36</f>
        <v/>
      </c>
      <c r="U32" s="145" t="str">
        <f>主抽数据!AA36</f>
        <v/>
      </c>
      <c r="V32" s="148">
        <f>查询与汇总!$S$1*M32</f>
        <v>0</v>
      </c>
      <c r="W32" s="149" t="e">
        <f t="shared" si="5"/>
        <v>#REF!</v>
      </c>
      <c r="X32" s="151"/>
      <c r="Y32" s="164"/>
      <c r="Z32" s="165"/>
      <c r="AA32" s="160" t="str">
        <f>主抽数据!AB36</f>
        <v/>
      </c>
      <c r="AB32" s="161" t="str">
        <f>主抽数据!AC36</f>
        <v/>
      </c>
      <c r="AC32" s="162" t="e">
        <f t="shared" si="6"/>
        <v>#REF!</v>
      </c>
      <c r="AE32" s="123" t="e">
        <f t="shared" si="7"/>
        <v>#VALUE!</v>
      </c>
      <c r="AF32" s="123" t="e">
        <f t="shared" si="8"/>
        <v>#VALUE!</v>
      </c>
      <c r="AG32" s="123">
        <f t="shared" si="9"/>
        <v>0</v>
      </c>
      <c r="AH32" s="123">
        <f t="shared" si="10"/>
        <v>0</v>
      </c>
    </row>
    <row r="33" spans="1:34" ht="30" customHeight="1">
      <c r="A33" s="133">
        <f t="shared" si="12"/>
        <v>43354</v>
      </c>
      <c r="B33" s="134">
        <f t="shared" si="13"/>
        <v>0</v>
      </c>
      <c r="C33" s="133">
        <f t="shared" si="0"/>
        <v>43354</v>
      </c>
      <c r="D33" s="134" t="str">
        <f t="shared" si="14"/>
        <v>夜班</v>
      </c>
      <c r="E33" s="131">
        <f t="shared" si="15"/>
        <v>1</v>
      </c>
      <c r="F33" s="131" t="str">
        <f t="shared" si="1"/>
        <v>甲班</v>
      </c>
      <c r="G33" s="132">
        <f>SUMPRODUCT((_6shaozhuchou_month_day!$A$2:$A$906&gt;=C33)*(_6shaozhuchou_month_day!$A$2:$A$906&lt;C34),_6shaozhuchou_month_day!$Y$2:$Y$906)/8</f>
        <v>0</v>
      </c>
      <c r="H33" s="132">
        <f t="shared" si="2"/>
        <v>0</v>
      </c>
      <c r="I33" s="141">
        <f t="shared" si="3"/>
        <v>0</v>
      </c>
      <c r="J33" s="142" t="e">
        <f>SUMPRODUCT((主抽数据!$AU$5:$AU$97=$A33)*(主抽数据!$AV$5:$AV$97=$F33),主抽数据!$AK$5:$AK$97)</f>
        <v>#REF!</v>
      </c>
      <c r="K33" s="142" t="e">
        <f>SUMPRODUCT((主抽数据!$AU$5:$AU$97=$A33)*(主抽数据!$AV$5:$AV$97=$F33),主抽数据!$AL$5:$AL$97)</f>
        <v>#REF!</v>
      </c>
      <c r="L33" s="143" t="e">
        <f t="shared" si="4"/>
        <v>#REF!</v>
      </c>
      <c r="M33" s="143">
        <f>SUMPRODUCT((_6shaozhuchou_month_day!$A$2:$A$906&gt;=C33)*(_6shaozhuchou_month_day!$A$2:$A$906&lt;C34),_6shaozhuchou_month_day!$Z$2:$Z$906)</f>
        <v>0</v>
      </c>
      <c r="N33" s="132">
        <f>M33*查询与汇总!$O$1</f>
        <v>0</v>
      </c>
      <c r="O33" s="144">
        <f t="shared" si="11"/>
        <v>0</v>
      </c>
      <c r="P33" s="145">
        <f>IF(G33=0,0,SUMPRODUCT((_6shaozhuchou_month_day!$A$2:$A$906&gt;=$C33)*(_6shaozhuchou_month_day!$A$2:$A$906&lt;$C34),_6shaozhuchou_month_day!T$2:T$906)/SUMPRODUCT((_6shaozhuchou_month_day!$A$2:$A$906&gt;=$C33)*(_6shaozhuchou_month_day!$A$2:$A$906&lt;$C34)*(_6shaozhuchou_month_day!T$2:T$906&gt;0)))</f>
        <v>0</v>
      </c>
      <c r="Q33" s="145">
        <f>IF(G33=0,0,SUMPRODUCT((_6shaozhuchou_month_day!$A$2:$A$906&gt;=$C33)*(_6shaozhuchou_month_day!$A$2:$A$906&lt;$C34),_6shaozhuchou_month_day!U$2:U$906)/SUMPRODUCT((_6shaozhuchou_month_day!$A$2:$A$906&gt;=$C33)*(_6shaozhuchou_month_day!$A$2:$A$906&lt;$C34)*(_6shaozhuchou_month_day!U$2:U$906&lt;0)))</f>
        <v>0</v>
      </c>
      <c r="R33" s="145">
        <f>IF(G33=0,0,SUMPRODUCT((_6shaozhuchou_month_day!$A$2:$A$906&gt;=$C33)*(_6shaozhuchou_month_day!$A$2:$A$906&lt;$C34),_6shaozhuchou_month_day!V$2:V$906)/SUMPRODUCT((_6shaozhuchou_month_day!$A$2:$A$906&gt;=$C33)*(_6shaozhuchou_month_day!$A$2:$A$906&lt;$C34)*(_6shaozhuchou_month_day!V$2:V$906&gt;0)))</f>
        <v>0</v>
      </c>
      <c r="S33" s="145">
        <f>IF(G33=0,0,SUMPRODUCT((_6shaozhuchou_month_day!$A$2:$A$906&gt;=$C33)*(_6shaozhuchou_month_day!$A$2:$A$906&lt;$C34),_6shaozhuchou_month_day!W$2:W$906)/SUMPRODUCT((_6shaozhuchou_month_day!$A$2:$A$906&gt;=$C33)*(_6shaozhuchou_month_day!$A$2:$A$906&lt;$C34)*(_6shaozhuchou_month_day!W$2:W$906&lt;0)))</f>
        <v>0</v>
      </c>
      <c r="T33" s="145" t="str">
        <f>主抽数据!Z37</f>
        <v/>
      </c>
      <c r="U33" s="145" t="str">
        <f>主抽数据!AA37</f>
        <v/>
      </c>
      <c r="V33" s="148">
        <f>查询与汇总!$S$1*M33</f>
        <v>0</v>
      </c>
      <c r="W33" s="149" t="e">
        <f t="shared" si="5"/>
        <v>#REF!</v>
      </c>
      <c r="X33" s="151"/>
      <c r="Y33" s="164"/>
      <c r="Z33" s="165"/>
      <c r="AA33" s="160" t="str">
        <f>主抽数据!AB37</f>
        <v/>
      </c>
      <c r="AB33" s="161" t="str">
        <f>主抽数据!AC37</f>
        <v/>
      </c>
      <c r="AC33" s="162" t="e">
        <f t="shared" si="6"/>
        <v>#REF!</v>
      </c>
      <c r="AE33" s="123" t="e">
        <f t="shared" si="7"/>
        <v>#VALUE!</v>
      </c>
      <c r="AF33" s="123" t="e">
        <f t="shared" si="8"/>
        <v>#VALUE!</v>
      </c>
      <c r="AG33" s="123">
        <f t="shared" si="9"/>
        <v>0</v>
      </c>
      <c r="AH33" s="123">
        <f t="shared" si="10"/>
        <v>0</v>
      </c>
    </row>
    <row r="34" spans="1:34" ht="20.25" customHeight="1">
      <c r="A34" s="133">
        <f t="shared" si="12"/>
        <v>43354</v>
      </c>
      <c r="B34" s="134">
        <f t="shared" si="13"/>
        <v>0.33333333333333298</v>
      </c>
      <c r="C34" s="133">
        <f t="shared" si="0"/>
        <v>43354.333333333336</v>
      </c>
      <c r="D34" s="134" t="str">
        <f t="shared" si="14"/>
        <v>白班</v>
      </c>
      <c r="E34" s="131">
        <f t="shared" si="15"/>
        <v>2</v>
      </c>
      <c r="F34" s="131" t="str">
        <f t="shared" si="1"/>
        <v>乙班</v>
      </c>
      <c r="G34" s="132">
        <f>SUMPRODUCT((_6shaozhuchou_month_day!$A$2:$A$906&gt;=C34)*(_6shaozhuchou_month_day!$A$2:$A$906&lt;C35),_6shaozhuchou_month_day!$Y$2:$Y$906)/8</f>
        <v>0</v>
      </c>
      <c r="H34" s="132">
        <f t="shared" si="2"/>
        <v>0</v>
      </c>
      <c r="I34" s="141">
        <f t="shared" si="3"/>
        <v>0</v>
      </c>
      <c r="J34" s="142" t="e">
        <f>SUMPRODUCT((主抽数据!$AU$5:$AU$97=$A34)*(主抽数据!$AV$5:$AV$97=$F34),主抽数据!$AK$5:$AK$97)</f>
        <v>#REF!</v>
      </c>
      <c r="K34" s="142" t="e">
        <f>SUMPRODUCT((主抽数据!$AU$5:$AU$97=$A34)*(主抽数据!$AV$5:$AV$97=$F34),主抽数据!$AL$5:$AL$97)</f>
        <v>#REF!</v>
      </c>
      <c r="L34" s="143" t="e">
        <f t="shared" si="4"/>
        <v>#REF!</v>
      </c>
      <c r="M34" s="143">
        <f>SUMPRODUCT((_6shaozhuchou_month_day!$A$2:$A$906&gt;=C34)*(_6shaozhuchou_month_day!$A$2:$A$906&lt;C35),_6shaozhuchou_month_day!$Z$2:$Z$906)</f>
        <v>0</v>
      </c>
      <c r="N34" s="132">
        <f>M34*查询与汇总!$O$1</f>
        <v>0</v>
      </c>
      <c r="O34" s="144">
        <f t="shared" si="11"/>
        <v>0</v>
      </c>
      <c r="P34" s="145">
        <f>IF(G34=0,0,SUMPRODUCT((_6shaozhuchou_month_day!$A$2:$A$906&gt;=$C34)*(_6shaozhuchou_month_day!$A$2:$A$906&lt;$C35),_6shaozhuchou_month_day!T$2:T$906)/SUMPRODUCT((_6shaozhuchou_month_day!$A$2:$A$906&gt;=$C34)*(_6shaozhuchou_month_day!$A$2:$A$906&lt;$C35)*(_6shaozhuchou_month_day!T$2:T$906&gt;0)))</f>
        <v>0</v>
      </c>
      <c r="Q34" s="145">
        <f>IF(G34=0,0,SUMPRODUCT((_6shaozhuchou_month_day!$A$2:$A$906&gt;=$C34)*(_6shaozhuchou_month_day!$A$2:$A$906&lt;$C35),_6shaozhuchou_month_day!U$2:U$906)/SUMPRODUCT((_6shaozhuchou_month_day!$A$2:$A$906&gt;=$C34)*(_6shaozhuchou_month_day!$A$2:$A$906&lt;$C35)*(_6shaozhuchou_month_day!U$2:U$906&lt;0)))</f>
        <v>0</v>
      </c>
      <c r="R34" s="145">
        <f>IF(G34=0,0,SUMPRODUCT((_6shaozhuchou_month_day!$A$2:$A$906&gt;=$C34)*(_6shaozhuchou_month_day!$A$2:$A$906&lt;$C35),_6shaozhuchou_month_day!V$2:V$906)/SUMPRODUCT((_6shaozhuchou_month_day!$A$2:$A$906&gt;=$C34)*(_6shaozhuchou_month_day!$A$2:$A$906&lt;$C35)*(_6shaozhuchou_month_day!V$2:V$906&gt;0)))</f>
        <v>0</v>
      </c>
      <c r="S34" s="145">
        <f>IF(G34=0,0,SUMPRODUCT((_6shaozhuchou_month_day!$A$2:$A$906&gt;=$C34)*(_6shaozhuchou_month_day!$A$2:$A$906&lt;$C35),_6shaozhuchou_month_day!W$2:W$906)/SUMPRODUCT((_6shaozhuchou_month_day!$A$2:$A$906&gt;=$C34)*(_6shaozhuchou_month_day!$A$2:$A$906&lt;$C35)*(_6shaozhuchou_month_day!W$2:W$906&lt;0)))</f>
        <v>0</v>
      </c>
      <c r="T34" s="145" t="str">
        <f>主抽数据!Z38</f>
        <v/>
      </c>
      <c r="U34" s="145" t="str">
        <f>主抽数据!AA38</f>
        <v/>
      </c>
      <c r="V34" s="148">
        <f>查询与汇总!$S$1*M34</f>
        <v>0</v>
      </c>
      <c r="W34" s="149" t="e">
        <f t="shared" si="5"/>
        <v>#REF!</v>
      </c>
      <c r="X34" s="152"/>
      <c r="Y34" s="166"/>
      <c r="Z34" s="163"/>
      <c r="AA34" s="160" t="str">
        <f>主抽数据!AB38</f>
        <v/>
      </c>
      <c r="AB34" s="161" t="str">
        <f>主抽数据!AC38</f>
        <v/>
      </c>
      <c r="AC34" s="162" t="e">
        <f t="shared" si="6"/>
        <v>#REF!</v>
      </c>
      <c r="AE34" s="123" t="e">
        <f t="shared" si="7"/>
        <v>#VALUE!</v>
      </c>
      <c r="AF34" s="123" t="e">
        <f t="shared" si="8"/>
        <v>#VALUE!</v>
      </c>
      <c r="AG34" s="123">
        <f t="shared" si="9"/>
        <v>0</v>
      </c>
      <c r="AH34" s="123">
        <f t="shared" si="10"/>
        <v>0</v>
      </c>
    </row>
    <row r="35" spans="1:34" ht="20.25" customHeight="1">
      <c r="A35" s="133">
        <f t="shared" si="12"/>
        <v>43354</v>
      </c>
      <c r="B35" s="134">
        <f t="shared" si="13"/>
        <v>0.66666666666666696</v>
      </c>
      <c r="C35" s="133">
        <f t="shared" si="0"/>
        <v>43354.666666666664</v>
      </c>
      <c r="D35" s="134" t="str">
        <f t="shared" si="14"/>
        <v>中班</v>
      </c>
      <c r="E35" s="131">
        <f t="shared" si="15"/>
        <v>3</v>
      </c>
      <c r="F35" s="131" t="str">
        <f t="shared" si="1"/>
        <v>丙班</v>
      </c>
      <c r="G35" s="132">
        <f>SUMPRODUCT((_6shaozhuchou_month_day!$A$2:$A$906&gt;=C35)*(_6shaozhuchou_month_day!$A$2:$A$906&lt;C36),_6shaozhuchou_month_day!$Y$2:$Y$906)/8</f>
        <v>0</v>
      </c>
      <c r="H35" s="132">
        <f t="shared" si="2"/>
        <v>0</v>
      </c>
      <c r="I35" s="141">
        <f t="shared" si="3"/>
        <v>0</v>
      </c>
      <c r="J35" s="142" t="e">
        <f>SUMPRODUCT((主抽数据!$AU$5:$AU$97=$A35)*(主抽数据!$AV$5:$AV$97=$F35),主抽数据!$AK$5:$AK$97)</f>
        <v>#REF!</v>
      </c>
      <c r="K35" s="142" t="e">
        <f>SUMPRODUCT((主抽数据!$AU$5:$AU$97=$A35)*(主抽数据!$AV$5:$AV$97=$F35),主抽数据!$AL$5:$AL$97)</f>
        <v>#REF!</v>
      </c>
      <c r="L35" s="143" t="e">
        <f t="shared" si="4"/>
        <v>#REF!</v>
      </c>
      <c r="M35" s="143">
        <f>SUMPRODUCT((_6shaozhuchou_month_day!$A$2:$A$906&gt;=C35)*(_6shaozhuchou_month_day!$A$2:$A$906&lt;C36),_6shaozhuchou_month_day!$Z$2:$Z$906)</f>
        <v>0</v>
      </c>
      <c r="N35" s="132">
        <f>M35*查询与汇总!$O$1</f>
        <v>0</v>
      </c>
      <c r="O35" s="144">
        <f t="shared" si="11"/>
        <v>0</v>
      </c>
      <c r="P35" s="145">
        <f>IF(G35=0,0,SUMPRODUCT((_6shaozhuchou_month_day!$A$2:$A$906&gt;=$C35)*(_6shaozhuchou_month_day!$A$2:$A$906&lt;$C36),_6shaozhuchou_month_day!T$2:T$906)/SUMPRODUCT((_6shaozhuchou_month_day!$A$2:$A$906&gt;=$C35)*(_6shaozhuchou_month_day!$A$2:$A$906&lt;$C36)*(_6shaozhuchou_month_day!T$2:T$906&gt;0)))</f>
        <v>0</v>
      </c>
      <c r="Q35" s="145">
        <f>IF(G35=0,0,SUMPRODUCT((_6shaozhuchou_month_day!$A$2:$A$906&gt;=$C35)*(_6shaozhuchou_month_day!$A$2:$A$906&lt;$C36),_6shaozhuchou_month_day!U$2:U$906)/SUMPRODUCT((_6shaozhuchou_month_day!$A$2:$A$906&gt;=$C35)*(_6shaozhuchou_month_day!$A$2:$A$906&lt;$C36)*(_6shaozhuchou_month_day!U$2:U$906&lt;0)))</f>
        <v>0</v>
      </c>
      <c r="R35" s="145">
        <f>IF(G35=0,0,SUMPRODUCT((_6shaozhuchou_month_day!$A$2:$A$906&gt;=$C35)*(_6shaozhuchou_month_day!$A$2:$A$906&lt;$C36),_6shaozhuchou_month_day!V$2:V$906)/SUMPRODUCT((_6shaozhuchou_month_day!$A$2:$A$906&gt;=$C35)*(_6shaozhuchou_month_day!$A$2:$A$906&lt;$C36)*(_6shaozhuchou_month_day!V$2:V$906&gt;0)))</f>
        <v>0</v>
      </c>
      <c r="S35" s="145">
        <f>IF(G35=0,0,SUMPRODUCT((_6shaozhuchou_month_day!$A$2:$A$906&gt;=$C35)*(_6shaozhuchou_month_day!$A$2:$A$906&lt;$C36),_6shaozhuchou_month_day!W$2:W$906)/SUMPRODUCT((_6shaozhuchou_month_day!$A$2:$A$906&gt;=$C35)*(_6shaozhuchou_month_day!$A$2:$A$906&lt;$C36)*(_6shaozhuchou_month_day!W$2:W$906&lt;0)))</f>
        <v>0</v>
      </c>
      <c r="T35" s="145" t="str">
        <f>主抽数据!Z39</f>
        <v/>
      </c>
      <c r="U35" s="145" t="str">
        <f>主抽数据!AA39</f>
        <v/>
      </c>
      <c r="V35" s="148">
        <f>查询与汇总!$S$1*M35</f>
        <v>0</v>
      </c>
      <c r="W35" s="149" t="e">
        <f t="shared" si="5"/>
        <v>#REF!</v>
      </c>
      <c r="X35" s="153"/>
      <c r="Y35" s="167"/>
      <c r="Z35" s="163"/>
      <c r="AA35" s="160" t="str">
        <f>主抽数据!AB39</f>
        <v/>
      </c>
      <c r="AB35" s="161" t="str">
        <f>主抽数据!AC39</f>
        <v/>
      </c>
      <c r="AC35" s="162" t="e">
        <f t="shared" si="6"/>
        <v>#REF!</v>
      </c>
      <c r="AE35" s="123" t="e">
        <f t="shared" si="7"/>
        <v>#VALUE!</v>
      </c>
      <c r="AF35" s="123" t="e">
        <f t="shared" si="8"/>
        <v>#VALUE!</v>
      </c>
      <c r="AG35" s="123">
        <f t="shared" si="9"/>
        <v>0</v>
      </c>
      <c r="AH35" s="123">
        <f t="shared" si="10"/>
        <v>0</v>
      </c>
    </row>
    <row r="36" spans="1:34" ht="27" customHeight="1">
      <c r="A36" s="133">
        <f t="shared" si="12"/>
        <v>43355</v>
      </c>
      <c r="B36" s="134">
        <f t="shared" si="13"/>
        <v>0</v>
      </c>
      <c r="C36" s="133">
        <f t="shared" si="0"/>
        <v>43355</v>
      </c>
      <c r="D36" s="134" t="str">
        <f t="shared" si="14"/>
        <v>夜班</v>
      </c>
      <c r="E36" s="131">
        <f t="shared" si="15"/>
        <v>4</v>
      </c>
      <c r="F36" s="131" t="str">
        <f t="shared" si="1"/>
        <v>丁班</v>
      </c>
      <c r="G36" s="132">
        <f>SUMPRODUCT((_6shaozhuchou_month_day!$A$2:$A$906&gt;=C36)*(_6shaozhuchou_month_day!$A$2:$A$906&lt;C37),_6shaozhuchou_month_day!$Y$2:$Y$906)/8</f>
        <v>0</v>
      </c>
      <c r="H36" s="132">
        <f t="shared" si="2"/>
        <v>0</v>
      </c>
      <c r="I36" s="141">
        <f t="shared" ref="I36:I67" si="16">X36</f>
        <v>0</v>
      </c>
      <c r="J36" s="142" t="e">
        <f>SUMPRODUCT((主抽数据!$AU$5:$AU$97=$A36)*(主抽数据!$AV$5:$AV$97=$F36),主抽数据!$AK$5:$AK$97)</f>
        <v>#REF!</v>
      </c>
      <c r="K36" s="142" t="e">
        <f>SUMPRODUCT((主抽数据!$AU$5:$AU$97=$A36)*(主抽数据!$AV$5:$AV$97=$F36),主抽数据!$AL$5:$AL$97)</f>
        <v>#REF!</v>
      </c>
      <c r="L36" s="143" t="e">
        <f t="shared" ref="L36:L67" si="17">J36+K36</f>
        <v>#REF!</v>
      </c>
      <c r="M36" s="143">
        <f>SUMPRODUCT((_6shaozhuchou_month_day!$A$2:$A$906&gt;=C36)*(_6shaozhuchou_month_day!$A$2:$A$906&lt;C37),_6shaozhuchou_month_day!$Z$2:$Z$906)</f>
        <v>0</v>
      </c>
      <c r="N36" s="132">
        <f>M36*查询与汇总!$O$1</f>
        <v>0</v>
      </c>
      <c r="O36" s="144">
        <f t="shared" ref="O36:O67" si="18">IF(N36=0,0,L36/N36)</f>
        <v>0</v>
      </c>
      <c r="P36" s="145">
        <f>IF(G36=0,0,SUMPRODUCT((_6shaozhuchou_month_day!$A$2:$A$906&gt;=$C36)*(_6shaozhuchou_month_day!$A$2:$A$906&lt;$C37),_6shaozhuchou_month_day!T$2:T$906)/SUMPRODUCT((_6shaozhuchou_month_day!$A$2:$A$906&gt;=$C36)*(_6shaozhuchou_month_day!$A$2:$A$906&lt;$C37)*(_6shaozhuchou_month_day!T$2:T$906&gt;0)))</f>
        <v>0</v>
      </c>
      <c r="Q36" s="145">
        <f>IF(G36=0,0,SUMPRODUCT((_6shaozhuchou_month_day!$A$2:$A$906&gt;=$C36)*(_6shaozhuchou_month_day!$A$2:$A$906&lt;$C37),_6shaozhuchou_month_day!U$2:U$906)/SUMPRODUCT((_6shaozhuchou_month_day!$A$2:$A$906&gt;=$C36)*(_6shaozhuchou_month_day!$A$2:$A$906&lt;$C37)*(_6shaozhuchou_month_day!U$2:U$906&lt;0)))</f>
        <v>0</v>
      </c>
      <c r="R36" s="145">
        <f>IF(G36=0,0,SUMPRODUCT((_6shaozhuchou_month_day!$A$2:$A$906&gt;=$C36)*(_6shaozhuchou_month_day!$A$2:$A$906&lt;$C37),_6shaozhuchou_month_day!V$2:V$906)/SUMPRODUCT((_6shaozhuchou_month_day!$A$2:$A$906&gt;=$C36)*(_6shaozhuchou_month_day!$A$2:$A$906&lt;$C37)*(_6shaozhuchou_month_day!V$2:V$906&gt;0)))</f>
        <v>0</v>
      </c>
      <c r="S36" s="145">
        <f>IF(G36=0,0,SUMPRODUCT((_6shaozhuchou_month_day!$A$2:$A$906&gt;=$C36)*(_6shaozhuchou_month_day!$A$2:$A$906&lt;$C37),_6shaozhuchou_month_day!W$2:W$906)/SUMPRODUCT((_6shaozhuchou_month_day!$A$2:$A$906&gt;=$C36)*(_6shaozhuchou_month_day!$A$2:$A$906&lt;$C37)*(_6shaozhuchou_month_day!W$2:W$906&lt;0)))</f>
        <v>0</v>
      </c>
      <c r="T36" s="145" t="str">
        <f>主抽数据!Z40</f>
        <v/>
      </c>
      <c r="U36" s="145" t="str">
        <f>主抽数据!AA40</f>
        <v/>
      </c>
      <c r="V36" s="148">
        <f>查询与汇总!$S$1*M36</f>
        <v>0</v>
      </c>
      <c r="W36" s="149" t="e">
        <f t="shared" ref="W36:W67" si="19">L36-V36</f>
        <v>#REF!</v>
      </c>
      <c r="X36" s="150"/>
      <c r="Y36" s="158"/>
      <c r="Z36" s="163"/>
      <c r="AA36" s="160" t="str">
        <f>主抽数据!AB40</f>
        <v/>
      </c>
      <c r="AB36" s="161" t="str">
        <f>主抽数据!AC40</f>
        <v/>
      </c>
      <c r="AC36" s="162" t="e">
        <f t="shared" ref="AC36:AC58" si="20">IF(V36=-W36,0,W36*0.62/10000)</f>
        <v>#REF!</v>
      </c>
      <c r="AE36" s="123" t="e">
        <f t="shared" ref="AE36:AE67" si="21">AA36/10</f>
        <v>#VALUE!</v>
      </c>
      <c r="AF36" s="123" t="e">
        <f t="shared" ref="AF36:AF67" si="22">AB36/10</f>
        <v>#VALUE!</v>
      </c>
      <c r="AG36" s="123">
        <f t="shared" si="9"/>
        <v>0</v>
      </c>
      <c r="AH36" s="123">
        <f t="shared" si="10"/>
        <v>0</v>
      </c>
    </row>
    <row r="37" spans="1:34" ht="20.25" customHeight="1">
      <c r="A37" s="133">
        <f t="shared" si="12"/>
        <v>43355</v>
      </c>
      <c r="B37" s="134">
        <f t="shared" si="13"/>
        <v>0.33333333333333298</v>
      </c>
      <c r="C37" s="133">
        <f t="shared" si="0"/>
        <v>43355.333333333336</v>
      </c>
      <c r="D37" s="134" t="str">
        <f t="shared" si="14"/>
        <v>白班</v>
      </c>
      <c r="E37" s="131">
        <f t="shared" si="15"/>
        <v>1</v>
      </c>
      <c r="F37" s="131" t="str">
        <f t="shared" si="1"/>
        <v>甲班</v>
      </c>
      <c r="G37" s="132">
        <f>SUMPRODUCT((_6shaozhuchou_month_day!$A$2:$A$906&gt;=C37)*(_6shaozhuchou_month_day!$A$2:$A$906&lt;C38),_6shaozhuchou_month_day!$Y$2:$Y$906)/8</f>
        <v>0</v>
      </c>
      <c r="H37" s="132">
        <f t="shared" si="2"/>
        <v>0</v>
      </c>
      <c r="I37" s="141">
        <f t="shared" si="16"/>
        <v>0</v>
      </c>
      <c r="J37" s="142" t="e">
        <f>SUMPRODUCT((主抽数据!$AU$5:$AU$97=$A37)*(主抽数据!$AV$5:$AV$97=$F37),主抽数据!$AK$5:$AK$97)</f>
        <v>#REF!</v>
      </c>
      <c r="K37" s="142" t="e">
        <f>SUMPRODUCT((主抽数据!$AU$5:$AU$97=$A37)*(主抽数据!$AV$5:$AV$97=$F37),主抽数据!$AL$5:$AL$97)</f>
        <v>#REF!</v>
      </c>
      <c r="L37" s="143" t="e">
        <f t="shared" si="17"/>
        <v>#REF!</v>
      </c>
      <c r="M37" s="143">
        <f>SUMPRODUCT((_6shaozhuchou_month_day!$A$2:$A$906&gt;=C37)*(_6shaozhuchou_month_day!$A$2:$A$906&lt;C38),_6shaozhuchou_month_day!$Z$2:$Z$906)</f>
        <v>0</v>
      </c>
      <c r="N37" s="132">
        <f>M37*查询与汇总!$O$1</f>
        <v>0</v>
      </c>
      <c r="O37" s="144">
        <f t="shared" si="18"/>
        <v>0</v>
      </c>
      <c r="P37" s="145">
        <f>IF(G37=0,0,SUMPRODUCT((_6shaozhuchou_month_day!$A$2:$A$906&gt;=$C37)*(_6shaozhuchou_month_day!$A$2:$A$906&lt;$C38),_6shaozhuchou_month_day!T$2:T$906)/SUMPRODUCT((_6shaozhuchou_month_day!$A$2:$A$906&gt;=$C37)*(_6shaozhuchou_month_day!$A$2:$A$906&lt;$C38)*(_6shaozhuchou_month_day!T$2:T$906&gt;0)))</f>
        <v>0</v>
      </c>
      <c r="Q37" s="145">
        <f>IF(G37=0,0,SUMPRODUCT((_6shaozhuchou_month_day!$A$2:$A$906&gt;=$C37)*(_6shaozhuchou_month_day!$A$2:$A$906&lt;$C38),_6shaozhuchou_month_day!U$2:U$906)/SUMPRODUCT((_6shaozhuchou_month_day!$A$2:$A$906&gt;=$C37)*(_6shaozhuchou_month_day!$A$2:$A$906&lt;$C38)*(_6shaozhuchou_month_day!U$2:U$906&lt;0)))</f>
        <v>0</v>
      </c>
      <c r="R37" s="145">
        <f>IF(G37=0,0,SUMPRODUCT((_6shaozhuchou_month_day!$A$2:$A$906&gt;=$C37)*(_6shaozhuchou_month_day!$A$2:$A$906&lt;$C38),_6shaozhuchou_month_day!V$2:V$906)/SUMPRODUCT((_6shaozhuchou_month_day!$A$2:$A$906&gt;=$C37)*(_6shaozhuchou_month_day!$A$2:$A$906&lt;$C38)*(_6shaozhuchou_month_day!V$2:V$906&gt;0)))</f>
        <v>0</v>
      </c>
      <c r="S37" s="145">
        <f>IF(G37=0,0,SUMPRODUCT((_6shaozhuchou_month_day!$A$2:$A$906&gt;=$C37)*(_6shaozhuchou_month_day!$A$2:$A$906&lt;$C38),_6shaozhuchou_month_day!W$2:W$906)/SUMPRODUCT((_6shaozhuchou_month_day!$A$2:$A$906&gt;=$C37)*(_6shaozhuchou_month_day!$A$2:$A$906&lt;$C38)*(_6shaozhuchou_month_day!W$2:W$906&lt;0)))</f>
        <v>0</v>
      </c>
      <c r="T37" s="145" t="str">
        <f>主抽数据!Z41</f>
        <v/>
      </c>
      <c r="U37" s="145" t="str">
        <f>主抽数据!AA41</f>
        <v/>
      </c>
      <c r="V37" s="148">
        <f>查询与汇总!$S$1*M37</f>
        <v>0</v>
      </c>
      <c r="W37" s="149" t="e">
        <f t="shared" si="19"/>
        <v>#REF!</v>
      </c>
      <c r="X37" s="151"/>
      <c r="Y37" s="164"/>
      <c r="Z37" s="163"/>
      <c r="AA37" s="160" t="str">
        <f>主抽数据!AB41</f>
        <v/>
      </c>
      <c r="AB37" s="161" t="str">
        <f>主抽数据!AC41</f>
        <v/>
      </c>
      <c r="AC37" s="162" t="e">
        <f t="shared" si="20"/>
        <v>#REF!</v>
      </c>
      <c r="AE37" s="123" t="e">
        <f t="shared" si="21"/>
        <v>#VALUE!</v>
      </c>
      <c r="AF37" s="123" t="e">
        <f t="shared" si="22"/>
        <v>#VALUE!</v>
      </c>
      <c r="AG37" s="123">
        <f t="shared" si="9"/>
        <v>0</v>
      </c>
      <c r="AH37" s="123">
        <f t="shared" si="10"/>
        <v>0</v>
      </c>
    </row>
    <row r="38" spans="1:34" ht="20.25" customHeight="1">
      <c r="A38" s="133">
        <f t="shared" si="12"/>
        <v>43355</v>
      </c>
      <c r="B38" s="134">
        <f t="shared" si="13"/>
        <v>0.66666666666666696</v>
      </c>
      <c r="C38" s="133">
        <f t="shared" si="0"/>
        <v>43355.666666666664</v>
      </c>
      <c r="D38" s="134" t="str">
        <f t="shared" si="14"/>
        <v>中班</v>
      </c>
      <c r="E38" s="131">
        <f t="shared" si="15"/>
        <v>2</v>
      </c>
      <c r="F38" s="131" t="str">
        <f t="shared" si="1"/>
        <v>乙班</v>
      </c>
      <c r="G38" s="132">
        <f>SUMPRODUCT((_6shaozhuchou_month_day!$A$2:$A$906&gt;=C38)*(_6shaozhuchou_month_day!$A$2:$A$906&lt;C39),_6shaozhuchou_month_day!$Y$2:$Y$906)/8</f>
        <v>0</v>
      </c>
      <c r="H38" s="132">
        <f t="shared" si="2"/>
        <v>0</v>
      </c>
      <c r="I38" s="141">
        <f t="shared" si="16"/>
        <v>0</v>
      </c>
      <c r="J38" s="142" t="e">
        <f>SUMPRODUCT((主抽数据!$AU$5:$AU$97=$A38)*(主抽数据!$AV$5:$AV$97=$F38),主抽数据!$AK$5:$AK$97)</f>
        <v>#REF!</v>
      </c>
      <c r="K38" s="142" t="e">
        <f>SUMPRODUCT((主抽数据!$AU$5:$AU$97=$A38)*(主抽数据!$AV$5:$AV$97=$F38),主抽数据!$AL$5:$AL$97)</f>
        <v>#REF!</v>
      </c>
      <c r="L38" s="143" t="e">
        <f t="shared" si="17"/>
        <v>#REF!</v>
      </c>
      <c r="M38" s="143">
        <f>SUMPRODUCT((_6shaozhuchou_month_day!$A$2:$A$906&gt;=C38)*(_6shaozhuchou_month_day!$A$2:$A$906&lt;C39),_6shaozhuchou_month_day!$Z$2:$Z$906)</f>
        <v>0</v>
      </c>
      <c r="N38" s="132">
        <f>M38*查询与汇总!$O$1</f>
        <v>0</v>
      </c>
      <c r="O38" s="144">
        <f t="shared" si="18"/>
        <v>0</v>
      </c>
      <c r="P38" s="145">
        <f>IF(G38=0,0,SUMPRODUCT((_6shaozhuchou_month_day!$A$2:$A$906&gt;=$C38)*(_6shaozhuchou_month_day!$A$2:$A$906&lt;$C39),_6shaozhuchou_month_day!T$2:T$906)/SUMPRODUCT((_6shaozhuchou_month_day!$A$2:$A$906&gt;=$C38)*(_6shaozhuchou_month_day!$A$2:$A$906&lt;$C39)*(_6shaozhuchou_month_day!T$2:T$906&gt;0)))</f>
        <v>0</v>
      </c>
      <c r="Q38" s="145">
        <f>IF(G38=0,0,SUMPRODUCT((_6shaozhuchou_month_day!$A$2:$A$906&gt;=$C38)*(_6shaozhuchou_month_day!$A$2:$A$906&lt;$C39),_6shaozhuchou_month_day!U$2:U$906)/SUMPRODUCT((_6shaozhuchou_month_day!$A$2:$A$906&gt;=$C38)*(_6shaozhuchou_month_day!$A$2:$A$906&lt;$C39)*(_6shaozhuchou_month_day!U$2:U$906&lt;0)))</f>
        <v>0</v>
      </c>
      <c r="R38" s="145">
        <f>IF(G38=0,0,SUMPRODUCT((_6shaozhuchou_month_day!$A$2:$A$906&gt;=$C38)*(_6shaozhuchou_month_day!$A$2:$A$906&lt;$C39),_6shaozhuchou_month_day!V$2:V$906)/SUMPRODUCT((_6shaozhuchou_month_day!$A$2:$A$906&gt;=$C38)*(_6shaozhuchou_month_day!$A$2:$A$906&lt;$C39)*(_6shaozhuchou_month_day!V$2:V$906&gt;0)))</f>
        <v>0</v>
      </c>
      <c r="S38" s="145">
        <f>IF(G38=0,0,SUMPRODUCT((_6shaozhuchou_month_day!$A$2:$A$906&gt;=$C38)*(_6shaozhuchou_month_day!$A$2:$A$906&lt;$C39),_6shaozhuchou_month_day!W$2:W$906)/SUMPRODUCT((_6shaozhuchou_month_day!$A$2:$A$906&gt;=$C38)*(_6shaozhuchou_month_day!$A$2:$A$906&lt;$C39)*(_6shaozhuchou_month_day!W$2:W$906&lt;0)))</f>
        <v>0</v>
      </c>
      <c r="T38" s="145" t="str">
        <f>主抽数据!Z42</f>
        <v/>
      </c>
      <c r="U38" s="145" t="str">
        <f>主抽数据!AA42</f>
        <v/>
      </c>
      <c r="V38" s="148">
        <f>查询与汇总!$S$1*M38</f>
        <v>0</v>
      </c>
      <c r="W38" s="149" t="e">
        <f t="shared" si="19"/>
        <v>#REF!</v>
      </c>
      <c r="X38" s="151"/>
      <c r="Y38" s="164"/>
      <c r="Z38" s="163"/>
      <c r="AA38" s="160" t="str">
        <f>主抽数据!AB42</f>
        <v/>
      </c>
      <c r="AB38" s="161" t="str">
        <f>主抽数据!AC42</f>
        <v/>
      </c>
      <c r="AC38" s="162" t="e">
        <f t="shared" si="20"/>
        <v>#REF!</v>
      </c>
      <c r="AE38" s="123" t="e">
        <f t="shared" si="21"/>
        <v>#VALUE!</v>
      </c>
      <c r="AF38" s="123" t="e">
        <f t="shared" si="22"/>
        <v>#VALUE!</v>
      </c>
      <c r="AG38" s="123">
        <f t="shared" si="9"/>
        <v>0</v>
      </c>
      <c r="AH38" s="123">
        <f t="shared" si="10"/>
        <v>0</v>
      </c>
    </row>
    <row r="39" spans="1:34" ht="20.25" customHeight="1">
      <c r="A39" s="133">
        <f t="shared" si="12"/>
        <v>43356</v>
      </c>
      <c r="B39" s="134">
        <f t="shared" si="13"/>
        <v>0</v>
      </c>
      <c r="C39" s="133">
        <f t="shared" si="0"/>
        <v>43356</v>
      </c>
      <c r="D39" s="134" t="str">
        <f t="shared" si="14"/>
        <v>夜班</v>
      </c>
      <c r="E39" s="131">
        <f t="shared" si="15"/>
        <v>4</v>
      </c>
      <c r="F39" s="131" t="str">
        <f t="shared" si="1"/>
        <v>丁班</v>
      </c>
      <c r="G39" s="132">
        <f>SUMPRODUCT((_6shaozhuchou_month_day!$A$2:$A$906&gt;=C39)*(_6shaozhuchou_month_day!$A$2:$A$906&lt;C40),_6shaozhuchou_month_day!$Y$2:$Y$906)/8</f>
        <v>0</v>
      </c>
      <c r="H39" s="132">
        <f t="shared" si="2"/>
        <v>0</v>
      </c>
      <c r="I39" s="141">
        <f t="shared" si="16"/>
        <v>0</v>
      </c>
      <c r="J39" s="142" t="e">
        <f>SUMPRODUCT((主抽数据!$AU$5:$AU$97=$A39)*(主抽数据!$AV$5:$AV$97=$F39),主抽数据!$AK$5:$AK$97)</f>
        <v>#REF!</v>
      </c>
      <c r="K39" s="142" t="e">
        <f>SUMPRODUCT((主抽数据!$AU$5:$AU$97=$A39)*(主抽数据!$AV$5:$AV$97=$F39),主抽数据!$AL$5:$AL$97)</f>
        <v>#REF!</v>
      </c>
      <c r="L39" s="143" t="e">
        <f t="shared" si="17"/>
        <v>#REF!</v>
      </c>
      <c r="M39" s="143">
        <f>SUMPRODUCT((_6shaozhuchou_month_day!$A$2:$A$906&gt;=C39)*(_6shaozhuchou_month_day!$A$2:$A$906&lt;C40),_6shaozhuchou_month_day!$Z$2:$Z$906)</f>
        <v>0</v>
      </c>
      <c r="N39" s="132">
        <f>M39*查询与汇总!$O$1</f>
        <v>0</v>
      </c>
      <c r="O39" s="144">
        <f t="shared" si="18"/>
        <v>0</v>
      </c>
      <c r="P39" s="145">
        <f>IF(G39=0,0,SUMPRODUCT((_6shaozhuchou_month_day!$A$2:$A$906&gt;=$C39)*(_6shaozhuchou_month_day!$A$2:$A$906&lt;$C40),_6shaozhuchou_month_day!T$2:T$906)/SUMPRODUCT((_6shaozhuchou_month_day!$A$2:$A$906&gt;=$C39)*(_6shaozhuchou_month_day!$A$2:$A$906&lt;$C40)*(_6shaozhuchou_month_day!T$2:T$906&gt;0)))</f>
        <v>0</v>
      </c>
      <c r="Q39" s="145">
        <f>IF(G39=0,0,SUMPRODUCT((_6shaozhuchou_month_day!$A$2:$A$906&gt;=$C39)*(_6shaozhuchou_month_day!$A$2:$A$906&lt;$C40),_6shaozhuchou_month_day!U$2:U$906)/SUMPRODUCT((_6shaozhuchou_month_day!$A$2:$A$906&gt;=$C39)*(_6shaozhuchou_month_day!$A$2:$A$906&lt;$C40)*(_6shaozhuchou_month_day!U$2:U$906&lt;0)))</f>
        <v>0</v>
      </c>
      <c r="R39" s="145">
        <f>IF(G39=0,0,SUMPRODUCT((_6shaozhuchou_month_day!$A$2:$A$906&gt;=$C39)*(_6shaozhuchou_month_day!$A$2:$A$906&lt;$C40),_6shaozhuchou_month_day!V$2:V$906)/SUMPRODUCT((_6shaozhuchou_month_day!$A$2:$A$906&gt;=$C39)*(_6shaozhuchou_month_day!$A$2:$A$906&lt;$C40)*(_6shaozhuchou_month_day!V$2:V$906&gt;0)))</f>
        <v>0</v>
      </c>
      <c r="S39" s="145">
        <f>IF(G39=0,0,SUMPRODUCT((_6shaozhuchou_month_day!$A$2:$A$906&gt;=$C39)*(_6shaozhuchou_month_day!$A$2:$A$906&lt;$C40),_6shaozhuchou_month_day!W$2:W$906)/SUMPRODUCT((_6shaozhuchou_month_day!$A$2:$A$906&gt;=$C39)*(_6shaozhuchou_month_day!$A$2:$A$906&lt;$C40)*(_6shaozhuchou_month_day!W$2:W$906&lt;0)))</f>
        <v>0</v>
      </c>
      <c r="T39" s="145" t="str">
        <f>主抽数据!Z43</f>
        <v/>
      </c>
      <c r="U39" s="145" t="str">
        <f>主抽数据!AA43</f>
        <v/>
      </c>
      <c r="V39" s="148">
        <f>查询与汇总!$S$1*M39</f>
        <v>0</v>
      </c>
      <c r="W39" s="149" t="e">
        <f t="shared" si="19"/>
        <v>#REF!</v>
      </c>
      <c r="X39" s="151"/>
      <c r="Y39" s="164"/>
      <c r="Z39" s="163"/>
      <c r="AA39" s="160" t="str">
        <f>主抽数据!AB43</f>
        <v/>
      </c>
      <c r="AB39" s="161" t="str">
        <f>主抽数据!AC43</f>
        <v/>
      </c>
      <c r="AC39" s="162" t="e">
        <f t="shared" si="20"/>
        <v>#REF!</v>
      </c>
      <c r="AE39" s="123" t="e">
        <f t="shared" si="21"/>
        <v>#VALUE!</v>
      </c>
      <c r="AF39" s="123" t="e">
        <f t="shared" si="22"/>
        <v>#VALUE!</v>
      </c>
      <c r="AG39" s="123">
        <f t="shared" si="9"/>
        <v>0</v>
      </c>
      <c r="AH39" s="123">
        <f t="shared" si="10"/>
        <v>0</v>
      </c>
    </row>
    <row r="40" spans="1:34" ht="20.25" customHeight="1">
      <c r="A40" s="133">
        <f t="shared" si="12"/>
        <v>43356</v>
      </c>
      <c r="B40" s="134">
        <f t="shared" si="13"/>
        <v>0.33333333333333298</v>
      </c>
      <c r="C40" s="133">
        <f t="shared" si="0"/>
        <v>43356.333333333336</v>
      </c>
      <c r="D40" s="134" t="str">
        <f t="shared" si="14"/>
        <v>白班</v>
      </c>
      <c r="E40" s="131">
        <f t="shared" si="15"/>
        <v>1</v>
      </c>
      <c r="F40" s="131" t="str">
        <f t="shared" si="1"/>
        <v>甲班</v>
      </c>
      <c r="G40" s="132">
        <f>SUMPRODUCT((_6shaozhuchou_month_day!$A$2:$A$906&gt;=C40)*(_6shaozhuchou_month_day!$A$2:$A$906&lt;C41),_6shaozhuchou_month_day!$Y$2:$Y$906)/8</f>
        <v>0</v>
      </c>
      <c r="H40" s="132">
        <f t="shared" si="2"/>
        <v>0</v>
      </c>
      <c r="I40" s="141">
        <f t="shared" si="16"/>
        <v>0</v>
      </c>
      <c r="J40" s="142" t="e">
        <f>SUMPRODUCT((主抽数据!$AU$5:$AU$97=$A40)*(主抽数据!$AV$5:$AV$97=$F40),主抽数据!$AK$5:$AK$97)</f>
        <v>#REF!</v>
      </c>
      <c r="K40" s="142" t="e">
        <f>SUMPRODUCT((主抽数据!$AU$5:$AU$97=$A40)*(主抽数据!$AV$5:$AV$97=$F40),主抽数据!$AL$5:$AL$97)</f>
        <v>#REF!</v>
      </c>
      <c r="L40" s="143" t="e">
        <f t="shared" si="17"/>
        <v>#REF!</v>
      </c>
      <c r="M40" s="143">
        <f>SUMPRODUCT((_6shaozhuchou_month_day!$A$2:$A$906&gt;=C40)*(_6shaozhuchou_month_day!$A$2:$A$906&lt;C41),_6shaozhuchou_month_day!$Z$2:$Z$906)</f>
        <v>0</v>
      </c>
      <c r="N40" s="132">
        <f>M40*查询与汇总!$O$1</f>
        <v>0</v>
      </c>
      <c r="O40" s="144">
        <f t="shared" si="18"/>
        <v>0</v>
      </c>
      <c r="P40" s="145">
        <f>IF(G40=0,0,SUMPRODUCT((_6shaozhuchou_month_day!$A$2:$A$906&gt;=$C40)*(_6shaozhuchou_month_day!$A$2:$A$906&lt;$C41),_6shaozhuchou_month_day!T$2:T$906)/SUMPRODUCT((_6shaozhuchou_month_day!$A$2:$A$906&gt;=$C40)*(_6shaozhuchou_month_day!$A$2:$A$906&lt;$C41)*(_6shaozhuchou_month_day!T$2:T$906&gt;0)))</f>
        <v>0</v>
      </c>
      <c r="Q40" s="145">
        <f>IF(G40=0,0,SUMPRODUCT((_6shaozhuchou_month_day!$A$2:$A$906&gt;=$C40)*(_6shaozhuchou_month_day!$A$2:$A$906&lt;$C41),_6shaozhuchou_month_day!U$2:U$906)/SUMPRODUCT((_6shaozhuchou_month_day!$A$2:$A$906&gt;=$C40)*(_6shaozhuchou_month_day!$A$2:$A$906&lt;$C41)*(_6shaozhuchou_month_day!U$2:U$906&lt;0)))</f>
        <v>0</v>
      </c>
      <c r="R40" s="145">
        <f>IF(G40=0,0,SUMPRODUCT((_6shaozhuchou_month_day!$A$2:$A$906&gt;=$C40)*(_6shaozhuchou_month_day!$A$2:$A$906&lt;$C41),_6shaozhuchou_month_day!V$2:V$906)/SUMPRODUCT((_6shaozhuchou_month_day!$A$2:$A$906&gt;=$C40)*(_6shaozhuchou_month_day!$A$2:$A$906&lt;$C41)*(_6shaozhuchou_month_day!V$2:V$906&gt;0)))</f>
        <v>0</v>
      </c>
      <c r="S40" s="145">
        <f>IF(G40=0,0,SUMPRODUCT((_6shaozhuchou_month_day!$A$2:$A$906&gt;=$C40)*(_6shaozhuchou_month_day!$A$2:$A$906&lt;$C41),_6shaozhuchou_month_day!W$2:W$906)/SUMPRODUCT((_6shaozhuchou_month_day!$A$2:$A$906&gt;=$C40)*(_6shaozhuchou_month_day!$A$2:$A$906&lt;$C41)*(_6shaozhuchou_month_day!W$2:W$906&lt;0)))</f>
        <v>0</v>
      </c>
      <c r="T40" s="145" t="str">
        <f>主抽数据!Z44</f>
        <v/>
      </c>
      <c r="U40" s="145" t="str">
        <f>主抽数据!AA44</f>
        <v/>
      </c>
      <c r="V40" s="148">
        <f>查询与汇总!$S$1*M40</f>
        <v>0</v>
      </c>
      <c r="W40" s="149" t="e">
        <f t="shared" si="19"/>
        <v>#REF!</v>
      </c>
      <c r="X40" s="151"/>
      <c r="Y40" s="164"/>
      <c r="Z40" s="163"/>
      <c r="AA40" s="160" t="str">
        <f>主抽数据!AB44</f>
        <v/>
      </c>
      <c r="AB40" s="161" t="str">
        <f>主抽数据!AC44</f>
        <v/>
      </c>
      <c r="AC40" s="162" t="e">
        <f t="shared" si="20"/>
        <v>#REF!</v>
      </c>
      <c r="AE40" s="123" t="e">
        <f t="shared" si="21"/>
        <v>#VALUE!</v>
      </c>
      <c r="AF40" s="123" t="e">
        <f t="shared" si="22"/>
        <v>#VALUE!</v>
      </c>
      <c r="AG40" s="123">
        <f t="shared" si="9"/>
        <v>0</v>
      </c>
      <c r="AH40" s="123">
        <f t="shared" si="10"/>
        <v>0</v>
      </c>
    </row>
    <row r="41" spans="1:34" ht="20.25" customHeight="1">
      <c r="A41" s="133">
        <f t="shared" si="12"/>
        <v>43356</v>
      </c>
      <c r="B41" s="134">
        <f t="shared" si="13"/>
        <v>0.66666666666666696</v>
      </c>
      <c r="C41" s="133">
        <f t="shared" si="0"/>
        <v>43356.666666666664</v>
      </c>
      <c r="D41" s="134" t="str">
        <f t="shared" si="14"/>
        <v>中班</v>
      </c>
      <c r="E41" s="131">
        <f t="shared" si="15"/>
        <v>2</v>
      </c>
      <c r="F41" s="131" t="str">
        <f t="shared" si="1"/>
        <v>乙班</v>
      </c>
      <c r="G41" s="132">
        <f>SUMPRODUCT((_6shaozhuchou_month_day!$A$2:$A$906&gt;=C41)*(_6shaozhuchou_month_day!$A$2:$A$906&lt;C42),_6shaozhuchou_month_day!$Y$2:$Y$906)/8</f>
        <v>0</v>
      </c>
      <c r="H41" s="132">
        <f t="shared" si="2"/>
        <v>0</v>
      </c>
      <c r="I41" s="141">
        <f t="shared" si="16"/>
        <v>0</v>
      </c>
      <c r="J41" s="142" t="e">
        <f>SUMPRODUCT((主抽数据!$AU$5:$AU$97=$A41)*(主抽数据!$AV$5:$AV$97=$F41),主抽数据!$AK$5:$AK$97)</f>
        <v>#REF!</v>
      </c>
      <c r="K41" s="142" t="e">
        <f>SUMPRODUCT((主抽数据!$AU$5:$AU$97=$A41)*(主抽数据!$AV$5:$AV$97=$F41),主抽数据!$AL$5:$AL$97)</f>
        <v>#REF!</v>
      </c>
      <c r="L41" s="143" t="e">
        <f t="shared" si="17"/>
        <v>#REF!</v>
      </c>
      <c r="M41" s="143">
        <f>SUMPRODUCT((_6shaozhuchou_month_day!$A$2:$A$906&gt;=C41)*(_6shaozhuchou_month_day!$A$2:$A$906&lt;C42),_6shaozhuchou_month_day!$Z$2:$Z$906)</f>
        <v>0</v>
      </c>
      <c r="N41" s="132">
        <f>M41*查询与汇总!$O$1</f>
        <v>0</v>
      </c>
      <c r="O41" s="144">
        <f t="shared" si="18"/>
        <v>0</v>
      </c>
      <c r="P41" s="145">
        <f>IF(G41=0,0,SUMPRODUCT((_6shaozhuchou_month_day!$A$2:$A$906&gt;=$C41)*(_6shaozhuchou_month_day!$A$2:$A$906&lt;$C42),_6shaozhuchou_month_day!T$2:T$906)/SUMPRODUCT((_6shaozhuchou_month_day!$A$2:$A$906&gt;=$C41)*(_6shaozhuchou_month_day!$A$2:$A$906&lt;$C42)*(_6shaozhuchou_month_day!T$2:T$906&gt;0)))</f>
        <v>0</v>
      </c>
      <c r="Q41" s="145">
        <f>IF(G41=0,0,SUMPRODUCT((_6shaozhuchou_month_day!$A$2:$A$906&gt;=$C41)*(_6shaozhuchou_month_day!$A$2:$A$906&lt;$C42),_6shaozhuchou_month_day!U$2:U$906)/SUMPRODUCT((_6shaozhuchou_month_day!$A$2:$A$906&gt;=$C41)*(_6shaozhuchou_month_day!$A$2:$A$906&lt;$C42)*(_6shaozhuchou_month_day!U$2:U$906&lt;0)))</f>
        <v>0</v>
      </c>
      <c r="R41" s="145">
        <f>IF(G41=0,0,SUMPRODUCT((_6shaozhuchou_month_day!$A$2:$A$906&gt;=$C41)*(_6shaozhuchou_month_day!$A$2:$A$906&lt;$C42),_6shaozhuchou_month_day!V$2:V$906)/SUMPRODUCT((_6shaozhuchou_month_day!$A$2:$A$906&gt;=$C41)*(_6shaozhuchou_month_day!$A$2:$A$906&lt;$C42)*(_6shaozhuchou_month_day!V$2:V$906&gt;0)))</f>
        <v>0</v>
      </c>
      <c r="S41" s="145">
        <f>IF(G41=0,0,SUMPRODUCT((_6shaozhuchou_month_day!$A$2:$A$906&gt;=$C41)*(_6shaozhuchou_month_day!$A$2:$A$906&lt;$C42),_6shaozhuchou_month_day!W$2:W$906)/SUMPRODUCT((_6shaozhuchou_month_day!$A$2:$A$906&gt;=$C41)*(_6shaozhuchou_month_day!$A$2:$A$906&lt;$C42)*(_6shaozhuchou_month_day!W$2:W$906&lt;0)))</f>
        <v>0</v>
      </c>
      <c r="T41" s="145" t="str">
        <f>主抽数据!Z45</f>
        <v/>
      </c>
      <c r="U41" s="145" t="str">
        <f>主抽数据!AA45</f>
        <v/>
      </c>
      <c r="V41" s="148">
        <f>查询与汇总!$S$1*M41</f>
        <v>0</v>
      </c>
      <c r="W41" s="149" t="e">
        <f t="shared" si="19"/>
        <v>#REF!</v>
      </c>
      <c r="X41" s="151"/>
      <c r="Y41" s="164"/>
      <c r="Z41" s="163"/>
      <c r="AA41" s="160" t="str">
        <f>主抽数据!AB45</f>
        <v/>
      </c>
      <c r="AB41" s="161" t="str">
        <f>主抽数据!AC45</f>
        <v/>
      </c>
      <c r="AC41" s="162" t="e">
        <f t="shared" si="20"/>
        <v>#REF!</v>
      </c>
      <c r="AE41" s="123" t="e">
        <f t="shared" si="21"/>
        <v>#VALUE!</v>
      </c>
      <c r="AF41" s="123" t="e">
        <f t="shared" si="22"/>
        <v>#VALUE!</v>
      </c>
      <c r="AG41" s="123">
        <f t="shared" si="9"/>
        <v>0</v>
      </c>
      <c r="AH41" s="123">
        <f t="shared" si="10"/>
        <v>0</v>
      </c>
    </row>
    <row r="42" spans="1:34" ht="33" customHeight="1">
      <c r="A42" s="133">
        <f t="shared" si="12"/>
        <v>43357</v>
      </c>
      <c r="B42" s="134">
        <f t="shared" si="13"/>
        <v>0</v>
      </c>
      <c r="C42" s="133">
        <f t="shared" si="0"/>
        <v>43357</v>
      </c>
      <c r="D42" s="134" t="str">
        <f t="shared" si="14"/>
        <v>夜班</v>
      </c>
      <c r="E42" s="131">
        <f t="shared" si="15"/>
        <v>3</v>
      </c>
      <c r="F42" s="131" t="str">
        <f t="shared" si="1"/>
        <v>丙班</v>
      </c>
      <c r="G42" s="132">
        <f>SUMPRODUCT((_6shaozhuchou_month_day!$A$2:$A$906&gt;=C42)*(_6shaozhuchou_month_day!$A$2:$A$906&lt;C43),_6shaozhuchou_month_day!$Y$2:$Y$906)/8</f>
        <v>0</v>
      </c>
      <c r="H42" s="132">
        <f t="shared" si="2"/>
        <v>0</v>
      </c>
      <c r="I42" s="141">
        <f t="shared" si="16"/>
        <v>0</v>
      </c>
      <c r="J42" s="142" t="e">
        <f>SUMPRODUCT((主抽数据!$AU$5:$AU$97=$A42)*(主抽数据!$AV$5:$AV$97=$F42),主抽数据!$AK$5:$AK$97)</f>
        <v>#REF!</v>
      </c>
      <c r="K42" s="142" t="e">
        <f>SUMPRODUCT((主抽数据!$AU$5:$AU$97=$A42)*(主抽数据!$AV$5:$AV$97=$F42),主抽数据!$AL$5:$AL$97)</f>
        <v>#REF!</v>
      </c>
      <c r="L42" s="143" t="e">
        <f t="shared" si="17"/>
        <v>#REF!</v>
      </c>
      <c r="M42" s="143">
        <f>SUMPRODUCT((_6shaozhuchou_month_day!$A$2:$A$906&gt;=C42)*(_6shaozhuchou_month_day!$A$2:$A$906&lt;C43),_6shaozhuchou_month_day!$Z$2:$Z$906)</f>
        <v>0</v>
      </c>
      <c r="N42" s="132">
        <f>M42*查询与汇总!$O$1</f>
        <v>0</v>
      </c>
      <c r="O42" s="144">
        <f t="shared" si="18"/>
        <v>0</v>
      </c>
      <c r="P42" s="145">
        <f>IF(G42=0,0,SUMPRODUCT((_6shaozhuchou_month_day!$A$2:$A$906&gt;=$C42)*(_6shaozhuchou_month_day!$A$2:$A$906&lt;$C43),_6shaozhuchou_month_day!T$2:T$906)/SUMPRODUCT((_6shaozhuchou_month_day!$A$2:$A$906&gt;=$C42)*(_6shaozhuchou_month_day!$A$2:$A$906&lt;$C43)*(_6shaozhuchou_month_day!T$2:T$906&gt;0)))</f>
        <v>0</v>
      </c>
      <c r="Q42" s="145">
        <f>IF(G42=0,0,SUMPRODUCT((_6shaozhuchou_month_day!$A$2:$A$906&gt;=$C42)*(_6shaozhuchou_month_day!$A$2:$A$906&lt;$C43),_6shaozhuchou_month_day!U$2:U$906)/SUMPRODUCT((_6shaozhuchou_month_day!$A$2:$A$906&gt;=$C42)*(_6shaozhuchou_month_day!$A$2:$A$906&lt;$C43)*(_6shaozhuchou_month_day!U$2:U$906&lt;0)))</f>
        <v>0</v>
      </c>
      <c r="R42" s="145">
        <f>IF(G42=0,0,SUMPRODUCT((_6shaozhuchou_month_day!$A$2:$A$906&gt;=$C42)*(_6shaozhuchou_month_day!$A$2:$A$906&lt;$C43),_6shaozhuchou_month_day!V$2:V$906)/SUMPRODUCT((_6shaozhuchou_month_day!$A$2:$A$906&gt;=$C42)*(_6shaozhuchou_month_day!$A$2:$A$906&lt;$C43)*(_6shaozhuchou_month_day!V$2:V$906&gt;0)))</f>
        <v>0</v>
      </c>
      <c r="S42" s="145">
        <f>IF(G42=0,0,SUMPRODUCT((_6shaozhuchou_month_day!$A$2:$A$906&gt;=$C42)*(_6shaozhuchou_month_day!$A$2:$A$906&lt;$C43),_6shaozhuchou_month_day!W$2:W$906)/SUMPRODUCT((_6shaozhuchou_month_day!$A$2:$A$906&gt;=$C42)*(_6shaozhuchou_month_day!$A$2:$A$906&lt;$C43)*(_6shaozhuchou_month_day!W$2:W$906&lt;0)))</f>
        <v>0</v>
      </c>
      <c r="T42" s="145" t="str">
        <f>主抽数据!Z46</f>
        <v/>
      </c>
      <c r="U42" s="145" t="str">
        <f>主抽数据!AA46</f>
        <v/>
      </c>
      <c r="V42" s="148">
        <f>查询与汇总!$S$1*M42</f>
        <v>0</v>
      </c>
      <c r="W42" s="149" t="e">
        <f t="shared" si="19"/>
        <v>#REF!</v>
      </c>
      <c r="X42" s="151"/>
      <c r="Y42" s="164"/>
      <c r="AA42" s="160" t="str">
        <f>主抽数据!AB46</f>
        <v/>
      </c>
      <c r="AB42" s="161" t="str">
        <f>主抽数据!AC46</f>
        <v/>
      </c>
      <c r="AC42" s="162" t="e">
        <f t="shared" si="20"/>
        <v>#REF!</v>
      </c>
      <c r="AE42" s="123" t="e">
        <f t="shared" si="21"/>
        <v>#VALUE!</v>
      </c>
      <c r="AF42" s="123" t="e">
        <f t="shared" si="22"/>
        <v>#VALUE!</v>
      </c>
      <c r="AG42" s="123">
        <f t="shared" si="9"/>
        <v>0</v>
      </c>
      <c r="AH42" s="123">
        <f t="shared" si="10"/>
        <v>0</v>
      </c>
    </row>
    <row r="43" spans="1:34" ht="24.95" customHeight="1">
      <c r="A43" s="133">
        <f t="shared" si="12"/>
        <v>43357</v>
      </c>
      <c r="B43" s="134">
        <f t="shared" si="13"/>
        <v>0.33333333333333298</v>
      </c>
      <c r="C43" s="133">
        <f t="shared" si="0"/>
        <v>43357.333333333336</v>
      </c>
      <c r="D43" s="134" t="str">
        <f t="shared" si="14"/>
        <v>白班</v>
      </c>
      <c r="E43" s="131">
        <f t="shared" si="15"/>
        <v>4</v>
      </c>
      <c r="F43" s="131" t="str">
        <f t="shared" si="1"/>
        <v>丁班</v>
      </c>
      <c r="G43" s="132">
        <f>SUMPRODUCT((_6shaozhuchou_month_day!$A$2:$A$906&gt;=C43)*(_6shaozhuchou_month_day!$A$2:$A$906&lt;C44),_6shaozhuchou_month_day!$Y$2:$Y$906)/8</f>
        <v>0</v>
      </c>
      <c r="H43" s="132">
        <f t="shared" si="2"/>
        <v>0</v>
      </c>
      <c r="I43" s="141">
        <f t="shared" si="16"/>
        <v>0</v>
      </c>
      <c r="J43" s="142" t="e">
        <f>SUMPRODUCT((主抽数据!$AU$5:$AU$97=$A43)*(主抽数据!$AV$5:$AV$97=$F43),主抽数据!$AK$5:$AK$97)</f>
        <v>#REF!</v>
      </c>
      <c r="K43" s="142" t="e">
        <f>SUMPRODUCT((主抽数据!$AU$5:$AU$97=$A43)*(主抽数据!$AV$5:$AV$97=$F43),主抽数据!$AL$5:$AL$97)</f>
        <v>#REF!</v>
      </c>
      <c r="L43" s="143" t="e">
        <f t="shared" si="17"/>
        <v>#REF!</v>
      </c>
      <c r="M43" s="143">
        <f>SUMPRODUCT((_6shaozhuchou_month_day!$A$2:$A$906&gt;=C43)*(_6shaozhuchou_month_day!$A$2:$A$906&lt;C44),_6shaozhuchou_month_day!$Z$2:$Z$906)</f>
        <v>0</v>
      </c>
      <c r="N43" s="132">
        <f>M43*查询与汇总!$O$1</f>
        <v>0</v>
      </c>
      <c r="O43" s="144">
        <f t="shared" si="18"/>
        <v>0</v>
      </c>
      <c r="P43" s="145">
        <f>IF(G43=0,0,SUMPRODUCT((_6shaozhuchou_month_day!$A$2:$A$906&gt;=$C43)*(_6shaozhuchou_month_day!$A$2:$A$906&lt;$C44),_6shaozhuchou_month_day!T$2:T$906)/SUMPRODUCT((_6shaozhuchou_month_day!$A$2:$A$906&gt;=$C43)*(_6shaozhuchou_month_day!$A$2:$A$906&lt;$C44)*(_6shaozhuchou_month_day!T$2:T$906&gt;0)))</f>
        <v>0</v>
      </c>
      <c r="Q43" s="145">
        <f>IF(G43=0,0,SUMPRODUCT((_6shaozhuchou_month_day!$A$2:$A$906&gt;=$C43)*(_6shaozhuchou_month_day!$A$2:$A$906&lt;$C44),_6shaozhuchou_month_day!U$2:U$906)/SUMPRODUCT((_6shaozhuchou_month_day!$A$2:$A$906&gt;=$C43)*(_6shaozhuchou_month_day!$A$2:$A$906&lt;$C44)*(_6shaozhuchou_month_day!U$2:U$906&lt;0)))</f>
        <v>0</v>
      </c>
      <c r="R43" s="145">
        <f>IF(G43=0,0,SUMPRODUCT((_6shaozhuchou_month_day!$A$2:$A$906&gt;=$C43)*(_6shaozhuchou_month_day!$A$2:$A$906&lt;$C44),_6shaozhuchou_month_day!V$2:V$906)/SUMPRODUCT((_6shaozhuchou_month_day!$A$2:$A$906&gt;=$C43)*(_6shaozhuchou_month_day!$A$2:$A$906&lt;$C44)*(_6shaozhuchou_month_day!V$2:V$906&gt;0)))</f>
        <v>0</v>
      </c>
      <c r="S43" s="145">
        <f>IF(G43=0,0,SUMPRODUCT((_6shaozhuchou_month_day!$A$2:$A$906&gt;=$C43)*(_6shaozhuchou_month_day!$A$2:$A$906&lt;$C44),_6shaozhuchou_month_day!W$2:W$906)/SUMPRODUCT((_6shaozhuchou_month_day!$A$2:$A$906&gt;=$C43)*(_6shaozhuchou_month_day!$A$2:$A$906&lt;$C44)*(_6shaozhuchou_month_day!W$2:W$906&lt;0)))</f>
        <v>0</v>
      </c>
      <c r="T43" s="145" t="str">
        <f>主抽数据!Z47</f>
        <v/>
      </c>
      <c r="U43" s="145" t="str">
        <f>主抽数据!AA47</f>
        <v/>
      </c>
      <c r="V43" s="148">
        <f>查询与汇总!$S$1*M43</f>
        <v>0</v>
      </c>
      <c r="W43" s="149" t="e">
        <f t="shared" si="19"/>
        <v>#REF!</v>
      </c>
      <c r="X43" s="151"/>
      <c r="Y43" s="164"/>
      <c r="Z43" s="165"/>
      <c r="AA43" s="160" t="str">
        <f>主抽数据!AB47</f>
        <v/>
      </c>
      <c r="AB43" s="161" t="str">
        <f>主抽数据!AC47</f>
        <v/>
      </c>
      <c r="AC43" s="162" t="e">
        <f t="shared" si="20"/>
        <v>#REF!</v>
      </c>
      <c r="AE43" s="123" t="e">
        <f t="shared" si="21"/>
        <v>#VALUE!</v>
      </c>
      <c r="AF43" s="123" t="e">
        <f t="shared" si="22"/>
        <v>#VALUE!</v>
      </c>
      <c r="AG43" s="123">
        <f t="shared" si="9"/>
        <v>0</v>
      </c>
      <c r="AH43" s="123">
        <f t="shared" si="10"/>
        <v>0</v>
      </c>
    </row>
    <row r="44" spans="1:34" ht="29.1" customHeight="1">
      <c r="A44" s="133">
        <f t="shared" si="12"/>
        <v>43357</v>
      </c>
      <c r="B44" s="134">
        <f t="shared" si="13"/>
        <v>0.66666666666666696</v>
      </c>
      <c r="C44" s="133">
        <f t="shared" si="0"/>
        <v>43357.666666666664</v>
      </c>
      <c r="D44" s="134" t="str">
        <f t="shared" si="14"/>
        <v>中班</v>
      </c>
      <c r="E44" s="131">
        <f t="shared" si="15"/>
        <v>1</v>
      </c>
      <c r="F44" s="131" t="str">
        <f t="shared" si="1"/>
        <v>甲班</v>
      </c>
      <c r="G44" s="132">
        <f>SUMPRODUCT((_6shaozhuchou_month_day!$A$2:$A$906&gt;=C44)*(_6shaozhuchou_month_day!$A$2:$A$906&lt;C45),_6shaozhuchou_month_day!$Y$2:$Y$906)/8</f>
        <v>0</v>
      </c>
      <c r="H44" s="132">
        <f t="shared" si="2"/>
        <v>0</v>
      </c>
      <c r="I44" s="141">
        <f t="shared" si="16"/>
        <v>0</v>
      </c>
      <c r="J44" s="142" t="e">
        <f>SUMPRODUCT((主抽数据!$AU$5:$AU$97=$A44)*(主抽数据!$AV$5:$AV$97=$F44),主抽数据!$AK$5:$AK$97)</f>
        <v>#REF!</v>
      </c>
      <c r="K44" s="142" t="e">
        <f>SUMPRODUCT((主抽数据!$AU$5:$AU$97=$A44)*(主抽数据!$AV$5:$AV$97=$F44),主抽数据!$AL$5:$AL$97)</f>
        <v>#REF!</v>
      </c>
      <c r="L44" s="143" t="e">
        <f t="shared" si="17"/>
        <v>#REF!</v>
      </c>
      <c r="M44" s="143">
        <f>SUMPRODUCT((_6shaozhuchou_month_day!$A$2:$A$906&gt;=C44)*(_6shaozhuchou_month_day!$A$2:$A$906&lt;C45),_6shaozhuchou_month_day!$Z$2:$Z$906)</f>
        <v>0</v>
      </c>
      <c r="N44" s="132">
        <f>M44*查询与汇总!$O$1</f>
        <v>0</v>
      </c>
      <c r="O44" s="144">
        <f t="shared" si="18"/>
        <v>0</v>
      </c>
      <c r="P44" s="145">
        <f>IF(G44=0,0,SUMPRODUCT((_6shaozhuchou_month_day!$A$2:$A$906&gt;=$C44)*(_6shaozhuchou_month_day!$A$2:$A$906&lt;$C45),_6shaozhuchou_month_day!T$2:T$906)/SUMPRODUCT((_6shaozhuchou_month_day!$A$2:$A$906&gt;=$C44)*(_6shaozhuchou_month_day!$A$2:$A$906&lt;$C45)*(_6shaozhuchou_month_day!T$2:T$906&gt;0)))</f>
        <v>0</v>
      </c>
      <c r="Q44" s="145">
        <f>IF(G44=0,0,SUMPRODUCT((_6shaozhuchou_month_day!$A$2:$A$906&gt;=$C44)*(_6shaozhuchou_month_day!$A$2:$A$906&lt;$C45),_6shaozhuchou_month_day!U$2:U$906)/SUMPRODUCT((_6shaozhuchou_month_day!$A$2:$A$906&gt;=$C44)*(_6shaozhuchou_month_day!$A$2:$A$906&lt;$C45)*(_6shaozhuchou_month_day!U$2:U$906&lt;0)))</f>
        <v>0</v>
      </c>
      <c r="R44" s="145">
        <f>IF(G44=0,0,SUMPRODUCT((_6shaozhuchou_month_day!$A$2:$A$906&gt;=$C44)*(_6shaozhuchou_month_day!$A$2:$A$906&lt;$C45),_6shaozhuchou_month_day!V$2:V$906)/SUMPRODUCT((_6shaozhuchou_month_day!$A$2:$A$906&gt;=$C44)*(_6shaozhuchou_month_day!$A$2:$A$906&lt;$C45)*(_6shaozhuchou_month_day!V$2:V$906&gt;0)))</f>
        <v>0</v>
      </c>
      <c r="S44" s="145">
        <f>IF(G44=0,0,SUMPRODUCT((_6shaozhuchou_month_day!$A$2:$A$906&gt;=$C44)*(_6shaozhuchou_month_day!$A$2:$A$906&lt;$C45),_6shaozhuchou_month_day!W$2:W$906)/SUMPRODUCT((_6shaozhuchou_month_day!$A$2:$A$906&gt;=$C44)*(_6shaozhuchou_month_day!$A$2:$A$906&lt;$C45)*(_6shaozhuchou_month_day!W$2:W$906&lt;0)))</f>
        <v>0</v>
      </c>
      <c r="T44" s="145" t="str">
        <f>主抽数据!Z48</f>
        <v/>
      </c>
      <c r="U44" s="145" t="str">
        <f>主抽数据!AA48</f>
        <v/>
      </c>
      <c r="V44" s="148">
        <f>查询与汇总!$S$1*M44</f>
        <v>0</v>
      </c>
      <c r="W44" s="149" t="e">
        <f t="shared" si="19"/>
        <v>#REF!</v>
      </c>
      <c r="X44" s="151"/>
      <c r="Y44" s="164"/>
      <c r="Z44" s="165"/>
      <c r="AA44" s="160" t="str">
        <f>主抽数据!AB48</f>
        <v/>
      </c>
      <c r="AB44" s="161" t="str">
        <f>主抽数据!AC48</f>
        <v/>
      </c>
      <c r="AC44" s="162" t="e">
        <f t="shared" si="20"/>
        <v>#REF!</v>
      </c>
      <c r="AE44" s="123" t="e">
        <f t="shared" si="21"/>
        <v>#VALUE!</v>
      </c>
      <c r="AF44" s="123" t="e">
        <f t="shared" si="22"/>
        <v>#VALUE!</v>
      </c>
      <c r="AG44" s="123">
        <f t="shared" si="9"/>
        <v>0</v>
      </c>
      <c r="AH44" s="123">
        <f t="shared" si="10"/>
        <v>0</v>
      </c>
    </row>
    <row r="45" spans="1:34" ht="30" customHeight="1">
      <c r="A45" s="133">
        <f t="shared" si="12"/>
        <v>43358</v>
      </c>
      <c r="B45" s="134">
        <f t="shared" si="13"/>
        <v>0</v>
      </c>
      <c r="C45" s="133">
        <f t="shared" si="0"/>
        <v>43358</v>
      </c>
      <c r="D45" s="134" t="str">
        <f t="shared" si="14"/>
        <v>夜班</v>
      </c>
      <c r="E45" s="131">
        <f t="shared" si="15"/>
        <v>3</v>
      </c>
      <c r="F45" s="131" t="str">
        <f t="shared" si="1"/>
        <v>丙班</v>
      </c>
      <c r="G45" s="132">
        <f>SUMPRODUCT((_6shaozhuchou_month_day!$A$2:$A$906&gt;=C45)*(_6shaozhuchou_month_day!$A$2:$A$906&lt;C46),_6shaozhuchou_month_day!$Y$2:$Y$906)/8</f>
        <v>0</v>
      </c>
      <c r="H45" s="132">
        <f t="shared" si="2"/>
        <v>0</v>
      </c>
      <c r="I45" s="141">
        <f t="shared" si="16"/>
        <v>0</v>
      </c>
      <c r="J45" s="142" t="e">
        <f>SUMPRODUCT((主抽数据!$AU$5:$AU$97=$A45)*(主抽数据!$AV$5:$AV$97=$F45),主抽数据!$AK$5:$AK$97)</f>
        <v>#REF!</v>
      </c>
      <c r="K45" s="142" t="e">
        <f>SUMPRODUCT((主抽数据!$AU$5:$AU$97=$A45)*(主抽数据!$AV$5:$AV$97=$F45),主抽数据!$AL$5:$AL$97)</f>
        <v>#REF!</v>
      </c>
      <c r="L45" s="143" t="e">
        <f t="shared" si="17"/>
        <v>#REF!</v>
      </c>
      <c r="M45" s="143">
        <f>SUMPRODUCT((_6shaozhuchou_month_day!$A$2:$A$906&gt;=C45)*(_6shaozhuchou_month_day!$A$2:$A$906&lt;C46),_6shaozhuchou_month_day!$Z$2:$Z$906)</f>
        <v>0</v>
      </c>
      <c r="N45" s="132">
        <f>M45*查询与汇总!$O$1</f>
        <v>0</v>
      </c>
      <c r="O45" s="144">
        <f t="shared" si="18"/>
        <v>0</v>
      </c>
      <c r="P45" s="145">
        <f>IF(G45=0,0,SUMPRODUCT((_6shaozhuchou_month_day!$A$2:$A$906&gt;=$C45)*(_6shaozhuchou_month_day!$A$2:$A$906&lt;$C46),_6shaozhuchou_month_day!T$2:T$906)/SUMPRODUCT((_6shaozhuchou_month_day!$A$2:$A$906&gt;=$C45)*(_6shaozhuchou_month_day!$A$2:$A$906&lt;$C46)*(_6shaozhuchou_month_day!T$2:T$906&gt;0)))</f>
        <v>0</v>
      </c>
      <c r="Q45" s="145">
        <f>IF(G45=0,0,SUMPRODUCT((_6shaozhuchou_month_day!$A$2:$A$906&gt;=$C45)*(_6shaozhuchou_month_day!$A$2:$A$906&lt;$C46),_6shaozhuchou_month_day!U$2:U$906)/SUMPRODUCT((_6shaozhuchou_month_day!$A$2:$A$906&gt;=$C45)*(_6shaozhuchou_month_day!$A$2:$A$906&lt;$C46)*(_6shaozhuchou_month_day!U$2:U$906&lt;0)))</f>
        <v>0</v>
      </c>
      <c r="R45" s="145">
        <f>IF(G45=0,0,SUMPRODUCT((_6shaozhuchou_month_day!$A$2:$A$906&gt;=$C45)*(_6shaozhuchou_month_day!$A$2:$A$906&lt;$C46),_6shaozhuchou_month_day!V$2:V$906)/SUMPRODUCT((_6shaozhuchou_month_day!$A$2:$A$906&gt;=$C45)*(_6shaozhuchou_month_day!$A$2:$A$906&lt;$C46)*(_6shaozhuchou_month_day!V$2:V$906&gt;0)))</f>
        <v>0</v>
      </c>
      <c r="S45" s="145">
        <f>IF(G45=0,0,SUMPRODUCT((_6shaozhuchou_month_day!$A$2:$A$906&gt;=$C45)*(_6shaozhuchou_month_day!$A$2:$A$906&lt;$C46),_6shaozhuchou_month_day!W$2:W$906)/SUMPRODUCT((_6shaozhuchou_month_day!$A$2:$A$906&gt;=$C45)*(_6shaozhuchou_month_day!$A$2:$A$906&lt;$C46)*(_6shaozhuchou_month_day!W$2:W$906&lt;0)))</f>
        <v>0</v>
      </c>
      <c r="T45" s="145" t="str">
        <f>主抽数据!Z49</f>
        <v/>
      </c>
      <c r="U45" s="145" t="str">
        <f>主抽数据!AA49</f>
        <v/>
      </c>
      <c r="V45" s="148">
        <f>查询与汇总!$S$1*M45</f>
        <v>0</v>
      </c>
      <c r="W45" s="149" t="e">
        <f t="shared" si="19"/>
        <v>#REF!</v>
      </c>
      <c r="X45" s="151"/>
      <c r="Y45" s="164"/>
      <c r="Z45" s="165"/>
      <c r="AA45" s="160" t="str">
        <f>主抽数据!AB49</f>
        <v/>
      </c>
      <c r="AB45" s="161" t="str">
        <f>主抽数据!AC49</f>
        <v/>
      </c>
      <c r="AC45" s="162" t="e">
        <f t="shared" si="20"/>
        <v>#REF!</v>
      </c>
      <c r="AE45" s="123" t="e">
        <f t="shared" si="21"/>
        <v>#VALUE!</v>
      </c>
      <c r="AF45" s="123" t="e">
        <f t="shared" si="22"/>
        <v>#VALUE!</v>
      </c>
      <c r="AG45" s="123">
        <f t="shared" si="9"/>
        <v>0</v>
      </c>
      <c r="AH45" s="123">
        <f t="shared" si="10"/>
        <v>0</v>
      </c>
    </row>
    <row r="46" spans="1:34" ht="26.1" customHeight="1">
      <c r="A46" s="133">
        <f t="shared" si="12"/>
        <v>43358</v>
      </c>
      <c r="B46" s="134">
        <f t="shared" si="13"/>
        <v>0.33333333333333298</v>
      </c>
      <c r="C46" s="133">
        <f t="shared" si="0"/>
        <v>43358.333333333336</v>
      </c>
      <c r="D46" s="134" t="str">
        <f t="shared" si="14"/>
        <v>白班</v>
      </c>
      <c r="E46" s="131">
        <f t="shared" si="15"/>
        <v>4</v>
      </c>
      <c r="F46" s="131" t="str">
        <f t="shared" si="1"/>
        <v>丁班</v>
      </c>
      <c r="G46" s="132">
        <f>SUMPRODUCT((_6shaozhuchou_month_day!$A$2:$A$906&gt;=C46)*(_6shaozhuchou_month_day!$A$2:$A$906&lt;C47),_6shaozhuchou_month_day!$Y$2:$Y$906)/8</f>
        <v>0</v>
      </c>
      <c r="H46" s="132">
        <f t="shared" si="2"/>
        <v>0</v>
      </c>
      <c r="I46" s="141">
        <f t="shared" si="16"/>
        <v>0</v>
      </c>
      <c r="J46" s="142" t="e">
        <f>SUMPRODUCT((主抽数据!$AU$5:$AU$97=$A46)*(主抽数据!$AV$5:$AV$97=$F46),主抽数据!$AK$5:$AK$97)</f>
        <v>#REF!</v>
      </c>
      <c r="K46" s="142" t="e">
        <f>SUMPRODUCT((主抽数据!$AU$5:$AU$97=$A46)*(主抽数据!$AV$5:$AV$97=$F46),主抽数据!$AL$5:$AL$97)</f>
        <v>#REF!</v>
      </c>
      <c r="L46" s="143" t="e">
        <f t="shared" si="17"/>
        <v>#REF!</v>
      </c>
      <c r="M46" s="143">
        <f>SUMPRODUCT((_6shaozhuchou_month_day!$A$2:$A$906&gt;=C46)*(_6shaozhuchou_month_day!$A$2:$A$906&lt;C47),_6shaozhuchou_month_day!$Z$2:$Z$906)</f>
        <v>0</v>
      </c>
      <c r="N46" s="132">
        <f>M46*查询与汇总!$O$1</f>
        <v>0</v>
      </c>
      <c r="O46" s="144">
        <f t="shared" si="18"/>
        <v>0</v>
      </c>
      <c r="P46" s="145">
        <f>IF(G46=0,0,SUMPRODUCT((_6shaozhuchou_month_day!$A$2:$A$906&gt;=$C46)*(_6shaozhuchou_month_day!$A$2:$A$906&lt;$C47),_6shaozhuchou_month_day!T$2:T$906)/SUMPRODUCT((_6shaozhuchou_month_day!$A$2:$A$906&gt;=$C46)*(_6shaozhuchou_month_day!$A$2:$A$906&lt;$C47)*(_6shaozhuchou_month_day!T$2:T$906&gt;0)))</f>
        <v>0</v>
      </c>
      <c r="Q46" s="145">
        <f>IF(G46=0,0,SUMPRODUCT((_6shaozhuchou_month_day!$A$2:$A$906&gt;=$C46)*(_6shaozhuchou_month_day!$A$2:$A$906&lt;$C47),_6shaozhuchou_month_day!U$2:U$906)/SUMPRODUCT((_6shaozhuchou_month_day!$A$2:$A$906&gt;=$C46)*(_6shaozhuchou_month_day!$A$2:$A$906&lt;$C47)*(_6shaozhuchou_month_day!U$2:U$906&lt;0)))</f>
        <v>0</v>
      </c>
      <c r="R46" s="145">
        <f>IF(G46=0,0,SUMPRODUCT((_6shaozhuchou_month_day!$A$2:$A$906&gt;=$C46)*(_6shaozhuchou_month_day!$A$2:$A$906&lt;$C47),_6shaozhuchou_month_day!V$2:V$906)/SUMPRODUCT((_6shaozhuchou_month_day!$A$2:$A$906&gt;=$C46)*(_6shaozhuchou_month_day!$A$2:$A$906&lt;$C47)*(_6shaozhuchou_month_day!V$2:V$906&gt;0)))</f>
        <v>0</v>
      </c>
      <c r="S46" s="145">
        <f>IF(G46=0,0,SUMPRODUCT((_6shaozhuchou_month_day!$A$2:$A$906&gt;=$C46)*(_6shaozhuchou_month_day!$A$2:$A$906&lt;$C47),_6shaozhuchou_month_day!W$2:W$906)/SUMPRODUCT((_6shaozhuchou_month_day!$A$2:$A$906&gt;=$C46)*(_6shaozhuchou_month_day!$A$2:$A$906&lt;$C47)*(_6shaozhuchou_month_day!W$2:W$906&lt;0)))</f>
        <v>0</v>
      </c>
      <c r="T46" s="145" t="str">
        <f>主抽数据!Z50</f>
        <v/>
      </c>
      <c r="U46" s="145" t="str">
        <f>主抽数据!AA50</f>
        <v/>
      </c>
      <c r="V46" s="148">
        <f>查询与汇总!$S$1*M46</f>
        <v>0</v>
      </c>
      <c r="W46" s="149" t="e">
        <f t="shared" si="19"/>
        <v>#REF!</v>
      </c>
      <c r="X46" s="151"/>
      <c r="Y46" s="164"/>
      <c r="Z46" s="165"/>
      <c r="AA46" s="160" t="str">
        <f>主抽数据!AB50</f>
        <v/>
      </c>
      <c r="AB46" s="161" t="str">
        <f>主抽数据!AC50</f>
        <v/>
      </c>
      <c r="AC46" s="162" t="e">
        <f t="shared" si="20"/>
        <v>#REF!</v>
      </c>
      <c r="AE46" s="123" t="e">
        <f t="shared" si="21"/>
        <v>#VALUE!</v>
      </c>
      <c r="AF46" s="123" t="e">
        <f t="shared" si="22"/>
        <v>#VALUE!</v>
      </c>
      <c r="AG46" s="123">
        <f t="shared" si="9"/>
        <v>0</v>
      </c>
      <c r="AH46" s="123">
        <f t="shared" si="10"/>
        <v>0</v>
      </c>
    </row>
    <row r="47" spans="1:34" ht="35.1" customHeight="1">
      <c r="A47" s="133">
        <f t="shared" si="12"/>
        <v>43358</v>
      </c>
      <c r="B47" s="134">
        <f t="shared" si="13"/>
        <v>0.66666666666666696</v>
      </c>
      <c r="C47" s="133">
        <f t="shared" si="0"/>
        <v>43358.666666666664</v>
      </c>
      <c r="D47" s="134" t="str">
        <f t="shared" si="14"/>
        <v>中班</v>
      </c>
      <c r="E47" s="131">
        <f t="shared" si="15"/>
        <v>1</v>
      </c>
      <c r="F47" s="131" t="str">
        <f t="shared" si="1"/>
        <v>甲班</v>
      </c>
      <c r="G47" s="132">
        <f>SUMPRODUCT((_6shaozhuchou_month_day!$A$2:$A$906&gt;=C47)*(_6shaozhuchou_month_day!$A$2:$A$906&lt;C48),_6shaozhuchou_month_day!$Y$2:$Y$906)/8</f>
        <v>0</v>
      </c>
      <c r="H47" s="132">
        <f t="shared" si="2"/>
        <v>0</v>
      </c>
      <c r="I47" s="141">
        <f t="shared" si="16"/>
        <v>0</v>
      </c>
      <c r="J47" s="142" t="e">
        <f>SUMPRODUCT((主抽数据!$AU$5:$AU$97=$A47)*(主抽数据!$AV$5:$AV$97=$F47),主抽数据!$AK$5:$AK$97)</f>
        <v>#REF!</v>
      </c>
      <c r="K47" s="142" t="e">
        <f>SUMPRODUCT((主抽数据!$AU$5:$AU$97=$A47)*(主抽数据!$AV$5:$AV$97=$F47),主抽数据!$AL$5:$AL$97)</f>
        <v>#REF!</v>
      </c>
      <c r="L47" s="143" t="e">
        <f t="shared" si="17"/>
        <v>#REF!</v>
      </c>
      <c r="M47" s="143">
        <f>SUMPRODUCT((_6shaozhuchou_month_day!$A$2:$A$906&gt;=C47)*(_6shaozhuchou_month_day!$A$2:$A$906&lt;C48),_6shaozhuchou_month_day!$Z$2:$Z$906)</f>
        <v>0</v>
      </c>
      <c r="N47" s="132">
        <f>M47*查询与汇总!$O$1</f>
        <v>0</v>
      </c>
      <c r="O47" s="144">
        <f t="shared" si="18"/>
        <v>0</v>
      </c>
      <c r="P47" s="145">
        <f>IF(G47=0,0,SUMPRODUCT((_6shaozhuchou_month_day!$A$2:$A$906&gt;=$C47)*(_6shaozhuchou_month_day!$A$2:$A$906&lt;$C48),_6shaozhuchou_month_day!T$2:T$906)/SUMPRODUCT((_6shaozhuchou_month_day!$A$2:$A$906&gt;=$C47)*(_6shaozhuchou_month_day!$A$2:$A$906&lt;$C48)*(_6shaozhuchou_month_day!T$2:T$906&gt;0)))</f>
        <v>0</v>
      </c>
      <c r="Q47" s="145">
        <f>IF(G47=0,0,SUMPRODUCT((_6shaozhuchou_month_day!$A$2:$A$906&gt;=$C47)*(_6shaozhuchou_month_day!$A$2:$A$906&lt;$C48),_6shaozhuchou_month_day!U$2:U$906)/SUMPRODUCT((_6shaozhuchou_month_day!$A$2:$A$906&gt;=$C47)*(_6shaozhuchou_month_day!$A$2:$A$906&lt;$C48)*(_6shaozhuchou_month_day!U$2:U$906&lt;0)))</f>
        <v>0</v>
      </c>
      <c r="R47" s="145">
        <f>IF(G47=0,0,SUMPRODUCT((_6shaozhuchou_month_day!$A$2:$A$906&gt;=$C47)*(_6shaozhuchou_month_day!$A$2:$A$906&lt;$C48),_6shaozhuchou_month_day!V$2:V$906)/SUMPRODUCT((_6shaozhuchou_month_day!$A$2:$A$906&gt;=$C47)*(_6shaozhuchou_month_day!$A$2:$A$906&lt;$C48)*(_6shaozhuchou_month_day!V$2:V$906&gt;0)))</f>
        <v>0</v>
      </c>
      <c r="S47" s="145">
        <f>IF(G47=0,0,SUMPRODUCT((_6shaozhuchou_month_day!$A$2:$A$906&gt;=$C47)*(_6shaozhuchou_month_day!$A$2:$A$906&lt;$C48),_6shaozhuchou_month_day!W$2:W$906)/SUMPRODUCT((_6shaozhuchou_month_day!$A$2:$A$906&gt;=$C47)*(_6shaozhuchou_month_day!$A$2:$A$906&lt;$C48)*(_6shaozhuchou_month_day!W$2:W$906&lt;0)))</f>
        <v>0</v>
      </c>
      <c r="T47" s="145" t="str">
        <f>主抽数据!Z51</f>
        <v/>
      </c>
      <c r="U47" s="145" t="str">
        <f>主抽数据!AA51</f>
        <v/>
      </c>
      <c r="V47" s="148">
        <f>查询与汇总!$S$1*M47</f>
        <v>0</v>
      </c>
      <c r="W47" s="149" t="e">
        <f t="shared" si="19"/>
        <v>#REF!</v>
      </c>
      <c r="X47" s="151"/>
      <c r="Y47" s="164"/>
      <c r="Z47" s="165"/>
      <c r="AA47" s="160" t="str">
        <f>主抽数据!AB51</f>
        <v/>
      </c>
      <c r="AB47" s="161" t="str">
        <f>主抽数据!AC51</f>
        <v/>
      </c>
      <c r="AC47" s="162" t="e">
        <f t="shared" si="20"/>
        <v>#REF!</v>
      </c>
      <c r="AE47" s="123" t="e">
        <f t="shared" si="21"/>
        <v>#VALUE!</v>
      </c>
      <c r="AF47" s="123" t="e">
        <f t="shared" si="22"/>
        <v>#VALUE!</v>
      </c>
      <c r="AG47" s="123">
        <f t="shared" si="9"/>
        <v>0</v>
      </c>
      <c r="AH47" s="123">
        <f t="shared" si="10"/>
        <v>0</v>
      </c>
    </row>
    <row r="48" spans="1:34" ht="33" customHeight="1">
      <c r="A48" s="133">
        <f t="shared" si="12"/>
        <v>43359</v>
      </c>
      <c r="B48" s="134">
        <f t="shared" si="13"/>
        <v>0</v>
      </c>
      <c r="C48" s="133">
        <f t="shared" si="0"/>
        <v>43359</v>
      </c>
      <c r="D48" s="134" t="str">
        <f t="shared" si="14"/>
        <v>夜班</v>
      </c>
      <c r="E48" s="131">
        <f t="shared" si="15"/>
        <v>2</v>
      </c>
      <c r="F48" s="131" t="str">
        <f t="shared" si="1"/>
        <v>乙班</v>
      </c>
      <c r="G48" s="132">
        <f>SUMPRODUCT((_6shaozhuchou_month_day!$A$2:$A$906&gt;=C48)*(_6shaozhuchou_month_day!$A$2:$A$906&lt;C49),_6shaozhuchou_month_day!$Y$2:$Y$906)/8</f>
        <v>0</v>
      </c>
      <c r="H48" s="132">
        <f t="shared" si="2"/>
        <v>0</v>
      </c>
      <c r="I48" s="141">
        <f t="shared" si="16"/>
        <v>0</v>
      </c>
      <c r="J48" s="142" t="e">
        <f>SUMPRODUCT((主抽数据!$AU$5:$AU$97=$A48)*(主抽数据!$AV$5:$AV$97=$F48),主抽数据!$AK$5:$AK$97)</f>
        <v>#REF!</v>
      </c>
      <c r="K48" s="142" t="e">
        <f>SUMPRODUCT((主抽数据!$AU$5:$AU$97=$A48)*(主抽数据!$AV$5:$AV$97=$F48),主抽数据!$AL$5:$AL$97)</f>
        <v>#REF!</v>
      </c>
      <c r="L48" s="143" t="e">
        <f t="shared" si="17"/>
        <v>#REF!</v>
      </c>
      <c r="M48" s="143">
        <f>SUMPRODUCT((_6shaozhuchou_month_day!$A$2:$A$906&gt;=C48)*(_6shaozhuchou_month_day!$A$2:$A$906&lt;C49),_6shaozhuchou_month_day!$Z$2:$Z$906)</f>
        <v>0</v>
      </c>
      <c r="N48" s="132">
        <f>M48*查询与汇总!$O$1</f>
        <v>0</v>
      </c>
      <c r="O48" s="144">
        <f t="shared" si="18"/>
        <v>0</v>
      </c>
      <c r="P48" s="145">
        <f>IF(G48=0,0,SUMPRODUCT((_6shaozhuchou_month_day!$A$2:$A$906&gt;=$C48)*(_6shaozhuchou_month_day!$A$2:$A$906&lt;$C49),_6shaozhuchou_month_day!T$2:T$906)/SUMPRODUCT((_6shaozhuchou_month_day!$A$2:$A$906&gt;=$C48)*(_6shaozhuchou_month_day!$A$2:$A$906&lt;$C49)*(_6shaozhuchou_month_day!T$2:T$906&gt;0)))</f>
        <v>0</v>
      </c>
      <c r="Q48" s="145">
        <f>IF(G48=0,0,SUMPRODUCT((_6shaozhuchou_month_day!$A$2:$A$906&gt;=$C48)*(_6shaozhuchou_month_day!$A$2:$A$906&lt;$C49),_6shaozhuchou_month_day!U$2:U$906)/SUMPRODUCT((_6shaozhuchou_month_day!$A$2:$A$906&gt;=$C48)*(_6shaozhuchou_month_day!$A$2:$A$906&lt;$C49)*(_6shaozhuchou_month_day!U$2:U$906&lt;0)))</f>
        <v>0</v>
      </c>
      <c r="R48" s="145">
        <f>IF(G48=0,0,SUMPRODUCT((_6shaozhuchou_month_day!$A$2:$A$906&gt;=$C48)*(_6shaozhuchou_month_day!$A$2:$A$906&lt;$C49),_6shaozhuchou_month_day!V$2:V$906)/SUMPRODUCT((_6shaozhuchou_month_day!$A$2:$A$906&gt;=$C48)*(_6shaozhuchou_month_day!$A$2:$A$906&lt;$C49)*(_6shaozhuchou_month_day!V$2:V$906&gt;0)))</f>
        <v>0</v>
      </c>
      <c r="S48" s="145">
        <f>IF(G48=0,0,SUMPRODUCT((_6shaozhuchou_month_day!$A$2:$A$906&gt;=$C48)*(_6shaozhuchou_month_day!$A$2:$A$906&lt;$C49),_6shaozhuchou_month_day!W$2:W$906)/SUMPRODUCT((_6shaozhuchou_month_day!$A$2:$A$906&gt;=$C48)*(_6shaozhuchou_month_day!$A$2:$A$906&lt;$C49)*(_6shaozhuchou_month_day!W$2:W$906&lt;0)))</f>
        <v>0</v>
      </c>
      <c r="T48" s="145" t="str">
        <f>主抽数据!Z52</f>
        <v/>
      </c>
      <c r="U48" s="145" t="str">
        <f>主抽数据!AA52</f>
        <v/>
      </c>
      <c r="V48" s="148">
        <f>查询与汇总!$S$1*M48</f>
        <v>0</v>
      </c>
      <c r="W48" s="149" t="e">
        <f t="shared" si="19"/>
        <v>#REF!</v>
      </c>
      <c r="X48" s="151"/>
      <c r="Y48" s="164"/>
      <c r="Z48" s="165"/>
      <c r="AA48" s="160" t="str">
        <f>主抽数据!AB52</f>
        <v/>
      </c>
      <c r="AB48" s="161" t="str">
        <f>主抽数据!AC52</f>
        <v/>
      </c>
      <c r="AC48" s="162" t="e">
        <f t="shared" si="20"/>
        <v>#REF!</v>
      </c>
      <c r="AE48" s="123" t="e">
        <f t="shared" si="21"/>
        <v>#VALUE!</v>
      </c>
      <c r="AF48" s="123" t="e">
        <f t="shared" si="22"/>
        <v>#VALUE!</v>
      </c>
      <c r="AG48" s="123">
        <f t="shared" si="9"/>
        <v>0</v>
      </c>
      <c r="AH48" s="123">
        <f t="shared" si="10"/>
        <v>0</v>
      </c>
    </row>
    <row r="49" spans="1:34" ht="36" customHeight="1">
      <c r="A49" s="133">
        <f t="shared" si="12"/>
        <v>43359</v>
      </c>
      <c r="B49" s="134">
        <f t="shared" si="13"/>
        <v>0.33333333333333298</v>
      </c>
      <c r="C49" s="133">
        <f t="shared" si="0"/>
        <v>43359.333333333336</v>
      </c>
      <c r="D49" s="134" t="str">
        <f t="shared" si="14"/>
        <v>白班</v>
      </c>
      <c r="E49" s="131">
        <f t="shared" si="15"/>
        <v>3</v>
      </c>
      <c r="F49" s="131" t="str">
        <f t="shared" si="1"/>
        <v>丙班</v>
      </c>
      <c r="G49" s="132">
        <f>SUMPRODUCT((_6shaozhuchou_month_day!$A$2:$A$906&gt;=C49)*(_6shaozhuchou_month_day!$A$2:$A$906&lt;C50),_6shaozhuchou_month_day!$Y$2:$Y$906)/8</f>
        <v>0</v>
      </c>
      <c r="H49" s="132">
        <f t="shared" si="2"/>
        <v>0</v>
      </c>
      <c r="I49" s="141">
        <f t="shared" si="16"/>
        <v>0</v>
      </c>
      <c r="J49" s="142" t="e">
        <f>SUMPRODUCT((主抽数据!$AU$5:$AU$97=$A49)*(主抽数据!$AV$5:$AV$97=$F49),主抽数据!$AK$5:$AK$97)</f>
        <v>#REF!</v>
      </c>
      <c r="K49" s="142" t="e">
        <f>SUMPRODUCT((主抽数据!$AU$5:$AU$97=$A49)*(主抽数据!$AV$5:$AV$97=$F49),主抽数据!$AL$5:$AL$97)</f>
        <v>#REF!</v>
      </c>
      <c r="L49" s="143" t="e">
        <f t="shared" si="17"/>
        <v>#REF!</v>
      </c>
      <c r="M49" s="143">
        <f>SUMPRODUCT((_6shaozhuchou_month_day!$A$2:$A$906&gt;=C49)*(_6shaozhuchou_month_day!$A$2:$A$906&lt;C50),_6shaozhuchou_month_day!$Z$2:$Z$906)</f>
        <v>0</v>
      </c>
      <c r="N49" s="132">
        <f>M49*查询与汇总!$O$1</f>
        <v>0</v>
      </c>
      <c r="O49" s="144">
        <f t="shared" si="18"/>
        <v>0</v>
      </c>
      <c r="P49" s="145">
        <f>IF(G49=0,0,SUMPRODUCT((_6shaozhuchou_month_day!$A$2:$A$906&gt;=$C49)*(_6shaozhuchou_month_day!$A$2:$A$906&lt;$C50),_6shaozhuchou_month_day!T$2:T$906)/SUMPRODUCT((_6shaozhuchou_month_day!$A$2:$A$906&gt;=$C49)*(_6shaozhuchou_month_day!$A$2:$A$906&lt;$C50)*(_6shaozhuchou_month_day!T$2:T$906&gt;0)))</f>
        <v>0</v>
      </c>
      <c r="Q49" s="145">
        <f>IF(G49=0,0,SUMPRODUCT((_6shaozhuchou_month_day!$A$2:$A$906&gt;=$C49)*(_6shaozhuchou_month_day!$A$2:$A$906&lt;$C50),_6shaozhuchou_month_day!U$2:U$906)/SUMPRODUCT((_6shaozhuchou_month_day!$A$2:$A$906&gt;=$C49)*(_6shaozhuchou_month_day!$A$2:$A$906&lt;$C50)*(_6shaozhuchou_month_day!U$2:U$906&lt;0)))</f>
        <v>0</v>
      </c>
      <c r="R49" s="145">
        <f>IF(G49=0,0,SUMPRODUCT((_6shaozhuchou_month_day!$A$2:$A$906&gt;=$C49)*(_6shaozhuchou_month_day!$A$2:$A$906&lt;$C50),_6shaozhuchou_month_day!V$2:V$906)/SUMPRODUCT((_6shaozhuchou_month_day!$A$2:$A$906&gt;=$C49)*(_6shaozhuchou_month_day!$A$2:$A$906&lt;$C50)*(_6shaozhuchou_month_day!V$2:V$906&gt;0)))</f>
        <v>0</v>
      </c>
      <c r="S49" s="145">
        <f>IF(G49=0,0,SUMPRODUCT((_6shaozhuchou_month_day!$A$2:$A$906&gt;=$C49)*(_6shaozhuchou_month_day!$A$2:$A$906&lt;$C50),_6shaozhuchou_month_day!W$2:W$906)/SUMPRODUCT((_6shaozhuchou_month_day!$A$2:$A$906&gt;=$C49)*(_6shaozhuchou_month_day!$A$2:$A$906&lt;$C50)*(_6shaozhuchou_month_day!W$2:W$906&lt;0)))</f>
        <v>0</v>
      </c>
      <c r="T49" s="145" t="str">
        <f>主抽数据!Z53</f>
        <v/>
      </c>
      <c r="U49" s="145" t="str">
        <f>主抽数据!AA53</f>
        <v/>
      </c>
      <c r="V49" s="148">
        <f>查询与汇总!$S$1*M49</f>
        <v>0</v>
      </c>
      <c r="W49" s="149" t="e">
        <f t="shared" si="19"/>
        <v>#REF!</v>
      </c>
      <c r="X49" s="151"/>
      <c r="Y49" s="164"/>
      <c r="Z49" s="163"/>
      <c r="AA49" s="160" t="str">
        <f>主抽数据!AB53</f>
        <v/>
      </c>
      <c r="AB49" s="161" t="str">
        <f>主抽数据!AC53</f>
        <v/>
      </c>
      <c r="AC49" s="162" t="e">
        <f t="shared" si="20"/>
        <v>#REF!</v>
      </c>
      <c r="AE49" s="123" t="e">
        <f t="shared" si="21"/>
        <v>#VALUE!</v>
      </c>
      <c r="AF49" s="123" t="e">
        <f t="shared" si="22"/>
        <v>#VALUE!</v>
      </c>
      <c r="AG49" s="123">
        <f t="shared" si="9"/>
        <v>0</v>
      </c>
      <c r="AH49" s="123">
        <f t="shared" si="10"/>
        <v>0</v>
      </c>
    </row>
    <row r="50" spans="1:34" ht="20.25" customHeight="1">
      <c r="A50" s="133">
        <f t="shared" si="12"/>
        <v>43359</v>
      </c>
      <c r="B50" s="134">
        <f t="shared" si="13"/>
        <v>0.66666666666666696</v>
      </c>
      <c r="C50" s="133">
        <f t="shared" si="0"/>
        <v>43359.666666666664</v>
      </c>
      <c r="D50" s="134" t="str">
        <f t="shared" si="14"/>
        <v>中班</v>
      </c>
      <c r="E50" s="131">
        <f t="shared" si="15"/>
        <v>4</v>
      </c>
      <c r="F50" s="131" t="str">
        <f t="shared" si="1"/>
        <v>丁班</v>
      </c>
      <c r="G50" s="132">
        <f>SUMPRODUCT((_6shaozhuchou_month_day!$A$2:$A$906&gt;=C50)*(_6shaozhuchou_month_day!$A$2:$A$906&lt;C51),_6shaozhuchou_month_day!$Y$2:$Y$906)/8</f>
        <v>0</v>
      </c>
      <c r="H50" s="132">
        <f t="shared" si="2"/>
        <v>0</v>
      </c>
      <c r="I50" s="141">
        <f t="shared" si="16"/>
        <v>0</v>
      </c>
      <c r="J50" s="142" t="e">
        <f>SUMPRODUCT((主抽数据!$AU$5:$AU$97=$A50)*(主抽数据!$AV$5:$AV$97=$F50),主抽数据!$AK$5:$AK$97)</f>
        <v>#REF!</v>
      </c>
      <c r="K50" s="142" t="e">
        <f>SUMPRODUCT((主抽数据!$AU$5:$AU$97=$A50)*(主抽数据!$AV$5:$AV$97=$F50),主抽数据!$AL$5:$AL$97)</f>
        <v>#REF!</v>
      </c>
      <c r="L50" s="143" t="e">
        <f t="shared" si="17"/>
        <v>#REF!</v>
      </c>
      <c r="M50" s="143">
        <f>SUMPRODUCT((_6shaozhuchou_month_day!$A$2:$A$906&gt;=C50)*(_6shaozhuchou_month_day!$A$2:$A$906&lt;C51),_6shaozhuchou_month_day!$Z$2:$Z$906)</f>
        <v>0</v>
      </c>
      <c r="N50" s="132">
        <f>M50*查询与汇总!$O$1</f>
        <v>0</v>
      </c>
      <c r="O50" s="144">
        <f t="shared" si="18"/>
        <v>0</v>
      </c>
      <c r="P50" s="145">
        <f>IF(G50=0,0,SUMPRODUCT((_6shaozhuchou_month_day!$A$2:$A$906&gt;=$C50)*(_6shaozhuchou_month_day!$A$2:$A$906&lt;$C51),_6shaozhuchou_month_day!T$2:T$906)/SUMPRODUCT((_6shaozhuchou_month_day!$A$2:$A$906&gt;=$C50)*(_6shaozhuchou_month_day!$A$2:$A$906&lt;$C51)*(_6shaozhuchou_month_day!T$2:T$906&gt;0)))</f>
        <v>0</v>
      </c>
      <c r="Q50" s="145">
        <f>IF(G50=0,0,SUMPRODUCT((_6shaozhuchou_month_day!$A$2:$A$906&gt;=$C50)*(_6shaozhuchou_month_day!$A$2:$A$906&lt;$C51),_6shaozhuchou_month_day!U$2:U$906)/SUMPRODUCT((_6shaozhuchou_month_day!$A$2:$A$906&gt;=$C50)*(_6shaozhuchou_month_day!$A$2:$A$906&lt;$C51)*(_6shaozhuchou_month_day!U$2:U$906&lt;0)))</f>
        <v>0</v>
      </c>
      <c r="R50" s="145">
        <f>IF(G50=0,0,SUMPRODUCT((_6shaozhuchou_month_day!$A$2:$A$906&gt;=$C50)*(_6shaozhuchou_month_day!$A$2:$A$906&lt;$C51),_6shaozhuchou_month_day!V$2:V$906)/SUMPRODUCT((_6shaozhuchou_month_day!$A$2:$A$906&gt;=$C50)*(_6shaozhuchou_month_day!$A$2:$A$906&lt;$C51)*(_6shaozhuchou_month_day!V$2:V$906&gt;0)))</f>
        <v>0</v>
      </c>
      <c r="S50" s="145">
        <f>IF(G50=0,0,SUMPRODUCT((_6shaozhuchou_month_day!$A$2:$A$906&gt;=$C50)*(_6shaozhuchou_month_day!$A$2:$A$906&lt;$C51),_6shaozhuchou_month_day!W$2:W$906)/SUMPRODUCT((_6shaozhuchou_month_day!$A$2:$A$906&gt;=$C50)*(_6shaozhuchou_month_day!$A$2:$A$906&lt;$C51)*(_6shaozhuchou_month_day!W$2:W$906&lt;0)))</f>
        <v>0</v>
      </c>
      <c r="T50" s="145" t="str">
        <f>主抽数据!Z54</f>
        <v/>
      </c>
      <c r="U50" s="145" t="str">
        <f>主抽数据!AA54</f>
        <v/>
      </c>
      <c r="V50" s="148">
        <f>查询与汇总!$S$1*M50</f>
        <v>0</v>
      </c>
      <c r="W50" s="149" t="e">
        <f t="shared" si="19"/>
        <v>#REF!</v>
      </c>
      <c r="X50" s="151"/>
      <c r="Y50" s="164"/>
      <c r="Z50" s="163"/>
      <c r="AA50" s="160" t="str">
        <f>主抽数据!AB54</f>
        <v/>
      </c>
      <c r="AB50" s="161" t="str">
        <f>主抽数据!AC54</f>
        <v/>
      </c>
      <c r="AC50" s="162" t="e">
        <f t="shared" si="20"/>
        <v>#REF!</v>
      </c>
      <c r="AE50" s="123" t="e">
        <f t="shared" si="21"/>
        <v>#VALUE!</v>
      </c>
      <c r="AF50" s="123" t="e">
        <f t="shared" si="22"/>
        <v>#VALUE!</v>
      </c>
      <c r="AG50" s="123">
        <f t="shared" si="9"/>
        <v>0</v>
      </c>
      <c r="AH50" s="123">
        <f t="shared" si="10"/>
        <v>0</v>
      </c>
    </row>
    <row r="51" spans="1:34" ht="39" customHeight="1">
      <c r="A51" s="133">
        <f t="shared" si="12"/>
        <v>43360</v>
      </c>
      <c r="B51" s="134">
        <f t="shared" si="13"/>
        <v>0</v>
      </c>
      <c r="C51" s="133">
        <f t="shared" si="0"/>
        <v>43360</v>
      </c>
      <c r="D51" s="134" t="str">
        <f t="shared" si="14"/>
        <v>夜班</v>
      </c>
      <c r="E51" s="131">
        <f t="shared" si="15"/>
        <v>2</v>
      </c>
      <c r="F51" s="131" t="str">
        <f t="shared" si="1"/>
        <v>乙班</v>
      </c>
      <c r="G51" s="132">
        <f>SUMPRODUCT((_6shaozhuchou_month_day!$A$2:$A$906&gt;=C51)*(_6shaozhuchou_month_day!$A$2:$A$906&lt;C52),_6shaozhuchou_month_day!$Y$2:$Y$906)/8</f>
        <v>0</v>
      </c>
      <c r="H51" s="132">
        <f t="shared" si="2"/>
        <v>0</v>
      </c>
      <c r="I51" s="141">
        <f t="shared" si="16"/>
        <v>0</v>
      </c>
      <c r="J51" s="142" t="e">
        <f>SUMPRODUCT((主抽数据!$AU$5:$AU$97=$A51)*(主抽数据!$AV$5:$AV$97=$F51),主抽数据!$AK$5:$AK$97)</f>
        <v>#REF!</v>
      </c>
      <c r="K51" s="142" t="e">
        <f>SUMPRODUCT((主抽数据!$AU$5:$AU$97=$A51)*(主抽数据!$AV$5:$AV$97=$F51),主抽数据!$AL$5:$AL$97)</f>
        <v>#REF!</v>
      </c>
      <c r="L51" s="143" t="e">
        <f t="shared" si="17"/>
        <v>#REF!</v>
      </c>
      <c r="M51" s="143">
        <f>SUMPRODUCT((_6shaozhuchou_month_day!$A$2:$A$906&gt;=C51)*(_6shaozhuchou_month_day!$A$2:$A$906&lt;C52),_6shaozhuchou_month_day!$Z$2:$Z$906)</f>
        <v>0</v>
      </c>
      <c r="N51" s="132">
        <f>M51*查询与汇总!$O$1</f>
        <v>0</v>
      </c>
      <c r="O51" s="144">
        <f t="shared" si="18"/>
        <v>0</v>
      </c>
      <c r="P51" s="145">
        <f>IF(G51=0,0,SUMPRODUCT((_6shaozhuchou_month_day!$A$2:$A$906&gt;=$C51)*(_6shaozhuchou_month_day!$A$2:$A$906&lt;$C52),_6shaozhuchou_month_day!T$2:T$906)/SUMPRODUCT((_6shaozhuchou_month_day!$A$2:$A$906&gt;=$C51)*(_6shaozhuchou_month_day!$A$2:$A$906&lt;$C52)*(_6shaozhuchou_month_day!T$2:T$906&gt;0)))</f>
        <v>0</v>
      </c>
      <c r="Q51" s="145">
        <f>IF(G51=0,0,SUMPRODUCT((_6shaozhuchou_month_day!$A$2:$A$906&gt;=$C51)*(_6shaozhuchou_month_day!$A$2:$A$906&lt;$C52),_6shaozhuchou_month_day!U$2:U$906)/SUMPRODUCT((_6shaozhuchou_month_day!$A$2:$A$906&gt;=$C51)*(_6shaozhuchou_month_day!$A$2:$A$906&lt;$C52)*(_6shaozhuchou_month_day!U$2:U$906&lt;0)))</f>
        <v>0</v>
      </c>
      <c r="R51" s="145">
        <f>IF(G51=0,0,SUMPRODUCT((_6shaozhuchou_month_day!$A$2:$A$906&gt;=$C51)*(_6shaozhuchou_month_day!$A$2:$A$906&lt;$C52),_6shaozhuchou_month_day!V$2:V$906)/SUMPRODUCT((_6shaozhuchou_month_day!$A$2:$A$906&gt;=$C51)*(_6shaozhuchou_month_day!$A$2:$A$906&lt;$C52)*(_6shaozhuchou_month_day!V$2:V$906&gt;0)))</f>
        <v>0</v>
      </c>
      <c r="S51" s="145">
        <f>IF(G51=0,0,SUMPRODUCT((_6shaozhuchou_month_day!$A$2:$A$906&gt;=$C51)*(_6shaozhuchou_month_day!$A$2:$A$906&lt;$C52),_6shaozhuchou_month_day!W$2:W$906)/SUMPRODUCT((_6shaozhuchou_month_day!$A$2:$A$906&gt;=$C51)*(_6shaozhuchou_month_day!$A$2:$A$906&lt;$C52)*(_6shaozhuchou_month_day!W$2:W$906&lt;0)))</f>
        <v>0</v>
      </c>
      <c r="T51" s="145" t="str">
        <f>主抽数据!Z55</f>
        <v/>
      </c>
      <c r="U51" s="145" t="str">
        <f>主抽数据!AA55</f>
        <v/>
      </c>
      <c r="V51" s="148">
        <f>查询与汇总!$S$1*M51</f>
        <v>0</v>
      </c>
      <c r="W51" s="149" t="e">
        <f t="shared" si="19"/>
        <v>#REF!</v>
      </c>
      <c r="X51" s="151"/>
      <c r="Y51" s="164"/>
      <c r="Z51" s="165"/>
      <c r="AA51" s="160" t="str">
        <f>主抽数据!AB55</f>
        <v/>
      </c>
      <c r="AB51" s="161" t="str">
        <f>主抽数据!AC55</f>
        <v/>
      </c>
      <c r="AC51" s="162" t="e">
        <f t="shared" si="20"/>
        <v>#REF!</v>
      </c>
      <c r="AE51" s="123" t="e">
        <f t="shared" si="21"/>
        <v>#VALUE!</v>
      </c>
      <c r="AF51" s="123" t="e">
        <f t="shared" si="22"/>
        <v>#VALUE!</v>
      </c>
      <c r="AG51" s="123">
        <f t="shared" si="9"/>
        <v>0</v>
      </c>
      <c r="AH51" s="123">
        <f t="shared" si="10"/>
        <v>0</v>
      </c>
    </row>
    <row r="52" spans="1:34" ht="39.950000000000003" customHeight="1">
      <c r="A52" s="133">
        <f t="shared" si="12"/>
        <v>43360</v>
      </c>
      <c r="B52" s="134">
        <f t="shared" si="13"/>
        <v>0.33333333333333298</v>
      </c>
      <c r="C52" s="133">
        <f t="shared" si="0"/>
        <v>43360.333333333336</v>
      </c>
      <c r="D52" s="134" t="str">
        <f t="shared" si="14"/>
        <v>白班</v>
      </c>
      <c r="E52" s="131">
        <f t="shared" si="15"/>
        <v>3</v>
      </c>
      <c r="F52" s="131" t="str">
        <f t="shared" si="1"/>
        <v>丙班</v>
      </c>
      <c r="G52" s="132">
        <f>SUMPRODUCT((_6shaozhuchou_month_day!$A$2:$A$906&gt;=C52)*(_6shaozhuchou_month_day!$A$2:$A$906&lt;C53),_6shaozhuchou_month_day!$Y$2:$Y$906)/8</f>
        <v>0</v>
      </c>
      <c r="H52" s="132">
        <f t="shared" si="2"/>
        <v>0</v>
      </c>
      <c r="I52" s="141">
        <f t="shared" si="16"/>
        <v>0</v>
      </c>
      <c r="J52" s="142" t="e">
        <f>SUMPRODUCT((主抽数据!$AU$5:$AU$97=$A52)*(主抽数据!$AV$5:$AV$97=$F52),主抽数据!$AK$5:$AK$97)</f>
        <v>#REF!</v>
      </c>
      <c r="K52" s="142" t="e">
        <f>SUMPRODUCT((主抽数据!$AU$5:$AU$97=$A52)*(主抽数据!$AV$5:$AV$97=$F52),主抽数据!$AL$5:$AL$97)</f>
        <v>#REF!</v>
      </c>
      <c r="L52" s="143" t="e">
        <f t="shared" si="17"/>
        <v>#REF!</v>
      </c>
      <c r="M52" s="143">
        <f>SUMPRODUCT((_6shaozhuchou_month_day!$A$2:$A$906&gt;=C52)*(_6shaozhuchou_month_day!$A$2:$A$906&lt;C53),_6shaozhuchou_month_day!$Z$2:$Z$906)</f>
        <v>0</v>
      </c>
      <c r="N52" s="132">
        <f>M52*查询与汇总!$O$1</f>
        <v>0</v>
      </c>
      <c r="O52" s="144">
        <f t="shared" si="18"/>
        <v>0</v>
      </c>
      <c r="P52" s="145">
        <f>IF(G52=0,0,SUMPRODUCT((_6shaozhuchou_month_day!$A$2:$A$906&gt;=$C52)*(_6shaozhuchou_month_day!$A$2:$A$906&lt;$C53),_6shaozhuchou_month_day!T$2:T$906)/SUMPRODUCT((_6shaozhuchou_month_day!$A$2:$A$906&gt;=$C52)*(_6shaozhuchou_month_day!$A$2:$A$906&lt;$C53)*(_6shaozhuchou_month_day!T$2:T$906&gt;0)))</f>
        <v>0</v>
      </c>
      <c r="Q52" s="145">
        <f>IF(G52=0,0,SUMPRODUCT((_6shaozhuchou_month_day!$A$2:$A$906&gt;=$C52)*(_6shaozhuchou_month_day!$A$2:$A$906&lt;$C53),_6shaozhuchou_month_day!U$2:U$906)/SUMPRODUCT((_6shaozhuchou_month_day!$A$2:$A$906&gt;=$C52)*(_6shaozhuchou_month_day!$A$2:$A$906&lt;$C53)*(_6shaozhuchou_month_day!U$2:U$906&lt;0)))</f>
        <v>0</v>
      </c>
      <c r="R52" s="145">
        <f>IF(G52=0,0,SUMPRODUCT((_6shaozhuchou_month_day!$A$2:$A$906&gt;=$C52)*(_6shaozhuchou_month_day!$A$2:$A$906&lt;$C53),_6shaozhuchou_month_day!V$2:V$906)/SUMPRODUCT((_6shaozhuchou_month_day!$A$2:$A$906&gt;=$C52)*(_6shaozhuchou_month_day!$A$2:$A$906&lt;$C53)*(_6shaozhuchou_month_day!V$2:V$906&gt;0)))</f>
        <v>0</v>
      </c>
      <c r="S52" s="145">
        <f>IF(G52=0,0,SUMPRODUCT((_6shaozhuchou_month_day!$A$2:$A$906&gt;=$C52)*(_6shaozhuchou_month_day!$A$2:$A$906&lt;$C53),_6shaozhuchou_month_day!W$2:W$906)/SUMPRODUCT((_6shaozhuchou_month_day!$A$2:$A$906&gt;=$C52)*(_6shaozhuchou_month_day!$A$2:$A$906&lt;$C53)*(_6shaozhuchou_month_day!W$2:W$906&lt;0)))</f>
        <v>0</v>
      </c>
      <c r="T52" s="145" t="str">
        <f>主抽数据!Z56</f>
        <v/>
      </c>
      <c r="U52" s="145" t="str">
        <f>主抽数据!AA56</f>
        <v/>
      </c>
      <c r="V52" s="148">
        <f>查询与汇总!$S$1*M52</f>
        <v>0</v>
      </c>
      <c r="W52" s="149" t="e">
        <f t="shared" si="19"/>
        <v>#REF!</v>
      </c>
      <c r="X52" s="151"/>
      <c r="Y52" s="164"/>
      <c r="Z52" s="165"/>
      <c r="AA52" s="160" t="str">
        <f>主抽数据!AB56</f>
        <v/>
      </c>
      <c r="AB52" s="161" t="str">
        <f>主抽数据!AC56</f>
        <v/>
      </c>
      <c r="AC52" s="162" t="e">
        <f t="shared" si="20"/>
        <v>#REF!</v>
      </c>
      <c r="AE52" s="123" t="e">
        <f t="shared" si="21"/>
        <v>#VALUE!</v>
      </c>
      <c r="AF52" s="123" t="e">
        <f t="shared" si="22"/>
        <v>#VALUE!</v>
      </c>
      <c r="AG52" s="123">
        <f t="shared" si="9"/>
        <v>0</v>
      </c>
      <c r="AH52" s="123">
        <f t="shared" si="10"/>
        <v>0</v>
      </c>
    </row>
    <row r="53" spans="1:34" ht="26.1" customHeight="1">
      <c r="A53" s="133">
        <f t="shared" si="12"/>
        <v>43360</v>
      </c>
      <c r="B53" s="134">
        <f t="shared" si="13"/>
        <v>0.66666666666666696</v>
      </c>
      <c r="C53" s="133">
        <f t="shared" si="0"/>
        <v>43360.666666666664</v>
      </c>
      <c r="D53" s="134" t="str">
        <f t="shared" si="14"/>
        <v>中班</v>
      </c>
      <c r="E53" s="131">
        <f t="shared" si="15"/>
        <v>4</v>
      </c>
      <c r="F53" s="131" t="str">
        <f t="shared" si="1"/>
        <v>丁班</v>
      </c>
      <c r="G53" s="132">
        <f>SUMPRODUCT((_6shaozhuchou_month_day!$A$2:$A$906&gt;=C53)*(_6shaozhuchou_month_day!$A$2:$A$906&lt;C54),_6shaozhuchou_month_day!$Y$2:$Y$906)/8</f>
        <v>0</v>
      </c>
      <c r="H53" s="132">
        <f t="shared" si="2"/>
        <v>0</v>
      </c>
      <c r="I53" s="141">
        <f t="shared" si="16"/>
        <v>0</v>
      </c>
      <c r="J53" s="142" t="e">
        <f>SUMPRODUCT((主抽数据!$AU$5:$AU$97=$A53)*(主抽数据!$AV$5:$AV$97=$F53),主抽数据!$AK$5:$AK$97)</f>
        <v>#REF!</v>
      </c>
      <c r="K53" s="142" t="e">
        <f>SUMPRODUCT((主抽数据!$AU$5:$AU$97=$A53)*(主抽数据!$AV$5:$AV$97=$F53),主抽数据!$AL$5:$AL$97)</f>
        <v>#REF!</v>
      </c>
      <c r="L53" s="143" t="e">
        <f t="shared" si="17"/>
        <v>#REF!</v>
      </c>
      <c r="M53" s="143">
        <f>SUMPRODUCT((_6shaozhuchou_month_day!$A$2:$A$906&gt;=C53)*(_6shaozhuchou_month_day!$A$2:$A$906&lt;C54),_6shaozhuchou_month_day!$Z$2:$Z$906)</f>
        <v>0</v>
      </c>
      <c r="N53" s="132">
        <f>M53*查询与汇总!$O$1</f>
        <v>0</v>
      </c>
      <c r="O53" s="144">
        <f t="shared" si="18"/>
        <v>0</v>
      </c>
      <c r="P53" s="145">
        <f>IF(G53=0,0,SUMPRODUCT((_6shaozhuchou_month_day!$A$2:$A$906&gt;=$C53)*(_6shaozhuchou_month_day!$A$2:$A$906&lt;$C54),_6shaozhuchou_month_day!T$2:T$906)/SUMPRODUCT((_6shaozhuchou_month_day!$A$2:$A$906&gt;=$C53)*(_6shaozhuchou_month_day!$A$2:$A$906&lt;$C54)*(_6shaozhuchou_month_day!T$2:T$906&gt;0)))</f>
        <v>0</v>
      </c>
      <c r="Q53" s="145">
        <f>IF(G53=0,0,SUMPRODUCT((_6shaozhuchou_month_day!$A$2:$A$906&gt;=$C53)*(_6shaozhuchou_month_day!$A$2:$A$906&lt;$C54),_6shaozhuchou_month_day!U$2:U$906)/SUMPRODUCT((_6shaozhuchou_month_day!$A$2:$A$906&gt;=$C53)*(_6shaozhuchou_month_day!$A$2:$A$906&lt;$C54)*(_6shaozhuchou_month_day!U$2:U$906&lt;0)))</f>
        <v>0</v>
      </c>
      <c r="R53" s="145">
        <f>IF(G53=0,0,SUMPRODUCT((_6shaozhuchou_month_day!$A$2:$A$906&gt;=$C53)*(_6shaozhuchou_month_day!$A$2:$A$906&lt;$C54),_6shaozhuchou_month_day!V$2:V$906)/SUMPRODUCT((_6shaozhuchou_month_day!$A$2:$A$906&gt;=$C53)*(_6shaozhuchou_month_day!$A$2:$A$906&lt;$C54)*(_6shaozhuchou_month_day!V$2:V$906&gt;0)))</f>
        <v>0</v>
      </c>
      <c r="S53" s="145">
        <f>IF(G53=0,0,SUMPRODUCT((_6shaozhuchou_month_day!$A$2:$A$906&gt;=$C53)*(_6shaozhuchou_month_day!$A$2:$A$906&lt;$C54),_6shaozhuchou_month_day!W$2:W$906)/SUMPRODUCT((_6shaozhuchou_month_day!$A$2:$A$906&gt;=$C53)*(_6shaozhuchou_month_day!$A$2:$A$906&lt;$C54)*(_6shaozhuchou_month_day!W$2:W$906&lt;0)))</f>
        <v>0</v>
      </c>
      <c r="T53" s="145" t="str">
        <f>主抽数据!Z57</f>
        <v/>
      </c>
      <c r="U53" s="145" t="str">
        <f>主抽数据!AA57</f>
        <v/>
      </c>
      <c r="V53" s="148">
        <f>查询与汇总!$S$1*M53</f>
        <v>0</v>
      </c>
      <c r="W53" s="149" t="e">
        <f t="shared" si="19"/>
        <v>#REF!</v>
      </c>
      <c r="X53" s="151"/>
      <c r="Y53" s="164"/>
      <c r="Z53" s="163"/>
      <c r="AA53" s="160" t="str">
        <f>主抽数据!AB57</f>
        <v/>
      </c>
      <c r="AB53" s="161" t="str">
        <f>主抽数据!AC57</f>
        <v/>
      </c>
      <c r="AC53" s="162" t="e">
        <f t="shared" si="20"/>
        <v>#REF!</v>
      </c>
      <c r="AE53" s="123" t="e">
        <f t="shared" si="21"/>
        <v>#VALUE!</v>
      </c>
      <c r="AF53" s="123" t="e">
        <f t="shared" si="22"/>
        <v>#VALUE!</v>
      </c>
      <c r="AG53" s="123">
        <f t="shared" si="9"/>
        <v>0</v>
      </c>
      <c r="AH53" s="123">
        <f t="shared" si="10"/>
        <v>0</v>
      </c>
    </row>
    <row r="54" spans="1:34" ht="20.25" customHeight="1">
      <c r="A54" s="133">
        <f t="shared" si="12"/>
        <v>43361</v>
      </c>
      <c r="B54" s="134">
        <f t="shared" si="13"/>
        <v>0</v>
      </c>
      <c r="C54" s="133">
        <f t="shared" si="0"/>
        <v>43361</v>
      </c>
      <c r="D54" s="134" t="str">
        <f t="shared" si="14"/>
        <v>夜班</v>
      </c>
      <c r="E54" s="131">
        <f t="shared" si="15"/>
        <v>1</v>
      </c>
      <c r="F54" s="131" t="str">
        <f t="shared" si="1"/>
        <v>甲班</v>
      </c>
      <c r="G54" s="132">
        <f>SUMPRODUCT((_6shaozhuchou_month_day!$A$2:$A$906&gt;=C54)*(_6shaozhuchou_month_day!$A$2:$A$906&lt;C55),_6shaozhuchou_month_day!$Y$2:$Y$906)/8</f>
        <v>0</v>
      </c>
      <c r="H54" s="132">
        <f t="shared" si="2"/>
        <v>0</v>
      </c>
      <c r="I54" s="141">
        <f t="shared" si="16"/>
        <v>0</v>
      </c>
      <c r="J54" s="142" t="e">
        <f>SUMPRODUCT((主抽数据!$AU$5:$AU$97=$A54)*(主抽数据!$AV$5:$AV$97=$F54),主抽数据!$AK$5:$AK$97)</f>
        <v>#REF!</v>
      </c>
      <c r="K54" s="142" t="e">
        <f>SUMPRODUCT((主抽数据!$AU$5:$AU$97=$A54)*(主抽数据!$AV$5:$AV$97=$F54),主抽数据!$AL$5:$AL$97)</f>
        <v>#REF!</v>
      </c>
      <c r="L54" s="143" t="e">
        <f t="shared" si="17"/>
        <v>#REF!</v>
      </c>
      <c r="M54" s="143">
        <f>SUMPRODUCT((_6shaozhuchou_month_day!$A$2:$A$906&gt;=C54)*(_6shaozhuchou_month_day!$A$2:$A$906&lt;C55),_6shaozhuchou_month_day!$Z$2:$Z$906)</f>
        <v>0</v>
      </c>
      <c r="N54" s="132">
        <f>M54*查询与汇总!$O$1</f>
        <v>0</v>
      </c>
      <c r="O54" s="144">
        <f t="shared" si="18"/>
        <v>0</v>
      </c>
      <c r="P54" s="145">
        <f>IF(G54=0,0,SUMPRODUCT((_6shaozhuchou_month_day!$A$2:$A$906&gt;=$C54)*(_6shaozhuchou_month_day!$A$2:$A$906&lt;$C55),_6shaozhuchou_month_day!T$2:T$906)/SUMPRODUCT((_6shaozhuchou_month_day!$A$2:$A$906&gt;=$C54)*(_6shaozhuchou_month_day!$A$2:$A$906&lt;$C55)*(_6shaozhuchou_month_day!T$2:T$906&gt;0)))</f>
        <v>0</v>
      </c>
      <c r="Q54" s="145">
        <f>IF(G54=0,0,SUMPRODUCT((_6shaozhuchou_month_day!$A$2:$A$906&gt;=$C54)*(_6shaozhuchou_month_day!$A$2:$A$906&lt;$C55),_6shaozhuchou_month_day!U$2:U$906)/SUMPRODUCT((_6shaozhuchou_month_day!$A$2:$A$906&gt;=$C54)*(_6shaozhuchou_month_day!$A$2:$A$906&lt;$C55)*(_6shaozhuchou_month_day!U$2:U$906&lt;0)))</f>
        <v>0</v>
      </c>
      <c r="R54" s="145">
        <f>IF(G54=0,0,SUMPRODUCT((_6shaozhuchou_month_day!$A$2:$A$906&gt;=$C54)*(_6shaozhuchou_month_day!$A$2:$A$906&lt;$C55),_6shaozhuchou_month_day!V$2:V$906)/SUMPRODUCT((_6shaozhuchou_month_day!$A$2:$A$906&gt;=$C54)*(_6shaozhuchou_month_day!$A$2:$A$906&lt;$C55)*(_6shaozhuchou_month_day!V$2:V$906&gt;0)))</f>
        <v>0</v>
      </c>
      <c r="S54" s="145">
        <f>IF(G54=0,0,SUMPRODUCT((_6shaozhuchou_month_day!$A$2:$A$906&gt;=$C54)*(_6shaozhuchou_month_day!$A$2:$A$906&lt;$C55),_6shaozhuchou_month_day!W$2:W$906)/SUMPRODUCT((_6shaozhuchou_month_day!$A$2:$A$906&gt;=$C54)*(_6shaozhuchou_month_day!$A$2:$A$906&lt;$C55)*(_6shaozhuchou_month_day!W$2:W$906&lt;0)))</f>
        <v>0</v>
      </c>
      <c r="T54" s="145" t="str">
        <f>主抽数据!Z58</f>
        <v/>
      </c>
      <c r="U54" s="145" t="str">
        <f>主抽数据!AA58</f>
        <v/>
      </c>
      <c r="V54" s="148">
        <f>查询与汇总!$S$1*M54</f>
        <v>0</v>
      </c>
      <c r="W54" s="149" t="e">
        <f t="shared" si="19"/>
        <v>#REF!</v>
      </c>
      <c r="X54" s="151"/>
      <c r="Y54" s="164"/>
      <c r="Z54" s="165"/>
      <c r="AA54" s="160" t="str">
        <f>主抽数据!AB58</f>
        <v/>
      </c>
      <c r="AB54" s="161" t="str">
        <f>主抽数据!AC58</f>
        <v/>
      </c>
      <c r="AC54" s="162" t="e">
        <f t="shared" si="20"/>
        <v>#REF!</v>
      </c>
      <c r="AE54" s="123" t="e">
        <f t="shared" si="21"/>
        <v>#VALUE!</v>
      </c>
      <c r="AF54" s="123" t="e">
        <f t="shared" si="22"/>
        <v>#VALUE!</v>
      </c>
      <c r="AG54" s="123">
        <f t="shared" si="9"/>
        <v>0</v>
      </c>
      <c r="AH54" s="123">
        <f t="shared" si="10"/>
        <v>0</v>
      </c>
    </row>
    <row r="55" spans="1:34" ht="39" customHeight="1">
      <c r="A55" s="133">
        <f t="shared" si="12"/>
        <v>43361</v>
      </c>
      <c r="B55" s="134">
        <f t="shared" si="13"/>
        <v>0.33333333333333298</v>
      </c>
      <c r="C55" s="133">
        <f t="shared" si="0"/>
        <v>43361.333333333336</v>
      </c>
      <c r="D55" s="134" t="str">
        <f t="shared" si="14"/>
        <v>白班</v>
      </c>
      <c r="E55" s="131">
        <f t="shared" si="15"/>
        <v>2</v>
      </c>
      <c r="F55" s="131" t="str">
        <f t="shared" si="1"/>
        <v>乙班</v>
      </c>
      <c r="G55" s="132">
        <f>SUMPRODUCT((_6shaozhuchou_month_day!$A$2:$A$906&gt;=C55)*(_6shaozhuchou_month_day!$A$2:$A$906&lt;C56),_6shaozhuchou_month_day!$Y$2:$Y$906)/8</f>
        <v>0</v>
      </c>
      <c r="H55" s="132">
        <f t="shared" si="2"/>
        <v>0</v>
      </c>
      <c r="I55" s="141">
        <f t="shared" si="16"/>
        <v>0</v>
      </c>
      <c r="J55" s="142" t="e">
        <f>SUMPRODUCT((主抽数据!$AU$5:$AU$97=$A55)*(主抽数据!$AV$5:$AV$97=$F55),主抽数据!$AK$5:$AK$97)</f>
        <v>#REF!</v>
      </c>
      <c r="K55" s="142" t="e">
        <f>SUMPRODUCT((主抽数据!$AU$5:$AU$97=$A55)*(主抽数据!$AV$5:$AV$97=$F55),主抽数据!$AL$5:$AL$97)</f>
        <v>#REF!</v>
      </c>
      <c r="L55" s="143" t="e">
        <f t="shared" si="17"/>
        <v>#REF!</v>
      </c>
      <c r="M55" s="143">
        <f>SUMPRODUCT((_6shaozhuchou_month_day!$A$2:$A$906&gt;=C55)*(_6shaozhuchou_month_day!$A$2:$A$906&lt;C56),_6shaozhuchou_month_day!$Z$2:$Z$906)</f>
        <v>0</v>
      </c>
      <c r="N55" s="132">
        <f>M55*查询与汇总!$O$1</f>
        <v>0</v>
      </c>
      <c r="O55" s="144">
        <f t="shared" si="18"/>
        <v>0</v>
      </c>
      <c r="P55" s="145">
        <f>IF(G55=0,0,SUMPRODUCT((_6shaozhuchou_month_day!$A$2:$A$906&gt;=$C55)*(_6shaozhuchou_month_day!$A$2:$A$906&lt;$C56),_6shaozhuchou_month_day!T$2:T$906)/SUMPRODUCT((_6shaozhuchou_month_day!$A$2:$A$906&gt;=$C55)*(_6shaozhuchou_month_day!$A$2:$A$906&lt;$C56)*(_6shaozhuchou_month_day!T$2:T$906&gt;0)))</f>
        <v>0</v>
      </c>
      <c r="Q55" s="145">
        <f>IF(G55=0,0,SUMPRODUCT((_6shaozhuchou_month_day!$A$2:$A$906&gt;=$C55)*(_6shaozhuchou_month_day!$A$2:$A$906&lt;$C56),_6shaozhuchou_month_day!U$2:U$906)/SUMPRODUCT((_6shaozhuchou_month_day!$A$2:$A$906&gt;=$C55)*(_6shaozhuchou_month_day!$A$2:$A$906&lt;$C56)*(_6shaozhuchou_month_day!U$2:U$906&lt;0)))</f>
        <v>0</v>
      </c>
      <c r="R55" s="145">
        <f>IF(G55=0,0,SUMPRODUCT((_6shaozhuchou_month_day!$A$2:$A$906&gt;=$C55)*(_6shaozhuchou_month_day!$A$2:$A$906&lt;$C56),_6shaozhuchou_month_day!V$2:V$906)/SUMPRODUCT((_6shaozhuchou_month_day!$A$2:$A$906&gt;=$C55)*(_6shaozhuchou_month_day!$A$2:$A$906&lt;$C56)*(_6shaozhuchou_month_day!V$2:V$906&gt;0)))</f>
        <v>0</v>
      </c>
      <c r="S55" s="145">
        <f>IF(G55=0,0,SUMPRODUCT((_6shaozhuchou_month_day!$A$2:$A$906&gt;=$C55)*(_6shaozhuchou_month_day!$A$2:$A$906&lt;$C56),_6shaozhuchou_month_day!W$2:W$906)/SUMPRODUCT((_6shaozhuchou_month_day!$A$2:$A$906&gt;=$C55)*(_6shaozhuchou_month_day!$A$2:$A$906&lt;$C56)*(_6shaozhuchou_month_day!W$2:W$906&lt;0)))</f>
        <v>0</v>
      </c>
      <c r="T55" s="145" t="str">
        <f>主抽数据!Z59</f>
        <v/>
      </c>
      <c r="U55" s="145" t="str">
        <f>主抽数据!AA59</f>
        <v/>
      </c>
      <c r="V55" s="148">
        <f>查询与汇总!$S$1*M55</f>
        <v>0</v>
      </c>
      <c r="W55" s="149" t="e">
        <f t="shared" si="19"/>
        <v>#REF!</v>
      </c>
      <c r="X55" s="151"/>
      <c r="Y55" s="164"/>
      <c r="Z55" s="165"/>
      <c r="AA55" s="160" t="str">
        <f>主抽数据!AB59</f>
        <v/>
      </c>
      <c r="AB55" s="161" t="str">
        <f>主抽数据!AC59</f>
        <v/>
      </c>
      <c r="AC55" s="162" t="e">
        <f t="shared" si="20"/>
        <v>#REF!</v>
      </c>
      <c r="AE55" s="123" t="e">
        <f t="shared" si="21"/>
        <v>#VALUE!</v>
      </c>
      <c r="AF55" s="123" t="e">
        <f t="shared" si="22"/>
        <v>#VALUE!</v>
      </c>
      <c r="AG55" s="123">
        <f t="shared" si="9"/>
        <v>0</v>
      </c>
      <c r="AH55" s="123">
        <f t="shared" si="10"/>
        <v>0</v>
      </c>
    </row>
    <row r="56" spans="1:34" ht="20.25" customHeight="1">
      <c r="A56" s="133">
        <f t="shared" si="12"/>
        <v>43361</v>
      </c>
      <c r="B56" s="134">
        <f t="shared" si="13"/>
        <v>0.66666666666666696</v>
      </c>
      <c r="C56" s="133">
        <f t="shared" si="0"/>
        <v>43361.666666666664</v>
      </c>
      <c r="D56" s="134" t="str">
        <f t="shared" si="14"/>
        <v>中班</v>
      </c>
      <c r="E56" s="131">
        <f t="shared" si="15"/>
        <v>3</v>
      </c>
      <c r="F56" s="131" t="str">
        <f t="shared" si="1"/>
        <v>丙班</v>
      </c>
      <c r="G56" s="132">
        <f>SUMPRODUCT((_6shaozhuchou_month_day!$A$2:$A$906&gt;=C56)*(_6shaozhuchou_month_day!$A$2:$A$906&lt;C57),_6shaozhuchou_month_day!$Y$2:$Y$906)/8</f>
        <v>0</v>
      </c>
      <c r="H56" s="132">
        <f t="shared" si="2"/>
        <v>0</v>
      </c>
      <c r="I56" s="141">
        <f t="shared" si="16"/>
        <v>0</v>
      </c>
      <c r="J56" s="142" t="e">
        <f>SUMPRODUCT((主抽数据!$AU$5:$AU$97=$A56)*(主抽数据!$AV$5:$AV$97=$F56),主抽数据!$AK$5:$AK$97)</f>
        <v>#REF!</v>
      </c>
      <c r="K56" s="142" t="e">
        <f>SUMPRODUCT((主抽数据!$AU$5:$AU$97=$A56)*(主抽数据!$AV$5:$AV$97=$F56),主抽数据!$AL$5:$AL$97)</f>
        <v>#REF!</v>
      </c>
      <c r="L56" s="143" t="e">
        <f t="shared" si="17"/>
        <v>#REF!</v>
      </c>
      <c r="M56" s="143">
        <f>SUMPRODUCT((_6shaozhuchou_month_day!$A$2:$A$906&gt;=C56)*(_6shaozhuchou_month_day!$A$2:$A$906&lt;C57),_6shaozhuchou_month_day!$Z$2:$Z$906)</f>
        <v>0</v>
      </c>
      <c r="N56" s="132">
        <f>M56*查询与汇总!$O$1</f>
        <v>0</v>
      </c>
      <c r="O56" s="144">
        <f t="shared" si="18"/>
        <v>0</v>
      </c>
      <c r="P56" s="145">
        <f>IF(G56=0,0,SUMPRODUCT((_6shaozhuchou_month_day!$A$2:$A$906&gt;=$C56)*(_6shaozhuchou_month_day!$A$2:$A$906&lt;$C57),_6shaozhuchou_month_day!T$2:T$906)/SUMPRODUCT((_6shaozhuchou_month_day!$A$2:$A$906&gt;=$C56)*(_6shaozhuchou_month_day!$A$2:$A$906&lt;$C57)*(_6shaozhuchou_month_day!T$2:T$906&gt;0)))</f>
        <v>0</v>
      </c>
      <c r="Q56" s="145">
        <f>IF(G56=0,0,SUMPRODUCT((_6shaozhuchou_month_day!$A$2:$A$906&gt;=$C56)*(_6shaozhuchou_month_day!$A$2:$A$906&lt;$C57),_6shaozhuchou_month_day!U$2:U$906)/SUMPRODUCT((_6shaozhuchou_month_day!$A$2:$A$906&gt;=$C56)*(_6shaozhuchou_month_day!$A$2:$A$906&lt;$C57)*(_6shaozhuchou_month_day!U$2:U$906&lt;0)))</f>
        <v>0</v>
      </c>
      <c r="R56" s="145">
        <f>IF(G56=0,0,SUMPRODUCT((_6shaozhuchou_month_day!$A$2:$A$906&gt;=$C56)*(_6shaozhuchou_month_day!$A$2:$A$906&lt;$C57),_6shaozhuchou_month_day!V$2:V$906)/SUMPRODUCT((_6shaozhuchou_month_day!$A$2:$A$906&gt;=$C56)*(_6shaozhuchou_month_day!$A$2:$A$906&lt;$C57)*(_6shaozhuchou_month_day!V$2:V$906&gt;0)))</f>
        <v>0</v>
      </c>
      <c r="S56" s="145">
        <f>IF(G56=0,0,SUMPRODUCT((_6shaozhuchou_month_day!$A$2:$A$906&gt;=$C56)*(_6shaozhuchou_month_day!$A$2:$A$906&lt;$C57),_6shaozhuchou_month_day!W$2:W$906)/SUMPRODUCT((_6shaozhuchou_month_day!$A$2:$A$906&gt;=$C56)*(_6shaozhuchou_month_day!$A$2:$A$906&lt;$C57)*(_6shaozhuchou_month_day!W$2:W$906&lt;0)))</f>
        <v>0</v>
      </c>
      <c r="T56" s="145" t="str">
        <f>主抽数据!Z60</f>
        <v/>
      </c>
      <c r="U56" s="145" t="str">
        <f>主抽数据!AA60</f>
        <v/>
      </c>
      <c r="V56" s="148">
        <f>查询与汇总!$S$1*M56</f>
        <v>0</v>
      </c>
      <c r="W56" s="149" t="e">
        <f t="shared" si="19"/>
        <v>#REF!</v>
      </c>
      <c r="X56" s="151"/>
      <c r="Y56" s="164"/>
      <c r="Z56" s="163"/>
      <c r="AA56" s="160" t="str">
        <f>主抽数据!AB60</f>
        <v/>
      </c>
      <c r="AB56" s="161" t="str">
        <f>主抽数据!AC60</f>
        <v/>
      </c>
      <c r="AC56" s="162" t="e">
        <f t="shared" si="20"/>
        <v>#REF!</v>
      </c>
      <c r="AE56" s="123" t="e">
        <f t="shared" si="21"/>
        <v>#VALUE!</v>
      </c>
      <c r="AF56" s="123" t="e">
        <f t="shared" si="22"/>
        <v>#VALUE!</v>
      </c>
      <c r="AG56" s="123">
        <f t="shared" si="9"/>
        <v>0</v>
      </c>
      <c r="AH56" s="123">
        <f t="shared" si="10"/>
        <v>0</v>
      </c>
    </row>
    <row r="57" spans="1:34" ht="50.1" customHeight="1">
      <c r="A57" s="133">
        <f t="shared" si="12"/>
        <v>43362</v>
      </c>
      <c r="B57" s="134">
        <f t="shared" si="13"/>
        <v>0</v>
      </c>
      <c r="C57" s="133">
        <f t="shared" si="0"/>
        <v>43362</v>
      </c>
      <c r="D57" s="134" t="str">
        <f t="shared" si="14"/>
        <v>夜班</v>
      </c>
      <c r="E57" s="131">
        <f t="shared" si="15"/>
        <v>1</v>
      </c>
      <c r="F57" s="131" t="str">
        <f t="shared" si="1"/>
        <v>甲班</v>
      </c>
      <c r="G57" s="132">
        <f>SUMPRODUCT((_6shaozhuchou_month_day!$A$2:$A$906&gt;=C57)*(_6shaozhuchou_month_day!$A$2:$A$906&lt;C58),_6shaozhuchou_month_day!$Y$2:$Y$906)/8</f>
        <v>0</v>
      </c>
      <c r="H57" s="132">
        <f t="shared" si="2"/>
        <v>0</v>
      </c>
      <c r="I57" s="141">
        <f t="shared" si="16"/>
        <v>0</v>
      </c>
      <c r="J57" s="142" t="e">
        <f>SUMPRODUCT((主抽数据!$AU$5:$AU$97=$A57)*(主抽数据!$AV$5:$AV$97=$F57),主抽数据!$AK$5:$AK$97)</f>
        <v>#REF!</v>
      </c>
      <c r="K57" s="142" t="e">
        <f>SUMPRODUCT((主抽数据!$AU$5:$AU$97=$A57)*(主抽数据!$AV$5:$AV$97=$F57),主抽数据!$AL$5:$AL$97)</f>
        <v>#REF!</v>
      </c>
      <c r="L57" s="143" t="e">
        <f t="shared" si="17"/>
        <v>#REF!</v>
      </c>
      <c r="M57" s="143">
        <f>SUMPRODUCT((_6shaozhuchou_month_day!$A$2:$A$906&gt;=C57)*(_6shaozhuchou_month_day!$A$2:$A$906&lt;C58),_6shaozhuchou_month_day!$Z$2:$Z$906)</f>
        <v>0</v>
      </c>
      <c r="N57" s="132">
        <f>M57*查询与汇总!$O$1</f>
        <v>0</v>
      </c>
      <c r="O57" s="144">
        <f t="shared" si="18"/>
        <v>0</v>
      </c>
      <c r="P57" s="145">
        <f>IF(G57=0,0,SUMPRODUCT((_6shaozhuchou_month_day!$A$2:$A$906&gt;=$C57)*(_6shaozhuchou_month_day!$A$2:$A$906&lt;$C58),_6shaozhuchou_month_day!T$2:T$906)/SUMPRODUCT((_6shaozhuchou_month_day!$A$2:$A$906&gt;=$C57)*(_6shaozhuchou_month_day!$A$2:$A$906&lt;$C58)*(_6shaozhuchou_month_day!T$2:T$906&gt;0)))</f>
        <v>0</v>
      </c>
      <c r="Q57" s="145">
        <f>IF(G57=0,0,SUMPRODUCT((_6shaozhuchou_month_day!$A$2:$A$906&gt;=$C57)*(_6shaozhuchou_month_day!$A$2:$A$906&lt;$C58),_6shaozhuchou_month_day!U$2:U$906)/SUMPRODUCT((_6shaozhuchou_month_day!$A$2:$A$906&gt;=$C57)*(_6shaozhuchou_month_day!$A$2:$A$906&lt;$C58)*(_6shaozhuchou_month_day!U$2:U$906&lt;0)))</f>
        <v>0</v>
      </c>
      <c r="R57" s="145">
        <f>IF(G57=0,0,SUMPRODUCT((_6shaozhuchou_month_day!$A$2:$A$906&gt;=$C57)*(_6shaozhuchou_month_day!$A$2:$A$906&lt;$C58),_6shaozhuchou_month_day!V$2:V$906)/SUMPRODUCT((_6shaozhuchou_month_day!$A$2:$A$906&gt;=$C57)*(_6shaozhuchou_month_day!$A$2:$A$906&lt;$C58)*(_6shaozhuchou_month_day!V$2:V$906&gt;0)))</f>
        <v>0</v>
      </c>
      <c r="S57" s="145">
        <f>IF(G57=0,0,SUMPRODUCT((_6shaozhuchou_month_day!$A$2:$A$906&gt;=$C57)*(_6shaozhuchou_month_day!$A$2:$A$906&lt;$C58),_6shaozhuchou_month_day!W$2:W$906)/SUMPRODUCT((_6shaozhuchou_month_day!$A$2:$A$906&gt;=$C57)*(_6shaozhuchou_month_day!$A$2:$A$906&lt;$C58)*(_6shaozhuchou_month_day!W$2:W$906&lt;0)))</f>
        <v>0</v>
      </c>
      <c r="T57" s="145" t="str">
        <f>主抽数据!Z61</f>
        <v/>
      </c>
      <c r="U57" s="145" t="str">
        <f>主抽数据!AA61</f>
        <v/>
      </c>
      <c r="V57" s="148">
        <f>查询与汇总!$S$1*M57</f>
        <v>0</v>
      </c>
      <c r="W57" s="149" t="e">
        <f t="shared" si="19"/>
        <v>#REF!</v>
      </c>
      <c r="X57" s="151"/>
      <c r="Y57" s="164"/>
      <c r="Z57" s="165"/>
      <c r="AA57" s="160" t="str">
        <f>主抽数据!AB61</f>
        <v/>
      </c>
      <c r="AB57" s="161" t="str">
        <f>主抽数据!AC61</f>
        <v/>
      </c>
      <c r="AC57" s="162" t="e">
        <f t="shared" si="20"/>
        <v>#REF!</v>
      </c>
      <c r="AE57" s="123" t="e">
        <f t="shared" si="21"/>
        <v>#VALUE!</v>
      </c>
      <c r="AF57" s="123" t="e">
        <f t="shared" si="22"/>
        <v>#VALUE!</v>
      </c>
      <c r="AG57" s="123">
        <f t="shared" si="9"/>
        <v>0</v>
      </c>
      <c r="AH57" s="123">
        <f t="shared" si="10"/>
        <v>0</v>
      </c>
    </row>
    <row r="58" spans="1:34" ht="24" customHeight="1">
      <c r="A58" s="133">
        <f t="shared" si="12"/>
        <v>43362</v>
      </c>
      <c r="B58" s="134">
        <f t="shared" si="13"/>
        <v>0.33333333333333298</v>
      </c>
      <c r="C58" s="133">
        <f t="shared" si="0"/>
        <v>43362.333333333336</v>
      </c>
      <c r="D58" s="134" t="str">
        <f t="shared" si="14"/>
        <v>白班</v>
      </c>
      <c r="E58" s="131">
        <f t="shared" si="15"/>
        <v>2</v>
      </c>
      <c r="F58" s="131" t="str">
        <f t="shared" si="1"/>
        <v>乙班</v>
      </c>
      <c r="G58" s="132">
        <f>SUMPRODUCT((_6shaozhuchou_month_day!$A$2:$A$906&gt;=C58)*(_6shaozhuchou_month_day!$A$2:$A$906&lt;C59),_6shaozhuchou_month_day!$Y$2:$Y$906)/8</f>
        <v>0</v>
      </c>
      <c r="H58" s="132">
        <f t="shared" si="2"/>
        <v>0</v>
      </c>
      <c r="I58" s="141">
        <f t="shared" si="16"/>
        <v>0</v>
      </c>
      <c r="J58" s="142" t="e">
        <f>SUMPRODUCT((主抽数据!$AU$5:$AU$97=$A58)*(主抽数据!$AV$5:$AV$97=$F58),主抽数据!$AK$5:$AK$97)</f>
        <v>#REF!</v>
      </c>
      <c r="K58" s="142" t="e">
        <f>SUMPRODUCT((主抽数据!$AU$5:$AU$97=$A58)*(主抽数据!$AV$5:$AV$97=$F58),主抽数据!$AL$5:$AL$97)</f>
        <v>#REF!</v>
      </c>
      <c r="L58" s="143" t="e">
        <f t="shared" si="17"/>
        <v>#REF!</v>
      </c>
      <c r="M58" s="143">
        <f>SUMPRODUCT((_6shaozhuchou_month_day!$A$2:$A$906&gt;=C58)*(_6shaozhuchou_month_day!$A$2:$A$906&lt;C59),_6shaozhuchou_month_day!$Z$2:$Z$906)</f>
        <v>0</v>
      </c>
      <c r="N58" s="132">
        <f>M58*查询与汇总!$O$1</f>
        <v>0</v>
      </c>
      <c r="O58" s="144">
        <f t="shared" si="18"/>
        <v>0</v>
      </c>
      <c r="P58" s="145">
        <f>IF(G58=0,0,SUMPRODUCT((_6shaozhuchou_month_day!$A$2:$A$906&gt;=$C58)*(_6shaozhuchou_month_day!$A$2:$A$906&lt;$C59),_6shaozhuchou_month_day!T$2:T$906)/SUMPRODUCT((_6shaozhuchou_month_day!$A$2:$A$906&gt;=$C58)*(_6shaozhuchou_month_day!$A$2:$A$906&lt;$C59)*(_6shaozhuchou_month_day!T$2:T$906&gt;0)))</f>
        <v>0</v>
      </c>
      <c r="Q58" s="145">
        <f>IF(G58=0,0,SUMPRODUCT((_6shaozhuchou_month_day!$A$2:$A$906&gt;=$C58)*(_6shaozhuchou_month_day!$A$2:$A$906&lt;$C59),_6shaozhuchou_month_day!U$2:U$906)/SUMPRODUCT((_6shaozhuchou_month_day!$A$2:$A$906&gt;=$C58)*(_6shaozhuchou_month_day!$A$2:$A$906&lt;$C59)*(_6shaozhuchou_month_day!U$2:U$906&lt;0)))</f>
        <v>0</v>
      </c>
      <c r="R58" s="145">
        <f>IF(G58=0,0,SUMPRODUCT((_6shaozhuchou_month_day!$A$2:$A$906&gt;=$C58)*(_6shaozhuchou_month_day!$A$2:$A$906&lt;$C59),_6shaozhuchou_month_day!V$2:V$906)/SUMPRODUCT((_6shaozhuchou_month_day!$A$2:$A$906&gt;=$C58)*(_6shaozhuchou_month_day!$A$2:$A$906&lt;$C59)*(_6shaozhuchou_month_day!V$2:V$906&gt;0)))</f>
        <v>0</v>
      </c>
      <c r="S58" s="145">
        <f>IF(G58=0,0,SUMPRODUCT((_6shaozhuchou_month_day!$A$2:$A$906&gt;=$C58)*(_6shaozhuchou_month_day!$A$2:$A$906&lt;$C59),_6shaozhuchou_month_day!W$2:W$906)/SUMPRODUCT((_6shaozhuchou_month_day!$A$2:$A$906&gt;=$C58)*(_6shaozhuchou_month_day!$A$2:$A$906&lt;$C59)*(_6shaozhuchou_month_day!W$2:W$906&lt;0)))</f>
        <v>0</v>
      </c>
      <c r="T58" s="145" t="str">
        <f>主抽数据!Z62</f>
        <v/>
      </c>
      <c r="U58" s="145" t="str">
        <f>主抽数据!AA62</f>
        <v/>
      </c>
      <c r="V58" s="148">
        <f>查询与汇总!$S$1*M58</f>
        <v>0</v>
      </c>
      <c r="W58" s="149" t="e">
        <f t="shared" si="19"/>
        <v>#REF!</v>
      </c>
      <c r="X58" s="151"/>
      <c r="Y58" s="164"/>
      <c r="Z58" s="163"/>
      <c r="AA58" s="160" t="str">
        <f>主抽数据!AB62</f>
        <v/>
      </c>
      <c r="AB58" s="161" t="str">
        <f>主抽数据!AC62</f>
        <v/>
      </c>
      <c r="AC58" s="162" t="e">
        <f t="shared" si="20"/>
        <v>#REF!</v>
      </c>
      <c r="AE58" s="123" t="e">
        <f t="shared" si="21"/>
        <v>#VALUE!</v>
      </c>
      <c r="AF58" s="123" t="e">
        <f t="shared" si="22"/>
        <v>#VALUE!</v>
      </c>
      <c r="AG58" s="123">
        <f t="shared" si="9"/>
        <v>0</v>
      </c>
      <c r="AH58" s="123">
        <f t="shared" si="10"/>
        <v>0</v>
      </c>
    </row>
    <row r="59" spans="1:34" ht="20.25" customHeight="1">
      <c r="A59" s="133">
        <f t="shared" si="12"/>
        <v>43362</v>
      </c>
      <c r="B59" s="134">
        <f t="shared" si="13"/>
        <v>0.66666666666666696</v>
      </c>
      <c r="C59" s="133">
        <f t="shared" si="0"/>
        <v>43362.666666666664</v>
      </c>
      <c r="D59" s="134" t="str">
        <f t="shared" si="14"/>
        <v>中班</v>
      </c>
      <c r="E59" s="131">
        <f t="shared" si="15"/>
        <v>3</v>
      </c>
      <c r="F59" s="131" t="str">
        <f t="shared" si="1"/>
        <v>丙班</v>
      </c>
      <c r="G59" s="132">
        <f>SUMPRODUCT((_6shaozhuchou_month_day!$A$2:$A$906&gt;=C59)*(_6shaozhuchou_month_day!$A$2:$A$906&lt;C60),_6shaozhuchou_month_day!$Y$2:$Y$906)/8</f>
        <v>0</v>
      </c>
      <c r="H59" s="132">
        <f t="shared" si="2"/>
        <v>0</v>
      </c>
      <c r="I59" s="141">
        <f t="shared" si="16"/>
        <v>0</v>
      </c>
      <c r="J59" s="142" t="e">
        <f>SUMPRODUCT((主抽数据!$AU$5:$AU$97=$A59)*(主抽数据!$AV$5:$AV$97=$F59),主抽数据!$AK$5:$AK$97)</f>
        <v>#REF!</v>
      </c>
      <c r="K59" s="142" t="e">
        <f>SUMPRODUCT((主抽数据!$AU$5:$AU$97=$A59)*(主抽数据!$AV$5:$AV$97=$F59),主抽数据!$AL$5:$AL$97)</f>
        <v>#REF!</v>
      </c>
      <c r="L59" s="143" t="e">
        <f t="shared" si="17"/>
        <v>#REF!</v>
      </c>
      <c r="M59" s="143">
        <f>SUMPRODUCT((_6shaozhuchou_month_day!$A$2:$A$906&gt;=C59)*(_6shaozhuchou_month_day!$A$2:$A$906&lt;C60),_6shaozhuchou_month_day!$Z$2:$Z$906)</f>
        <v>0</v>
      </c>
      <c r="N59" s="132">
        <f>M59*查询与汇总!$O$1</f>
        <v>0</v>
      </c>
      <c r="O59" s="144">
        <f t="shared" si="18"/>
        <v>0</v>
      </c>
      <c r="P59" s="145">
        <f>IF(G59=0,0,SUMPRODUCT((_6shaozhuchou_month_day!$A$2:$A$906&gt;=$C59)*(_6shaozhuchou_month_day!$A$2:$A$906&lt;$C60),_6shaozhuchou_month_day!T$2:T$906)/SUMPRODUCT((_6shaozhuchou_month_day!$A$2:$A$906&gt;=$C59)*(_6shaozhuchou_month_day!$A$2:$A$906&lt;$C60)*(_6shaozhuchou_month_day!T$2:T$906&gt;0)))</f>
        <v>0</v>
      </c>
      <c r="Q59" s="145">
        <f>IF(G59=0,0,SUMPRODUCT((_6shaozhuchou_month_day!$A$2:$A$906&gt;=$C59)*(_6shaozhuchou_month_day!$A$2:$A$906&lt;$C60),_6shaozhuchou_month_day!U$2:U$906)/SUMPRODUCT((_6shaozhuchou_month_day!$A$2:$A$906&gt;=$C59)*(_6shaozhuchou_month_day!$A$2:$A$906&lt;$C60)*(_6shaozhuchou_month_day!U$2:U$906&lt;0)))</f>
        <v>0</v>
      </c>
      <c r="R59" s="145">
        <f>IF(G59=0,0,SUMPRODUCT((_6shaozhuchou_month_day!$A$2:$A$906&gt;=$C59)*(_6shaozhuchou_month_day!$A$2:$A$906&lt;$C60),_6shaozhuchou_month_day!V$2:V$906)/SUMPRODUCT((_6shaozhuchou_month_day!$A$2:$A$906&gt;=$C59)*(_6shaozhuchou_month_day!$A$2:$A$906&lt;$C60)*(_6shaozhuchou_month_day!V$2:V$906&gt;0)))</f>
        <v>0</v>
      </c>
      <c r="S59" s="145">
        <f>IF(G59=0,0,SUMPRODUCT((_6shaozhuchou_month_day!$A$2:$A$906&gt;=$C59)*(_6shaozhuchou_month_day!$A$2:$A$906&lt;$C60),_6shaozhuchou_month_day!W$2:W$906)/SUMPRODUCT((_6shaozhuchou_month_day!$A$2:$A$906&gt;=$C59)*(_6shaozhuchou_month_day!$A$2:$A$906&lt;$C60)*(_6shaozhuchou_month_day!W$2:W$906&lt;0)))</f>
        <v>0</v>
      </c>
      <c r="T59" s="145" t="str">
        <f>主抽数据!Z63</f>
        <v/>
      </c>
      <c r="U59" s="145" t="str">
        <f>主抽数据!AA63</f>
        <v/>
      </c>
      <c r="V59" s="148">
        <f>查询与汇总!$S$1*M59</f>
        <v>0</v>
      </c>
      <c r="W59" s="149" t="e">
        <f t="shared" si="19"/>
        <v>#REF!</v>
      </c>
      <c r="X59" s="151"/>
      <c r="Y59" s="164"/>
      <c r="Z59" s="163"/>
      <c r="AA59" s="160" t="str">
        <f>主抽数据!AB63</f>
        <v/>
      </c>
      <c r="AB59" s="161" t="str">
        <f>主抽数据!AC63</f>
        <v/>
      </c>
      <c r="AC59" s="162" t="e">
        <f>IF(V59=-W59,0,W59*0.65/10000)</f>
        <v>#REF!</v>
      </c>
      <c r="AE59" s="123" t="e">
        <f t="shared" si="21"/>
        <v>#VALUE!</v>
      </c>
      <c r="AF59" s="123" t="e">
        <f t="shared" si="22"/>
        <v>#VALUE!</v>
      </c>
      <c r="AG59" s="123">
        <f t="shared" si="9"/>
        <v>0</v>
      </c>
      <c r="AH59" s="123">
        <f t="shared" si="10"/>
        <v>0</v>
      </c>
    </row>
    <row r="60" spans="1:34" ht="20.25" customHeight="1">
      <c r="A60" s="133">
        <f t="shared" si="12"/>
        <v>43363</v>
      </c>
      <c r="B60" s="134">
        <f t="shared" si="13"/>
        <v>0</v>
      </c>
      <c r="C60" s="133">
        <f t="shared" si="0"/>
        <v>43363</v>
      </c>
      <c r="D60" s="134" t="str">
        <f t="shared" si="14"/>
        <v>夜班</v>
      </c>
      <c r="E60" s="131">
        <f t="shared" si="15"/>
        <v>4</v>
      </c>
      <c r="F60" s="131" t="str">
        <f t="shared" si="1"/>
        <v>丁班</v>
      </c>
      <c r="G60" s="132">
        <f>SUMPRODUCT((_6shaozhuchou_month_day!$A$2:$A$906&gt;=C60)*(_6shaozhuchou_month_day!$A$2:$A$906&lt;C61),_6shaozhuchou_month_day!$Y$2:$Y$906)/8</f>
        <v>0</v>
      </c>
      <c r="H60" s="132">
        <f t="shared" si="2"/>
        <v>0</v>
      </c>
      <c r="I60" s="141">
        <f t="shared" si="16"/>
        <v>0</v>
      </c>
      <c r="J60" s="142" t="e">
        <f>SUMPRODUCT((主抽数据!$AU$5:$AU$97=$A60)*(主抽数据!$AV$5:$AV$97=$F60),主抽数据!$AK$5:$AK$97)</f>
        <v>#REF!</v>
      </c>
      <c r="K60" s="142" t="e">
        <f>SUMPRODUCT((主抽数据!$AU$5:$AU$97=$A60)*(主抽数据!$AV$5:$AV$97=$F60),主抽数据!$AL$5:$AL$97)</f>
        <v>#REF!</v>
      </c>
      <c r="L60" s="143" t="e">
        <f t="shared" si="17"/>
        <v>#REF!</v>
      </c>
      <c r="M60" s="143">
        <f>SUMPRODUCT((_6shaozhuchou_month_day!$A$2:$A$906&gt;=C60)*(_6shaozhuchou_month_day!$A$2:$A$906&lt;C61),_6shaozhuchou_month_day!$Z$2:$Z$906)</f>
        <v>0</v>
      </c>
      <c r="N60" s="132">
        <f>M60*查询与汇总!$O$1</f>
        <v>0</v>
      </c>
      <c r="O60" s="144">
        <f t="shared" si="18"/>
        <v>0</v>
      </c>
      <c r="P60" s="145">
        <f>IF(G60=0,0,SUMPRODUCT((_6shaozhuchou_month_day!$A$2:$A$906&gt;=$C60)*(_6shaozhuchou_month_day!$A$2:$A$906&lt;$C61),_6shaozhuchou_month_day!T$2:T$906)/SUMPRODUCT((_6shaozhuchou_month_day!$A$2:$A$906&gt;=$C60)*(_6shaozhuchou_month_day!$A$2:$A$906&lt;$C61)*(_6shaozhuchou_month_day!T$2:T$906&gt;0)))</f>
        <v>0</v>
      </c>
      <c r="Q60" s="145">
        <f>IF(G60=0,0,SUMPRODUCT((_6shaozhuchou_month_day!$A$2:$A$906&gt;=$C60)*(_6shaozhuchou_month_day!$A$2:$A$906&lt;$C61),_6shaozhuchou_month_day!U$2:U$906)/SUMPRODUCT((_6shaozhuchou_month_day!$A$2:$A$906&gt;=$C60)*(_6shaozhuchou_month_day!$A$2:$A$906&lt;$C61)*(_6shaozhuchou_month_day!U$2:U$906&lt;0)))</f>
        <v>0</v>
      </c>
      <c r="R60" s="145">
        <f>IF(G60=0,0,SUMPRODUCT((_6shaozhuchou_month_day!$A$2:$A$906&gt;=$C60)*(_6shaozhuchou_month_day!$A$2:$A$906&lt;$C61),_6shaozhuchou_month_day!V$2:V$906)/SUMPRODUCT((_6shaozhuchou_month_day!$A$2:$A$906&gt;=$C60)*(_6shaozhuchou_month_day!$A$2:$A$906&lt;$C61)*(_6shaozhuchou_month_day!V$2:V$906&gt;0)))</f>
        <v>0</v>
      </c>
      <c r="S60" s="145">
        <f>IF(G60=0,0,SUMPRODUCT((_6shaozhuchou_month_day!$A$2:$A$906&gt;=$C60)*(_6shaozhuchou_month_day!$A$2:$A$906&lt;$C61),_6shaozhuchou_month_day!W$2:W$906)/SUMPRODUCT((_6shaozhuchou_month_day!$A$2:$A$906&gt;=$C60)*(_6shaozhuchou_month_day!$A$2:$A$906&lt;$C61)*(_6shaozhuchou_month_day!W$2:W$906&lt;0)))</f>
        <v>0</v>
      </c>
      <c r="T60" s="145" t="str">
        <f>主抽数据!Z64</f>
        <v/>
      </c>
      <c r="U60" s="145" t="str">
        <f>主抽数据!AA64</f>
        <v/>
      </c>
      <c r="V60" s="148">
        <f>查询与汇总!$S$1*M60</f>
        <v>0</v>
      </c>
      <c r="W60" s="149" t="e">
        <f t="shared" si="19"/>
        <v>#REF!</v>
      </c>
      <c r="X60" s="151"/>
      <c r="Y60" s="164"/>
      <c r="Z60" s="163"/>
      <c r="AA60" s="160" t="str">
        <f>主抽数据!AB64</f>
        <v/>
      </c>
      <c r="AB60" s="161" t="str">
        <f>主抽数据!AC64</f>
        <v/>
      </c>
      <c r="AC60" s="162" t="e">
        <f t="shared" ref="AC60:AC95" si="23">IF(V60=-W60,0,W60*0.65/10000)</f>
        <v>#REF!</v>
      </c>
      <c r="AE60" s="123" t="e">
        <f t="shared" si="21"/>
        <v>#VALUE!</v>
      </c>
      <c r="AF60" s="123" t="e">
        <f t="shared" si="22"/>
        <v>#VALUE!</v>
      </c>
      <c r="AG60" s="123">
        <f t="shared" si="9"/>
        <v>0</v>
      </c>
      <c r="AH60" s="123">
        <f t="shared" si="10"/>
        <v>0</v>
      </c>
    </row>
    <row r="61" spans="1:34" s="110" customFormat="1" ht="35.1" customHeight="1">
      <c r="A61" s="133">
        <f t="shared" si="12"/>
        <v>43363</v>
      </c>
      <c r="B61" s="134">
        <f t="shared" si="13"/>
        <v>0.33333333333333298</v>
      </c>
      <c r="C61" s="133">
        <f t="shared" si="0"/>
        <v>43363.333333333336</v>
      </c>
      <c r="D61" s="134" t="str">
        <f t="shared" si="14"/>
        <v>白班</v>
      </c>
      <c r="E61" s="135">
        <f t="shared" si="15"/>
        <v>1</v>
      </c>
      <c r="F61" s="135" t="str">
        <f t="shared" si="1"/>
        <v>甲班</v>
      </c>
      <c r="G61" s="132">
        <f>SUMPRODUCT((_6shaozhuchou_month_day!$A$2:$A$906&gt;=C61)*(_6shaozhuchou_month_day!$A$2:$A$906&lt;C62),_6shaozhuchou_month_day!$Y$2:$Y$906)/8</f>
        <v>0</v>
      </c>
      <c r="H61" s="132">
        <f t="shared" si="2"/>
        <v>0</v>
      </c>
      <c r="I61" s="141">
        <f t="shared" si="16"/>
        <v>0</v>
      </c>
      <c r="J61" s="142" t="e">
        <f>SUMPRODUCT((主抽数据!$AU$5:$AU$97=$A61)*(主抽数据!$AV$5:$AV$97=$F61),主抽数据!$AK$5:$AK$97)</f>
        <v>#REF!</v>
      </c>
      <c r="K61" s="142" t="e">
        <f>SUMPRODUCT((主抽数据!$AU$5:$AU$97=$A61)*(主抽数据!$AV$5:$AV$97=$F61),主抽数据!$AL$5:$AL$97)</f>
        <v>#REF!</v>
      </c>
      <c r="L61" s="143" t="e">
        <f t="shared" si="17"/>
        <v>#REF!</v>
      </c>
      <c r="M61" s="143">
        <f>SUMPRODUCT((_6shaozhuchou_month_day!$A$2:$A$906&gt;=C61)*(_6shaozhuchou_month_day!$A$2:$A$906&lt;C62),_6shaozhuchou_month_day!$Z$2:$Z$906)</f>
        <v>0</v>
      </c>
      <c r="N61" s="132">
        <f>M61*查询与汇总!$O$1</f>
        <v>0</v>
      </c>
      <c r="O61" s="144">
        <f t="shared" si="18"/>
        <v>0</v>
      </c>
      <c r="P61" s="145">
        <f>IF(G61=0,0,SUMPRODUCT((_6shaozhuchou_month_day!$A$2:$A$906&gt;=$C61)*(_6shaozhuchou_month_day!$A$2:$A$906&lt;$C62),_6shaozhuchou_month_day!T$2:T$906)/SUMPRODUCT((_6shaozhuchou_month_day!$A$2:$A$906&gt;=$C61)*(_6shaozhuchou_month_day!$A$2:$A$906&lt;$C62)*(_6shaozhuchou_month_day!T$2:T$906&gt;0)))</f>
        <v>0</v>
      </c>
      <c r="Q61" s="145">
        <f>IF(G61=0,0,SUMPRODUCT((_6shaozhuchou_month_day!$A$2:$A$906&gt;=$C61)*(_6shaozhuchou_month_day!$A$2:$A$906&lt;$C62),_6shaozhuchou_month_day!U$2:U$906)/SUMPRODUCT((_6shaozhuchou_month_day!$A$2:$A$906&gt;=$C61)*(_6shaozhuchou_month_day!$A$2:$A$906&lt;$C62)*(_6shaozhuchou_month_day!U$2:U$906&lt;0)))</f>
        <v>0</v>
      </c>
      <c r="R61" s="145">
        <f>IF(G61=0,0,SUMPRODUCT((_6shaozhuchou_month_day!$A$2:$A$906&gt;=$C61)*(_6shaozhuchou_month_day!$A$2:$A$906&lt;$C62),_6shaozhuchou_month_day!V$2:V$906)/SUMPRODUCT((_6shaozhuchou_month_day!$A$2:$A$906&gt;=$C61)*(_6shaozhuchou_month_day!$A$2:$A$906&lt;$C62)*(_6shaozhuchou_month_day!V$2:V$906&gt;0)))</f>
        <v>0</v>
      </c>
      <c r="S61" s="145">
        <f>IF(G61=0,0,SUMPRODUCT((_6shaozhuchou_month_day!$A$2:$A$906&gt;=$C61)*(_6shaozhuchou_month_day!$A$2:$A$906&lt;$C62),_6shaozhuchou_month_day!W$2:W$906)/SUMPRODUCT((_6shaozhuchou_month_day!$A$2:$A$906&gt;=$C61)*(_6shaozhuchou_month_day!$A$2:$A$906&lt;$C62)*(_6shaozhuchou_month_day!W$2:W$906&lt;0)))</f>
        <v>0</v>
      </c>
      <c r="T61" s="145" t="str">
        <f>主抽数据!Z65</f>
        <v/>
      </c>
      <c r="U61" s="145" t="str">
        <f>主抽数据!AA65</f>
        <v/>
      </c>
      <c r="V61" s="148">
        <f>查询与汇总!$S$1*M61</f>
        <v>0</v>
      </c>
      <c r="W61" s="149" t="e">
        <f t="shared" si="19"/>
        <v>#REF!</v>
      </c>
      <c r="X61" s="151"/>
      <c r="Y61" s="168"/>
      <c r="Z61" s="163"/>
      <c r="AA61" s="160" t="str">
        <f>主抽数据!AB65</f>
        <v/>
      </c>
      <c r="AB61" s="161" t="str">
        <f>主抽数据!AC65</f>
        <v/>
      </c>
      <c r="AC61" s="162" t="e">
        <f t="shared" si="23"/>
        <v>#REF!</v>
      </c>
      <c r="AE61" s="123" t="e">
        <f t="shared" si="21"/>
        <v>#VALUE!</v>
      </c>
      <c r="AF61" s="123" t="e">
        <f t="shared" si="22"/>
        <v>#VALUE!</v>
      </c>
      <c r="AG61" s="123">
        <f t="shared" si="9"/>
        <v>0</v>
      </c>
      <c r="AH61" s="123">
        <f t="shared" si="10"/>
        <v>0</v>
      </c>
    </row>
    <row r="62" spans="1:34" ht="20.25" customHeight="1">
      <c r="A62" s="133">
        <f t="shared" si="12"/>
        <v>43363</v>
      </c>
      <c r="B62" s="134">
        <f t="shared" si="13"/>
        <v>0.66666666666666696</v>
      </c>
      <c r="C62" s="133">
        <f t="shared" si="0"/>
        <v>43363.666666666664</v>
      </c>
      <c r="D62" s="134" t="str">
        <f t="shared" si="14"/>
        <v>中班</v>
      </c>
      <c r="E62" s="131">
        <f t="shared" si="15"/>
        <v>2</v>
      </c>
      <c r="F62" s="131" t="str">
        <f t="shared" si="1"/>
        <v>乙班</v>
      </c>
      <c r="G62" s="132">
        <f>SUMPRODUCT((_6shaozhuchou_month_day!$A$2:$A$906&gt;=C62)*(_6shaozhuchou_month_day!$A$2:$A$906&lt;C63),_6shaozhuchou_month_day!$Y$2:$Y$906)/8</f>
        <v>0</v>
      </c>
      <c r="H62" s="132">
        <f t="shared" si="2"/>
        <v>0</v>
      </c>
      <c r="I62" s="141">
        <f t="shared" si="16"/>
        <v>0</v>
      </c>
      <c r="J62" s="142" t="e">
        <f>SUMPRODUCT((主抽数据!$AU$5:$AU$97=$A62)*(主抽数据!$AV$5:$AV$97=$F62),主抽数据!$AK$5:$AK$97)</f>
        <v>#REF!</v>
      </c>
      <c r="K62" s="142" t="e">
        <f>SUMPRODUCT((主抽数据!$AU$5:$AU$97=$A62)*(主抽数据!$AV$5:$AV$97=$F62),主抽数据!$AL$5:$AL$97)</f>
        <v>#REF!</v>
      </c>
      <c r="L62" s="143" t="e">
        <f t="shared" si="17"/>
        <v>#REF!</v>
      </c>
      <c r="M62" s="143">
        <f>SUMPRODUCT((_6shaozhuchou_month_day!$A$2:$A$906&gt;=C62)*(_6shaozhuchou_month_day!$A$2:$A$906&lt;C63),_6shaozhuchou_month_day!$Z$2:$Z$906)</f>
        <v>0</v>
      </c>
      <c r="N62" s="132">
        <f>M62*查询与汇总!$O$1</f>
        <v>0</v>
      </c>
      <c r="O62" s="144">
        <f t="shared" si="18"/>
        <v>0</v>
      </c>
      <c r="P62" s="145">
        <f>IF(G62=0,0,SUMPRODUCT((_6shaozhuchou_month_day!$A$2:$A$906&gt;=$C62)*(_6shaozhuchou_month_day!$A$2:$A$906&lt;$C63),_6shaozhuchou_month_day!T$2:T$906)/SUMPRODUCT((_6shaozhuchou_month_day!$A$2:$A$906&gt;=$C62)*(_6shaozhuchou_month_day!$A$2:$A$906&lt;$C63)*(_6shaozhuchou_month_day!T$2:T$906&gt;0)))</f>
        <v>0</v>
      </c>
      <c r="Q62" s="145">
        <f>IF(G62=0,0,SUMPRODUCT((_6shaozhuchou_month_day!$A$2:$A$906&gt;=$C62)*(_6shaozhuchou_month_day!$A$2:$A$906&lt;$C63),_6shaozhuchou_month_day!U$2:U$906)/SUMPRODUCT((_6shaozhuchou_month_day!$A$2:$A$906&gt;=$C62)*(_6shaozhuchou_month_day!$A$2:$A$906&lt;$C63)*(_6shaozhuchou_month_day!U$2:U$906&lt;0)))</f>
        <v>0</v>
      </c>
      <c r="R62" s="145">
        <f>IF(G62=0,0,SUMPRODUCT((_6shaozhuchou_month_day!$A$2:$A$906&gt;=$C62)*(_6shaozhuchou_month_day!$A$2:$A$906&lt;$C63),_6shaozhuchou_month_day!V$2:V$906)/SUMPRODUCT((_6shaozhuchou_month_day!$A$2:$A$906&gt;=$C62)*(_6shaozhuchou_month_day!$A$2:$A$906&lt;$C63)*(_6shaozhuchou_month_day!V$2:V$906&gt;0)))</f>
        <v>0</v>
      </c>
      <c r="S62" s="145">
        <f>IF(G62=0,0,SUMPRODUCT((_6shaozhuchou_month_day!$A$2:$A$906&gt;=$C62)*(_6shaozhuchou_month_day!$A$2:$A$906&lt;$C63),_6shaozhuchou_month_day!W$2:W$906)/SUMPRODUCT((_6shaozhuchou_month_day!$A$2:$A$906&gt;=$C62)*(_6shaozhuchou_month_day!$A$2:$A$906&lt;$C63)*(_6shaozhuchou_month_day!W$2:W$906&lt;0)))</f>
        <v>0</v>
      </c>
      <c r="T62" s="145" t="str">
        <f>主抽数据!Z66</f>
        <v/>
      </c>
      <c r="U62" s="145" t="str">
        <f>主抽数据!AA66</f>
        <v/>
      </c>
      <c r="V62" s="148">
        <f>查询与汇总!$S$1*M62</f>
        <v>0</v>
      </c>
      <c r="W62" s="149" t="e">
        <f t="shared" si="19"/>
        <v>#REF!</v>
      </c>
      <c r="X62" s="151"/>
      <c r="Y62" s="164"/>
      <c r="Z62" s="163"/>
      <c r="AA62" s="160" t="str">
        <f>主抽数据!AB66</f>
        <v/>
      </c>
      <c r="AB62" s="161" t="str">
        <f>主抽数据!AC66</f>
        <v/>
      </c>
      <c r="AC62" s="162" t="e">
        <f t="shared" si="23"/>
        <v>#REF!</v>
      </c>
      <c r="AE62" s="123" t="e">
        <f t="shared" si="21"/>
        <v>#VALUE!</v>
      </c>
      <c r="AF62" s="123" t="e">
        <f t="shared" si="22"/>
        <v>#VALUE!</v>
      </c>
      <c r="AG62" s="123">
        <f t="shared" si="9"/>
        <v>0</v>
      </c>
      <c r="AH62" s="123">
        <f t="shared" si="10"/>
        <v>0</v>
      </c>
    </row>
    <row r="63" spans="1:34" ht="30.95" customHeight="1">
      <c r="A63" s="133">
        <f t="shared" si="12"/>
        <v>43364</v>
      </c>
      <c r="B63" s="134">
        <f t="shared" si="13"/>
        <v>0</v>
      </c>
      <c r="C63" s="133">
        <f t="shared" si="0"/>
        <v>43364</v>
      </c>
      <c r="D63" s="134" t="str">
        <f t="shared" si="14"/>
        <v>夜班</v>
      </c>
      <c r="E63" s="131">
        <f t="shared" si="15"/>
        <v>4</v>
      </c>
      <c r="F63" s="131" t="str">
        <f t="shared" si="1"/>
        <v>丁班</v>
      </c>
      <c r="G63" s="132">
        <f>SUMPRODUCT((_6shaozhuchou_month_day!$A$2:$A$906&gt;=C63)*(_6shaozhuchou_month_day!$A$2:$A$906&lt;C64),_6shaozhuchou_month_day!$Y$2:$Y$906)/8</f>
        <v>0</v>
      </c>
      <c r="H63" s="132">
        <f t="shared" si="2"/>
        <v>0</v>
      </c>
      <c r="I63" s="141">
        <f t="shared" si="16"/>
        <v>0</v>
      </c>
      <c r="J63" s="142" t="e">
        <f>SUMPRODUCT((主抽数据!$AU$5:$AU$97=$A63)*(主抽数据!$AV$5:$AV$97=$F63),主抽数据!$AK$5:$AK$97)</f>
        <v>#REF!</v>
      </c>
      <c r="K63" s="142" t="e">
        <f>SUMPRODUCT((主抽数据!$AU$5:$AU$97=$A63)*(主抽数据!$AV$5:$AV$97=$F63),主抽数据!$AL$5:$AL$97)</f>
        <v>#REF!</v>
      </c>
      <c r="L63" s="143" t="e">
        <f t="shared" si="17"/>
        <v>#REF!</v>
      </c>
      <c r="M63" s="143">
        <f>SUMPRODUCT((_6shaozhuchou_month_day!$A$2:$A$906&gt;=C63)*(_6shaozhuchou_month_day!$A$2:$A$906&lt;C64),_6shaozhuchou_month_day!$Z$2:$Z$906)</f>
        <v>0</v>
      </c>
      <c r="N63" s="132">
        <f>M63*查询与汇总!$O$1</f>
        <v>0</v>
      </c>
      <c r="O63" s="144">
        <f t="shared" si="18"/>
        <v>0</v>
      </c>
      <c r="P63" s="145">
        <f>IF(G63=0,0,SUMPRODUCT((_6shaozhuchou_month_day!$A$2:$A$906&gt;=$C63)*(_6shaozhuchou_month_day!$A$2:$A$906&lt;$C64),_6shaozhuchou_month_day!T$2:T$906)/SUMPRODUCT((_6shaozhuchou_month_day!$A$2:$A$906&gt;=$C63)*(_6shaozhuchou_month_day!$A$2:$A$906&lt;$C64)*(_6shaozhuchou_month_day!T$2:T$906&gt;0)))</f>
        <v>0</v>
      </c>
      <c r="Q63" s="145">
        <f>IF(G63=0,0,SUMPRODUCT((_6shaozhuchou_month_day!$A$2:$A$906&gt;=$C63)*(_6shaozhuchou_month_day!$A$2:$A$906&lt;$C64),_6shaozhuchou_month_day!U$2:U$906)/SUMPRODUCT((_6shaozhuchou_month_day!$A$2:$A$906&gt;=$C63)*(_6shaozhuchou_month_day!$A$2:$A$906&lt;$C64)*(_6shaozhuchou_month_day!U$2:U$906&lt;0)))</f>
        <v>0</v>
      </c>
      <c r="R63" s="145">
        <f>IF(G63=0,0,SUMPRODUCT((_6shaozhuchou_month_day!$A$2:$A$906&gt;=$C63)*(_6shaozhuchou_month_day!$A$2:$A$906&lt;$C64),_6shaozhuchou_month_day!V$2:V$906)/SUMPRODUCT((_6shaozhuchou_month_day!$A$2:$A$906&gt;=$C63)*(_6shaozhuchou_month_day!$A$2:$A$906&lt;$C64)*(_6shaozhuchou_month_day!V$2:V$906&gt;0)))</f>
        <v>0</v>
      </c>
      <c r="S63" s="145">
        <f>IF(G63=0,0,SUMPRODUCT((_6shaozhuchou_month_day!$A$2:$A$906&gt;=$C63)*(_6shaozhuchou_month_day!$A$2:$A$906&lt;$C64),_6shaozhuchou_month_day!W$2:W$906)/SUMPRODUCT((_6shaozhuchou_month_day!$A$2:$A$906&gt;=$C63)*(_6shaozhuchou_month_day!$A$2:$A$906&lt;$C64)*(_6shaozhuchou_month_day!W$2:W$906&lt;0)))</f>
        <v>0</v>
      </c>
      <c r="T63" s="145" t="str">
        <f>主抽数据!Z67</f>
        <v/>
      </c>
      <c r="U63" s="145" t="str">
        <f>主抽数据!AA67</f>
        <v/>
      </c>
      <c r="V63" s="148">
        <f>查询与汇总!$S$1*M63</f>
        <v>0</v>
      </c>
      <c r="W63" s="149" t="e">
        <f t="shared" si="19"/>
        <v>#REF!</v>
      </c>
      <c r="X63" s="151"/>
      <c r="Y63" s="164"/>
      <c r="Z63" s="163"/>
      <c r="AA63" s="160" t="str">
        <f>主抽数据!AB67</f>
        <v/>
      </c>
      <c r="AB63" s="161" t="str">
        <f>主抽数据!AC67</f>
        <v/>
      </c>
      <c r="AC63" s="162" t="e">
        <f t="shared" si="23"/>
        <v>#REF!</v>
      </c>
      <c r="AE63" s="123" t="e">
        <f t="shared" si="21"/>
        <v>#VALUE!</v>
      </c>
      <c r="AF63" s="123" t="e">
        <f t="shared" si="22"/>
        <v>#VALUE!</v>
      </c>
      <c r="AG63" s="123">
        <f t="shared" si="9"/>
        <v>0</v>
      </c>
      <c r="AH63" s="123">
        <f t="shared" si="10"/>
        <v>0</v>
      </c>
    </row>
    <row r="64" spans="1:34" ht="20.25" customHeight="1">
      <c r="A64" s="133">
        <f t="shared" si="12"/>
        <v>43364</v>
      </c>
      <c r="B64" s="134">
        <f t="shared" si="13"/>
        <v>0.33333333333333298</v>
      </c>
      <c r="C64" s="133">
        <f t="shared" si="0"/>
        <v>43364.333333333336</v>
      </c>
      <c r="D64" s="134" t="str">
        <f t="shared" si="14"/>
        <v>白班</v>
      </c>
      <c r="E64" s="131">
        <f t="shared" si="15"/>
        <v>1</v>
      </c>
      <c r="F64" s="131" t="str">
        <f t="shared" si="1"/>
        <v>甲班</v>
      </c>
      <c r="G64" s="132">
        <f>SUMPRODUCT((_6shaozhuchou_month_day!$A$2:$A$906&gt;=C64)*(_6shaozhuchou_month_day!$A$2:$A$906&lt;C65),_6shaozhuchou_month_day!$Y$2:$Y$906)/8</f>
        <v>0</v>
      </c>
      <c r="H64" s="132">
        <f t="shared" si="2"/>
        <v>0</v>
      </c>
      <c r="I64" s="141">
        <f t="shared" si="16"/>
        <v>0</v>
      </c>
      <c r="J64" s="142" t="e">
        <f>SUMPRODUCT((主抽数据!$AU$5:$AU$97=$A64)*(主抽数据!$AV$5:$AV$97=$F64),主抽数据!$AK$5:$AK$97)</f>
        <v>#REF!</v>
      </c>
      <c r="K64" s="142" t="e">
        <f>SUMPRODUCT((主抽数据!$AU$5:$AU$97=$A64)*(主抽数据!$AV$5:$AV$97=$F64),主抽数据!$AL$5:$AL$97)</f>
        <v>#REF!</v>
      </c>
      <c r="L64" s="143" t="e">
        <f t="shared" si="17"/>
        <v>#REF!</v>
      </c>
      <c r="M64" s="143">
        <f>SUMPRODUCT((_6shaozhuchou_month_day!$A$2:$A$906&gt;=C64)*(_6shaozhuchou_month_day!$A$2:$A$906&lt;C65),_6shaozhuchou_month_day!$Z$2:$Z$906)</f>
        <v>0</v>
      </c>
      <c r="N64" s="132">
        <f>M64*查询与汇总!$O$1</f>
        <v>0</v>
      </c>
      <c r="O64" s="144">
        <f t="shared" si="18"/>
        <v>0</v>
      </c>
      <c r="P64" s="145">
        <f>IF(G64=0,0,SUMPRODUCT((_6shaozhuchou_month_day!$A$2:$A$906&gt;=$C64)*(_6shaozhuchou_month_day!$A$2:$A$906&lt;$C65),_6shaozhuchou_month_day!T$2:T$906)/SUMPRODUCT((_6shaozhuchou_month_day!$A$2:$A$906&gt;=$C64)*(_6shaozhuchou_month_day!$A$2:$A$906&lt;$C65)*(_6shaozhuchou_month_day!T$2:T$906&gt;0)))</f>
        <v>0</v>
      </c>
      <c r="Q64" s="145">
        <f>IF(G64=0,0,SUMPRODUCT((_6shaozhuchou_month_day!$A$2:$A$906&gt;=$C64)*(_6shaozhuchou_month_day!$A$2:$A$906&lt;$C65),_6shaozhuchou_month_day!U$2:U$906)/SUMPRODUCT((_6shaozhuchou_month_day!$A$2:$A$906&gt;=$C64)*(_6shaozhuchou_month_day!$A$2:$A$906&lt;$C65)*(_6shaozhuchou_month_day!U$2:U$906&lt;0)))</f>
        <v>0</v>
      </c>
      <c r="R64" s="145">
        <f>IF(G64=0,0,SUMPRODUCT((_6shaozhuchou_month_day!$A$2:$A$906&gt;=$C64)*(_6shaozhuchou_month_day!$A$2:$A$906&lt;$C65),_6shaozhuchou_month_day!V$2:V$906)/SUMPRODUCT((_6shaozhuchou_month_day!$A$2:$A$906&gt;=$C64)*(_6shaozhuchou_month_day!$A$2:$A$906&lt;$C65)*(_6shaozhuchou_month_day!V$2:V$906&gt;0)))</f>
        <v>0</v>
      </c>
      <c r="S64" s="145">
        <f>IF(G64=0,0,SUMPRODUCT((_6shaozhuchou_month_day!$A$2:$A$906&gt;=$C64)*(_6shaozhuchou_month_day!$A$2:$A$906&lt;$C65),_6shaozhuchou_month_day!W$2:W$906)/SUMPRODUCT((_6shaozhuchou_month_day!$A$2:$A$906&gt;=$C64)*(_6shaozhuchou_month_day!$A$2:$A$906&lt;$C65)*(_6shaozhuchou_month_day!W$2:W$906&lt;0)))</f>
        <v>0</v>
      </c>
      <c r="T64" s="145" t="str">
        <f>主抽数据!Z68</f>
        <v/>
      </c>
      <c r="U64" s="145" t="str">
        <f>主抽数据!AA68</f>
        <v/>
      </c>
      <c r="V64" s="148">
        <f>查询与汇总!$S$1*M64</f>
        <v>0</v>
      </c>
      <c r="W64" s="149" t="e">
        <f t="shared" si="19"/>
        <v>#REF!</v>
      </c>
      <c r="X64" s="151"/>
      <c r="Y64" s="164"/>
      <c r="Z64" s="165"/>
      <c r="AA64" s="160" t="str">
        <f>主抽数据!AB68</f>
        <v/>
      </c>
      <c r="AB64" s="161" t="str">
        <f>主抽数据!AC68</f>
        <v/>
      </c>
      <c r="AC64" s="162" t="e">
        <f t="shared" si="23"/>
        <v>#REF!</v>
      </c>
      <c r="AE64" s="123" t="e">
        <f t="shared" si="21"/>
        <v>#VALUE!</v>
      </c>
      <c r="AF64" s="123" t="e">
        <f t="shared" si="22"/>
        <v>#VALUE!</v>
      </c>
      <c r="AG64" s="123">
        <f t="shared" si="9"/>
        <v>0</v>
      </c>
      <c r="AH64" s="123">
        <f t="shared" si="10"/>
        <v>0</v>
      </c>
    </row>
    <row r="65" spans="1:34" ht="20.25" customHeight="1">
      <c r="A65" s="133">
        <f t="shared" si="12"/>
        <v>43364</v>
      </c>
      <c r="B65" s="134">
        <f t="shared" si="13"/>
        <v>0.66666666666666696</v>
      </c>
      <c r="C65" s="133">
        <f t="shared" si="0"/>
        <v>43364.666666666664</v>
      </c>
      <c r="D65" s="134" t="str">
        <f t="shared" si="14"/>
        <v>中班</v>
      </c>
      <c r="E65" s="131">
        <f t="shared" si="15"/>
        <v>2</v>
      </c>
      <c r="F65" s="131" t="str">
        <f t="shared" si="1"/>
        <v>乙班</v>
      </c>
      <c r="G65" s="132">
        <f>SUMPRODUCT((_6shaozhuchou_month_day!$A$2:$A$906&gt;=C65)*(_6shaozhuchou_month_day!$A$2:$A$906&lt;C66),_6shaozhuchou_month_day!$Y$2:$Y$906)/8</f>
        <v>0</v>
      </c>
      <c r="H65" s="132">
        <f t="shared" si="2"/>
        <v>0</v>
      </c>
      <c r="I65" s="141">
        <f t="shared" si="16"/>
        <v>0</v>
      </c>
      <c r="J65" s="142" t="e">
        <f>SUMPRODUCT((主抽数据!$AU$5:$AU$97=$A65)*(主抽数据!$AV$5:$AV$97=$F65),主抽数据!$AK$5:$AK$97)</f>
        <v>#REF!</v>
      </c>
      <c r="K65" s="142" t="e">
        <f>SUMPRODUCT((主抽数据!$AU$5:$AU$97=$A65)*(主抽数据!$AV$5:$AV$97=$F65),主抽数据!$AL$5:$AL$97)</f>
        <v>#REF!</v>
      </c>
      <c r="L65" s="143" t="e">
        <f t="shared" si="17"/>
        <v>#REF!</v>
      </c>
      <c r="M65" s="143">
        <f>SUMPRODUCT((_6shaozhuchou_month_day!$A$2:$A$906&gt;=C65)*(_6shaozhuchou_month_day!$A$2:$A$906&lt;C66),_6shaozhuchou_month_day!$Z$2:$Z$906)</f>
        <v>0</v>
      </c>
      <c r="N65" s="132">
        <f>M65*查询与汇总!$O$1</f>
        <v>0</v>
      </c>
      <c r="O65" s="144">
        <f t="shared" si="18"/>
        <v>0</v>
      </c>
      <c r="P65" s="145">
        <f>IF(G65=0,0,SUMPRODUCT((_6shaozhuchou_month_day!$A$2:$A$906&gt;=$C65)*(_6shaozhuchou_month_day!$A$2:$A$906&lt;$C66),_6shaozhuchou_month_day!T$2:T$906)/SUMPRODUCT((_6shaozhuchou_month_day!$A$2:$A$906&gt;=$C65)*(_6shaozhuchou_month_day!$A$2:$A$906&lt;$C66)*(_6shaozhuchou_month_day!T$2:T$906&gt;0)))</f>
        <v>0</v>
      </c>
      <c r="Q65" s="145">
        <f>IF(G65=0,0,SUMPRODUCT((_6shaozhuchou_month_day!$A$2:$A$906&gt;=$C65)*(_6shaozhuchou_month_day!$A$2:$A$906&lt;$C66),_6shaozhuchou_month_day!U$2:U$906)/SUMPRODUCT((_6shaozhuchou_month_day!$A$2:$A$906&gt;=$C65)*(_6shaozhuchou_month_day!$A$2:$A$906&lt;$C66)*(_6shaozhuchou_month_day!U$2:U$906&lt;0)))</f>
        <v>0</v>
      </c>
      <c r="R65" s="145">
        <f>IF(G65=0,0,SUMPRODUCT((_6shaozhuchou_month_day!$A$2:$A$906&gt;=$C65)*(_6shaozhuchou_month_day!$A$2:$A$906&lt;$C66),_6shaozhuchou_month_day!V$2:V$906)/SUMPRODUCT((_6shaozhuchou_month_day!$A$2:$A$906&gt;=$C65)*(_6shaozhuchou_month_day!$A$2:$A$906&lt;$C66)*(_6shaozhuchou_month_day!V$2:V$906&gt;0)))</f>
        <v>0</v>
      </c>
      <c r="S65" s="145">
        <f>IF(G65=0,0,SUMPRODUCT((_6shaozhuchou_month_day!$A$2:$A$906&gt;=$C65)*(_6shaozhuchou_month_day!$A$2:$A$906&lt;$C66),_6shaozhuchou_month_day!W$2:W$906)/SUMPRODUCT((_6shaozhuchou_month_day!$A$2:$A$906&gt;=$C65)*(_6shaozhuchou_month_day!$A$2:$A$906&lt;$C66)*(_6shaozhuchou_month_day!W$2:W$906&lt;0)))</f>
        <v>0</v>
      </c>
      <c r="T65" s="145" t="str">
        <f>主抽数据!Z69</f>
        <v/>
      </c>
      <c r="U65" s="145" t="str">
        <f>主抽数据!AA69</f>
        <v/>
      </c>
      <c r="V65" s="148">
        <f>查询与汇总!$S$1*M65</f>
        <v>0</v>
      </c>
      <c r="W65" s="149" t="e">
        <f t="shared" si="19"/>
        <v>#REF!</v>
      </c>
      <c r="X65" s="151"/>
      <c r="Y65" s="164"/>
      <c r="Z65" s="163"/>
      <c r="AA65" s="160" t="str">
        <f>主抽数据!AB69</f>
        <v/>
      </c>
      <c r="AB65" s="161" t="str">
        <f>主抽数据!AC69</f>
        <v/>
      </c>
      <c r="AC65" s="162" t="e">
        <f t="shared" si="23"/>
        <v>#REF!</v>
      </c>
      <c r="AE65" s="123" t="e">
        <f t="shared" si="21"/>
        <v>#VALUE!</v>
      </c>
      <c r="AF65" s="123" t="e">
        <f t="shared" si="22"/>
        <v>#VALUE!</v>
      </c>
      <c r="AG65" s="123">
        <f t="shared" si="9"/>
        <v>0</v>
      </c>
      <c r="AH65" s="123">
        <f t="shared" si="10"/>
        <v>0</v>
      </c>
    </row>
    <row r="66" spans="1:34" ht="45.95" customHeight="1">
      <c r="A66" s="133">
        <f t="shared" si="12"/>
        <v>43365</v>
      </c>
      <c r="B66" s="134">
        <f t="shared" si="13"/>
        <v>0</v>
      </c>
      <c r="C66" s="133">
        <f t="shared" si="0"/>
        <v>43365</v>
      </c>
      <c r="D66" s="134" t="str">
        <f t="shared" si="14"/>
        <v>夜班</v>
      </c>
      <c r="E66" s="131">
        <f t="shared" si="15"/>
        <v>3</v>
      </c>
      <c r="F66" s="131" t="str">
        <f t="shared" si="1"/>
        <v>丙班</v>
      </c>
      <c r="G66" s="132">
        <f>SUMPRODUCT((_6shaozhuchou_month_day!$A$2:$A$906&gt;=C66)*(_6shaozhuchou_month_day!$A$2:$A$906&lt;C67),_6shaozhuchou_month_day!$Y$2:$Y$906)/8</f>
        <v>0</v>
      </c>
      <c r="H66" s="132">
        <f t="shared" si="2"/>
        <v>0</v>
      </c>
      <c r="I66" s="141">
        <f t="shared" si="16"/>
        <v>0</v>
      </c>
      <c r="J66" s="142" t="e">
        <f>SUMPRODUCT((主抽数据!$AU$5:$AU$97=$A66)*(主抽数据!$AV$5:$AV$97=$F66),主抽数据!$AK$5:$AK$97)</f>
        <v>#REF!</v>
      </c>
      <c r="K66" s="142" t="e">
        <f>SUMPRODUCT((主抽数据!$AU$5:$AU$97=$A66)*(主抽数据!$AV$5:$AV$97=$F66),主抽数据!$AL$5:$AL$97)</f>
        <v>#REF!</v>
      </c>
      <c r="L66" s="143" t="e">
        <f t="shared" si="17"/>
        <v>#REF!</v>
      </c>
      <c r="M66" s="143">
        <f>SUMPRODUCT((_6shaozhuchou_month_day!$A$2:$A$906&gt;=C66)*(_6shaozhuchou_month_day!$A$2:$A$906&lt;C67),_6shaozhuchou_month_day!$Z$2:$Z$906)</f>
        <v>0</v>
      </c>
      <c r="N66" s="132">
        <f>M66*查询与汇总!$O$1</f>
        <v>0</v>
      </c>
      <c r="O66" s="144">
        <f t="shared" si="18"/>
        <v>0</v>
      </c>
      <c r="P66" s="145">
        <f>IF(G66=0,0,SUMPRODUCT((_6shaozhuchou_month_day!$A$2:$A$906&gt;=$C66)*(_6shaozhuchou_month_day!$A$2:$A$906&lt;$C67),_6shaozhuchou_month_day!T$2:T$906)/SUMPRODUCT((_6shaozhuchou_month_day!$A$2:$A$906&gt;=$C66)*(_6shaozhuchou_month_day!$A$2:$A$906&lt;$C67)*(_6shaozhuchou_month_day!T$2:T$906&gt;0)))</f>
        <v>0</v>
      </c>
      <c r="Q66" s="145">
        <f>IF(G66=0,0,SUMPRODUCT((_6shaozhuchou_month_day!$A$2:$A$906&gt;=$C66)*(_6shaozhuchou_month_day!$A$2:$A$906&lt;$C67),_6shaozhuchou_month_day!U$2:U$906)/SUMPRODUCT((_6shaozhuchou_month_day!$A$2:$A$906&gt;=$C66)*(_6shaozhuchou_month_day!$A$2:$A$906&lt;$C67)*(_6shaozhuchou_month_day!U$2:U$906&lt;0)))</f>
        <v>0</v>
      </c>
      <c r="R66" s="145">
        <f>IF(G66=0,0,SUMPRODUCT((_6shaozhuchou_month_day!$A$2:$A$906&gt;=$C66)*(_6shaozhuchou_month_day!$A$2:$A$906&lt;$C67),_6shaozhuchou_month_day!V$2:V$906)/SUMPRODUCT((_6shaozhuchou_month_day!$A$2:$A$906&gt;=$C66)*(_6shaozhuchou_month_day!$A$2:$A$906&lt;$C67)*(_6shaozhuchou_month_day!V$2:V$906&gt;0)))</f>
        <v>0</v>
      </c>
      <c r="S66" s="145">
        <f>IF(G66=0,0,SUMPRODUCT((_6shaozhuchou_month_day!$A$2:$A$906&gt;=$C66)*(_6shaozhuchou_month_day!$A$2:$A$906&lt;$C67),_6shaozhuchou_month_day!W$2:W$906)/SUMPRODUCT((_6shaozhuchou_month_day!$A$2:$A$906&gt;=$C66)*(_6shaozhuchou_month_day!$A$2:$A$906&lt;$C67)*(_6shaozhuchou_month_day!W$2:W$906&lt;0)))</f>
        <v>0</v>
      </c>
      <c r="T66" s="145" t="str">
        <f>主抽数据!Z70</f>
        <v/>
      </c>
      <c r="U66" s="145" t="str">
        <f>主抽数据!AA70</f>
        <v/>
      </c>
      <c r="V66" s="148">
        <f>查询与汇总!$S$1*M66</f>
        <v>0</v>
      </c>
      <c r="W66" s="149" t="e">
        <f t="shared" si="19"/>
        <v>#REF!</v>
      </c>
      <c r="X66" s="151"/>
      <c r="Y66" s="164"/>
      <c r="Z66" s="165"/>
      <c r="AA66" s="160" t="str">
        <f>主抽数据!AB70</f>
        <v/>
      </c>
      <c r="AB66" s="161" t="str">
        <f>主抽数据!AC70</f>
        <v/>
      </c>
      <c r="AC66" s="162" t="e">
        <f t="shared" si="23"/>
        <v>#REF!</v>
      </c>
      <c r="AE66" s="123" t="e">
        <f t="shared" si="21"/>
        <v>#VALUE!</v>
      </c>
      <c r="AF66" s="123" t="e">
        <f t="shared" si="22"/>
        <v>#VALUE!</v>
      </c>
      <c r="AG66" s="123">
        <f t="shared" si="9"/>
        <v>0</v>
      </c>
      <c r="AH66" s="123">
        <f t="shared" si="10"/>
        <v>0</v>
      </c>
    </row>
    <row r="67" spans="1:34" ht="27.95" customHeight="1">
      <c r="A67" s="133">
        <f t="shared" si="12"/>
        <v>43365</v>
      </c>
      <c r="B67" s="134">
        <f t="shared" si="13"/>
        <v>0.33333333333333298</v>
      </c>
      <c r="C67" s="133">
        <f t="shared" ref="C67:C80" si="24">A67+B67</f>
        <v>43365.333333333336</v>
      </c>
      <c r="D67" s="134" t="str">
        <f t="shared" si="14"/>
        <v>白班</v>
      </c>
      <c r="E67" s="131">
        <f t="shared" si="15"/>
        <v>4</v>
      </c>
      <c r="F67" s="131" t="str">
        <f t="shared" si="1"/>
        <v>丁班</v>
      </c>
      <c r="G67" s="132">
        <f>SUMPRODUCT((_6shaozhuchou_month_day!$A$2:$A$906&gt;=C67)*(_6shaozhuchou_month_day!$A$2:$A$906&lt;C68),_6shaozhuchou_month_day!$Y$2:$Y$906)/8</f>
        <v>0</v>
      </c>
      <c r="H67" s="132">
        <f t="shared" si="2"/>
        <v>0</v>
      </c>
      <c r="I67" s="141">
        <f t="shared" si="16"/>
        <v>0</v>
      </c>
      <c r="J67" s="142" t="e">
        <f>SUMPRODUCT((主抽数据!$AU$5:$AU$97=$A67)*(主抽数据!$AV$5:$AV$97=$F67),主抽数据!$AK$5:$AK$97)</f>
        <v>#REF!</v>
      </c>
      <c r="K67" s="142" t="e">
        <f>SUMPRODUCT((主抽数据!$AU$5:$AU$97=$A67)*(主抽数据!$AV$5:$AV$97=$F67),主抽数据!$AL$5:$AL$97)</f>
        <v>#REF!</v>
      </c>
      <c r="L67" s="143" t="e">
        <f t="shared" si="17"/>
        <v>#REF!</v>
      </c>
      <c r="M67" s="143">
        <f>SUMPRODUCT((_6shaozhuchou_month_day!$A$2:$A$906&gt;=C67)*(_6shaozhuchou_month_day!$A$2:$A$906&lt;C68),_6shaozhuchou_month_day!$Z$2:$Z$906)</f>
        <v>0</v>
      </c>
      <c r="N67" s="132">
        <f>M67*查询与汇总!$O$1</f>
        <v>0</v>
      </c>
      <c r="O67" s="144">
        <f t="shared" si="18"/>
        <v>0</v>
      </c>
      <c r="P67" s="145">
        <f>IF(G67=0,0,SUMPRODUCT((_6shaozhuchou_month_day!$A$2:$A$906&gt;=$C67)*(_6shaozhuchou_month_day!$A$2:$A$906&lt;$C68),_6shaozhuchou_month_day!T$2:T$906)/SUMPRODUCT((_6shaozhuchou_month_day!$A$2:$A$906&gt;=$C67)*(_6shaozhuchou_month_day!$A$2:$A$906&lt;$C68)*(_6shaozhuchou_month_day!T$2:T$906&gt;0)))</f>
        <v>0</v>
      </c>
      <c r="Q67" s="145">
        <f>IF(G67=0,0,SUMPRODUCT((_6shaozhuchou_month_day!$A$2:$A$906&gt;=$C67)*(_6shaozhuchou_month_day!$A$2:$A$906&lt;$C68),_6shaozhuchou_month_day!U$2:U$906)/SUMPRODUCT((_6shaozhuchou_month_day!$A$2:$A$906&gt;=$C67)*(_6shaozhuchou_month_day!$A$2:$A$906&lt;$C68)*(_6shaozhuchou_month_day!U$2:U$906&lt;0)))</f>
        <v>0</v>
      </c>
      <c r="R67" s="145">
        <f>IF(G67=0,0,SUMPRODUCT((_6shaozhuchou_month_day!$A$2:$A$906&gt;=$C67)*(_6shaozhuchou_month_day!$A$2:$A$906&lt;$C68),_6shaozhuchou_month_day!V$2:V$906)/SUMPRODUCT((_6shaozhuchou_month_day!$A$2:$A$906&gt;=$C67)*(_6shaozhuchou_month_day!$A$2:$A$906&lt;$C68)*(_6shaozhuchou_month_day!V$2:V$906&gt;0)))</f>
        <v>0</v>
      </c>
      <c r="S67" s="145">
        <f>IF(G67=0,0,SUMPRODUCT((_6shaozhuchou_month_day!$A$2:$A$906&gt;=$C67)*(_6shaozhuchou_month_day!$A$2:$A$906&lt;$C68),_6shaozhuchou_month_day!W$2:W$906)/SUMPRODUCT((_6shaozhuchou_month_day!$A$2:$A$906&gt;=$C67)*(_6shaozhuchou_month_day!$A$2:$A$906&lt;$C68)*(_6shaozhuchou_month_day!W$2:W$906&lt;0)))</f>
        <v>0</v>
      </c>
      <c r="T67" s="145" t="str">
        <f>主抽数据!Z71</f>
        <v/>
      </c>
      <c r="U67" s="145" t="str">
        <f>主抽数据!AA71</f>
        <v/>
      </c>
      <c r="V67" s="148">
        <f>查询与汇总!$S$1*M67</f>
        <v>0</v>
      </c>
      <c r="W67" s="149" t="e">
        <f t="shared" si="19"/>
        <v>#REF!</v>
      </c>
      <c r="X67" s="151"/>
      <c r="Y67" s="164"/>
      <c r="Z67" s="165"/>
      <c r="AA67" s="160" t="str">
        <f>主抽数据!AB71</f>
        <v/>
      </c>
      <c r="AB67" s="161" t="str">
        <f>主抽数据!AC71</f>
        <v/>
      </c>
      <c r="AC67" s="162" t="e">
        <f t="shared" si="23"/>
        <v>#REF!</v>
      </c>
      <c r="AE67" s="123" t="e">
        <f t="shared" si="21"/>
        <v>#VALUE!</v>
      </c>
      <c r="AF67" s="123" t="e">
        <f t="shared" si="22"/>
        <v>#VALUE!</v>
      </c>
      <c r="AG67" s="123">
        <f t="shared" si="9"/>
        <v>0</v>
      </c>
      <c r="AH67" s="123">
        <f t="shared" si="10"/>
        <v>0</v>
      </c>
    </row>
    <row r="68" spans="1:34" ht="36.950000000000003" customHeight="1">
      <c r="A68" s="133">
        <f t="shared" si="12"/>
        <v>43365</v>
      </c>
      <c r="B68" s="134">
        <f t="shared" si="13"/>
        <v>0.66666666666666696</v>
      </c>
      <c r="C68" s="133">
        <f t="shared" si="24"/>
        <v>43365.666666666664</v>
      </c>
      <c r="D68" s="134" t="str">
        <f t="shared" si="14"/>
        <v>中班</v>
      </c>
      <c r="E68" s="131">
        <f t="shared" si="15"/>
        <v>1</v>
      </c>
      <c r="F68" s="131" t="str">
        <f t="shared" ref="F68:F96" si="25">IF(AND(E68=1),"甲班",IF(AND(E68=2),"乙班",IF(AND(E68=3),"丙班",IF(AND(E68=4),"丁班",))))</f>
        <v>甲班</v>
      </c>
      <c r="G68" s="132">
        <f>SUMPRODUCT((_6shaozhuchou_month_day!$A$2:$A$906&gt;=C68)*(_6shaozhuchou_month_day!$A$2:$A$906&lt;C69),_6shaozhuchou_month_day!$Y$2:$Y$906)/8</f>
        <v>0</v>
      </c>
      <c r="H68" s="132">
        <f t="shared" ref="H68:H95" si="26">(G68-G68*25%)*0.83*8</f>
        <v>0</v>
      </c>
      <c r="I68" s="141">
        <f t="shared" ref="I68:I95" si="27">X68</f>
        <v>0</v>
      </c>
      <c r="J68" s="142" t="e">
        <f>SUMPRODUCT((主抽数据!$AU$5:$AU$97=$A68)*(主抽数据!$AV$5:$AV$97=$F68),主抽数据!$AK$5:$AK$97)</f>
        <v>#REF!</v>
      </c>
      <c r="K68" s="142" t="e">
        <f>SUMPRODUCT((主抽数据!$AU$5:$AU$97=$A68)*(主抽数据!$AV$5:$AV$97=$F68),主抽数据!$AL$5:$AL$97)</f>
        <v>#REF!</v>
      </c>
      <c r="L68" s="143" t="e">
        <f t="shared" ref="L68:L95" si="28">J68+K68</f>
        <v>#REF!</v>
      </c>
      <c r="M68" s="143">
        <f>SUMPRODUCT((_6shaozhuchou_month_day!$A$2:$A$906&gt;=C68)*(_6shaozhuchou_month_day!$A$2:$A$906&lt;C69),_6shaozhuchou_month_day!$Z$2:$Z$906)</f>
        <v>0</v>
      </c>
      <c r="N68" s="132">
        <f>M68*查询与汇总!$O$1</f>
        <v>0</v>
      </c>
      <c r="O68" s="144">
        <f t="shared" ref="O68:O95" si="29">IF(N68=0,0,L68/N68)</f>
        <v>0</v>
      </c>
      <c r="P68" s="145">
        <f>IF(G68=0,0,SUMPRODUCT((_6shaozhuchou_month_day!$A$2:$A$906&gt;=$C68)*(_6shaozhuchou_month_day!$A$2:$A$906&lt;$C69),_6shaozhuchou_month_day!T$2:T$906)/SUMPRODUCT((_6shaozhuchou_month_day!$A$2:$A$906&gt;=$C68)*(_6shaozhuchou_month_day!$A$2:$A$906&lt;$C69)*(_6shaozhuchou_month_day!T$2:T$906&gt;0)))</f>
        <v>0</v>
      </c>
      <c r="Q68" s="145">
        <f>IF(G68=0,0,SUMPRODUCT((_6shaozhuchou_month_day!$A$2:$A$906&gt;=$C68)*(_6shaozhuchou_month_day!$A$2:$A$906&lt;$C69),_6shaozhuchou_month_day!U$2:U$906)/SUMPRODUCT((_6shaozhuchou_month_day!$A$2:$A$906&gt;=$C68)*(_6shaozhuchou_month_day!$A$2:$A$906&lt;$C69)*(_6shaozhuchou_month_day!U$2:U$906&lt;0)))</f>
        <v>0</v>
      </c>
      <c r="R68" s="145">
        <f>IF(G68=0,0,SUMPRODUCT((_6shaozhuchou_month_day!$A$2:$A$906&gt;=$C68)*(_6shaozhuchou_month_day!$A$2:$A$906&lt;$C69),_6shaozhuchou_month_day!V$2:V$906)/SUMPRODUCT((_6shaozhuchou_month_day!$A$2:$A$906&gt;=$C68)*(_6shaozhuchou_month_day!$A$2:$A$906&lt;$C69)*(_6shaozhuchou_month_day!V$2:V$906&gt;0)))</f>
        <v>0</v>
      </c>
      <c r="S68" s="145">
        <f>IF(G68=0,0,SUMPRODUCT((_6shaozhuchou_month_day!$A$2:$A$906&gt;=$C68)*(_6shaozhuchou_month_day!$A$2:$A$906&lt;$C69),_6shaozhuchou_month_day!W$2:W$906)/SUMPRODUCT((_6shaozhuchou_month_day!$A$2:$A$906&gt;=$C68)*(_6shaozhuchou_month_day!$A$2:$A$906&lt;$C69)*(_6shaozhuchou_month_day!W$2:W$906&lt;0)))</f>
        <v>0</v>
      </c>
      <c r="T68" s="145" t="str">
        <f>主抽数据!Z72</f>
        <v/>
      </c>
      <c r="U68" s="145" t="str">
        <f>主抽数据!AA72</f>
        <v/>
      </c>
      <c r="V68" s="148">
        <f>查询与汇总!$S$1*M68</f>
        <v>0</v>
      </c>
      <c r="W68" s="149" t="e">
        <f t="shared" ref="W68:W95" si="30">L68-V68</f>
        <v>#REF!</v>
      </c>
      <c r="X68" s="151"/>
      <c r="Y68" s="164"/>
      <c r="Z68" s="165"/>
      <c r="AA68" s="160" t="str">
        <f>主抽数据!AB72</f>
        <v/>
      </c>
      <c r="AB68" s="161" t="str">
        <f>主抽数据!AC72</f>
        <v/>
      </c>
      <c r="AC68" s="162" t="e">
        <f t="shared" si="23"/>
        <v>#REF!</v>
      </c>
      <c r="AE68" s="123" t="e">
        <f t="shared" ref="AE68:AE95" si="31">AA68/10</f>
        <v>#VALUE!</v>
      </c>
      <c r="AF68" s="123" t="e">
        <f t="shared" ref="AF68:AF95" si="32">AB68/10</f>
        <v>#VALUE!</v>
      </c>
      <c r="AG68" s="123">
        <f t="shared" ref="AG68:AG95" si="33">-Q68</f>
        <v>0</v>
      </c>
      <c r="AH68" s="123">
        <f t="shared" ref="AH68:AH95" si="34">-S68</f>
        <v>0</v>
      </c>
    </row>
    <row r="69" spans="1:34" ht="33" customHeight="1">
      <c r="A69" s="133">
        <f t="shared" si="12"/>
        <v>43366</v>
      </c>
      <c r="B69" s="134">
        <f t="shared" si="13"/>
        <v>0</v>
      </c>
      <c r="C69" s="133">
        <f t="shared" si="24"/>
        <v>43366</v>
      </c>
      <c r="D69" s="134" t="str">
        <f t="shared" si="14"/>
        <v>夜班</v>
      </c>
      <c r="E69" s="131">
        <f t="shared" si="15"/>
        <v>3</v>
      </c>
      <c r="F69" s="131" t="str">
        <f t="shared" si="25"/>
        <v>丙班</v>
      </c>
      <c r="G69" s="132">
        <f>SUMPRODUCT((_6shaozhuchou_month_day!$A$2:$A$906&gt;=C69)*(_6shaozhuchou_month_day!$A$2:$A$906&lt;C70),_6shaozhuchou_month_day!$Y$2:$Y$906)/8</f>
        <v>0</v>
      </c>
      <c r="H69" s="132">
        <f t="shared" si="26"/>
        <v>0</v>
      </c>
      <c r="I69" s="141">
        <f t="shared" si="27"/>
        <v>0</v>
      </c>
      <c r="J69" s="142" t="e">
        <f>SUMPRODUCT((主抽数据!$AU$5:$AU$97=$A69)*(主抽数据!$AV$5:$AV$97=$F69),主抽数据!$AK$5:$AK$97)</f>
        <v>#REF!</v>
      </c>
      <c r="K69" s="142" t="e">
        <f>SUMPRODUCT((主抽数据!$AU$5:$AU$97=$A69)*(主抽数据!$AV$5:$AV$97=$F69),主抽数据!$AL$5:$AL$97)</f>
        <v>#REF!</v>
      </c>
      <c r="L69" s="143" t="e">
        <f t="shared" si="28"/>
        <v>#REF!</v>
      </c>
      <c r="M69" s="143">
        <f>SUMPRODUCT((_6shaozhuchou_month_day!$A$2:$A$906&gt;=C69)*(_6shaozhuchou_month_day!$A$2:$A$906&lt;C70),_6shaozhuchou_month_day!$Z$2:$Z$906)</f>
        <v>0</v>
      </c>
      <c r="N69" s="132">
        <f>M69*查询与汇总!$O$1</f>
        <v>0</v>
      </c>
      <c r="O69" s="144">
        <f t="shared" si="29"/>
        <v>0</v>
      </c>
      <c r="P69" s="145">
        <f>IF(G69=0,0,SUMPRODUCT((_6shaozhuchou_month_day!$A$2:$A$906&gt;=$C69)*(_6shaozhuchou_month_day!$A$2:$A$906&lt;$C70),_6shaozhuchou_month_day!T$2:T$906)/SUMPRODUCT((_6shaozhuchou_month_day!$A$2:$A$906&gt;=$C69)*(_6shaozhuchou_month_day!$A$2:$A$906&lt;$C70)*(_6shaozhuchou_month_day!T$2:T$906&gt;0)))</f>
        <v>0</v>
      </c>
      <c r="Q69" s="145">
        <f>IF(G69=0,0,SUMPRODUCT((_6shaozhuchou_month_day!$A$2:$A$906&gt;=$C69)*(_6shaozhuchou_month_day!$A$2:$A$906&lt;$C70),_6shaozhuchou_month_day!U$2:U$906)/SUMPRODUCT((_6shaozhuchou_month_day!$A$2:$A$906&gt;=$C69)*(_6shaozhuchou_month_day!$A$2:$A$906&lt;$C70)*(_6shaozhuchou_month_day!U$2:U$906&lt;0)))</f>
        <v>0</v>
      </c>
      <c r="R69" s="145">
        <f>IF(G69=0,0,SUMPRODUCT((_6shaozhuchou_month_day!$A$2:$A$906&gt;=$C69)*(_6shaozhuchou_month_day!$A$2:$A$906&lt;$C70),_6shaozhuchou_month_day!V$2:V$906)/SUMPRODUCT((_6shaozhuchou_month_day!$A$2:$A$906&gt;=$C69)*(_6shaozhuchou_month_day!$A$2:$A$906&lt;$C70)*(_6shaozhuchou_month_day!V$2:V$906&gt;0)))</f>
        <v>0</v>
      </c>
      <c r="S69" s="145">
        <f>IF(G69=0,0,SUMPRODUCT((_6shaozhuchou_month_day!$A$2:$A$906&gt;=$C69)*(_6shaozhuchou_month_day!$A$2:$A$906&lt;$C70),_6shaozhuchou_month_day!W$2:W$906)/SUMPRODUCT((_6shaozhuchou_month_day!$A$2:$A$906&gt;=$C69)*(_6shaozhuchou_month_day!$A$2:$A$906&lt;$C70)*(_6shaozhuchou_month_day!W$2:W$906&lt;0)))</f>
        <v>0</v>
      </c>
      <c r="T69" s="145" t="str">
        <f>主抽数据!Z73</f>
        <v/>
      </c>
      <c r="U69" s="145" t="str">
        <f>主抽数据!AA73</f>
        <v/>
      </c>
      <c r="V69" s="148">
        <f>查询与汇总!$S$1*M69</f>
        <v>0</v>
      </c>
      <c r="W69" s="149" t="e">
        <f t="shared" si="30"/>
        <v>#REF!</v>
      </c>
      <c r="X69" s="151"/>
      <c r="Y69" s="164"/>
      <c r="Z69" s="163"/>
      <c r="AA69" s="160" t="str">
        <f>主抽数据!AB73</f>
        <v/>
      </c>
      <c r="AB69" s="161" t="str">
        <f>主抽数据!AC73</f>
        <v/>
      </c>
      <c r="AC69" s="162" t="e">
        <f t="shared" si="23"/>
        <v>#REF!</v>
      </c>
      <c r="AE69" s="123" t="e">
        <f t="shared" si="31"/>
        <v>#VALUE!</v>
      </c>
      <c r="AF69" s="123" t="e">
        <f t="shared" si="32"/>
        <v>#VALUE!</v>
      </c>
      <c r="AG69" s="123">
        <f t="shared" si="33"/>
        <v>0</v>
      </c>
      <c r="AH69" s="123">
        <f t="shared" si="34"/>
        <v>0</v>
      </c>
    </row>
    <row r="70" spans="1:34" ht="39.950000000000003" customHeight="1">
      <c r="A70" s="133">
        <f t="shared" ref="A70:A96" si="35">A67+1</f>
        <v>43366</v>
      </c>
      <c r="B70" s="134">
        <f t="shared" ref="B70:B96" si="36">B67</f>
        <v>0.33333333333333298</v>
      </c>
      <c r="C70" s="133">
        <f t="shared" si="24"/>
        <v>43366.333333333336</v>
      </c>
      <c r="D70" s="134" t="str">
        <f t="shared" ref="D70:D96" si="37">D67</f>
        <v>白班</v>
      </c>
      <c r="E70" s="131">
        <f t="shared" si="15"/>
        <v>4</v>
      </c>
      <c r="F70" s="131" t="str">
        <f t="shared" si="25"/>
        <v>丁班</v>
      </c>
      <c r="G70" s="132">
        <f>SUMPRODUCT((_6shaozhuchou_month_day!$A$2:$A$906&gt;=C70)*(_6shaozhuchou_month_day!$A$2:$A$906&lt;C71),_6shaozhuchou_month_day!$Y$2:$Y$906)/8</f>
        <v>0</v>
      </c>
      <c r="H70" s="132">
        <f t="shared" si="26"/>
        <v>0</v>
      </c>
      <c r="I70" s="141">
        <f t="shared" si="27"/>
        <v>0</v>
      </c>
      <c r="J70" s="142" t="e">
        <f>SUMPRODUCT((主抽数据!$AU$5:$AU$97=$A70)*(主抽数据!$AV$5:$AV$97=$F70),主抽数据!$AK$5:$AK$97)</f>
        <v>#REF!</v>
      </c>
      <c r="K70" s="142" t="e">
        <f>SUMPRODUCT((主抽数据!$AU$5:$AU$97=$A70)*(主抽数据!$AV$5:$AV$97=$F70),主抽数据!$AL$5:$AL$97)</f>
        <v>#REF!</v>
      </c>
      <c r="L70" s="143" t="e">
        <f t="shared" si="28"/>
        <v>#REF!</v>
      </c>
      <c r="M70" s="143">
        <f>SUMPRODUCT((_6shaozhuchou_month_day!$A$2:$A$906&gt;=C70)*(_6shaozhuchou_month_day!$A$2:$A$906&lt;C71),_6shaozhuchou_month_day!$Z$2:$Z$906)</f>
        <v>0</v>
      </c>
      <c r="N70" s="132">
        <f>M70*查询与汇总!$O$1</f>
        <v>0</v>
      </c>
      <c r="O70" s="144">
        <f t="shared" si="29"/>
        <v>0</v>
      </c>
      <c r="P70" s="145">
        <f>IF(G70=0,0,SUMPRODUCT((_6shaozhuchou_month_day!$A$2:$A$906&gt;=$C70)*(_6shaozhuchou_month_day!$A$2:$A$906&lt;$C71),_6shaozhuchou_month_day!T$2:T$906)/SUMPRODUCT((_6shaozhuchou_month_day!$A$2:$A$906&gt;=$C70)*(_6shaozhuchou_month_day!$A$2:$A$906&lt;$C71)*(_6shaozhuchou_month_day!T$2:T$906&gt;0)))</f>
        <v>0</v>
      </c>
      <c r="Q70" s="145">
        <f>IF(G70=0,0,SUMPRODUCT((_6shaozhuchou_month_day!$A$2:$A$906&gt;=$C70)*(_6shaozhuchou_month_day!$A$2:$A$906&lt;$C71),_6shaozhuchou_month_day!U$2:U$906)/SUMPRODUCT((_6shaozhuchou_month_day!$A$2:$A$906&gt;=$C70)*(_6shaozhuchou_month_day!$A$2:$A$906&lt;$C71)*(_6shaozhuchou_month_day!U$2:U$906&lt;0)))</f>
        <v>0</v>
      </c>
      <c r="R70" s="145">
        <f>IF(G70=0,0,SUMPRODUCT((_6shaozhuchou_month_day!$A$2:$A$906&gt;=$C70)*(_6shaozhuchou_month_day!$A$2:$A$906&lt;$C71),_6shaozhuchou_month_day!V$2:V$906)/SUMPRODUCT((_6shaozhuchou_month_day!$A$2:$A$906&gt;=$C70)*(_6shaozhuchou_month_day!$A$2:$A$906&lt;$C71)*(_6shaozhuchou_month_day!V$2:V$906&gt;0)))</f>
        <v>0</v>
      </c>
      <c r="S70" s="145">
        <f>IF(G70=0,0,SUMPRODUCT((_6shaozhuchou_month_day!$A$2:$A$906&gt;=$C70)*(_6shaozhuchou_month_day!$A$2:$A$906&lt;$C71),_6shaozhuchou_month_day!W$2:W$906)/SUMPRODUCT((_6shaozhuchou_month_day!$A$2:$A$906&gt;=$C70)*(_6shaozhuchou_month_day!$A$2:$A$906&lt;$C71)*(_6shaozhuchou_month_day!W$2:W$906&lt;0)))</f>
        <v>0</v>
      </c>
      <c r="T70" s="145" t="str">
        <f>主抽数据!Z74</f>
        <v/>
      </c>
      <c r="U70" s="145" t="str">
        <f>主抽数据!AA74</f>
        <v/>
      </c>
      <c r="V70" s="148">
        <f>查询与汇总!$S$1*M70</f>
        <v>0</v>
      </c>
      <c r="W70" s="149" t="e">
        <f t="shared" si="30"/>
        <v>#REF!</v>
      </c>
      <c r="X70" s="151"/>
      <c r="Y70" s="164"/>
      <c r="Z70" s="165"/>
      <c r="AA70" s="160" t="str">
        <f>主抽数据!AB74</f>
        <v/>
      </c>
      <c r="AB70" s="161" t="str">
        <f>主抽数据!AC74</f>
        <v/>
      </c>
      <c r="AC70" s="162" t="e">
        <f t="shared" si="23"/>
        <v>#REF!</v>
      </c>
      <c r="AE70" s="123" t="e">
        <f t="shared" si="31"/>
        <v>#VALUE!</v>
      </c>
      <c r="AF70" s="123" t="e">
        <f t="shared" si="32"/>
        <v>#VALUE!</v>
      </c>
      <c r="AG70" s="123">
        <f t="shared" si="33"/>
        <v>0</v>
      </c>
      <c r="AH70" s="123">
        <f t="shared" si="34"/>
        <v>0</v>
      </c>
    </row>
    <row r="71" spans="1:34" ht="57" customHeight="1">
      <c r="A71" s="133">
        <f t="shared" si="35"/>
        <v>43366</v>
      </c>
      <c r="B71" s="134">
        <f t="shared" si="36"/>
        <v>0.66666666666666696</v>
      </c>
      <c r="C71" s="133">
        <f t="shared" si="24"/>
        <v>43366.666666666664</v>
      </c>
      <c r="D71" s="134" t="str">
        <f t="shared" si="37"/>
        <v>中班</v>
      </c>
      <c r="E71" s="131">
        <f t="shared" si="15"/>
        <v>1</v>
      </c>
      <c r="F71" s="131" t="str">
        <f t="shared" si="25"/>
        <v>甲班</v>
      </c>
      <c r="G71" s="132">
        <f>SUMPRODUCT((_6shaozhuchou_month_day!$A$2:$A$906&gt;=C71)*(_6shaozhuchou_month_day!$A$2:$A$906&lt;C72),_6shaozhuchou_month_day!$Y$2:$Y$906)/8</f>
        <v>0</v>
      </c>
      <c r="H71" s="132">
        <f t="shared" si="26"/>
        <v>0</v>
      </c>
      <c r="I71" s="141">
        <f t="shared" si="27"/>
        <v>0</v>
      </c>
      <c r="J71" s="142" t="e">
        <f>SUMPRODUCT((主抽数据!$AU$5:$AU$97=$A71)*(主抽数据!$AV$5:$AV$97=$F71),主抽数据!$AK$5:$AK$97)</f>
        <v>#REF!</v>
      </c>
      <c r="K71" s="142" t="e">
        <f>SUMPRODUCT((主抽数据!$AU$5:$AU$97=$A71)*(主抽数据!$AV$5:$AV$97=$F71),主抽数据!$AL$5:$AL$97)</f>
        <v>#REF!</v>
      </c>
      <c r="L71" s="143" t="e">
        <f t="shared" si="28"/>
        <v>#REF!</v>
      </c>
      <c r="M71" s="143">
        <f>SUMPRODUCT((_6shaozhuchou_month_day!$A$2:$A$906&gt;=C71)*(_6shaozhuchou_month_day!$A$2:$A$906&lt;C72),_6shaozhuchou_month_day!$Z$2:$Z$906)</f>
        <v>0</v>
      </c>
      <c r="N71" s="132">
        <f>M71*查询与汇总!$O$1</f>
        <v>0</v>
      </c>
      <c r="O71" s="144">
        <f t="shared" si="29"/>
        <v>0</v>
      </c>
      <c r="P71" s="145">
        <f>IF(G71=0,0,SUMPRODUCT((_6shaozhuchou_month_day!$A$2:$A$906&gt;=$C71)*(_6shaozhuchou_month_day!$A$2:$A$906&lt;$C72),_6shaozhuchou_month_day!T$2:T$906)/SUMPRODUCT((_6shaozhuchou_month_day!$A$2:$A$906&gt;=$C71)*(_6shaozhuchou_month_day!$A$2:$A$906&lt;$C72)*(_6shaozhuchou_month_day!T$2:T$906&gt;0)))</f>
        <v>0</v>
      </c>
      <c r="Q71" s="145">
        <f>IF(G71=0,0,SUMPRODUCT((_6shaozhuchou_month_day!$A$2:$A$906&gt;=$C71)*(_6shaozhuchou_month_day!$A$2:$A$906&lt;$C72),_6shaozhuchou_month_day!U$2:U$906)/SUMPRODUCT((_6shaozhuchou_month_day!$A$2:$A$906&gt;=$C71)*(_6shaozhuchou_month_day!$A$2:$A$906&lt;$C72)*(_6shaozhuchou_month_day!U$2:U$906&lt;0)))</f>
        <v>0</v>
      </c>
      <c r="R71" s="145">
        <f>IF(G71=0,0,SUMPRODUCT((_6shaozhuchou_month_day!$A$2:$A$906&gt;=$C71)*(_6shaozhuchou_month_day!$A$2:$A$906&lt;$C72),_6shaozhuchou_month_day!V$2:V$906)/SUMPRODUCT((_6shaozhuchou_month_day!$A$2:$A$906&gt;=$C71)*(_6shaozhuchou_month_day!$A$2:$A$906&lt;$C72)*(_6shaozhuchou_month_day!V$2:V$906&gt;0)))</f>
        <v>0</v>
      </c>
      <c r="S71" s="145">
        <f>IF(G71=0,0,SUMPRODUCT((_6shaozhuchou_month_day!$A$2:$A$906&gt;=$C71)*(_6shaozhuchou_month_day!$A$2:$A$906&lt;$C72),_6shaozhuchou_month_day!W$2:W$906)/SUMPRODUCT((_6shaozhuchou_month_day!$A$2:$A$906&gt;=$C71)*(_6shaozhuchou_month_day!$A$2:$A$906&lt;$C72)*(_6shaozhuchou_month_day!W$2:W$906&lt;0)))</f>
        <v>0</v>
      </c>
      <c r="T71" s="145" t="str">
        <f>主抽数据!Z75</f>
        <v/>
      </c>
      <c r="U71" s="145" t="str">
        <f>主抽数据!AA75</f>
        <v/>
      </c>
      <c r="V71" s="148">
        <f>查询与汇总!$S$1*M71</f>
        <v>0</v>
      </c>
      <c r="W71" s="149" t="e">
        <f t="shared" si="30"/>
        <v>#REF!</v>
      </c>
      <c r="X71" s="151"/>
      <c r="Y71" s="164"/>
      <c r="Z71" s="165"/>
      <c r="AA71" s="160" t="str">
        <f>主抽数据!AB75</f>
        <v/>
      </c>
      <c r="AB71" s="161" t="str">
        <f>主抽数据!AC75</f>
        <v/>
      </c>
      <c r="AC71" s="162" t="e">
        <f t="shared" si="23"/>
        <v>#REF!</v>
      </c>
      <c r="AE71" s="123" t="e">
        <f t="shared" si="31"/>
        <v>#VALUE!</v>
      </c>
      <c r="AF71" s="123" t="e">
        <f t="shared" si="32"/>
        <v>#VALUE!</v>
      </c>
      <c r="AG71" s="123">
        <f t="shared" si="33"/>
        <v>0</v>
      </c>
      <c r="AH71" s="123">
        <f t="shared" si="34"/>
        <v>0</v>
      </c>
    </row>
    <row r="72" spans="1:34" ht="20.25" customHeight="1">
      <c r="A72" s="133">
        <f t="shared" si="35"/>
        <v>43367</v>
      </c>
      <c r="B72" s="134">
        <f t="shared" si="36"/>
        <v>0</v>
      </c>
      <c r="C72" s="133">
        <f t="shared" si="24"/>
        <v>43367</v>
      </c>
      <c r="D72" s="134" t="str">
        <f t="shared" si="37"/>
        <v>夜班</v>
      </c>
      <c r="E72" s="131">
        <f t="shared" si="15"/>
        <v>2</v>
      </c>
      <c r="F72" s="131" t="str">
        <f t="shared" si="25"/>
        <v>乙班</v>
      </c>
      <c r="G72" s="132">
        <f>SUMPRODUCT((_6shaozhuchou_month_day!$A$2:$A$906&gt;=C72)*(_6shaozhuchou_month_day!$A$2:$A$906&lt;C73),_6shaozhuchou_month_day!$Y$2:$Y$906)/8</f>
        <v>0</v>
      </c>
      <c r="H72" s="132">
        <f t="shared" si="26"/>
        <v>0</v>
      </c>
      <c r="I72" s="141">
        <f t="shared" si="27"/>
        <v>0</v>
      </c>
      <c r="J72" s="142" t="e">
        <f>SUMPRODUCT((主抽数据!$AU$5:$AU$97=$A72)*(主抽数据!$AV$5:$AV$97=$F72),主抽数据!$AK$5:$AK$97)</f>
        <v>#REF!</v>
      </c>
      <c r="K72" s="142" t="e">
        <f>SUMPRODUCT((主抽数据!$AU$5:$AU$97=$A72)*(主抽数据!$AV$5:$AV$97=$F72),主抽数据!$AL$5:$AL$97)</f>
        <v>#REF!</v>
      </c>
      <c r="L72" s="143" t="e">
        <f t="shared" si="28"/>
        <v>#REF!</v>
      </c>
      <c r="M72" s="143">
        <f>SUMPRODUCT((_6shaozhuchou_month_day!$A$2:$A$906&gt;=C72)*(_6shaozhuchou_month_day!$A$2:$A$906&lt;C73),_6shaozhuchou_month_day!$Z$2:$Z$906)</f>
        <v>0</v>
      </c>
      <c r="N72" s="132">
        <f>M72*查询与汇总!$O$1</f>
        <v>0</v>
      </c>
      <c r="O72" s="144">
        <f t="shared" si="29"/>
        <v>0</v>
      </c>
      <c r="P72" s="145">
        <f>IF(G72=0,0,SUMPRODUCT((_6shaozhuchou_month_day!$A$2:$A$906&gt;=$C72)*(_6shaozhuchou_month_day!$A$2:$A$906&lt;$C73),_6shaozhuchou_month_day!T$2:T$906)/SUMPRODUCT((_6shaozhuchou_month_day!$A$2:$A$906&gt;=$C72)*(_6shaozhuchou_month_day!$A$2:$A$906&lt;$C73)*(_6shaozhuchou_month_day!T$2:T$906&gt;0)))</f>
        <v>0</v>
      </c>
      <c r="Q72" s="145">
        <f>IF(G72=0,0,SUMPRODUCT((_6shaozhuchou_month_day!$A$2:$A$906&gt;=$C72)*(_6shaozhuchou_month_day!$A$2:$A$906&lt;$C73),_6shaozhuchou_month_day!U$2:U$906)/SUMPRODUCT((_6shaozhuchou_month_day!$A$2:$A$906&gt;=$C72)*(_6shaozhuchou_month_day!$A$2:$A$906&lt;$C73)*(_6shaozhuchou_month_day!U$2:U$906&lt;0)))</f>
        <v>0</v>
      </c>
      <c r="R72" s="145">
        <f>IF(G72=0,0,SUMPRODUCT((_6shaozhuchou_month_day!$A$2:$A$906&gt;=$C72)*(_6shaozhuchou_month_day!$A$2:$A$906&lt;$C73),_6shaozhuchou_month_day!V$2:V$906)/SUMPRODUCT((_6shaozhuchou_month_day!$A$2:$A$906&gt;=$C72)*(_6shaozhuchou_month_day!$A$2:$A$906&lt;$C73)*(_6shaozhuchou_month_day!V$2:V$906&gt;0)))</f>
        <v>0</v>
      </c>
      <c r="S72" s="145">
        <f>IF(G72=0,0,SUMPRODUCT((_6shaozhuchou_month_day!$A$2:$A$906&gt;=$C72)*(_6shaozhuchou_month_day!$A$2:$A$906&lt;$C73),_6shaozhuchou_month_day!W$2:W$906)/SUMPRODUCT((_6shaozhuchou_month_day!$A$2:$A$906&gt;=$C72)*(_6shaozhuchou_month_day!$A$2:$A$906&lt;$C73)*(_6shaozhuchou_month_day!W$2:W$906&lt;0)))</f>
        <v>0</v>
      </c>
      <c r="T72" s="145" t="str">
        <f>主抽数据!Z76</f>
        <v/>
      </c>
      <c r="U72" s="145" t="str">
        <f>主抽数据!AA76</f>
        <v/>
      </c>
      <c r="V72" s="148">
        <f>查询与汇总!$S$1*M72</f>
        <v>0</v>
      </c>
      <c r="W72" s="149" t="e">
        <f t="shared" si="30"/>
        <v>#REF!</v>
      </c>
      <c r="X72" s="151"/>
      <c r="Y72" s="164"/>
      <c r="Z72" s="163"/>
      <c r="AA72" s="160" t="str">
        <f>主抽数据!AB76</f>
        <v/>
      </c>
      <c r="AB72" s="161" t="str">
        <f>主抽数据!AC76</f>
        <v/>
      </c>
      <c r="AC72" s="162" t="e">
        <f t="shared" si="23"/>
        <v>#REF!</v>
      </c>
      <c r="AE72" s="123" t="e">
        <f t="shared" si="31"/>
        <v>#VALUE!</v>
      </c>
      <c r="AF72" s="123" t="e">
        <f t="shared" si="32"/>
        <v>#VALUE!</v>
      </c>
      <c r="AG72" s="123">
        <f t="shared" si="33"/>
        <v>0</v>
      </c>
      <c r="AH72" s="123">
        <f t="shared" si="34"/>
        <v>0</v>
      </c>
    </row>
    <row r="73" spans="1:34" ht="27" customHeight="1">
      <c r="A73" s="133">
        <f t="shared" si="35"/>
        <v>43367</v>
      </c>
      <c r="B73" s="134">
        <f t="shared" si="36"/>
        <v>0.33333333333333298</v>
      </c>
      <c r="C73" s="133">
        <f t="shared" si="24"/>
        <v>43367.333333333336</v>
      </c>
      <c r="D73" s="134" t="str">
        <f t="shared" si="37"/>
        <v>白班</v>
      </c>
      <c r="E73" s="131">
        <f t="shared" si="15"/>
        <v>3</v>
      </c>
      <c r="F73" s="131" t="str">
        <f t="shared" si="25"/>
        <v>丙班</v>
      </c>
      <c r="G73" s="132">
        <f>SUMPRODUCT((_6shaozhuchou_month_day!$A$2:$A$906&gt;=C73)*(_6shaozhuchou_month_day!$A$2:$A$906&lt;C74),_6shaozhuchou_month_day!$Y$2:$Y$906)/8</f>
        <v>0</v>
      </c>
      <c r="H73" s="132">
        <f t="shared" si="26"/>
        <v>0</v>
      </c>
      <c r="I73" s="141">
        <f t="shared" si="27"/>
        <v>0</v>
      </c>
      <c r="J73" s="142" t="e">
        <f>SUMPRODUCT((主抽数据!$AU$5:$AU$97=$A73)*(主抽数据!$AV$5:$AV$97=$F73),主抽数据!$AK$5:$AK$97)</f>
        <v>#REF!</v>
      </c>
      <c r="K73" s="142" t="e">
        <f>SUMPRODUCT((主抽数据!$AU$5:$AU$97=$A73)*(主抽数据!$AV$5:$AV$97=$F73),主抽数据!$AL$5:$AL$97)</f>
        <v>#REF!</v>
      </c>
      <c r="L73" s="143" t="e">
        <f t="shared" si="28"/>
        <v>#REF!</v>
      </c>
      <c r="M73" s="143">
        <f>SUMPRODUCT((_6shaozhuchou_month_day!$A$2:$A$906&gt;=C73)*(_6shaozhuchou_month_day!$A$2:$A$906&lt;C74),_6shaozhuchou_month_day!$Z$2:$Z$906)</f>
        <v>0</v>
      </c>
      <c r="N73" s="132">
        <f>M73*查询与汇总!$O$1</f>
        <v>0</v>
      </c>
      <c r="O73" s="144">
        <f t="shared" si="29"/>
        <v>0</v>
      </c>
      <c r="P73" s="145">
        <f>IF(G73=0,0,SUMPRODUCT((_6shaozhuchou_month_day!$A$2:$A$906&gt;=$C73)*(_6shaozhuchou_month_day!$A$2:$A$906&lt;$C74),_6shaozhuchou_month_day!T$2:T$906)/SUMPRODUCT((_6shaozhuchou_month_day!$A$2:$A$906&gt;=$C73)*(_6shaozhuchou_month_day!$A$2:$A$906&lt;$C74)*(_6shaozhuchou_month_day!T$2:T$906&gt;0)))</f>
        <v>0</v>
      </c>
      <c r="Q73" s="145">
        <f>IF(G73=0,0,SUMPRODUCT((_6shaozhuchou_month_day!$A$2:$A$906&gt;=$C73)*(_6shaozhuchou_month_day!$A$2:$A$906&lt;$C74),_6shaozhuchou_month_day!U$2:U$906)/SUMPRODUCT((_6shaozhuchou_month_day!$A$2:$A$906&gt;=$C73)*(_6shaozhuchou_month_day!$A$2:$A$906&lt;$C74)*(_6shaozhuchou_month_day!U$2:U$906&lt;0)))</f>
        <v>0</v>
      </c>
      <c r="R73" s="145">
        <f>IF(G73=0,0,SUMPRODUCT((_6shaozhuchou_month_day!$A$2:$A$906&gt;=$C73)*(_6shaozhuchou_month_day!$A$2:$A$906&lt;$C74),_6shaozhuchou_month_day!V$2:V$906)/SUMPRODUCT((_6shaozhuchou_month_day!$A$2:$A$906&gt;=$C73)*(_6shaozhuchou_month_day!$A$2:$A$906&lt;$C74)*(_6shaozhuchou_month_day!V$2:V$906&gt;0)))</f>
        <v>0</v>
      </c>
      <c r="S73" s="145">
        <f>IF(G73=0,0,SUMPRODUCT((_6shaozhuchou_month_day!$A$2:$A$906&gt;=$C73)*(_6shaozhuchou_month_day!$A$2:$A$906&lt;$C74),_6shaozhuchou_month_day!W$2:W$906)/SUMPRODUCT((_6shaozhuchou_month_day!$A$2:$A$906&gt;=$C73)*(_6shaozhuchou_month_day!$A$2:$A$906&lt;$C74)*(_6shaozhuchou_month_day!W$2:W$906&lt;0)))</f>
        <v>0</v>
      </c>
      <c r="T73" s="145" t="str">
        <f>主抽数据!Z77</f>
        <v/>
      </c>
      <c r="U73" s="145" t="str">
        <f>主抽数据!AA77</f>
        <v/>
      </c>
      <c r="V73" s="148">
        <f>查询与汇总!$S$1*M73</f>
        <v>0</v>
      </c>
      <c r="W73" s="149" t="e">
        <f t="shared" si="30"/>
        <v>#REF!</v>
      </c>
      <c r="X73" s="151"/>
      <c r="Y73" s="164"/>
      <c r="Z73" s="163"/>
      <c r="AA73" s="160" t="str">
        <f>主抽数据!AB77</f>
        <v/>
      </c>
      <c r="AB73" s="161" t="str">
        <f>主抽数据!AC77</f>
        <v/>
      </c>
      <c r="AC73" s="162" t="e">
        <f t="shared" si="23"/>
        <v>#REF!</v>
      </c>
      <c r="AE73" s="123" t="e">
        <f t="shared" si="31"/>
        <v>#VALUE!</v>
      </c>
      <c r="AF73" s="123" t="e">
        <f t="shared" si="32"/>
        <v>#VALUE!</v>
      </c>
      <c r="AG73" s="123">
        <f t="shared" si="33"/>
        <v>0</v>
      </c>
      <c r="AH73" s="123">
        <f t="shared" si="34"/>
        <v>0</v>
      </c>
    </row>
    <row r="74" spans="1:34" ht="20.25" customHeight="1">
      <c r="A74" s="133">
        <f t="shared" si="35"/>
        <v>43367</v>
      </c>
      <c r="B74" s="134">
        <f t="shared" si="36"/>
        <v>0.66666666666666696</v>
      </c>
      <c r="C74" s="133">
        <f t="shared" si="24"/>
        <v>43367.666666666664</v>
      </c>
      <c r="D74" s="134" t="str">
        <f t="shared" si="37"/>
        <v>中班</v>
      </c>
      <c r="E74" s="131">
        <f t="shared" ref="E74:E96" si="38">IF(AND(E68=1),4,IF(AND(E68&gt;1),(E68-1),))</f>
        <v>4</v>
      </c>
      <c r="F74" s="131" t="str">
        <f t="shared" si="25"/>
        <v>丁班</v>
      </c>
      <c r="G74" s="132">
        <f>SUMPRODUCT((_6shaozhuchou_month_day!$A$2:$A$906&gt;=C74)*(_6shaozhuchou_month_day!$A$2:$A$906&lt;C75),_6shaozhuchou_month_day!$Y$2:$Y$906)/8</f>
        <v>0</v>
      </c>
      <c r="H74" s="132">
        <f t="shared" si="26"/>
        <v>0</v>
      </c>
      <c r="I74" s="141">
        <f t="shared" si="27"/>
        <v>0</v>
      </c>
      <c r="J74" s="142" t="e">
        <f>SUMPRODUCT((主抽数据!$AU$5:$AU$97=$A74)*(主抽数据!$AV$5:$AV$97=$F74),主抽数据!$AK$5:$AK$97)</f>
        <v>#REF!</v>
      </c>
      <c r="K74" s="142" t="e">
        <f>SUMPRODUCT((主抽数据!$AU$5:$AU$97=$A74)*(主抽数据!$AV$5:$AV$97=$F74),主抽数据!$AL$5:$AL$97)</f>
        <v>#REF!</v>
      </c>
      <c r="L74" s="143" t="e">
        <f t="shared" si="28"/>
        <v>#REF!</v>
      </c>
      <c r="M74" s="143">
        <f>SUMPRODUCT((_6shaozhuchou_month_day!$A$2:$A$906&gt;=C74)*(_6shaozhuchou_month_day!$A$2:$A$906&lt;C75),_6shaozhuchou_month_day!$Z$2:$Z$906)</f>
        <v>0</v>
      </c>
      <c r="N74" s="132">
        <f>M74*查询与汇总!$O$1</f>
        <v>0</v>
      </c>
      <c r="O74" s="144">
        <f t="shared" si="29"/>
        <v>0</v>
      </c>
      <c r="P74" s="145">
        <f>IF(G74=0,0,SUMPRODUCT((_6shaozhuchou_month_day!$A$2:$A$906&gt;=$C74)*(_6shaozhuchou_month_day!$A$2:$A$906&lt;$C75),_6shaozhuchou_month_day!T$2:T$906)/SUMPRODUCT((_6shaozhuchou_month_day!$A$2:$A$906&gt;=$C74)*(_6shaozhuchou_month_day!$A$2:$A$906&lt;$C75)*(_6shaozhuchou_month_day!T$2:T$906&gt;0)))</f>
        <v>0</v>
      </c>
      <c r="Q74" s="145">
        <f>IF(G74=0,0,SUMPRODUCT((_6shaozhuchou_month_day!$A$2:$A$906&gt;=$C74)*(_6shaozhuchou_month_day!$A$2:$A$906&lt;$C75),_6shaozhuchou_month_day!U$2:U$906)/SUMPRODUCT((_6shaozhuchou_month_day!$A$2:$A$906&gt;=$C74)*(_6shaozhuchou_month_day!$A$2:$A$906&lt;$C75)*(_6shaozhuchou_month_day!U$2:U$906&lt;0)))</f>
        <v>0</v>
      </c>
      <c r="R74" s="145">
        <f>IF(G74=0,0,SUMPRODUCT((_6shaozhuchou_month_day!$A$2:$A$906&gt;=$C74)*(_6shaozhuchou_month_day!$A$2:$A$906&lt;$C75),_6shaozhuchou_month_day!V$2:V$906)/SUMPRODUCT((_6shaozhuchou_month_day!$A$2:$A$906&gt;=$C74)*(_6shaozhuchou_month_day!$A$2:$A$906&lt;$C75)*(_6shaozhuchou_month_day!V$2:V$906&gt;0)))</f>
        <v>0</v>
      </c>
      <c r="S74" s="145">
        <f>IF(G74=0,0,SUMPRODUCT((_6shaozhuchou_month_day!$A$2:$A$906&gt;=$C74)*(_6shaozhuchou_month_day!$A$2:$A$906&lt;$C75),_6shaozhuchou_month_day!W$2:W$906)/SUMPRODUCT((_6shaozhuchou_month_day!$A$2:$A$906&gt;=$C74)*(_6shaozhuchou_month_day!$A$2:$A$906&lt;$C75)*(_6shaozhuchou_month_day!W$2:W$906&lt;0)))</f>
        <v>0</v>
      </c>
      <c r="T74" s="145" t="str">
        <f>主抽数据!Z78</f>
        <v/>
      </c>
      <c r="U74" s="145" t="str">
        <f>主抽数据!AA78</f>
        <v/>
      </c>
      <c r="V74" s="148">
        <f>查询与汇总!$S$1*M74</f>
        <v>0</v>
      </c>
      <c r="W74" s="149" t="e">
        <f t="shared" si="30"/>
        <v>#REF!</v>
      </c>
      <c r="X74" s="151"/>
      <c r="Y74" s="164"/>
      <c r="Z74" s="163"/>
      <c r="AA74" s="160" t="str">
        <f>主抽数据!AB78</f>
        <v/>
      </c>
      <c r="AB74" s="161" t="str">
        <f>主抽数据!AC78</f>
        <v/>
      </c>
      <c r="AC74" s="162" t="e">
        <f t="shared" si="23"/>
        <v>#REF!</v>
      </c>
      <c r="AE74" s="123" t="e">
        <f t="shared" si="31"/>
        <v>#VALUE!</v>
      </c>
      <c r="AF74" s="123" t="e">
        <f t="shared" si="32"/>
        <v>#VALUE!</v>
      </c>
      <c r="AG74" s="123">
        <f t="shared" si="33"/>
        <v>0</v>
      </c>
      <c r="AH74" s="123">
        <f t="shared" si="34"/>
        <v>0</v>
      </c>
    </row>
    <row r="75" spans="1:34" ht="20.25" customHeight="1">
      <c r="A75" s="133">
        <f t="shared" si="35"/>
        <v>43368</v>
      </c>
      <c r="B75" s="134">
        <f t="shared" si="36"/>
        <v>0</v>
      </c>
      <c r="C75" s="133">
        <f t="shared" si="24"/>
        <v>43368</v>
      </c>
      <c r="D75" s="134" t="str">
        <f t="shared" si="37"/>
        <v>夜班</v>
      </c>
      <c r="E75" s="131">
        <f t="shared" si="38"/>
        <v>2</v>
      </c>
      <c r="F75" s="131" t="str">
        <f t="shared" si="25"/>
        <v>乙班</v>
      </c>
      <c r="G75" s="132">
        <f>SUMPRODUCT((_6shaozhuchou_month_day!$A$2:$A$906&gt;=C75)*(_6shaozhuchou_month_day!$A$2:$A$906&lt;C76),_6shaozhuchou_month_day!$Y$2:$Y$906)/8</f>
        <v>0</v>
      </c>
      <c r="H75" s="132">
        <f t="shared" si="26"/>
        <v>0</v>
      </c>
      <c r="I75" s="141">
        <f t="shared" si="27"/>
        <v>0</v>
      </c>
      <c r="J75" s="142" t="e">
        <f>SUMPRODUCT((主抽数据!$AU$5:$AU$97=$A75)*(主抽数据!$AV$5:$AV$97=$F75),主抽数据!$AK$5:$AK$97)</f>
        <v>#REF!</v>
      </c>
      <c r="K75" s="142" t="e">
        <f>SUMPRODUCT((主抽数据!$AU$5:$AU$97=$A75)*(主抽数据!$AV$5:$AV$97=$F75),主抽数据!$AL$5:$AL$97)</f>
        <v>#REF!</v>
      </c>
      <c r="L75" s="143" t="e">
        <f t="shared" si="28"/>
        <v>#REF!</v>
      </c>
      <c r="M75" s="143">
        <f>SUMPRODUCT((_6shaozhuchou_month_day!$A$2:$A$906&gt;=C75)*(_6shaozhuchou_month_day!$A$2:$A$906&lt;C76),_6shaozhuchou_month_day!$Z$2:$Z$906)</f>
        <v>0</v>
      </c>
      <c r="N75" s="132">
        <f>M75*查询与汇总!$O$1</f>
        <v>0</v>
      </c>
      <c r="O75" s="144">
        <f t="shared" si="29"/>
        <v>0</v>
      </c>
      <c r="P75" s="145">
        <f>IF(G75=0,0,SUMPRODUCT((_6shaozhuchou_month_day!$A$2:$A$906&gt;=$C75)*(_6shaozhuchou_month_day!$A$2:$A$906&lt;$C76),_6shaozhuchou_month_day!T$2:T$906)/SUMPRODUCT((_6shaozhuchou_month_day!$A$2:$A$906&gt;=$C75)*(_6shaozhuchou_month_day!$A$2:$A$906&lt;$C76)*(_6shaozhuchou_month_day!T$2:T$906&gt;0)))</f>
        <v>0</v>
      </c>
      <c r="Q75" s="145">
        <f>IF(G75=0,0,SUMPRODUCT((_6shaozhuchou_month_day!$A$2:$A$906&gt;=$C75)*(_6shaozhuchou_month_day!$A$2:$A$906&lt;$C76),_6shaozhuchou_month_day!U$2:U$906)/SUMPRODUCT((_6shaozhuchou_month_day!$A$2:$A$906&gt;=$C75)*(_6shaozhuchou_month_day!$A$2:$A$906&lt;$C76)*(_6shaozhuchou_month_day!U$2:U$906&lt;0)))</f>
        <v>0</v>
      </c>
      <c r="R75" s="145">
        <f>IF(G75=0,0,SUMPRODUCT((_6shaozhuchou_month_day!$A$2:$A$906&gt;=$C75)*(_6shaozhuchou_month_day!$A$2:$A$906&lt;$C76),_6shaozhuchou_month_day!V$2:V$906)/SUMPRODUCT((_6shaozhuchou_month_day!$A$2:$A$906&gt;=$C75)*(_6shaozhuchou_month_day!$A$2:$A$906&lt;$C76)*(_6shaozhuchou_month_day!V$2:V$906&gt;0)))</f>
        <v>0</v>
      </c>
      <c r="S75" s="145">
        <f>IF(G75=0,0,SUMPRODUCT((_6shaozhuchou_month_day!$A$2:$A$906&gt;=$C75)*(_6shaozhuchou_month_day!$A$2:$A$906&lt;$C76),_6shaozhuchou_month_day!W$2:W$906)/SUMPRODUCT((_6shaozhuchou_month_day!$A$2:$A$906&gt;=$C75)*(_6shaozhuchou_month_day!$A$2:$A$906&lt;$C76)*(_6shaozhuchou_month_day!W$2:W$906&lt;0)))</f>
        <v>0</v>
      </c>
      <c r="T75" s="145" t="str">
        <f>主抽数据!Z79</f>
        <v/>
      </c>
      <c r="U75" s="145" t="str">
        <f>主抽数据!AA79</f>
        <v/>
      </c>
      <c r="V75" s="148">
        <f>查询与汇总!$S$1*M75</f>
        <v>0</v>
      </c>
      <c r="W75" s="149" t="e">
        <f t="shared" si="30"/>
        <v>#REF!</v>
      </c>
      <c r="X75" s="151"/>
      <c r="Y75" s="164"/>
      <c r="Z75" s="163"/>
      <c r="AA75" s="160" t="str">
        <f>主抽数据!AB79</f>
        <v/>
      </c>
      <c r="AB75" s="161" t="str">
        <f>主抽数据!AC79</f>
        <v/>
      </c>
      <c r="AC75" s="162" t="e">
        <f t="shared" si="23"/>
        <v>#REF!</v>
      </c>
      <c r="AE75" s="123" t="e">
        <f t="shared" si="31"/>
        <v>#VALUE!</v>
      </c>
      <c r="AF75" s="123" t="e">
        <f t="shared" si="32"/>
        <v>#VALUE!</v>
      </c>
      <c r="AG75" s="123">
        <f t="shared" si="33"/>
        <v>0</v>
      </c>
      <c r="AH75" s="123">
        <f t="shared" si="34"/>
        <v>0</v>
      </c>
    </row>
    <row r="76" spans="1:34" ht="20.25" customHeight="1">
      <c r="A76" s="133">
        <f t="shared" si="35"/>
        <v>43368</v>
      </c>
      <c r="B76" s="134">
        <f t="shared" si="36"/>
        <v>0.33333333333333298</v>
      </c>
      <c r="C76" s="133">
        <f t="shared" si="24"/>
        <v>43368.333333333336</v>
      </c>
      <c r="D76" s="134" t="str">
        <f t="shared" si="37"/>
        <v>白班</v>
      </c>
      <c r="E76" s="131">
        <f t="shared" si="38"/>
        <v>3</v>
      </c>
      <c r="F76" s="131" t="str">
        <f t="shared" si="25"/>
        <v>丙班</v>
      </c>
      <c r="G76" s="132">
        <f>SUMPRODUCT((_6shaozhuchou_month_day!$A$2:$A$906&gt;=C76)*(_6shaozhuchou_month_day!$A$2:$A$906&lt;C77),_6shaozhuchou_month_day!$Y$2:$Y$906)/8</f>
        <v>0</v>
      </c>
      <c r="H76" s="132">
        <f t="shared" si="26"/>
        <v>0</v>
      </c>
      <c r="I76" s="141">
        <f t="shared" si="27"/>
        <v>0</v>
      </c>
      <c r="J76" s="142" t="e">
        <f>SUMPRODUCT((主抽数据!$AU$5:$AU$97=$A76)*(主抽数据!$AV$5:$AV$97=$F76),主抽数据!$AK$5:$AK$97)</f>
        <v>#REF!</v>
      </c>
      <c r="K76" s="142" t="e">
        <f>SUMPRODUCT((主抽数据!$AU$5:$AU$97=$A76)*(主抽数据!$AV$5:$AV$97=$F76),主抽数据!$AL$5:$AL$97)</f>
        <v>#REF!</v>
      </c>
      <c r="L76" s="143" t="e">
        <f t="shared" si="28"/>
        <v>#REF!</v>
      </c>
      <c r="M76" s="143">
        <f>SUMPRODUCT((_6shaozhuchou_month_day!$A$2:$A$906&gt;=C76)*(_6shaozhuchou_month_day!$A$2:$A$906&lt;C77),_6shaozhuchou_month_day!$Z$2:$Z$906)</f>
        <v>0</v>
      </c>
      <c r="N76" s="132">
        <f>M76*查询与汇总!$O$1</f>
        <v>0</v>
      </c>
      <c r="O76" s="144">
        <f t="shared" si="29"/>
        <v>0</v>
      </c>
      <c r="P76" s="145">
        <f>IF(G76=0,0,SUMPRODUCT((_6shaozhuchou_month_day!$A$2:$A$906&gt;=$C76)*(_6shaozhuchou_month_day!$A$2:$A$906&lt;$C77),_6shaozhuchou_month_day!T$2:T$906)/SUMPRODUCT((_6shaozhuchou_month_day!$A$2:$A$906&gt;=$C76)*(_6shaozhuchou_month_day!$A$2:$A$906&lt;$C77)*(_6shaozhuchou_month_day!T$2:T$906&gt;0)))</f>
        <v>0</v>
      </c>
      <c r="Q76" s="145">
        <f>IF(G76=0,0,SUMPRODUCT((_6shaozhuchou_month_day!$A$2:$A$906&gt;=$C76)*(_6shaozhuchou_month_day!$A$2:$A$906&lt;$C77),_6shaozhuchou_month_day!U$2:U$906)/SUMPRODUCT((_6shaozhuchou_month_day!$A$2:$A$906&gt;=$C76)*(_6shaozhuchou_month_day!$A$2:$A$906&lt;$C77)*(_6shaozhuchou_month_day!U$2:U$906&lt;0)))</f>
        <v>0</v>
      </c>
      <c r="R76" s="145">
        <f>IF(G76=0,0,SUMPRODUCT((_6shaozhuchou_month_day!$A$2:$A$906&gt;=$C76)*(_6shaozhuchou_month_day!$A$2:$A$906&lt;$C77),_6shaozhuchou_month_day!V$2:V$906)/SUMPRODUCT((_6shaozhuchou_month_day!$A$2:$A$906&gt;=$C76)*(_6shaozhuchou_month_day!$A$2:$A$906&lt;$C77)*(_6shaozhuchou_month_day!V$2:V$906&gt;0)))</f>
        <v>0</v>
      </c>
      <c r="S76" s="145">
        <f>IF(G76=0,0,SUMPRODUCT((_6shaozhuchou_month_day!$A$2:$A$906&gt;=$C76)*(_6shaozhuchou_month_day!$A$2:$A$906&lt;$C77),_6shaozhuchou_month_day!W$2:W$906)/SUMPRODUCT((_6shaozhuchou_month_day!$A$2:$A$906&gt;=$C76)*(_6shaozhuchou_month_day!$A$2:$A$906&lt;$C77)*(_6shaozhuchou_month_day!W$2:W$906&lt;0)))</f>
        <v>0</v>
      </c>
      <c r="T76" s="145" t="str">
        <f>主抽数据!Z80</f>
        <v/>
      </c>
      <c r="U76" s="145" t="str">
        <f>主抽数据!AA80</f>
        <v/>
      </c>
      <c r="V76" s="148">
        <f>查询与汇总!$S$1*M76</f>
        <v>0</v>
      </c>
      <c r="W76" s="149" t="e">
        <f t="shared" si="30"/>
        <v>#REF!</v>
      </c>
      <c r="X76" s="151"/>
      <c r="Y76" s="164"/>
      <c r="Z76" s="163"/>
      <c r="AA76" s="160" t="str">
        <f>主抽数据!AB80</f>
        <v/>
      </c>
      <c r="AB76" s="161" t="str">
        <f>主抽数据!AC80</f>
        <v/>
      </c>
      <c r="AC76" s="162" t="e">
        <f t="shared" si="23"/>
        <v>#REF!</v>
      </c>
      <c r="AE76" s="123" t="e">
        <f t="shared" si="31"/>
        <v>#VALUE!</v>
      </c>
      <c r="AF76" s="123" t="e">
        <f t="shared" si="32"/>
        <v>#VALUE!</v>
      </c>
      <c r="AG76" s="123">
        <f t="shared" si="33"/>
        <v>0</v>
      </c>
      <c r="AH76" s="123">
        <f t="shared" si="34"/>
        <v>0</v>
      </c>
    </row>
    <row r="77" spans="1:34" ht="30.95" customHeight="1">
      <c r="A77" s="133">
        <f t="shared" si="35"/>
        <v>43368</v>
      </c>
      <c r="B77" s="134">
        <f t="shared" si="36"/>
        <v>0.66666666666666696</v>
      </c>
      <c r="C77" s="133">
        <f t="shared" si="24"/>
        <v>43368.666666666664</v>
      </c>
      <c r="D77" s="134" t="str">
        <f t="shared" si="37"/>
        <v>中班</v>
      </c>
      <c r="E77" s="131">
        <f t="shared" si="38"/>
        <v>4</v>
      </c>
      <c r="F77" s="131" t="str">
        <f t="shared" si="25"/>
        <v>丁班</v>
      </c>
      <c r="G77" s="132">
        <f>SUMPRODUCT((_6shaozhuchou_month_day!$A$2:$A$906&gt;=C77)*(_6shaozhuchou_month_day!$A$2:$A$906&lt;C78),_6shaozhuchou_month_day!$Y$2:$Y$906)/8</f>
        <v>0</v>
      </c>
      <c r="H77" s="132">
        <f t="shared" si="26"/>
        <v>0</v>
      </c>
      <c r="I77" s="141">
        <f t="shared" si="27"/>
        <v>0</v>
      </c>
      <c r="J77" s="142" t="e">
        <f>SUMPRODUCT((主抽数据!$AU$5:$AU$97=$A77)*(主抽数据!$AV$5:$AV$97=$F77),主抽数据!$AK$5:$AK$97)</f>
        <v>#REF!</v>
      </c>
      <c r="K77" s="142" t="e">
        <f>SUMPRODUCT((主抽数据!$AU$5:$AU$97=$A77)*(主抽数据!$AV$5:$AV$97=$F77),主抽数据!$AL$5:$AL$97)</f>
        <v>#REF!</v>
      </c>
      <c r="L77" s="143" t="e">
        <f t="shared" si="28"/>
        <v>#REF!</v>
      </c>
      <c r="M77" s="143">
        <f>SUMPRODUCT((_6shaozhuchou_month_day!$A$2:$A$906&gt;=C77)*(_6shaozhuchou_month_day!$A$2:$A$906&lt;C78),_6shaozhuchou_month_day!$Z$2:$Z$906)</f>
        <v>0</v>
      </c>
      <c r="N77" s="132">
        <f>M77*查询与汇总!$O$1</f>
        <v>0</v>
      </c>
      <c r="O77" s="144">
        <f t="shared" si="29"/>
        <v>0</v>
      </c>
      <c r="P77" s="145">
        <f>IF(G77=0,0,SUMPRODUCT((_6shaozhuchou_month_day!$A$2:$A$906&gt;=$C77)*(_6shaozhuchou_month_day!$A$2:$A$906&lt;$C78),_6shaozhuchou_month_day!T$2:T$906)/SUMPRODUCT((_6shaozhuchou_month_day!$A$2:$A$906&gt;=$C77)*(_6shaozhuchou_month_day!$A$2:$A$906&lt;$C78)*(_6shaozhuchou_month_day!T$2:T$906&gt;0)))</f>
        <v>0</v>
      </c>
      <c r="Q77" s="145">
        <f>IF(G77=0,0,SUMPRODUCT((_6shaozhuchou_month_day!$A$2:$A$906&gt;=$C77)*(_6shaozhuchou_month_day!$A$2:$A$906&lt;$C78),_6shaozhuchou_month_day!U$2:U$906)/SUMPRODUCT((_6shaozhuchou_month_day!$A$2:$A$906&gt;=$C77)*(_6shaozhuchou_month_day!$A$2:$A$906&lt;$C78)*(_6shaozhuchou_month_day!U$2:U$906&lt;0)))</f>
        <v>0</v>
      </c>
      <c r="R77" s="145">
        <f>IF(G77=0,0,SUMPRODUCT((_6shaozhuchou_month_day!$A$2:$A$906&gt;=$C77)*(_6shaozhuchou_month_day!$A$2:$A$906&lt;$C78),_6shaozhuchou_month_day!V$2:V$906)/SUMPRODUCT((_6shaozhuchou_month_day!$A$2:$A$906&gt;=$C77)*(_6shaozhuchou_month_day!$A$2:$A$906&lt;$C78)*(_6shaozhuchou_month_day!V$2:V$906&gt;0)))</f>
        <v>0</v>
      </c>
      <c r="S77" s="145">
        <f>IF(G77=0,0,SUMPRODUCT((_6shaozhuchou_month_day!$A$2:$A$906&gt;=$C77)*(_6shaozhuchou_month_day!$A$2:$A$906&lt;$C78),_6shaozhuchou_month_day!W$2:W$906)/SUMPRODUCT((_6shaozhuchou_month_day!$A$2:$A$906&gt;=$C77)*(_6shaozhuchou_month_day!$A$2:$A$906&lt;$C78)*(_6shaozhuchou_month_day!W$2:W$906&lt;0)))</f>
        <v>0</v>
      </c>
      <c r="T77" s="145" t="str">
        <f>主抽数据!Z81</f>
        <v/>
      </c>
      <c r="U77" s="145" t="str">
        <f>主抽数据!AA81</f>
        <v/>
      </c>
      <c r="V77" s="148">
        <f>查询与汇总!$S$1*M77</f>
        <v>0</v>
      </c>
      <c r="W77" s="149" t="e">
        <f t="shared" si="30"/>
        <v>#REF!</v>
      </c>
      <c r="X77" s="151"/>
      <c r="Y77" s="164"/>
      <c r="Z77" s="165"/>
      <c r="AA77" s="160" t="str">
        <f>主抽数据!AB81</f>
        <v/>
      </c>
      <c r="AB77" s="161" t="str">
        <f>主抽数据!AC81</f>
        <v/>
      </c>
      <c r="AC77" s="162" t="e">
        <f t="shared" si="23"/>
        <v>#REF!</v>
      </c>
      <c r="AE77" s="123" t="e">
        <f t="shared" si="31"/>
        <v>#VALUE!</v>
      </c>
      <c r="AF77" s="123" t="e">
        <f t="shared" si="32"/>
        <v>#VALUE!</v>
      </c>
      <c r="AG77" s="123">
        <f t="shared" si="33"/>
        <v>0</v>
      </c>
      <c r="AH77" s="123">
        <f t="shared" si="34"/>
        <v>0</v>
      </c>
    </row>
    <row r="78" spans="1:34" ht="44.1" customHeight="1">
      <c r="A78" s="133">
        <f t="shared" si="35"/>
        <v>43369</v>
      </c>
      <c r="B78" s="134">
        <f t="shared" si="36"/>
        <v>0</v>
      </c>
      <c r="C78" s="133">
        <f t="shared" si="24"/>
        <v>43369</v>
      </c>
      <c r="D78" s="134" t="str">
        <f t="shared" si="37"/>
        <v>夜班</v>
      </c>
      <c r="E78" s="131">
        <f t="shared" si="38"/>
        <v>1</v>
      </c>
      <c r="F78" s="131" t="str">
        <f t="shared" si="25"/>
        <v>甲班</v>
      </c>
      <c r="G78" s="132">
        <f>SUMPRODUCT((_6shaozhuchou_month_day!$A$2:$A$906&gt;=C78)*(_6shaozhuchou_month_day!$A$2:$A$906&lt;C79),_6shaozhuchou_month_day!$Y$2:$Y$906)/8</f>
        <v>0</v>
      </c>
      <c r="H78" s="132">
        <f t="shared" si="26"/>
        <v>0</v>
      </c>
      <c r="I78" s="141">
        <f t="shared" si="27"/>
        <v>0</v>
      </c>
      <c r="J78" s="142" t="e">
        <f>SUMPRODUCT((主抽数据!$AU$5:$AU$97=$A78)*(主抽数据!$AV$5:$AV$97=$F78),主抽数据!$AK$5:$AK$97)</f>
        <v>#REF!</v>
      </c>
      <c r="K78" s="142" t="e">
        <f>SUMPRODUCT((主抽数据!$AU$5:$AU$97=$A78)*(主抽数据!$AV$5:$AV$97=$F78),主抽数据!$AL$5:$AL$97)</f>
        <v>#REF!</v>
      </c>
      <c r="L78" s="143" t="e">
        <f t="shared" si="28"/>
        <v>#REF!</v>
      </c>
      <c r="M78" s="143">
        <f>SUMPRODUCT((_6shaozhuchou_month_day!$A$2:$A$906&gt;=C78)*(_6shaozhuchou_month_day!$A$2:$A$906&lt;C79),_6shaozhuchou_month_day!$Z$2:$Z$906)</f>
        <v>0</v>
      </c>
      <c r="N78" s="132">
        <f>M78*查询与汇总!$O$1</f>
        <v>0</v>
      </c>
      <c r="O78" s="144">
        <f t="shared" si="29"/>
        <v>0</v>
      </c>
      <c r="P78" s="145">
        <f>IF(G78=0,0,SUMPRODUCT((_6shaozhuchou_month_day!$A$2:$A$906&gt;=$C78)*(_6shaozhuchou_month_day!$A$2:$A$906&lt;$C79),_6shaozhuchou_month_day!T$2:T$906)/SUMPRODUCT((_6shaozhuchou_month_day!$A$2:$A$906&gt;=$C78)*(_6shaozhuchou_month_day!$A$2:$A$906&lt;$C79)*(_6shaozhuchou_month_day!T$2:T$906&gt;0)))</f>
        <v>0</v>
      </c>
      <c r="Q78" s="145">
        <f>IF(G78=0,0,SUMPRODUCT((_6shaozhuchou_month_day!$A$2:$A$906&gt;=$C78)*(_6shaozhuchou_month_day!$A$2:$A$906&lt;$C79),_6shaozhuchou_month_day!U$2:U$906)/SUMPRODUCT((_6shaozhuchou_month_day!$A$2:$A$906&gt;=$C78)*(_6shaozhuchou_month_day!$A$2:$A$906&lt;$C79)*(_6shaozhuchou_month_day!U$2:U$906&lt;0)))</f>
        <v>0</v>
      </c>
      <c r="R78" s="145">
        <f>IF(G78=0,0,SUMPRODUCT((_6shaozhuchou_month_day!$A$2:$A$906&gt;=$C78)*(_6shaozhuchou_month_day!$A$2:$A$906&lt;$C79),_6shaozhuchou_month_day!V$2:V$906)/SUMPRODUCT((_6shaozhuchou_month_day!$A$2:$A$906&gt;=$C78)*(_6shaozhuchou_month_day!$A$2:$A$906&lt;$C79)*(_6shaozhuchou_month_day!V$2:V$906&gt;0)))</f>
        <v>0</v>
      </c>
      <c r="S78" s="145">
        <f>IF(G78=0,0,SUMPRODUCT((_6shaozhuchou_month_day!$A$2:$A$906&gt;=$C78)*(_6shaozhuchou_month_day!$A$2:$A$906&lt;$C79),_6shaozhuchou_month_day!W$2:W$906)/SUMPRODUCT((_6shaozhuchou_month_day!$A$2:$A$906&gt;=$C78)*(_6shaozhuchou_month_day!$A$2:$A$906&lt;$C79)*(_6shaozhuchou_month_day!W$2:W$906&lt;0)))</f>
        <v>0</v>
      </c>
      <c r="T78" s="145" t="str">
        <f>主抽数据!Z82</f>
        <v/>
      </c>
      <c r="U78" s="145" t="str">
        <f>主抽数据!AA82</f>
        <v/>
      </c>
      <c r="V78" s="148">
        <f>查询与汇总!$S$1*M78</f>
        <v>0</v>
      </c>
      <c r="W78" s="149" t="e">
        <f t="shared" si="30"/>
        <v>#REF!</v>
      </c>
      <c r="X78" s="151"/>
      <c r="Y78" s="164"/>
      <c r="Z78" s="163"/>
      <c r="AA78" s="160" t="str">
        <f>主抽数据!AB82</f>
        <v/>
      </c>
      <c r="AB78" s="161" t="str">
        <f>主抽数据!AC82</f>
        <v/>
      </c>
      <c r="AC78" s="162" t="e">
        <f t="shared" si="23"/>
        <v>#REF!</v>
      </c>
      <c r="AE78" s="123" t="e">
        <f t="shared" si="31"/>
        <v>#VALUE!</v>
      </c>
      <c r="AF78" s="123" t="e">
        <f t="shared" si="32"/>
        <v>#VALUE!</v>
      </c>
      <c r="AG78" s="123">
        <f t="shared" si="33"/>
        <v>0</v>
      </c>
      <c r="AH78" s="123">
        <f t="shared" si="34"/>
        <v>0</v>
      </c>
    </row>
    <row r="79" spans="1:34" ht="30" customHeight="1">
      <c r="A79" s="133">
        <f t="shared" si="35"/>
        <v>43369</v>
      </c>
      <c r="B79" s="134">
        <f t="shared" si="36"/>
        <v>0.33333333333333298</v>
      </c>
      <c r="C79" s="133">
        <f t="shared" si="24"/>
        <v>43369.333333333336</v>
      </c>
      <c r="D79" s="134" t="str">
        <f t="shared" si="37"/>
        <v>白班</v>
      </c>
      <c r="E79" s="131">
        <f t="shared" si="38"/>
        <v>2</v>
      </c>
      <c r="F79" s="131" t="str">
        <f t="shared" si="25"/>
        <v>乙班</v>
      </c>
      <c r="G79" s="132">
        <f>SUMPRODUCT((_6shaozhuchou_month_day!$A$2:$A$906&gt;=C79)*(_6shaozhuchou_month_day!$A$2:$A$906&lt;C80),_6shaozhuchou_month_day!$Y$2:$Y$906)/8</f>
        <v>0</v>
      </c>
      <c r="H79" s="132">
        <f t="shared" si="26"/>
        <v>0</v>
      </c>
      <c r="I79" s="141">
        <f t="shared" si="27"/>
        <v>0</v>
      </c>
      <c r="J79" s="142" t="e">
        <f>SUMPRODUCT((主抽数据!$AU$5:$AU$97=$A79)*(主抽数据!$AV$5:$AV$97=$F79),主抽数据!$AK$5:$AK$97)</f>
        <v>#REF!</v>
      </c>
      <c r="K79" s="142" t="e">
        <f>SUMPRODUCT((主抽数据!$AU$5:$AU$97=$A79)*(主抽数据!$AV$5:$AV$97=$F79),主抽数据!$AL$5:$AL$97)</f>
        <v>#REF!</v>
      </c>
      <c r="L79" s="143" t="e">
        <f t="shared" si="28"/>
        <v>#REF!</v>
      </c>
      <c r="M79" s="143">
        <f>SUMPRODUCT((_6shaozhuchou_month_day!$A$2:$A$906&gt;=C79)*(_6shaozhuchou_month_day!$A$2:$A$906&lt;C80),_6shaozhuchou_month_day!$Z$2:$Z$906)</f>
        <v>0</v>
      </c>
      <c r="N79" s="132">
        <f>M79*查询与汇总!$O$1</f>
        <v>0</v>
      </c>
      <c r="O79" s="144">
        <f t="shared" si="29"/>
        <v>0</v>
      </c>
      <c r="P79" s="145">
        <f>IF(G79=0,0,SUMPRODUCT((_6shaozhuchou_month_day!$A$2:$A$906&gt;=$C79)*(_6shaozhuchou_month_day!$A$2:$A$906&lt;$C80),_6shaozhuchou_month_day!T$2:T$906)/SUMPRODUCT((_6shaozhuchou_month_day!$A$2:$A$906&gt;=$C79)*(_6shaozhuchou_month_day!$A$2:$A$906&lt;$C80)*(_6shaozhuchou_month_day!T$2:T$906&gt;0)))</f>
        <v>0</v>
      </c>
      <c r="Q79" s="145">
        <f>IF(G79=0,0,SUMPRODUCT((_6shaozhuchou_month_day!$A$2:$A$906&gt;=$C79)*(_6shaozhuchou_month_day!$A$2:$A$906&lt;$C80),_6shaozhuchou_month_day!U$2:U$906)/SUMPRODUCT((_6shaozhuchou_month_day!$A$2:$A$906&gt;=$C79)*(_6shaozhuchou_month_day!$A$2:$A$906&lt;$C80)*(_6shaozhuchou_month_day!U$2:U$906&lt;0)))</f>
        <v>0</v>
      </c>
      <c r="R79" s="145">
        <f>IF(G79=0,0,SUMPRODUCT((_6shaozhuchou_month_day!$A$2:$A$906&gt;=$C79)*(_6shaozhuchou_month_day!$A$2:$A$906&lt;$C80),_6shaozhuchou_month_day!V$2:V$906)/SUMPRODUCT((_6shaozhuchou_month_day!$A$2:$A$906&gt;=$C79)*(_6shaozhuchou_month_day!$A$2:$A$906&lt;$C80)*(_6shaozhuchou_month_day!V$2:V$906&gt;0)))</f>
        <v>0</v>
      </c>
      <c r="S79" s="145">
        <f>IF(G79=0,0,SUMPRODUCT((_6shaozhuchou_month_day!$A$2:$A$906&gt;=$C79)*(_6shaozhuchou_month_day!$A$2:$A$906&lt;$C80),_6shaozhuchou_month_day!W$2:W$906)/SUMPRODUCT((_6shaozhuchou_month_day!$A$2:$A$906&gt;=$C79)*(_6shaozhuchou_month_day!$A$2:$A$906&lt;$C80)*(_6shaozhuchou_month_day!W$2:W$906&lt;0)))</f>
        <v>0</v>
      </c>
      <c r="T79" s="145" t="str">
        <f>主抽数据!Z83</f>
        <v/>
      </c>
      <c r="U79" s="145" t="str">
        <f>主抽数据!AA83</f>
        <v/>
      </c>
      <c r="V79" s="148">
        <f>查询与汇总!$S$1*M79</f>
        <v>0</v>
      </c>
      <c r="W79" s="149" t="e">
        <f t="shared" si="30"/>
        <v>#REF!</v>
      </c>
      <c r="X79" s="151"/>
      <c r="Y79" s="164"/>
      <c r="Z79" s="163"/>
      <c r="AA79" s="160" t="str">
        <f>主抽数据!AB83</f>
        <v/>
      </c>
      <c r="AB79" s="161" t="str">
        <f>主抽数据!AC83</f>
        <v/>
      </c>
      <c r="AC79" s="162" t="e">
        <f t="shared" si="23"/>
        <v>#REF!</v>
      </c>
      <c r="AE79" s="123" t="e">
        <f t="shared" si="31"/>
        <v>#VALUE!</v>
      </c>
      <c r="AF79" s="123" t="e">
        <f t="shared" si="32"/>
        <v>#VALUE!</v>
      </c>
      <c r="AG79" s="123">
        <f t="shared" si="33"/>
        <v>0</v>
      </c>
      <c r="AH79" s="123">
        <f t="shared" si="34"/>
        <v>0</v>
      </c>
    </row>
    <row r="80" spans="1:34" ht="27" customHeight="1">
      <c r="A80" s="133">
        <f t="shared" si="35"/>
        <v>43369</v>
      </c>
      <c r="B80" s="134">
        <f t="shared" si="36"/>
        <v>0.66666666666666696</v>
      </c>
      <c r="C80" s="133">
        <f t="shared" si="24"/>
        <v>43369.666666666664</v>
      </c>
      <c r="D80" s="134" t="str">
        <f t="shared" si="37"/>
        <v>中班</v>
      </c>
      <c r="E80" s="131">
        <f t="shared" si="38"/>
        <v>3</v>
      </c>
      <c r="F80" s="131" t="str">
        <f t="shared" si="25"/>
        <v>丙班</v>
      </c>
      <c r="G80" s="132">
        <f>SUMPRODUCT((_6shaozhuchou_month_day!$A$2:$A$906&gt;=C80)*(_6shaozhuchou_month_day!$A$2:$A$906&lt;C81),_6shaozhuchou_month_day!$Y$2:$Y$906)/8</f>
        <v>0</v>
      </c>
      <c r="H80" s="132">
        <f t="shared" si="26"/>
        <v>0</v>
      </c>
      <c r="I80" s="141">
        <f t="shared" si="27"/>
        <v>0</v>
      </c>
      <c r="J80" s="142" t="e">
        <f>SUMPRODUCT((主抽数据!$AU$5:$AU$97=$A80)*(主抽数据!$AV$5:$AV$97=$F80),主抽数据!$AK$5:$AK$97)</f>
        <v>#REF!</v>
      </c>
      <c r="K80" s="142" t="e">
        <f>SUMPRODUCT((主抽数据!$AU$5:$AU$97=$A80)*(主抽数据!$AV$5:$AV$97=$F80),主抽数据!$AL$5:$AL$97)</f>
        <v>#REF!</v>
      </c>
      <c r="L80" s="143" t="e">
        <f t="shared" si="28"/>
        <v>#REF!</v>
      </c>
      <c r="M80" s="143">
        <f>SUMPRODUCT((_6shaozhuchou_month_day!$A$2:$A$906&gt;=C80)*(_6shaozhuchou_month_day!$A$2:$A$906&lt;C81),_6shaozhuchou_month_day!$Z$2:$Z$906)</f>
        <v>0</v>
      </c>
      <c r="N80" s="132">
        <f>M80*查询与汇总!$O$1</f>
        <v>0</v>
      </c>
      <c r="O80" s="144">
        <f t="shared" si="29"/>
        <v>0</v>
      </c>
      <c r="P80" s="145">
        <f>IF(G80=0,0,SUMPRODUCT((_6shaozhuchou_month_day!$A$2:$A$906&gt;=$C80)*(_6shaozhuchou_month_day!$A$2:$A$906&lt;$C81),_6shaozhuchou_month_day!T$2:T$906)/SUMPRODUCT((_6shaozhuchou_month_day!$A$2:$A$906&gt;=$C80)*(_6shaozhuchou_month_day!$A$2:$A$906&lt;$C81)*(_6shaozhuchou_month_day!T$2:T$906&gt;0)))</f>
        <v>0</v>
      </c>
      <c r="Q80" s="145">
        <f>IF(G80=0,0,SUMPRODUCT((_6shaozhuchou_month_day!$A$2:$A$906&gt;=$C80)*(_6shaozhuchou_month_day!$A$2:$A$906&lt;$C81),_6shaozhuchou_month_day!U$2:U$906)/SUMPRODUCT((_6shaozhuchou_month_day!$A$2:$A$906&gt;=$C80)*(_6shaozhuchou_month_day!$A$2:$A$906&lt;$C81)*(_6shaozhuchou_month_day!U$2:U$906&lt;0)))</f>
        <v>0</v>
      </c>
      <c r="R80" s="145">
        <f>IF(G80=0,0,SUMPRODUCT((_6shaozhuchou_month_day!$A$2:$A$906&gt;=$C80)*(_6shaozhuchou_month_day!$A$2:$A$906&lt;$C81),_6shaozhuchou_month_day!V$2:V$906)/SUMPRODUCT((_6shaozhuchou_month_day!$A$2:$A$906&gt;=$C80)*(_6shaozhuchou_month_day!$A$2:$A$906&lt;$C81)*(_6shaozhuchou_month_day!V$2:V$906&gt;0)))</f>
        <v>0</v>
      </c>
      <c r="S80" s="145">
        <f>IF(G80=0,0,SUMPRODUCT((_6shaozhuchou_month_day!$A$2:$A$906&gt;=$C80)*(_6shaozhuchou_month_day!$A$2:$A$906&lt;$C81),_6shaozhuchou_month_day!W$2:W$906)/SUMPRODUCT((_6shaozhuchou_month_day!$A$2:$A$906&gt;=$C80)*(_6shaozhuchou_month_day!$A$2:$A$906&lt;$C81)*(_6shaozhuchou_month_day!W$2:W$906&lt;0)))</f>
        <v>0</v>
      </c>
      <c r="T80" s="145" t="str">
        <f>主抽数据!Z84</f>
        <v/>
      </c>
      <c r="U80" s="145" t="str">
        <f>主抽数据!AA84</f>
        <v/>
      </c>
      <c r="V80" s="148">
        <f>查询与汇总!$S$1*M80</f>
        <v>0</v>
      </c>
      <c r="W80" s="149" t="e">
        <f t="shared" si="30"/>
        <v>#REF!</v>
      </c>
      <c r="X80" s="151"/>
      <c r="Y80" s="164"/>
      <c r="Z80" s="163"/>
      <c r="AA80" s="160" t="str">
        <f>主抽数据!AB84</f>
        <v/>
      </c>
      <c r="AB80" s="161" t="str">
        <f>主抽数据!AC84</f>
        <v/>
      </c>
      <c r="AC80" s="162" t="e">
        <f t="shared" si="23"/>
        <v>#REF!</v>
      </c>
      <c r="AE80" s="123" t="e">
        <f t="shared" si="31"/>
        <v>#VALUE!</v>
      </c>
      <c r="AF80" s="123" t="e">
        <f t="shared" si="32"/>
        <v>#VALUE!</v>
      </c>
      <c r="AG80" s="123">
        <f t="shared" si="33"/>
        <v>0</v>
      </c>
      <c r="AH80" s="123">
        <f t="shared" si="34"/>
        <v>0</v>
      </c>
    </row>
    <row r="81" spans="1:34" ht="29.1" customHeight="1">
      <c r="A81" s="133">
        <f t="shared" si="35"/>
        <v>43370</v>
      </c>
      <c r="B81" s="134">
        <f t="shared" si="36"/>
        <v>0</v>
      </c>
      <c r="C81" s="133">
        <f t="shared" ref="C81:C96" si="39">A81+B81</f>
        <v>43370</v>
      </c>
      <c r="D81" s="134" t="str">
        <f t="shared" si="37"/>
        <v>夜班</v>
      </c>
      <c r="E81" s="131">
        <f t="shared" si="38"/>
        <v>1</v>
      </c>
      <c r="F81" s="131" t="str">
        <f t="shared" si="25"/>
        <v>甲班</v>
      </c>
      <c r="G81" s="132">
        <f>SUMPRODUCT((_6shaozhuchou_month_day!$A$2:$A$906&gt;=C81)*(_6shaozhuchou_month_day!$A$2:$A$906&lt;C82),_6shaozhuchou_month_day!$Y$2:$Y$906)/8</f>
        <v>0</v>
      </c>
      <c r="H81" s="132">
        <f t="shared" si="26"/>
        <v>0</v>
      </c>
      <c r="I81" s="141">
        <f t="shared" si="27"/>
        <v>0</v>
      </c>
      <c r="J81" s="142" t="e">
        <f>SUMPRODUCT((主抽数据!$AU$5:$AU$97=$A81)*(主抽数据!$AV$5:$AV$97=$F81),主抽数据!$AK$5:$AK$97)</f>
        <v>#REF!</v>
      </c>
      <c r="K81" s="142" t="e">
        <f>SUMPRODUCT((主抽数据!$AU$5:$AU$97=$A81)*(主抽数据!$AV$5:$AV$97=$F81),主抽数据!$AL$5:$AL$97)</f>
        <v>#REF!</v>
      </c>
      <c r="L81" s="143" t="e">
        <f t="shared" si="28"/>
        <v>#REF!</v>
      </c>
      <c r="M81" s="143">
        <f>SUMPRODUCT((_6shaozhuchou_month_day!$A$2:$A$906&gt;=C81)*(_6shaozhuchou_month_day!$A$2:$A$906&lt;C82),_6shaozhuchou_month_day!$Z$2:$Z$906)</f>
        <v>0</v>
      </c>
      <c r="N81" s="132">
        <f>M81*查询与汇总!$O$1</f>
        <v>0</v>
      </c>
      <c r="O81" s="144">
        <f t="shared" si="29"/>
        <v>0</v>
      </c>
      <c r="P81" s="145">
        <f>IF(G81=0,0,SUMPRODUCT((_6shaozhuchou_month_day!$A$2:$A$906&gt;=$C81)*(_6shaozhuchou_month_day!$A$2:$A$906&lt;$C82),_6shaozhuchou_month_day!T$2:T$906)/SUMPRODUCT((_6shaozhuchou_month_day!$A$2:$A$906&gt;=$C81)*(_6shaozhuchou_month_day!$A$2:$A$906&lt;$C82)*(_6shaozhuchou_month_day!T$2:T$906&gt;0)))</f>
        <v>0</v>
      </c>
      <c r="Q81" s="145">
        <f>IF(G81=0,0,SUMPRODUCT((_6shaozhuchou_month_day!$A$2:$A$906&gt;=$C81)*(_6shaozhuchou_month_day!$A$2:$A$906&lt;$C82),_6shaozhuchou_month_day!U$2:U$906)/SUMPRODUCT((_6shaozhuchou_month_day!$A$2:$A$906&gt;=$C81)*(_6shaozhuchou_month_day!$A$2:$A$906&lt;$C82)*(_6shaozhuchou_month_day!U$2:U$906&lt;0)))</f>
        <v>0</v>
      </c>
      <c r="R81" s="145">
        <f>IF(G81=0,0,SUMPRODUCT((_6shaozhuchou_month_day!$A$2:$A$906&gt;=$C81)*(_6shaozhuchou_month_day!$A$2:$A$906&lt;$C82),_6shaozhuchou_month_day!V$2:V$906)/SUMPRODUCT((_6shaozhuchou_month_day!$A$2:$A$906&gt;=$C81)*(_6shaozhuchou_month_day!$A$2:$A$906&lt;$C82)*(_6shaozhuchou_month_day!V$2:V$906&gt;0)))</f>
        <v>0</v>
      </c>
      <c r="S81" s="145">
        <f>IF(G81=0,0,SUMPRODUCT((_6shaozhuchou_month_day!$A$2:$A$906&gt;=$C81)*(_6shaozhuchou_month_day!$A$2:$A$906&lt;$C82),_6shaozhuchou_month_day!W$2:W$906)/SUMPRODUCT((_6shaozhuchou_month_day!$A$2:$A$906&gt;=$C81)*(_6shaozhuchou_month_day!$A$2:$A$906&lt;$C82)*(_6shaozhuchou_month_day!W$2:W$906&lt;0)))</f>
        <v>0</v>
      </c>
      <c r="T81" s="145" t="str">
        <f>主抽数据!Z85</f>
        <v/>
      </c>
      <c r="U81" s="145" t="str">
        <f>主抽数据!AA85</f>
        <v/>
      </c>
      <c r="V81" s="148">
        <f>查询与汇总!$S$1*M81</f>
        <v>0</v>
      </c>
      <c r="W81" s="149" t="e">
        <f t="shared" si="30"/>
        <v>#REF!</v>
      </c>
      <c r="X81" s="151"/>
      <c r="Y81" s="164"/>
      <c r="Z81" s="163"/>
      <c r="AA81" s="160" t="str">
        <f>主抽数据!AB85</f>
        <v/>
      </c>
      <c r="AB81" s="161" t="str">
        <f>主抽数据!AC85</f>
        <v/>
      </c>
      <c r="AC81" s="162" t="e">
        <f t="shared" si="23"/>
        <v>#REF!</v>
      </c>
      <c r="AE81" s="123" t="e">
        <f t="shared" si="31"/>
        <v>#VALUE!</v>
      </c>
      <c r="AF81" s="123" t="e">
        <f t="shared" si="32"/>
        <v>#VALUE!</v>
      </c>
      <c r="AG81" s="123">
        <f t="shared" si="33"/>
        <v>0</v>
      </c>
      <c r="AH81" s="123">
        <f t="shared" si="34"/>
        <v>0</v>
      </c>
    </row>
    <row r="82" spans="1:34" ht="30" customHeight="1">
      <c r="A82" s="133">
        <f t="shared" si="35"/>
        <v>43370</v>
      </c>
      <c r="B82" s="134">
        <f t="shared" si="36"/>
        <v>0.33333333333333298</v>
      </c>
      <c r="C82" s="133">
        <f t="shared" si="39"/>
        <v>43370.333333333336</v>
      </c>
      <c r="D82" s="134" t="str">
        <f t="shared" si="37"/>
        <v>白班</v>
      </c>
      <c r="E82" s="131">
        <f t="shared" si="38"/>
        <v>2</v>
      </c>
      <c r="F82" s="131" t="str">
        <f t="shared" si="25"/>
        <v>乙班</v>
      </c>
      <c r="G82" s="132">
        <f>SUMPRODUCT((_6shaozhuchou_month_day!$A$2:$A$906&gt;=C82)*(_6shaozhuchou_month_day!$A$2:$A$906&lt;C83),_6shaozhuchou_month_day!$Y$2:$Y$906)/8</f>
        <v>0</v>
      </c>
      <c r="H82" s="132">
        <f t="shared" si="26"/>
        <v>0</v>
      </c>
      <c r="I82" s="141">
        <f t="shared" si="27"/>
        <v>0</v>
      </c>
      <c r="J82" s="142" t="e">
        <f>SUMPRODUCT((主抽数据!$AU$5:$AU$97=$A82)*(主抽数据!$AV$5:$AV$97=$F82),主抽数据!$AK$5:$AK$97)</f>
        <v>#REF!</v>
      </c>
      <c r="K82" s="142" t="e">
        <f>SUMPRODUCT((主抽数据!$AU$5:$AU$97=$A82)*(主抽数据!$AV$5:$AV$97=$F82),主抽数据!$AL$5:$AL$97)</f>
        <v>#REF!</v>
      </c>
      <c r="L82" s="143" t="e">
        <f t="shared" si="28"/>
        <v>#REF!</v>
      </c>
      <c r="M82" s="143">
        <f>SUMPRODUCT((_6shaozhuchou_month_day!$A$2:$A$906&gt;=C82)*(_6shaozhuchou_month_day!$A$2:$A$906&lt;C83),_6shaozhuchou_month_day!$Z$2:$Z$906)</f>
        <v>0</v>
      </c>
      <c r="N82" s="132">
        <f>M82*查询与汇总!$O$1</f>
        <v>0</v>
      </c>
      <c r="O82" s="144">
        <f t="shared" si="29"/>
        <v>0</v>
      </c>
      <c r="P82" s="145">
        <f>IF(G82=0,0,SUMPRODUCT((_6shaozhuchou_month_day!$A$2:$A$906&gt;=$C82)*(_6shaozhuchou_month_day!$A$2:$A$906&lt;$C83),_6shaozhuchou_month_day!T$2:T$906)/SUMPRODUCT((_6shaozhuchou_month_day!$A$2:$A$906&gt;=$C82)*(_6shaozhuchou_month_day!$A$2:$A$906&lt;$C83)*(_6shaozhuchou_month_day!T$2:T$906&gt;0)))</f>
        <v>0</v>
      </c>
      <c r="Q82" s="145">
        <f>IF(G82=0,0,SUMPRODUCT((_6shaozhuchou_month_day!$A$2:$A$906&gt;=$C82)*(_6shaozhuchou_month_day!$A$2:$A$906&lt;$C83),_6shaozhuchou_month_day!U$2:U$906)/SUMPRODUCT((_6shaozhuchou_month_day!$A$2:$A$906&gt;=$C82)*(_6shaozhuchou_month_day!$A$2:$A$906&lt;$C83)*(_6shaozhuchou_month_day!U$2:U$906&lt;0)))</f>
        <v>0</v>
      </c>
      <c r="R82" s="145">
        <f>IF(G82=0,0,SUMPRODUCT((_6shaozhuchou_month_day!$A$2:$A$906&gt;=$C82)*(_6shaozhuchou_month_day!$A$2:$A$906&lt;$C83),_6shaozhuchou_month_day!V$2:V$906)/SUMPRODUCT((_6shaozhuchou_month_day!$A$2:$A$906&gt;=$C82)*(_6shaozhuchou_month_day!$A$2:$A$906&lt;$C83)*(_6shaozhuchou_month_day!V$2:V$906&gt;0)))</f>
        <v>0</v>
      </c>
      <c r="S82" s="145">
        <f>IF(G82=0,0,SUMPRODUCT((_6shaozhuchou_month_day!$A$2:$A$906&gt;=$C82)*(_6shaozhuchou_month_day!$A$2:$A$906&lt;$C83),_6shaozhuchou_month_day!W$2:W$906)/SUMPRODUCT((_6shaozhuchou_month_day!$A$2:$A$906&gt;=$C82)*(_6shaozhuchou_month_day!$A$2:$A$906&lt;$C83)*(_6shaozhuchou_month_day!W$2:W$906&lt;0)))</f>
        <v>0</v>
      </c>
      <c r="T82" s="145" t="str">
        <f>主抽数据!Z86</f>
        <v/>
      </c>
      <c r="U82" s="145" t="str">
        <f>主抽数据!AA86</f>
        <v/>
      </c>
      <c r="V82" s="148">
        <f>查询与汇总!$S$1*M82</f>
        <v>0</v>
      </c>
      <c r="W82" s="149" t="e">
        <f t="shared" si="30"/>
        <v>#REF!</v>
      </c>
      <c r="X82" s="151"/>
      <c r="Y82" s="164"/>
      <c r="Z82" s="163"/>
      <c r="AA82" s="160" t="str">
        <f>主抽数据!AB86</f>
        <v/>
      </c>
      <c r="AB82" s="161" t="str">
        <f>主抽数据!AC86</f>
        <v/>
      </c>
      <c r="AC82" s="162" t="e">
        <f t="shared" si="23"/>
        <v>#REF!</v>
      </c>
      <c r="AE82" s="123" t="e">
        <f t="shared" si="31"/>
        <v>#VALUE!</v>
      </c>
      <c r="AF82" s="123" t="e">
        <f t="shared" si="32"/>
        <v>#VALUE!</v>
      </c>
      <c r="AG82" s="123">
        <f t="shared" si="33"/>
        <v>0</v>
      </c>
      <c r="AH82" s="123">
        <f t="shared" si="34"/>
        <v>0</v>
      </c>
    </row>
    <row r="83" spans="1:34" ht="15.75" customHeight="1">
      <c r="A83" s="133">
        <f t="shared" si="35"/>
        <v>43370</v>
      </c>
      <c r="B83" s="134">
        <f t="shared" si="36"/>
        <v>0.66666666666666696</v>
      </c>
      <c r="C83" s="133">
        <f t="shared" si="39"/>
        <v>43370.666666666664</v>
      </c>
      <c r="D83" s="134" t="str">
        <f t="shared" si="37"/>
        <v>中班</v>
      </c>
      <c r="E83" s="131">
        <f t="shared" si="38"/>
        <v>3</v>
      </c>
      <c r="F83" s="131" t="str">
        <f t="shared" si="25"/>
        <v>丙班</v>
      </c>
      <c r="G83" s="132">
        <f>SUMPRODUCT((_6shaozhuchou_month_day!$A$2:$A$906&gt;=C83)*(_6shaozhuchou_month_day!$A$2:$A$906&lt;C84),_6shaozhuchou_month_day!$Y$2:$Y$906)/8</f>
        <v>0</v>
      </c>
      <c r="H83" s="132">
        <f t="shared" si="26"/>
        <v>0</v>
      </c>
      <c r="I83" s="141">
        <f t="shared" si="27"/>
        <v>0</v>
      </c>
      <c r="J83" s="142" t="e">
        <f>SUMPRODUCT((主抽数据!$AU$5:$AU$97=$A83)*(主抽数据!$AV$5:$AV$97=$F83),主抽数据!$AK$5:$AK$97)</f>
        <v>#REF!</v>
      </c>
      <c r="K83" s="142" t="e">
        <f>SUMPRODUCT((主抽数据!$AU$5:$AU$97=$A83)*(主抽数据!$AV$5:$AV$97=$F83),主抽数据!$AL$5:$AL$97)</f>
        <v>#REF!</v>
      </c>
      <c r="L83" s="143" t="e">
        <f t="shared" si="28"/>
        <v>#REF!</v>
      </c>
      <c r="M83" s="143">
        <f>SUMPRODUCT((_6shaozhuchou_month_day!$A$2:$A$906&gt;=C83)*(_6shaozhuchou_month_day!$A$2:$A$906&lt;C84),_6shaozhuchou_month_day!$Z$2:$Z$906)</f>
        <v>0</v>
      </c>
      <c r="N83" s="132">
        <f>M83*查询与汇总!$O$1</f>
        <v>0</v>
      </c>
      <c r="O83" s="144">
        <f t="shared" si="29"/>
        <v>0</v>
      </c>
      <c r="P83" s="145">
        <f>IF(G83=0,0,SUMPRODUCT((_6shaozhuchou_month_day!$A$2:$A$906&gt;=$C83)*(_6shaozhuchou_month_day!$A$2:$A$906&lt;$C84),_6shaozhuchou_month_day!T$2:T$906)/SUMPRODUCT((_6shaozhuchou_month_day!$A$2:$A$906&gt;=$C83)*(_6shaozhuchou_month_day!$A$2:$A$906&lt;$C84)*(_6shaozhuchou_month_day!T$2:T$906&gt;0)))</f>
        <v>0</v>
      </c>
      <c r="Q83" s="145">
        <f>IF(G83=0,0,SUMPRODUCT((_6shaozhuchou_month_day!$A$2:$A$906&gt;=$C83)*(_6shaozhuchou_month_day!$A$2:$A$906&lt;$C84),_6shaozhuchou_month_day!U$2:U$906)/SUMPRODUCT((_6shaozhuchou_month_day!$A$2:$A$906&gt;=$C83)*(_6shaozhuchou_month_day!$A$2:$A$906&lt;$C84)*(_6shaozhuchou_month_day!U$2:U$906&lt;0)))</f>
        <v>0</v>
      </c>
      <c r="R83" s="145">
        <f>IF(G83=0,0,SUMPRODUCT((_6shaozhuchou_month_day!$A$2:$A$906&gt;=$C83)*(_6shaozhuchou_month_day!$A$2:$A$906&lt;$C84),_6shaozhuchou_month_day!V$2:V$906)/SUMPRODUCT((_6shaozhuchou_month_day!$A$2:$A$906&gt;=$C83)*(_6shaozhuchou_month_day!$A$2:$A$906&lt;$C84)*(_6shaozhuchou_month_day!V$2:V$906&gt;0)))</f>
        <v>0</v>
      </c>
      <c r="S83" s="145">
        <f>IF(G83=0,0,SUMPRODUCT((_6shaozhuchou_month_day!$A$2:$A$906&gt;=$C83)*(_6shaozhuchou_month_day!$A$2:$A$906&lt;$C84),_6shaozhuchou_month_day!W$2:W$906)/SUMPRODUCT((_6shaozhuchou_month_day!$A$2:$A$906&gt;=$C83)*(_6shaozhuchou_month_day!$A$2:$A$906&lt;$C84)*(_6shaozhuchou_month_day!W$2:W$906&lt;0)))</f>
        <v>0</v>
      </c>
      <c r="T83" s="145" t="str">
        <f>主抽数据!Z87</f>
        <v/>
      </c>
      <c r="U83" s="145" t="str">
        <f>主抽数据!AA87</f>
        <v/>
      </c>
      <c r="V83" s="148">
        <f>查询与汇总!$S$1*M83</f>
        <v>0</v>
      </c>
      <c r="W83" s="149" t="e">
        <f t="shared" si="30"/>
        <v>#REF!</v>
      </c>
      <c r="X83" s="174"/>
      <c r="Y83" s="177"/>
      <c r="Z83" s="163"/>
      <c r="AA83" s="160" t="str">
        <f>主抽数据!AB87</f>
        <v/>
      </c>
      <c r="AB83" s="161" t="str">
        <f>主抽数据!AC87</f>
        <v/>
      </c>
      <c r="AC83" s="162" t="e">
        <f t="shared" si="23"/>
        <v>#REF!</v>
      </c>
      <c r="AE83" s="123" t="e">
        <f t="shared" si="31"/>
        <v>#VALUE!</v>
      </c>
      <c r="AF83" s="123" t="e">
        <f t="shared" si="32"/>
        <v>#VALUE!</v>
      </c>
      <c r="AG83" s="123">
        <f t="shared" si="33"/>
        <v>0</v>
      </c>
      <c r="AH83" s="123">
        <f t="shared" si="34"/>
        <v>0</v>
      </c>
    </row>
    <row r="84" spans="1:34" ht="20.25" customHeight="1">
      <c r="A84" s="133">
        <f t="shared" si="35"/>
        <v>43371</v>
      </c>
      <c r="B84" s="134">
        <f t="shared" si="36"/>
        <v>0</v>
      </c>
      <c r="C84" s="133">
        <f t="shared" si="39"/>
        <v>43371</v>
      </c>
      <c r="D84" s="134" t="str">
        <f t="shared" si="37"/>
        <v>夜班</v>
      </c>
      <c r="E84" s="131">
        <f t="shared" si="38"/>
        <v>4</v>
      </c>
      <c r="F84" s="131" t="str">
        <f t="shared" si="25"/>
        <v>丁班</v>
      </c>
      <c r="G84" s="132">
        <f>SUMPRODUCT((_6shaozhuchou_month_day!$A$2:$A$906&gt;=C84)*(_6shaozhuchou_month_day!$A$2:$A$906&lt;C85),_6shaozhuchou_month_day!$Y$2:$Y$906)/8</f>
        <v>0</v>
      </c>
      <c r="H84" s="132">
        <f t="shared" si="26"/>
        <v>0</v>
      </c>
      <c r="I84" s="141">
        <f t="shared" si="27"/>
        <v>0</v>
      </c>
      <c r="J84" s="142" t="e">
        <f>SUMPRODUCT((主抽数据!$AU$5:$AU$97=$A84)*(主抽数据!$AV$5:$AV$97=$F84),主抽数据!$AK$5:$AK$97)</f>
        <v>#REF!</v>
      </c>
      <c r="K84" s="142" t="e">
        <f>SUMPRODUCT((主抽数据!$AU$5:$AU$97=$A84)*(主抽数据!$AV$5:$AV$97=$F84),主抽数据!$AL$5:$AL$97)</f>
        <v>#REF!</v>
      </c>
      <c r="L84" s="143" t="e">
        <f t="shared" si="28"/>
        <v>#REF!</v>
      </c>
      <c r="M84" s="143">
        <f>SUMPRODUCT((_6shaozhuchou_month_day!$A$2:$A$906&gt;=C84)*(_6shaozhuchou_month_day!$A$2:$A$906&lt;C85),_6shaozhuchou_month_day!$Z$2:$Z$906)</f>
        <v>0</v>
      </c>
      <c r="N84" s="132">
        <f>M84*查询与汇总!$O$1</f>
        <v>0</v>
      </c>
      <c r="O84" s="144">
        <f t="shared" si="29"/>
        <v>0</v>
      </c>
      <c r="P84" s="145">
        <f>IF(G84=0,0,SUMPRODUCT((_6shaozhuchou_month_day!$A$2:$A$906&gt;=$C84)*(_6shaozhuchou_month_day!$A$2:$A$906&lt;$C85),_6shaozhuchou_month_day!T$2:T$906)/SUMPRODUCT((_6shaozhuchou_month_day!$A$2:$A$906&gt;=$C84)*(_6shaozhuchou_month_day!$A$2:$A$906&lt;$C85)*(_6shaozhuchou_month_day!T$2:T$906&gt;0)))</f>
        <v>0</v>
      </c>
      <c r="Q84" s="145">
        <f>IF(G84=0,0,SUMPRODUCT((_6shaozhuchou_month_day!$A$2:$A$906&gt;=$C84)*(_6shaozhuchou_month_day!$A$2:$A$906&lt;$C85),_6shaozhuchou_month_day!U$2:U$906)/SUMPRODUCT((_6shaozhuchou_month_day!$A$2:$A$906&gt;=$C84)*(_6shaozhuchou_month_day!$A$2:$A$906&lt;$C85)*(_6shaozhuchou_month_day!U$2:U$906&lt;0)))</f>
        <v>0</v>
      </c>
      <c r="R84" s="145">
        <f>IF(G84=0,0,SUMPRODUCT((_6shaozhuchou_month_day!$A$2:$A$906&gt;=$C84)*(_6shaozhuchou_month_day!$A$2:$A$906&lt;$C85),_6shaozhuchou_month_day!V$2:V$906)/SUMPRODUCT((_6shaozhuchou_month_day!$A$2:$A$906&gt;=$C84)*(_6shaozhuchou_month_day!$A$2:$A$906&lt;$C85)*(_6shaozhuchou_month_day!V$2:V$906&gt;0)))</f>
        <v>0</v>
      </c>
      <c r="S84" s="145">
        <f>IF(G84=0,0,SUMPRODUCT((_6shaozhuchou_month_day!$A$2:$A$906&gt;=$C84)*(_6shaozhuchou_month_day!$A$2:$A$906&lt;$C85),_6shaozhuchou_month_day!W$2:W$906)/SUMPRODUCT((_6shaozhuchou_month_day!$A$2:$A$906&gt;=$C84)*(_6shaozhuchou_month_day!$A$2:$A$906&lt;$C85)*(_6shaozhuchou_month_day!W$2:W$906&lt;0)))</f>
        <v>0</v>
      </c>
      <c r="T84" s="145" t="str">
        <f>主抽数据!Z88</f>
        <v/>
      </c>
      <c r="U84" s="145" t="str">
        <f>主抽数据!AA88</f>
        <v/>
      </c>
      <c r="V84" s="148">
        <f>查询与汇总!$S$1*M84</f>
        <v>0</v>
      </c>
      <c r="W84" s="149" t="e">
        <f t="shared" si="30"/>
        <v>#REF!</v>
      </c>
      <c r="X84" s="174"/>
      <c r="Y84" s="177"/>
      <c r="Z84" s="178"/>
      <c r="AA84" s="160" t="str">
        <f>主抽数据!AB88</f>
        <v/>
      </c>
      <c r="AB84" s="161" t="str">
        <f>主抽数据!AC88</f>
        <v/>
      </c>
      <c r="AC84" s="162" t="e">
        <f t="shared" si="23"/>
        <v>#REF!</v>
      </c>
      <c r="AE84" s="123" t="e">
        <f t="shared" si="31"/>
        <v>#VALUE!</v>
      </c>
      <c r="AF84" s="123" t="e">
        <f t="shared" si="32"/>
        <v>#VALUE!</v>
      </c>
      <c r="AG84" s="123">
        <f t="shared" si="33"/>
        <v>0</v>
      </c>
      <c r="AH84" s="123">
        <f t="shared" si="34"/>
        <v>0</v>
      </c>
    </row>
    <row r="85" spans="1:34" ht="24.95" customHeight="1">
      <c r="A85" s="133">
        <f t="shared" si="35"/>
        <v>43371</v>
      </c>
      <c r="B85" s="134">
        <f t="shared" si="36"/>
        <v>0.33333333333333298</v>
      </c>
      <c r="C85" s="133">
        <f t="shared" si="39"/>
        <v>43371.333333333336</v>
      </c>
      <c r="D85" s="134" t="str">
        <f t="shared" si="37"/>
        <v>白班</v>
      </c>
      <c r="E85" s="131">
        <f t="shared" si="38"/>
        <v>1</v>
      </c>
      <c r="F85" s="131" t="str">
        <f t="shared" si="25"/>
        <v>甲班</v>
      </c>
      <c r="G85" s="132">
        <f>SUMPRODUCT((_6shaozhuchou_month_day!$A$2:$A$906&gt;=C85)*(_6shaozhuchou_month_day!$A$2:$A$906&lt;C86),_6shaozhuchou_month_day!$Y$2:$Y$906)/8</f>
        <v>0</v>
      </c>
      <c r="H85" s="132">
        <f t="shared" si="26"/>
        <v>0</v>
      </c>
      <c r="I85" s="141">
        <f t="shared" si="27"/>
        <v>0</v>
      </c>
      <c r="J85" s="142" t="e">
        <f>SUMPRODUCT((主抽数据!$AU$5:$AU$97=$A85)*(主抽数据!$AV$5:$AV$97=$F85),主抽数据!$AK$5:$AK$97)</f>
        <v>#REF!</v>
      </c>
      <c r="K85" s="142" t="e">
        <f>SUMPRODUCT((主抽数据!$AU$5:$AU$97=$A85)*(主抽数据!$AV$5:$AV$97=$F85),主抽数据!$AL$5:$AL$97)</f>
        <v>#REF!</v>
      </c>
      <c r="L85" s="143" t="e">
        <f t="shared" si="28"/>
        <v>#REF!</v>
      </c>
      <c r="M85" s="143">
        <f>SUMPRODUCT((_6shaozhuchou_month_day!$A$2:$A$906&gt;=C85)*(_6shaozhuchou_month_day!$A$2:$A$906&lt;C86),_6shaozhuchou_month_day!$Z$2:$Z$906)</f>
        <v>0</v>
      </c>
      <c r="N85" s="132">
        <f>M85*查询与汇总!$O$1</f>
        <v>0</v>
      </c>
      <c r="O85" s="144">
        <f t="shared" si="29"/>
        <v>0</v>
      </c>
      <c r="P85" s="145">
        <f>IF(G85=0,0,SUMPRODUCT((_6shaozhuchou_month_day!$A$2:$A$906&gt;=$C85)*(_6shaozhuchou_month_day!$A$2:$A$906&lt;$C86),_6shaozhuchou_month_day!T$2:T$906)/SUMPRODUCT((_6shaozhuchou_month_day!$A$2:$A$906&gt;=$C85)*(_6shaozhuchou_month_day!$A$2:$A$906&lt;$C86)*(_6shaozhuchou_month_day!T$2:T$906&gt;0)))</f>
        <v>0</v>
      </c>
      <c r="Q85" s="145">
        <f>IF(G85=0,0,SUMPRODUCT((_6shaozhuchou_month_day!$A$2:$A$906&gt;=$C85)*(_6shaozhuchou_month_day!$A$2:$A$906&lt;$C86),_6shaozhuchou_month_day!U$2:U$906)/SUMPRODUCT((_6shaozhuchou_month_day!$A$2:$A$906&gt;=$C85)*(_6shaozhuchou_month_day!$A$2:$A$906&lt;$C86)*(_6shaozhuchou_month_day!U$2:U$906&lt;0)))</f>
        <v>0</v>
      </c>
      <c r="R85" s="145">
        <f>IF(G85=0,0,SUMPRODUCT((_6shaozhuchou_month_day!$A$2:$A$906&gt;=$C85)*(_6shaozhuchou_month_day!$A$2:$A$906&lt;$C86),_6shaozhuchou_month_day!V$2:V$906)/SUMPRODUCT((_6shaozhuchou_month_day!$A$2:$A$906&gt;=$C85)*(_6shaozhuchou_month_day!$A$2:$A$906&lt;$C86)*(_6shaozhuchou_month_day!V$2:V$906&gt;0)))</f>
        <v>0</v>
      </c>
      <c r="S85" s="145">
        <f>IF(G85=0,0,SUMPRODUCT((_6shaozhuchou_month_day!$A$2:$A$906&gt;=$C85)*(_6shaozhuchou_month_day!$A$2:$A$906&lt;$C86),_6shaozhuchou_month_day!W$2:W$906)/SUMPRODUCT((_6shaozhuchou_month_day!$A$2:$A$906&gt;=$C85)*(_6shaozhuchou_month_day!$A$2:$A$906&lt;$C86)*(_6shaozhuchou_month_day!W$2:W$906&lt;0)))</f>
        <v>0</v>
      </c>
      <c r="T85" s="145" t="str">
        <f>主抽数据!Z89</f>
        <v/>
      </c>
      <c r="U85" s="145" t="str">
        <f>主抽数据!AA89</f>
        <v/>
      </c>
      <c r="V85" s="148">
        <f>查询与汇总!$S$1*M85</f>
        <v>0</v>
      </c>
      <c r="W85" s="149" t="e">
        <f t="shared" si="30"/>
        <v>#REF!</v>
      </c>
      <c r="X85" s="174"/>
      <c r="Y85" s="179"/>
      <c r="Z85" s="178"/>
      <c r="AA85" s="160" t="str">
        <f>主抽数据!AB89</f>
        <v/>
      </c>
      <c r="AB85" s="161" t="str">
        <f>主抽数据!AC89</f>
        <v/>
      </c>
      <c r="AC85" s="162" t="e">
        <f t="shared" si="23"/>
        <v>#REF!</v>
      </c>
      <c r="AE85" s="123" t="e">
        <f t="shared" si="31"/>
        <v>#VALUE!</v>
      </c>
      <c r="AF85" s="123" t="e">
        <f t="shared" si="32"/>
        <v>#VALUE!</v>
      </c>
      <c r="AG85" s="123">
        <f t="shared" si="33"/>
        <v>0</v>
      </c>
      <c r="AH85" s="123">
        <f t="shared" si="34"/>
        <v>0</v>
      </c>
    </row>
    <row r="86" spans="1:34" ht="27" customHeight="1">
      <c r="A86" s="133">
        <f t="shared" si="35"/>
        <v>43371</v>
      </c>
      <c r="B86" s="134">
        <f t="shared" si="36"/>
        <v>0.66666666666666696</v>
      </c>
      <c r="C86" s="133">
        <f t="shared" si="39"/>
        <v>43371.666666666664</v>
      </c>
      <c r="D86" s="134" t="str">
        <f t="shared" si="37"/>
        <v>中班</v>
      </c>
      <c r="E86" s="131">
        <f t="shared" si="38"/>
        <v>2</v>
      </c>
      <c r="F86" s="131" t="str">
        <f t="shared" si="25"/>
        <v>乙班</v>
      </c>
      <c r="G86" s="132">
        <f>SUMPRODUCT((_6shaozhuchou_month_day!$A$2:$A$906&gt;=C86)*(_6shaozhuchou_month_day!$A$2:$A$906&lt;C87),_6shaozhuchou_month_day!$Y$2:$Y$906)/8</f>
        <v>0</v>
      </c>
      <c r="H86" s="132">
        <f t="shared" si="26"/>
        <v>0</v>
      </c>
      <c r="I86" s="141">
        <f t="shared" si="27"/>
        <v>0</v>
      </c>
      <c r="J86" s="142" t="e">
        <f>SUMPRODUCT((主抽数据!$AU$5:$AU$97=$A86)*(主抽数据!$AV$5:$AV$97=$F86),主抽数据!$AK$5:$AK$97)</f>
        <v>#REF!</v>
      </c>
      <c r="K86" s="142" t="e">
        <f>SUMPRODUCT((主抽数据!$AU$5:$AU$97=$A86)*(主抽数据!$AV$5:$AV$97=$F86),主抽数据!$AL$5:$AL$97)</f>
        <v>#REF!</v>
      </c>
      <c r="L86" s="143" t="e">
        <f t="shared" si="28"/>
        <v>#REF!</v>
      </c>
      <c r="M86" s="143">
        <f>SUMPRODUCT((_6shaozhuchou_month_day!$A$2:$A$906&gt;=C86)*(_6shaozhuchou_month_day!$A$2:$A$906&lt;C87),_6shaozhuchou_month_day!$Z$2:$Z$906)</f>
        <v>0</v>
      </c>
      <c r="N86" s="132">
        <f>M86*查询与汇总!$O$1</f>
        <v>0</v>
      </c>
      <c r="O86" s="144">
        <f t="shared" si="29"/>
        <v>0</v>
      </c>
      <c r="P86" s="145">
        <f>IF(G86=0,0,SUMPRODUCT((_6shaozhuchou_month_day!$A$2:$A$906&gt;=$C86)*(_6shaozhuchou_month_day!$A$2:$A$906&lt;$C87),_6shaozhuchou_month_day!T$2:T$906)/SUMPRODUCT((_6shaozhuchou_month_day!$A$2:$A$906&gt;=$C86)*(_6shaozhuchou_month_day!$A$2:$A$906&lt;$C87)*(_6shaozhuchou_month_day!T$2:T$906&gt;0)))</f>
        <v>0</v>
      </c>
      <c r="Q86" s="145">
        <f>IF(G86=0,0,SUMPRODUCT((_6shaozhuchou_month_day!$A$2:$A$906&gt;=$C86)*(_6shaozhuchou_month_day!$A$2:$A$906&lt;$C87),_6shaozhuchou_month_day!U$2:U$906)/SUMPRODUCT((_6shaozhuchou_month_day!$A$2:$A$906&gt;=$C86)*(_6shaozhuchou_month_day!$A$2:$A$906&lt;$C87)*(_6shaozhuchou_month_day!U$2:U$906&lt;0)))</f>
        <v>0</v>
      </c>
      <c r="R86" s="145">
        <f>IF(G86=0,0,SUMPRODUCT((_6shaozhuchou_month_day!$A$2:$A$906&gt;=$C86)*(_6shaozhuchou_month_day!$A$2:$A$906&lt;$C87),_6shaozhuchou_month_day!V$2:V$906)/SUMPRODUCT((_6shaozhuchou_month_day!$A$2:$A$906&gt;=$C86)*(_6shaozhuchou_month_day!$A$2:$A$906&lt;$C87)*(_6shaozhuchou_month_day!V$2:V$906&gt;0)))</f>
        <v>0</v>
      </c>
      <c r="S86" s="145">
        <f>IF(G86=0,0,SUMPRODUCT((_6shaozhuchou_month_day!$A$2:$A$906&gt;=$C86)*(_6shaozhuchou_month_day!$A$2:$A$906&lt;$C87),_6shaozhuchou_month_day!W$2:W$906)/SUMPRODUCT((_6shaozhuchou_month_day!$A$2:$A$906&gt;=$C86)*(_6shaozhuchou_month_day!$A$2:$A$906&lt;$C87)*(_6shaozhuchou_month_day!W$2:W$906&lt;0)))</f>
        <v>0</v>
      </c>
      <c r="T86" s="145" t="str">
        <f>主抽数据!Z90</f>
        <v/>
      </c>
      <c r="U86" s="145" t="str">
        <f>主抽数据!AA90</f>
        <v/>
      </c>
      <c r="V86" s="148">
        <f>查询与汇总!$S$1*M86</f>
        <v>0</v>
      </c>
      <c r="W86" s="149" t="e">
        <f t="shared" si="30"/>
        <v>#REF!</v>
      </c>
      <c r="X86" s="174"/>
      <c r="Y86" s="179"/>
      <c r="Z86" s="178"/>
      <c r="AA86" s="160" t="str">
        <f>主抽数据!AB90</f>
        <v/>
      </c>
      <c r="AB86" s="161" t="str">
        <f>主抽数据!AC90</f>
        <v/>
      </c>
      <c r="AC86" s="162" t="e">
        <f t="shared" si="23"/>
        <v>#REF!</v>
      </c>
      <c r="AE86" s="123" t="e">
        <f t="shared" si="31"/>
        <v>#VALUE!</v>
      </c>
      <c r="AF86" s="123" t="e">
        <f t="shared" si="32"/>
        <v>#VALUE!</v>
      </c>
      <c r="AG86" s="123">
        <f t="shared" si="33"/>
        <v>0</v>
      </c>
      <c r="AH86" s="123">
        <f t="shared" si="34"/>
        <v>0</v>
      </c>
    </row>
    <row r="87" spans="1:34" ht="20.25" customHeight="1">
      <c r="A87" s="133">
        <f t="shared" si="35"/>
        <v>43372</v>
      </c>
      <c r="B87" s="134">
        <f t="shared" si="36"/>
        <v>0</v>
      </c>
      <c r="C87" s="133">
        <f t="shared" si="39"/>
        <v>43372</v>
      </c>
      <c r="D87" s="134" t="str">
        <f t="shared" si="37"/>
        <v>夜班</v>
      </c>
      <c r="E87" s="131">
        <f t="shared" si="38"/>
        <v>4</v>
      </c>
      <c r="F87" s="131" t="str">
        <f t="shared" si="25"/>
        <v>丁班</v>
      </c>
      <c r="G87" s="132">
        <f>SUMPRODUCT((_6shaozhuchou_month_day!$A$2:$A$906&gt;=C87)*(_6shaozhuchou_month_day!$A$2:$A$906&lt;C88),_6shaozhuchou_month_day!$Y$2:$Y$906)/8</f>
        <v>0</v>
      </c>
      <c r="H87" s="132">
        <f t="shared" si="26"/>
        <v>0</v>
      </c>
      <c r="I87" s="141">
        <f t="shared" si="27"/>
        <v>0</v>
      </c>
      <c r="J87" s="142" t="e">
        <f>SUMPRODUCT((主抽数据!$AU$5:$AU$97=$A87)*(主抽数据!$AV$5:$AV$97=$F87),主抽数据!$AK$5:$AK$97)</f>
        <v>#REF!</v>
      </c>
      <c r="K87" s="142" t="e">
        <f>SUMPRODUCT((主抽数据!$AU$5:$AU$97=$A87)*(主抽数据!$AV$5:$AV$97=$F87),主抽数据!$AL$5:$AL$97)</f>
        <v>#REF!</v>
      </c>
      <c r="L87" s="143" t="e">
        <f t="shared" si="28"/>
        <v>#REF!</v>
      </c>
      <c r="M87" s="143">
        <f>SUMPRODUCT((_6shaozhuchou_month_day!$A$2:$A$906&gt;=C87)*(_6shaozhuchou_month_day!$A$2:$A$906&lt;C88),_6shaozhuchou_month_day!$Z$2:$Z$906)</f>
        <v>0</v>
      </c>
      <c r="N87" s="132">
        <f>M87*查询与汇总!$O$1</f>
        <v>0</v>
      </c>
      <c r="O87" s="144">
        <f t="shared" si="29"/>
        <v>0</v>
      </c>
      <c r="P87" s="145">
        <f>IF(G87=0,0,SUMPRODUCT((_6shaozhuchou_month_day!$A$2:$A$906&gt;=$C87)*(_6shaozhuchou_month_day!$A$2:$A$906&lt;$C88),_6shaozhuchou_month_day!T$2:T$906)/SUMPRODUCT((_6shaozhuchou_month_day!$A$2:$A$906&gt;=$C87)*(_6shaozhuchou_month_day!$A$2:$A$906&lt;$C88)*(_6shaozhuchou_month_day!T$2:T$906&gt;0)))</f>
        <v>0</v>
      </c>
      <c r="Q87" s="145">
        <f>IF(G87=0,0,SUMPRODUCT((_6shaozhuchou_month_day!$A$2:$A$906&gt;=$C87)*(_6shaozhuchou_month_day!$A$2:$A$906&lt;$C88),_6shaozhuchou_month_day!U$2:U$906)/SUMPRODUCT((_6shaozhuchou_month_day!$A$2:$A$906&gt;=$C87)*(_6shaozhuchou_month_day!$A$2:$A$906&lt;$C88)*(_6shaozhuchou_month_day!U$2:U$906&lt;0)))</f>
        <v>0</v>
      </c>
      <c r="R87" s="145">
        <f>IF(G87=0,0,SUMPRODUCT((_6shaozhuchou_month_day!$A$2:$A$906&gt;=$C87)*(_6shaozhuchou_month_day!$A$2:$A$906&lt;$C88),_6shaozhuchou_month_day!V$2:V$906)/SUMPRODUCT((_6shaozhuchou_month_day!$A$2:$A$906&gt;=$C87)*(_6shaozhuchou_month_day!$A$2:$A$906&lt;$C88)*(_6shaozhuchou_month_day!V$2:V$906&gt;0)))</f>
        <v>0</v>
      </c>
      <c r="S87" s="145">
        <f>IF(G87=0,0,SUMPRODUCT((_6shaozhuchou_month_day!$A$2:$A$906&gt;=$C87)*(_6shaozhuchou_month_day!$A$2:$A$906&lt;$C88),_6shaozhuchou_month_day!W$2:W$906)/SUMPRODUCT((_6shaozhuchou_month_day!$A$2:$A$906&gt;=$C87)*(_6shaozhuchou_month_day!$A$2:$A$906&lt;$C88)*(_6shaozhuchou_month_day!W$2:W$906&lt;0)))</f>
        <v>0</v>
      </c>
      <c r="T87" s="145" t="str">
        <f>主抽数据!Z91</f>
        <v/>
      </c>
      <c r="U87" s="145" t="str">
        <f>主抽数据!AA91</f>
        <v/>
      </c>
      <c r="V87" s="148">
        <f>查询与汇总!$S$1*M87</f>
        <v>0</v>
      </c>
      <c r="W87" s="149" t="e">
        <f t="shared" si="30"/>
        <v>#REF!</v>
      </c>
      <c r="X87" s="174"/>
      <c r="Y87" s="177"/>
      <c r="Z87" s="178"/>
      <c r="AA87" s="160" t="str">
        <f>主抽数据!AB91</f>
        <v/>
      </c>
      <c r="AB87" s="161" t="str">
        <f>主抽数据!AC91</f>
        <v/>
      </c>
      <c r="AC87" s="162" t="e">
        <f t="shared" si="23"/>
        <v>#REF!</v>
      </c>
      <c r="AE87" s="123" t="e">
        <f t="shared" si="31"/>
        <v>#VALUE!</v>
      </c>
      <c r="AF87" s="123" t="e">
        <f t="shared" si="32"/>
        <v>#VALUE!</v>
      </c>
      <c r="AG87" s="123">
        <f t="shared" si="33"/>
        <v>0</v>
      </c>
      <c r="AH87" s="123">
        <f t="shared" si="34"/>
        <v>0</v>
      </c>
    </row>
    <row r="88" spans="1:34" ht="15.75" customHeight="1">
      <c r="A88" s="133">
        <f t="shared" si="35"/>
        <v>43372</v>
      </c>
      <c r="B88" s="134">
        <f t="shared" si="36"/>
        <v>0.33333333333333298</v>
      </c>
      <c r="C88" s="133">
        <f t="shared" si="39"/>
        <v>43372.333333333336</v>
      </c>
      <c r="D88" s="134" t="str">
        <f t="shared" si="37"/>
        <v>白班</v>
      </c>
      <c r="E88" s="131">
        <f t="shared" si="38"/>
        <v>1</v>
      </c>
      <c r="F88" s="131" t="str">
        <f t="shared" si="25"/>
        <v>甲班</v>
      </c>
      <c r="G88" s="132">
        <f>SUMPRODUCT((_6shaozhuchou_month_day!$A$2:$A$906&gt;=C88)*(_6shaozhuchou_month_day!$A$2:$A$906&lt;C89),_6shaozhuchou_month_day!$Y$2:$Y$906)/8</f>
        <v>0</v>
      </c>
      <c r="H88" s="132">
        <f t="shared" si="26"/>
        <v>0</v>
      </c>
      <c r="I88" s="141">
        <f t="shared" si="27"/>
        <v>0</v>
      </c>
      <c r="J88" s="142" t="e">
        <f>SUMPRODUCT((主抽数据!$AU$5:$AU$97=$A88)*(主抽数据!$AV$5:$AV$97=$F88),主抽数据!$AK$5:$AK$97)</f>
        <v>#REF!</v>
      </c>
      <c r="K88" s="142" t="e">
        <f>SUMPRODUCT((主抽数据!$AU$5:$AU$97=$A88)*(主抽数据!$AV$5:$AV$97=$F88),主抽数据!$AL$5:$AL$97)</f>
        <v>#REF!</v>
      </c>
      <c r="L88" s="143" t="e">
        <f t="shared" si="28"/>
        <v>#REF!</v>
      </c>
      <c r="M88" s="143">
        <f>SUMPRODUCT((_6shaozhuchou_month_day!$A$2:$A$906&gt;=C88)*(_6shaozhuchou_month_day!$A$2:$A$906&lt;C89),_6shaozhuchou_month_day!$Z$2:$Z$906)</f>
        <v>0</v>
      </c>
      <c r="N88" s="132">
        <f>M88*查询与汇总!$O$1</f>
        <v>0</v>
      </c>
      <c r="O88" s="144">
        <f t="shared" si="29"/>
        <v>0</v>
      </c>
      <c r="P88" s="145">
        <f>IF(G88=0,0,SUMPRODUCT((_6shaozhuchou_month_day!$A$2:$A$906&gt;=$C88)*(_6shaozhuchou_month_day!$A$2:$A$906&lt;$C89),_6shaozhuchou_month_day!T$2:T$906)/SUMPRODUCT((_6shaozhuchou_month_day!$A$2:$A$906&gt;=$C88)*(_6shaozhuchou_month_day!$A$2:$A$906&lt;$C89)*(_6shaozhuchou_month_day!T$2:T$906&gt;0)))</f>
        <v>0</v>
      </c>
      <c r="Q88" s="145">
        <f>IF(G88=0,0,SUMPRODUCT((_6shaozhuchou_month_day!$A$2:$A$906&gt;=$C88)*(_6shaozhuchou_month_day!$A$2:$A$906&lt;$C89),_6shaozhuchou_month_day!U$2:U$906)/SUMPRODUCT((_6shaozhuchou_month_day!$A$2:$A$906&gt;=$C88)*(_6shaozhuchou_month_day!$A$2:$A$906&lt;$C89)*(_6shaozhuchou_month_day!U$2:U$906&lt;0)))</f>
        <v>0</v>
      </c>
      <c r="R88" s="145">
        <f>IF(G88=0,0,SUMPRODUCT((_6shaozhuchou_month_day!$A$2:$A$906&gt;=$C88)*(_6shaozhuchou_month_day!$A$2:$A$906&lt;$C89),_6shaozhuchou_month_day!V$2:V$906)/SUMPRODUCT((_6shaozhuchou_month_day!$A$2:$A$906&gt;=$C88)*(_6shaozhuchou_month_day!$A$2:$A$906&lt;$C89)*(_6shaozhuchou_month_day!V$2:V$906&gt;0)))</f>
        <v>0</v>
      </c>
      <c r="S88" s="145">
        <f>IF(G88=0,0,SUMPRODUCT((_6shaozhuchou_month_day!$A$2:$A$906&gt;=$C88)*(_6shaozhuchou_month_day!$A$2:$A$906&lt;$C89),_6shaozhuchou_month_day!W$2:W$906)/SUMPRODUCT((_6shaozhuchou_month_day!$A$2:$A$906&gt;=$C88)*(_6shaozhuchou_month_day!$A$2:$A$906&lt;$C89)*(_6shaozhuchou_month_day!W$2:W$906&lt;0)))</f>
        <v>0</v>
      </c>
      <c r="T88" s="145" t="str">
        <f>主抽数据!Z92</f>
        <v/>
      </c>
      <c r="U88" s="145" t="str">
        <f>主抽数据!AA92</f>
        <v/>
      </c>
      <c r="V88" s="148">
        <f>查询与汇总!$S$1*M88</f>
        <v>0</v>
      </c>
      <c r="W88" s="149" t="e">
        <f t="shared" si="30"/>
        <v>#REF!</v>
      </c>
      <c r="X88" s="174"/>
      <c r="Y88" s="177"/>
      <c r="Z88" s="180"/>
      <c r="AA88" s="160" t="str">
        <f>主抽数据!AB92</f>
        <v/>
      </c>
      <c r="AB88" s="161" t="str">
        <f>主抽数据!AC92</f>
        <v/>
      </c>
      <c r="AC88" s="162" t="e">
        <f t="shared" si="23"/>
        <v>#REF!</v>
      </c>
      <c r="AE88" s="123" t="e">
        <f t="shared" si="31"/>
        <v>#VALUE!</v>
      </c>
      <c r="AF88" s="123" t="e">
        <f t="shared" si="32"/>
        <v>#VALUE!</v>
      </c>
      <c r="AG88" s="123">
        <f t="shared" si="33"/>
        <v>0</v>
      </c>
      <c r="AH88" s="123">
        <f t="shared" si="34"/>
        <v>0</v>
      </c>
    </row>
    <row r="89" spans="1:34" ht="29.1" customHeight="1">
      <c r="A89" s="133">
        <f t="shared" si="35"/>
        <v>43372</v>
      </c>
      <c r="B89" s="134">
        <f t="shared" si="36"/>
        <v>0.66666666666666696</v>
      </c>
      <c r="C89" s="133">
        <f t="shared" si="39"/>
        <v>43372.666666666664</v>
      </c>
      <c r="D89" s="134" t="str">
        <f t="shared" si="37"/>
        <v>中班</v>
      </c>
      <c r="E89" s="131">
        <f t="shared" si="38"/>
        <v>2</v>
      </c>
      <c r="F89" s="131" t="str">
        <f t="shared" si="25"/>
        <v>乙班</v>
      </c>
      <c r="G89" s="132">
        <f>SUMPRODUCT((_6shaozhuchou_month_day!$A$2:$A$906&gt;=C89)*(_6shaozhuchou_month_day!$A$2:$A$906&lt;C90),_6shaozhuchou_month_day!$Y$2:$Y$906)/8</f>
        <v>0</v>
      </c>
      <c r="H89" s="132">
        <f t="shared" si="26"/>
        <v>0</v>
      </c>
      <c r="I89" s="141">
        <f t="shared" si="27"/>
        <v>0</v>
      </c>
      <c r="J89" s="142" t="e">
        <f>SUMPRODUCT((主抽数据!$AU$5:$AU$97=$A89)*(主抽数据!$AV$5:$AV$97=$F89),主抽数据!$AK$5:$AK$97)</f>
        <v>#REF!</v>
      </c>
      <c r="K89" s="142" t="e">
        <f>SUMPRODUCT((主抽数据!$AU$5:$AU$97=$A89)*(主抽数据!$AV$5:$AV$97=$F89),主抽数据!$AL$5:$AL$97)</f>
        <v>#REF!</v>
      </c>
      <c r="L89" s="143" t="e">
        <f t="shared" si="28"/>
        <v>#REF!</v>
      </c>
      <c r="M89" s="143">
        <f>SUMPRODUCT((_6shaozhuchou_month_day!$A$2:$A$906&gt;=C89)*(_6shaozhuchou_month_day!$A$2:$A$906&lt;C90),_6shaozhuchou_month_day!$Z$2:$Z$906)</f>
        <v>0</v>
      </c>
      <c r="N89" s="132">
        <f>M89*查询与汇总!$O$1</f>
        <v>0</v>
      </c>
      <c r="O89" s="144">
        <f t="shared" si="29"/>
        <v>0</v>
      </c>
      <c r="P89" s="145">
        <f>IF(G89=0,0,SUMPRODUCT((_6shaozhuchou_month_day!$A$2:$A$906&gt;=$C89)*(_6shaozhuchou_month_day!$A$2:$A$906&lt;$C90),_6shaozhuchou_month_day!T$2:T$906)/SUMPRODUCT((_6shaozhuchou_month_day!$A$2:$A$906&gt;=$C89)*(_6shaozhuchou_month_day!$A$2:$A$906&lt;$C90)*(_6shaozhuchou_month_day!T$2:T$906&gt;0)))</f>
        <v>0</v>
      </c>
      <c r="Q89" s="145">
        <f>IF(G89=0,0,SUMPRODUCT((_6shaozhuchou_month_day!$A$2:$A$906&gt;=$C89)*(_6shaozhuchou_month_day!$A$2:$A$906&lt;$C90),_6shaozhuchou_month_day!U$2:U$906)/SUMPRODUCT((_6shaozhuchou_month_day!$A$2:$A$906&gt;=$C89)*(_6shaozhuchou_month_day!$A$2:$A$906&lt;$C90)*(_6shaozhuchou_month_day!U$2:U$906&lt;0)))</f>
        <v>0</v>
      </c>
      <c r="R89" s="145">
        <f>IF(G89=0,0,SUMPRODUCT((_6shaozhuchou_month_day!$A$2:$A$906&gt;=$C89)*(_6shaozhuchou_month_day!$A$2:$A$906&lt;$C90),_6shaozhuchou_month_day!V$2:V$906)/SUMPRODUCT((_6shaozhuchou_month_day!$A$2:$A$906&gt;=$C89)*(_6shaozhuchou_month_day!$A$2:$A$906&lt;$C90)*(_6shaozhuchou_month_day!V$2:V$906&gt;0)))</f>
        <v>0</v>
      </c>
      <c r="S89" s="145">
        <f>IF(G89=0,0,SUMPRODUCT((_6shaozhuchou_month_day!$A$2:$A$906&gt;=$C89)*(_6shaozhuchou_month_day!$A$2:$A$906&lt;$C90),_6shaozhuchou_month_day!W$2:W$906)/SUMPRODUCT((_6shaozhuchou_month_day!$A$2:$A$906&gt;=$C89)*(_6shaozhuchou_month_day!$A$2:$A$906&lt;$C90)*(_6shaozhuchou_month_day!W$2:W$906&lt;0)))</f>
        <v>0</v>
      </c>
      <c r="T89" s="145" t="str">
        <f>主抽数据!Z93</f>
        <v/>
      </c>
      <c r="U89" s="145" t="str">
        <f>主抽数据!AA93</f>
        <v/>
      </c>
      <c r="V89" s="148">
        <f>查询与汇总!$S$1*M89</f>
        <v>0</v>
      </c>
      <c r="W89" s="149" t="e">
        <f t="shared" si="30"/>
        <v>#REF!</v>
      </c>
      <c r="X89" s="174"/>
      <c r="Y89" s="179"/>
      <c r="Z89" s="181"/>
      <c r="AA89" s="160" t="str">
        <f>主抽数据!AB93</f>
        <v/>
      </c>
      <c r="AB89" s="161" t="str">
        <f>主抽数据!AC93</f>
        <v/>
      </c>
      <c r="AC89" s="162" t="e">
        <f t="shared" si="23"/>
        <v>#REF!</v>
      </c>
      <c r="AE89" s="123" t="e">
        <f t="shared" si="31"/>
        <v>#VALUE!</v>
      </c>
      <c r="AF89" s="123" t="e">
        <f t="shared" si="32"/>
        <v>#VALUE!</v>
      </c>
      <c r="AG89" s="123">
        <f t="shared" si="33"/>
        <v>0</v>
      </c>
      <c r="AH89" s="123">
        <f t="shared" si="34"/>
        <v>0</v>
      </c>
    </row>
    <row r="90" spans="1:34" ht="20.25" customHeight="1">
      <c r="A90" s="133">
        <f t="shared" si="35"/>
        <v>43373</v>
      </c>
      <c r="B90" s="134">
        <f t="shared" si="36"/>
        <v>0</v>
      </c>
      <c r="C90" s="133">
        <f t="shared" si="39"/>
        <v>43373</v>
      </c>
      <c r="D90" s="134" t="str">
        <f t="shared" si="37"/>
        <v>夜班</v>
      </c>
      <c r="E90" s="131">
        <f t="shared" si="38"/>
        <v>3</v>
      </c>
      <c r="F90" s="131" t="str">
        <f t="shared" si="25"/>
        <v>丙班</v>
      </c>
      <c r="G90" s="132">
        <f>SUMPRODUCT((_6shaozhuchou_month_day!$A$2:$A$906&gt;=C90)*(_6shaozhuchou_month_day!$A$2:$A$906&lt;C91),_6shaozhuchou_month_day!$Y$2:$Y$906)/8</f>
        <v>0</v>
      </c>
      <c r="H90" s="132">
        <f t="shared" si="26"/>
        <v>0</v>
      </c>
      <c r="I90" s="141">
        <f t="shared" si="27"/>
        <v>0</v>
      </c>
      <c r="J90" s="142" t="e">
        <f>SUMPRODUCT((主抽数据!$AU$5:$AU$97=$A90)*(主抽数据!$AV$5:$AV$97=$F90),主抽数据!$AK$5:$AK$97)</f>
        <v>#REF!</v>
      </c>
      <c r="K90" s="142" t="e">
        <f>SUMPRODUCT((主抽数据!$AU$5:$AU$97=$A90)*(主抽数据!$AV$5:$AV$97=$F90),主抽数据!$AL$5:$AL$97)</f>
        <v>#REF!</v>
      </c>
      <c r="L90" s="143" t="e">
        <f t="shared" si="28"/>
        <v>#REF!</v>
      </c>
      <c r="M90" s="143">
        <f>SUMPRODUCT((_6shaozhuchou_month_day!$A$2:$A$906&gt;=C90)*(_6shaozhuchou_month_day!$A$2:$A$906&lt;C91),_6shaozhuchou_month_day!$Z$2:$Z$906)</f>
        <v>0</v>
      </c>
      <c r="N90" s="132">
        <f>M90*查询与汇总!$O$1</f>
        <v>0</v>
      </c>
      <c r="O90" s="144">
        <f t="shared" si="29"/>
        <v>0</v>
      </c>
      <c r="P90" s="145">
        <f>IF(G90=0,0,SUMPRODUCT((_6shaozhuchou_month_day!$A$2:$A$906&gt;=$C90)*(_6shaozhuchou_month_day!$A$2:$A$906&lt;$C91),_6shaozhuchou_month_day!T$2:T$906)/SUMPRODUCT((_6shaozhuchou_month_day!$A$2:$A$906&gt;=$C90)*(_6shaozhuchou_month_day!$A$2:$A$906&lt;$C91)*(_6shaozhuchou_month_day!T$2:T$906&gt;0)))</f>
        <v>0</v>
      </c>
      <c r="Q90" s="145">
        <f>IF(G90=0,0,SUMPRODUCT((_6shaozhuchou_month_day!$A$2:$A$906&gt;=$C90)*(_6shaozhuchou_month_day!$A$2:$A$906&lt;$C91),_6shaozhuchou_month_day!U$2:U$906)/SUMPRODUCT((_6shaozhuchou_month_day!$A$2:$A$906&gt;=$C90)*(_6shaozhuchou_month_day!$A$2:$A$906&lt;$C91)*(_6shaozhuchou_month_day!U$2:U$906&lt;0)))</f>
        <v>0</v>
      </c>
      <c r="R90" s="145">
        <f>IF(G90=0,0,SUMPRODUCT((_6shaozhuchou_month_day!$A$2:$A$906&gt;=$C90)*(_6shaozhuchou_month_day!$A$2:$A$906&lt;$C91),_6shaozhuchou_month_day!V$2:V$906)/SUMPRODUCT((_6shaozhuchou_month_day!$A$2:$A$906&gt;=$C90)*(_6shaozhuchou_month_day!$A$2:$A$906&lt;$C91)*(_6shaozhuchou_month_day!V$2:V$906&gt;0)))</f>
        <v>0</v>
      </c>
      <c r="S90" s="145">
        <f>IF(G90=0,0,SUMPRODUCT((_6shaozhuchou_month_day!$A$2:$A$906&gt;=$C90)*(_6shaozhuchou_month_day!$A$2:$A$906&lt;$C91),_6shaozhuchou_month_day!W$2:W$906)/SUMPRODUCT((_6shaozhuchou_month_day!$A$2:$A$906&gt;=$C90)*(_6shaozhuchou_month_day!$A$2:$A$906&lt;$C91)*(_6shaozhuchou_month_day!W$2:W$906&lt;0)))</f>
        <v>0</v>
      </c>
      <c r="T90" s="145" t="str">
        <f>主抽数据!Z94</f>
        <v/>
      </c>
      <c r="U90" s="145" t="str">
        <f>主抽数据!AA94</f>
        <v/>
      </c>
      <c r="V90" s="148">
        <f>查询与汇总!$S$1*M90</f>
        <v>0</v>
      </c>
      <c r="W90" s="149" t="e">
        <f t="shared" si="30"/>
        <v>#REF!</v>
      </c>
      <c r="X90" s="174"/>
      <c r="Y90" s="177"/>
      <c r="Z90" s="178"/>
      <c r="AA90" s="160" t="str">
        <f>主抽数据!AB94</f>
        <v/>
      </c>
      <c r="AB90" s="161" t="str">
        <f>主抽数据!AC94</f>
        <v/>
      </c>
      <c r="AC90" s="162" t="e">
        <f t="shared" si="23"/>
        <v>#REF!</v>
      </c>
      <c r="AE90" s="123" t="e">
        <f t="shared" si="31"/>
        <v>#VALUE!</v>
      </c>
      <c r="AF90" s="123" t="e">
        <f t="shared" si="32"/>
        <v>#VALUE!</v>
      </c>
      <c r="AG90" s="123">
        <f t="shared" si="33"/>
        <v>0</v>
      </c>
      <c r="AH90" s="123">
        <f t="shared" si="34"/>
        <v>0</v>
      </c>
    </row>
    <row r="91" spans="1:34" ht="20.25" customHeight="1">
      <c r="A91" s="133">
        <f t="shared" si="35"/>
        <v>43373</v>
      </c>
      <c r="B91" s="134">
        <f t="shared" si="36"/>
        <v>0.33333333333333298</v>
      </c>
      <c r="C91" s="133">
        <f t="shared" si="39"/>
        <v>43373.333333333336</v>
      </c>
      <c r="D91" s="134" t="str">
        <f t="shared" si="37"/>
        <v>白班</v>
      </c>
      <c r="E91" s="131">
        <f t="shared" si="38"/>
        <v>4</v>
      </c>
      <c r="F91" s="131" t="str">
        <f t="shared" si="25"/>
        <v>丁班</v>
      </c>
      <c r="G91" s="132">
        <f>SUMPRODUCT((_6shaozhuchou_month_day!$A$2:$A$906&gt;=C91)*(_6shaozhuchou_month_day!$A$2:$A$906&lt;C92),_6shaozhuchou_month_day!$Y$2:$Y$906)/8</f>
        <v>0</v>
      </c>
      <c r="H91" s="132">
        <f t="shared" si="26"/>
        <v>0</v>
      </c>
      <c r="I91" s="141">
        <f t="shared" si="27"/>
        <v>0</v>
      </c>
      <c r="J91" s="142" t="e">
        <f>SUMPRODUCT((主抽数据!$AU$5:$AU$97=$A91)*(主抽数据!$AV$5:$AV$97=$F91),主抽数据!$AK$5:$AK$97)</f>
        <v>#REF!</v>
      </c>
      <c r="K91" s="142" t="e">
        <f>SUMPRODUCT((主抽数据!$AU$5:$AU$97=$A91)*(主抽数据!$AV$5:$AV$97=$F91),主抽数据!$AL$5:$AL$97)</f>
        <v>#REF!</v>
      </c>
      <c r="L91" s="143" t="e">
        <f t="shared" si="28"/>
        <v>#REF!</v>
      </c>
      <c r="M91" s="143">
        <f>SUMPRODUCT((_6shaozhuchou_month_day!$A$2:$A$906&gt;=C91)*(_6shaozhuchou_month_day!$A$2:$A$906&lt;C92),_6shaozhuchou_month_day!$Z$2:$Z$906)</f>
        <v>0</v>
      </c>
      <c r="N91" s="132">
        <f>M91*查询与汇总!$O$1</f>
        <v>0</v>
      </c>
      <c r="O91" s="144">
        <f t="shared" si="29"/>
        <v>0</v>
      </c>
      <c r="P91" s="145">
        <f>IF(G91=0,0,SUMPRODUCT((_6shaozhuchou_month_day!$A$2:$A$906&gt;=$C91)*(_6shaozhuchou_month_day!$A$2:$A$906&lt;$C92),_6shaozhuchou_month_day!T$2:T$906)/SUMPRODUCT((_6shaozhuchou_month_day!$A$2:$A$906&gt;=$C91)*(_6shaozhuchou_month_day!$A$2:$A$906&lt;$C92)*(_6shaozhuchou_month_day!T$2:T$906&gt;0)))</f>
        <v>0</v>
      </c>
      <c r="Q91" s="145">
        <f>IF(G91=0,0,SUMPRODUCT((_6shaozhuchou_month_day!$A$2:$A$906&gt;=$C91)*(_6shaozhuchou_month_day!$A$2:$A$906&lt;$C92),_6shaozhuchou_month_day!U$2:U$906)/SUMPRODUCT((_6shaozhuchou_month_day!$A$2:$A$906&gt;=$C91)*(_6shaozhuchou_month_day!$A$2:$A$906&lt;$C92)*(_6shaozhuchou_month_day!U$2:U$906&lt;0)))</f>
        <v>0</v>
      </c>
      <c r="R91" s="145">
        <f>IF(G91=0,0,SUMPRODUCT((_6shaozhuchou_month_day!$A$2:$A$906&gt;=$C91)*(_6shaozhuchou_month_day!$A$2:$A$906&lt;$C92),_6shaozhuchou_month_day!V$2:V$906)/SUMPRODUCT((_6shaozhuchou_month_day!$A$2:$A$906&gt;=$C91)*(_6shaozhuchou_month_day!$A$2:$A$906&lt;$C92)*(_6shaozhuchou_month_day!V$2:V$906&gt;0)))</f>
        <v>0</v>
      </c>
      <c r="S91" s="145">
        <f>IF(G91=0,0,SUMPRODUCT((_6shaozhuchou_month_day!$A$2:$A$906&gt;=$C91)*(_6shaozhuchou_month_day!$A$2:$A$906&lt;$C92),_6shaozhuchou_month_day!W$2:W$906)/SUMPRODUCT((_6shaozhuchou_month_day!$A$2:$A$906&gt;=$C91)*(_6shaozhuchou_month_day!$A$2:$A$906&lt;$C92)*(_6shaozhuchou_month_day!W$2:W$906&lt;0)))</f>
        <v>0</v>
      </c>
      <c r="T91" s="145" t="str">
        <f>主抽数据!Z95</f>
        <v/>
      </c>
      <c r="U91" s="145" t="str">
        <f>主抽数据!AA95</f>
        <v/>
      </c>
      <c r="V91" s="148">
        <f>查询与汇总!$S$1*M91</f>
        <v>0</v>
      </c>
      <c r="W91" s="149" t="e">
        <f t="shared" si="30"/>
        <v>#REF!</v>
      </c>
      <c r="X91" s="174"/>
      <c r="Y91" s="177"/>
      <c r="Z91" s="178"/>
      <c r="AA91" s="160" t="str">
        <f>主抽数据!AB95</f>
        <v/>
      </c>
      <c r="AB91" s="161" t="str">
        <f>主抽数据!AC95</f>
        <v/>
      </c>
      <c r="AC91" s="162" t="e">
        <f t="shared" si="23"/>
        <v>#REF!</v>
      </c>
      <c r="AE91" s="123" t="e">
        <f t="shared" si="31"/>
        <v>#VALUE!</v>
      </c>
      <c r="AF91" s="123" t="e">
        <f t="shared" si="32"/>
        <v>#VALUE!</v>
      </c>
      <c r="AG91" s="123">
        <f t="shared" si="33"/>
        <v>0</v>
      </c>
      <c r="AH91" s="123">
        <f t="shared" si="34"/>
        <v>0</v>
      </c>
    </row>
    <row r="92" spans="1:34" ht="20.25" customHeight="1">
      <c r="A92" s="133">
        <f t="shared" si="35"/>
        <v>43373</v>
      </c>
      <c r="B92" s="134">
        <f t="shared" si="36"/>
        <v>0.66666666666666696</v>
      </c>
      <c r="C92" s="133">
        <f t="shared" si="39"/>
        <v>43373.666666666664</v>
      </c>
      <c r="D92" s="134" t="str">
        <f t="shared" si="37"/>
        <v>中班</v>
      </c>
      <c r="E92" s="131">
        <f t="shared" si="38"/>
        <v>1</v>
      </c>
      <c r="F92" s="131" t="str">
        <f t="shared" si="25"/>
        <v>甲班</v>
      </c>
      <c r="G92" s="132">
        <f>SUMPRODUCT((_6shaozhuchou_month_day!$A$2:$A$906&gt;=C92)*(_6shaozhuchou_month_day!$A$2:$A$906&lt;C93),_6shaozhuchou_month_day!$Y$2:$Y$906)/8</f>
        <v>0</v>
      </c>
      <c r="H92" s="132">
        <f t="shared" si="26"/>
        <v>0</v>
      </c>
      <c r="I92" s="141">
        <f t="shared" si="27"/>
        <v>0</v>
      </c>
      <c r="J92" s="142" t="e">
        <f>SUMPRODUCT((主抽数据!$AU$5:$AU$97=$A92)*(主抽数据!$AV$5:$AV$97=$F92),主抽数据!$AK$5:$AK$97)</f>
        <v>#REF!</v>
      </c>
      <c r="K92" s="142" t="e">
        <f>SUMPRODUCT((主抽数据!$AU$5:$AU$97=$A92)*(主抽数据!$AV$5:$AV$97=$F92),主抽数据!$AL$5:$AL$97)</f>
        <v>#REF!</v>
      </c>
      <c r="L92" s="143" t="e">
        <f t="shared" si="28"/>
        <v>#REF!</v>
      </c>
      <c r="M92" s="143">
        <f>SUMPRODUCT((_6shaozhuchou_month_day!$A$2:$A$906&gt;=C92)*(_6shaozhuchou_month_day!$A$2:$A$906&lt;C93),_6shaozhuchou_month_day!$Z$2:$Z$906)</f>
        <v>0</v>
      </c>
      <c r="N92" s="132">
        <f>M92*查询与汇总!$O$1</f>
        <v>0</v>
      </c>
      <c r="O92" s="144">
        <f t="shared" si="29"/>
        <v>0</v>
      </c>
      <c r="P92" s="145">
        <f>IF(G92=0,0,SUMPRODUCT((_6shaozhuchou_month_day!$A$2:$A$906&gt;=$C92)*(_6shaozhuchou_month_day!$A$2:$A$906&lt;$C93),_6shaozhuchou_month_day!T$2:T$906)/SUMPRODUCT((_6shaozhuchou_month_day!$A$2:$A$906&gt;=$C92)*(_6shaozhuchou_month_day!$A$2:$A$906&lt;$C93)*(_6shaozhuchou_month_day!T$2:T$906&gt;0)))</f>
        <v>0</v>
      </c>
      <c r="Q92" s="145">
        <f>IF(G92=0,0,SUMPRODUCT((_6shaozhuchou_month_day!$A$2:$A$906&gt;=$C92)*(_6shaozhuchou_month_day!$A$2:$A$906&lt;$C93),_6shaozhuchou_month_day!U$2:U$906)/SUMPRODUCT((_6shaozhuchou_month_day!$A$2:$A$906&gt;=$C92)*(_6shaozhuchou_month_day!$A$2:$A$906&lt;$C93)*(_6shaozhuchou_month_day!U$2:U$906&lt;0)))</f>
        <v>0</v>
      </c>
      <c r="R92" s="145">
        <f>IF(G92=0,0,SUMPRODUCT((_6shaozhuchou_month_day!$A$2:$A$906&gt;=$C92)*(_6shaozhuchou_month_day!$A$2:$A$906&lt;$C93),_6shaozhuchou_month_day!V$2:V$906)/SUMPRODUCT((_6shaozhuchou_month_day!$A$2:$A$906&gt;=$C92)*(_6shaozhuchou_month_day!$A$2:$A$906&lt;$C93)*(_6shaozhuchou_month_day!V$2:V$906&gt;0)))</f>
        <v>0</v>
      </c>
      <c r="S92" s="145">
        <f>IF(G92=0,0,SUMPRODUCT((_6shaozhuchou_month_day!$A$2:$A$906&gt;=$C92)*(_6shaozhuchou_month_day!$A$2:$A$906&lt;$C93),_6shaozhuchou_month_day!W$2:W$906)/SUMPRODUCT((_6shaozhuchou_month_day!$A$2:$A$906&gt;=$C92)*(_6shaozhuchou_month_day!$A$2:$A$906&lt;$C93)*(_6shaozhuchou_month_day!W$2:W$906&lt;0)))</f>
        <v>0</v>
      </c>
      <c r="T92" s="145" t="str">
        <f>主抽数据!Z96</f>
        <v/>
      </c>
      <c r="U92" s="145" t="str">
        <f>主抽数据!AA96</f>
        <v/>
      </c>
      <c r="V92" s="148">
        <f>查询与汇总!$S$1*M92</f>
        <v>0</v>
      </c>
      <c r="W92" s="149" t="e">
        <f t="shared" si="30"/>
        <v>#REF!</v>
      </c>
      <c r="X92" s="174"/>
      <c r="Y92" s="177"/>
      <c r="Z92" s="178"/>
      <c r="AA92" s="160" t="str">
        <f>主抽数据!AB96</f>
        <v/>
      </c>
      <c r="AB92" s="161" t="str">
        <f>主抽数据!AC96</f>
        <v/>
      </c>
      <c r="AC92" s="162" t="e">
        <f t="shared" si="23"/>
        <v>#REF!</v>
      </c>
      <c r="AE92" s="123" t="e">
        <f t="shared" si="31"/>
        <v>#VALUE!</v>
      </c>
      <c r="AF92" s="123" t="e">
        <f t="shared" si="32"/>
        <v>#VALUE!</v>
      </c>
      <c r="AG92" s="123">
        <f t="shared" si="33"/>
        <v>0</v>
      </c>
      <c r="AH92" s="123">
        <f t="shared" si="34"/>
        <v>0</v>
      </c>
    </row>
    <row r="93" spans="1:34" ht="20.25" customHeight="1">
      <c r="A93" s="133">
        <f t="shared" si="35"/>
        <v>43374</v>
      </c>
      <c r="B93" s="134">
        <f t="shared" si="36"/>
        <v>0</v>
      </c>
      <c r="C93" s="133">
        <f t="shared" si="39"/>
        <v>43374</v>
      </c>
      <c r="D93" s="134" t="str">
        <f t="shared" si="37"/>
        <v>夜班</v>
      </c>
      <c r="E93" s="131">
        <f t="shared" si="38"/>
        <v>3</v>
      </c>
      <c r="F93" s="131" t="str">
        <f t="shared" si="25"/>
        <v>丙班</v>
      </c>
      <c r="G93" s="132">
        <f>SUMPRODUCT((_6shaozhuchou_month_day!$A$2:$A$906&gt;=C93)*(_6shaozhuchou_month_day!$A$2:$A$906&lt;C94),_6shaozhuchou_month_day!$Y$2:$Y$906)/8</f>
        <v>0</v>
      </c>
      <c r="H93" s="132">
        <f t="shared" si="26"/>
        <v>0</v>
      </c>
      <c r="I93" s="141">
        <f t="shared" si="27"/>
        <v>0</v>
      </c>
      <c r="J93" s="142" t="e">
        <f>SUMPRODUCT((主抽数据!$AU$5:$AU$97=$A93)*(主抽数据!$AV$5:$AV$97=$F93),主抽数据!$AK$5:$AK$97)</f>
        <v>#REF!</v>
      </c>
      <c r="K93" s="142" t="e">
        <f>SUMPRODUCT((主抽数据!$AU$5:$AU$97=$A93)*(主抽数据!$AV$5:$AV$97=$F93),主抽数据!$AL$5:$AL$97)</f>
        <v>#REF!</v>
      </c>
      <c r="L93" s="143" t="e">
        <f t="shared" si="28"/>
        <v>#REF!</v>
      </c>
      <c r="M93" s="143">
        <f>SUMPRODUCT((_6shaozhuchou_month_day!$A$2:$A$906&gt;=C93)*(_6shaozhuchou_month_day!$A$2:$A$906&lt;C94),_6shaozhuchou_month_day!$Z$2:$Z$906)</f>
        <v>0</v>
      </c>
      <c r="N93" s="132">
        <f>M93*查询与汇总!$O$1</f>
        <v>0</v>
      </c>
      <c r="O93" s="144">
        <f t="shared" si="29"/>
        <v>0</v>
      </c>
      <c r="P93" s="145">
        <f>IF(G93=0,0,SUMPRODUCT((_6shaozhuchou_month_day!$A$2:$A$906&gt;=$C93)*(_6shaozhuchou_month_day!$A$2:$A$906&lt;$C94),_6shaozhuchou_month_day!T$2:T$906)/SUMPRODUCT((_6shaozhuchou_month_day!$A$2:$A$906&gt;=$C93)*(_6shaozhuchou_month_day!$A$2:$A$906&lt;$C94)*(_6shaozhuchou_month_day!T$2:T$906&gt;0)))</f>
        <v>0</v>
      </c>
      <c r="Q93" s="145">
        <f>IF(G93=0,0,SUMPRODUCT((_6shaozhuchou_month_day!$A$2:$A$906&gt;=$C93)*(_6shaozhuchou_month_day!$A$2:$A$906&lt;$C94),_6shaozhuchou_month_day!U$2:U$906)/SUMPRODUCT((_6shaozhuchou_month_day!$A$2:$A$906&gt;=$C93)*(_6shaozhuchou_month_day!$A$2:$A$906&lt;$C94)*(_6shaozhuchou_month_day!U$2:U$906&lt;0)))</f>
        <v>0</v>
      </c>
      <c r="R93" s="145">
        <f>IF(G93=0,0,SUMPRODUCT((_6shaozhuchou_month_day!$A$2:$A$906&gt;=$C93)*(_6shaozhuchou_month_day!$A$2:$A$906&lt;$C94),_6shaozhuchou_month_day!V$2:V$906)/SUMPRODUCT((_6shaozhuchou_month_day!$A$2:$A$906&gt;=$C93)*(_6shaozhuchou_month_day!$A$2:$A$906&lt;$C94)*(_6shaozhuchou_month_day!V$2:V$906&gt;0)))</f>
        <v>0</v>
      </c>
      <c r="S93" s="145">
        <f>IF(G93=0,0,SUMPRODUCT((_6shaozhuchou_month_day!$A$2:$A$906&gt;=$C93)*(_6shaozhuchou_month_day!$A$2:$A$906&lt;$C94),_6shaozhuchou_month_day!W$2:W$906)/SUMPRODUCT((_6shaozhuchou_month_day!$A$2:$A$906&gt;=$C93)*(_6shaozhuchou_month_day!$A$2:$A$906&lt;$C94)*(_6shaozhuchou_month_day!W$2:W$906&lt;0)))</f>
        <v>0</v>
      </c>
      <c r="T93" s="145" t="str">
        <f>主抽数据!Z97</f>
        <v/>
      </c>
      <c r="U93" s="145" t="str">
        <f>主抽数据!AA97</f>
        <v/>
      </c>
      <c r="V93" s="148">
        <f>查询与汇总!$S$1*M93</f>
        <v>0</v>
      </c>
      <c r="W93" s="149" t="e">
        <f t="shared" si="30"/>
        <v>#REF!</v>
      </c>
      <c r="X93" s="174"/>
      <c r="Y93" s="177"/>
      <c r="Z93" s="178"/>
      <c r="AA93" s="160" t="str">
        <f>主抽数据!AB97</f>
        <v/>
      </c>
      <c r="AB93" s="161" t="str">
        <f>主抽数据!AC97</f>
        <v/>
      </c>
      <c r="AC93" s="162" t="e">
        <f t="shared" si="23"/>
        <v>#REF!</v>
      </c>
      <c r="AE93" s="123" t="e">
        <f t="shared" si="31"/>
        <v>#VALUE!</v>
      </c>
      <c r="AF93" s="123" t="e">
        <f t="shared" si="32"/>
        <v>#VALUE!</v>
      </c>
      <c r="AG93" s="123">
        <f t="shared" si="33"/>
        <v>0</v>
      </c>
      <c r="AH93" s="123">
        <f t="shared" si="34"/>
        <v>0</v>
      </c>
    </row>
    <row r="94" spans="1:34" ht="20.25" customHeight="1">
      <c r="A94" s="133">
        <f t="shared" si="35"/>
        <v>43374</v>
      </c>
      <c r="B94" s="134">
        <f t="shared" si="36"/>
        <v>0.33333333333333298</v>
      </c>
      <c r="C94" s="133">
        <f t="shared" si="39"/>
        <v>43374.333333333336</v>
      </c>
      <c r="D94" s="134" t="str">
        <f t="shared" si="37"/>
        <v>白班</v>
      </c>
      <c r="E94" s="131">
        <f t="shared" si="38"/>
        <v>4</v>
      </c>
      <c r="F94" s="131" t="str">
        <f t="shared" si="25"/>
        <v>丁班</v>
      </c>
      <c r="G94" s="132">
        <f>SUMPRODUCT((_6shaozhuchou_month_day!$A$2:$A$906&gt;=C94)*(_6shaozhuchou_month_day!$A$2:$A$906&lt;C95),_6shaozhuchou_month_day!$Y$2:$Y$906)/8</f>
        <v>0</v>
      </c>
      <c r="H94" s="132">
        <f t="shared" si="26"/>
        <v>0</v>
      </c>
      <c r="I94" s="141">
        <f t="shared" si="27"/>
        <v>0</v>
      </c>
      <c r="J94" s="142" t="e">
        <f>SUMPRODUCT((主抽数据!$AU$5:$AU$97=$A94)*(主抽数据!$AV$5:$AV$97=$F94),主抽数据!$AK$5:$AK$97)</f>
        <v>#REF!</v>
      </c>
      <c r="K94" s="142" t="e">
        <f>SUMPRODUCT((主抽数据!$AU$5:$AU$97=$A94)*(主抽数据!$AV$5:$AV$97=$F94),主抽数据!$AL$5:$AL$97)</f>
        <v>#REF!</v>
      </c>
      <c r="L94" s="143" t="e">
        <f t="shared" si="28"/>
        <v>#REF!</v>
      </c>
      <c r="M94" s="143">
        <f>SUMPRODUCT((_6shaozhuchou_month_day!$A$2:$A$906&gt;=C94)*(_6shaozhuchou_month_day!$A$2:$A$906&lt;C95),_6shaozhuchou_month_day!$Z$2:$Z$906)</f>
        <v>0</v>
      </c>
      <c r="N94" s="132">
        <f>M94*查询与汇总!$O$1</f>
        <v>0</v>
      </c>
      <c r="O94" s="144">
        <f t="shared" si="29"/>
        <v>0</v>
      </c>
      <c r="P94" s="145">
        <f>IF(G94=0,0,SUMPRODUCT((_6shaozhuchou_month_day!$A$2:$A$906&gt;=$C94)*(_6shaozhuchou_month_day!$A$2:$A$906&lt;$C95),_6shaozhuchou_month_day!T$2:T$906)/SUMPRODUCT((_6shaozhuchou_month_day!$A$2:$A$906&gt;=$C94)*(_6shaozhuchou_month_day!$A$2:$A$906&lt;$C95)*(_6shaozhuchou_month_day!T$2:T$906&gt;0)))</f>
        <v>0</v>
      </c>
      <c r="Q94" s="145">
        <f>IF(G94=0,0,SUMPRODUCT((_6shaozhuchou_month_day!$A$2:$A$906&gt;=$C94)*(_6shaozhuchou_month_day!$A$2:$A$906&lt;$C95),_6shaozhuchou_month_day!U$2:U$906)/SUMPRODUCT((_6shaozhuchou_month_day!$A$2:$A$906&gt;=$C94)*(_6shaozhuchou_month_day!$A$2:$A$906&lt;$C95)*(_6shaozhuchou_month_day!U$2:U$906&lt;0)))</f>
        <v>0</v>
      </c>
      <c r="R94" s="145">
        <f>IF(G94=0,0,SUMPRODUCT((_6shaozhuchou_month_day!$A$2:$A$906&gt;=$C94)*(_6shaozhuchou_month_day!$A$2:$A$906&lt;$C95),_6shaozhuchou_month_day!V$2:V$906)/SUMPRODUCT((_6shaozhuchou_month_day!$A$2:$A$906&gt;=$C94)*(_6shaozhuchou_month_day!$A$2:$A$906&lt;$C95)*(_6shaozhuchou_month_day!V$2:V$906&gt;0)))</f>
        <v>0</v>
      </c>
      <c r="S94" s="145">
        <f>IF(G94=0,0,SUMPRODUCT((_6shaozhuchou_month_day!$A$2:$A$906&gt;=$C94)*(_6shaozhuchou_month_day!$A$2:$A$906&lt;$C95),_6shaozhuchou_month_day!W$2:W$906)/SUMPRODUCT((_6shaozhuchou_month_day!$A$2:$A$906&gt;=$C94)*(_6shaozhuchou_month_day!$A$2:$A$906&lt;$C95)*(_6shaozhuchou_month_day!W$2:W$906&lt;0)))</f>
        <v>0</v>
      </c>
      <c r="T94" s="145" t="str">
        <f>主抽数据!Z98</f>
        <v/>
      </c>
      <c r="U94" s="145" t="str">
        <f>主抽数据!AA98</f>
        <v/>
      </c>
      <c r="V94" s="148">
        <f>查询与汇总!$S$1*M94</f>
        <v>0</v>
      </c>
      <c r="W94" s="149" t="e">
        <f t="shared" si="30"/>
        <v>#REF!</v>
      </c>
      <c r="X94" s="174"/>
      <c r="Y94" s="177"/>
      <c r="Z94" s="178"/>
      <c r="AA94" s="160" t="str">
        <f>主抽数据!AB98</f>
        <v/>
      </c>
      <c r="AB94" s="161" t="str">
        <f>主抽数据!AC98</f>
        <v/>
      </c>
      <c r="AC94" s="162" t="e">
        <f t="shared" si="23"/>
        <v>#REF!</v>
      </c>
      <c r="AE94" s="123" t="e">
        <f t="shared" si="31"/>
        <v>#VALUE!</v>
      </c>
      <c r="AF94" s="123" t="e">
        <f t="shared" si="32"/>
        <v>#VALUE!</v>
      </c>
      <c r="AG94" s="123">
        <f t="shared" si="33"/>
        <v>0</v>
      </c>
      <c r="AH94" s="123">
        <f t="shared" si="34"/>
        <v>0</v>
      </c>
    </row>
    <row r="95" spans="1:34" ht="20.25" customHeight="1">
      <c r="A95" s="133">
        <f t="shared" si="35"/>
        <v>43374</v>
      </c>
      <c r="B95" s="134">
        <f t="shared" si="36"/>
        <v>0.66666666666666696</v>
      </c>
      <c r="C95" s="133">
        <f t="shared" si="39"/>
        <v>43374.666666666664</v>
      </c>
      <c r="D95" s="134" t="str">
        <f t="shared" si="37"/>
        <v>中班</v>
      </c>
      <c r="E95" s="131">
        <f t="shared" si="38"/>
        <v>1</v>
      </c>
      <c r="F95" s="131" t="str">
        <f t="shared" si="25"/>
        <v>甲班</v>
      </c>
      <c r="G95" s="132">
        <f>SUMPRODUCT((_6shaozhuchou_month_day!$A$2:$A$906&gt;=C95)*(_6shaozhuchou_month_day!$A$2:$A$906&lt;C96),_6shaozhuchou_month_day!$Y$2:$Y$906)/8</f>
        <v>0</v>
      </c>
      <c r="H95" s="132">
        <f t="shared" si="26"/>
        <v>0</v>
      </c>
      <c r="I95" s="141">
        <f t="shared" si="27"/>
        <v>0</v>
      </c>
      <c r="J95" s="142" t="e">
        <f>SUMPRODUCT((主抽数据!$AU$5:$AU$97=$A95)*(主抽数据!$AV$5:$AV$97=$F95),主抽数据!$AK$5:$AK$97)</f>
        <v>#REF!</v>
      </c>
      <c r="K95" s="142" t="e">
        <f>SUMPRODUCT((主抽数据!$AU$5:$AU$97=$A95)*(主抽数据!$AV$5:$AV$97=$F95),主抽数据!$AL$5:$AL$97)</f>
        <v>#REF!</v>
      </c>
      <c r="L95" s="143" t="e">
        <f t="shared" si="28"/>
        <v>#REF!</v>
      </c>
      <c r="M95" s="143">
        <f>SUMPRODUCT((_6shaozhuchou_month_day!$A$2:$A$906&gt;=C95)*(_6shaozhuchou_month_day!$A$2:$A$906&lt;C96),_6shaozhuchou_month_day!$Z$2:$Z$906)</f>
        <v>0</v>
      </c>
      <c r="N95" s="132">
        <f>M95*查询与汇总!$O$1</f>
        <v>0</v>
      </c>
      <c r="O95" s="144">
        <f t="shared" si="29"/>
        <v>0</v>
      </c>
      <c r="P95" s="145">
        <f>IF(G95=0,0,SUMPRODUCT((_6shaozhuchou_month_day!$A$2:$A$906&gt;=$C95)*(_6shaozhuchou_month_day!$A$2:$A$906&lt;$C96),_6shaozhuchou_month_day!T$2:T$906)/SUMPRODUCT((_6shaozhuchou_month_day!$A$2:$A$906&gt;=$C95)*(_6shaozhuchou_month_day!$A$2:$A$906&lt;$C96)*(_6shaozhuchou_month_day!T$2:T$906&gt;0)))</f>
        <v>0</v>
      </c>
      <c r="Q95" s="145">
        <f>IF(G95=0,0,SUMPRODUCT((_6shaozhuchou_month_day!$A$2:$A$906&gt;=$C95)*(_6shaozhuchou_month_day!$A$2:$A$906&lt;$C96),_6shaozhuchou_month_day!U$2:U$906)/SUMPRODUCT((_6shaozhuchou_month_day!$A$2:$A$906&gt;=$C95)*(_6shaozhuchou_month_day!$A$2:$A$906&lt;$C96)*(_6shaozhuchou_month_day!U$2:U$906&lt;0)))</f>
        <v>0</v>
      </c>
      <c r="R95" s="145">
        <f>IF(G95=0,0,SUMPRODUCT((_6shaozhuchou_month_day!$A$2:$A$906&gt;=$C95)*(_6shaozhuchou_month_day!$A$2:$A$906&lt;$C96),_6shaozhuchou_month_day!V$2:V$906)/SUMPRODUCT((_6shaozhuchou_month_day!$A$2:$A$906&gt;=$C95)*(_6shaozhuchou_month_day!$A$2:$A$906&lt;$C96)*(_6shaozhuchou_month_day!V$2:V$906&gt;0)))</f>
        <v>0</v>
      </c>
      <c r="S95" s="145">
        <f>IF(G95=0,0,SUMPRODUCT((_6shaozhuchou_month_day!$A$2:$A$906&gt;=$C95)*(_6shaozhuchou_month_day!$A$2:$A$906&lt;$C96),_6shaozhuchou_month_day!W$2:W$906)/SUMPRODUCT((_6shaozhuchou_month_day!$A$2:$A$906&gt;=$C95)*(_6shaozhuchou_month_day!$A$2:$A$906&lt;$C96)*(_6shaozhuchou_month_day!W$2:W$906&lt;0)))</f>
        <v>0</v>
      </c>
      <c r="T95" s="145" t="e">
        <f>主抽数据!#REF!</f>
        <v>#REF!</v>
      </c>
      <c r="U95" s="145" t="e">
        <f>主抽数据!#REF!</f>
        <v>#REF!</v>
      </c>
      <c r="V95" s="148">
        <f>查询与汇总!$S$1*M95</f>
        <v>0</v>
      </c>
      <c r="W95" s="149" t="e">
        <f t="shared" si="30"/>
        <v>#REF!</v>
      </c>
      <c r="X95" s="174"/>
      <c r="Y95" s="177"/>
      <c r="Z95" s="178"/>
      <c r="AA95" s="160" t="e">
        <f>主抽数据!#REF!</f>
        <v>#REF!</v>
      </c>
      <c r="AB95" s="161" t="e">
        <f>主抽数据!#REF!</f>
        <v>#REF!</v>
      </c>
      <c r="AC95" s="162" t="e">
        <f t="shared" si="23"/>
        <v>#REF!</v>
      </c>
      <c r="AE95" s="123" t="e">
        <f t="shared" si="31"/>
        <v>#REF!</v>
      </c>
      <c r="AF95" s="123" t="e">
        <f t="shared" si="32"/>
        <v>#REF!</v>
      </c>
      <c r="AG95" s="123">
        <f t="shared" si="33"/>
        <v>0</v>
      </c>
      <c r="AH95" s="123">
        <f t="shared" si="34"/>
        <v>0</v>
      </c>
    </row>
    <row r="96" spans="1:34" ht="20.25" customHeight="1">
      <c r="A96" s="133">
        <f t="shared" si="35"/>
        <v>43375</v>
      </c>
      <c r="B96" s="134">
        <f t="shared" si="36"/>
        <v>0</v>
      </c>
      <c r="C96" s="133">
        <f t="shared" si="39"/>
        <v>43375</v>
      </c>
      <c r="D96" s="134" t="str">
        <f t="shared" si="37"/>
        <v>夜班</v>
      </c>
      <c r="E96" s="131">
        <f t="shared" si="38"/>
        <v>2</v>
      </c>
      <c r="F96" s="131" t="str">
        <f t="shared" si="25"/>
        <v>乙班</v>
      </c>
      <c r="G96" s="132"/>
      <c r="H96" s="132"/>
      <c r="I96" s="141"/>
      <c r="J96" s="142"/>
      <c r="K96" s="142"/>
      <c r="L96" s="143"/>
      <c r="M96" s="143"/>
      <c r="N96" s="132"/>
      <c r="O96" s="144"/>
      <c r="P96" s="145"/>
      <c r="Q96" s="145"/>
      <c r="R96" s="145"/>
      <c r="S96" s="145"/>
      <c r="T96" s="175"/>
      <c r="U96" s="175"/>
      <c r="V96" s="148"/>
      <c r="W96" s="149"/>
      <c r="X96" s="174"/>
      <c r="Y96" s="177"/>
      <c r="Z96" s="178"/>
      <c r="AA96" s="160"/>
      <c r="AB96" s="161"/>
      <c r="AC96" s="162"/>
    </row>
    <row r="97" spans="1:29" ht="20.25" customHeight="1">
      <c r="A97" s="170" t="s">
        <v>75</v>
      </c>
      <c r="B97" s="171" t="s">
        <v>75</v>
      </c>
      <c r="C97" s="172"/>
      <c r="D97" s="172"/>
      <c r="E97" s="131"/>
      <c r="F97" s="131"/>
      <c r="G97" s="173"/>
      <c r="H97" s="173"/>
      <c r="I97" s="174">
        <f>SUM(I3:I95)</f>
        <v>0</v>
      </c>
      <c r="J97" s="173" t="e">
        <f>SUM(J3:J95)</f>
        <v>#REF!</v>
      </c>
      <c r="K97" s="173" t="e">
        <f>SUM(K3:K95)</f>
        <v>#REF!</v>
      </c>
      <c r="L97" s="173" t="e">
        <f>SUM(L3:L95)</f>
        <v>#REF!</v>
      </c>
      <c r="M97" s="143">
        <f>SUM(M3:M96)</f>
        <v>0</v>
      </c>
      <c r="N97" s="132">
        <f>M97*0.92</f>
        <v>0</v>
      </c>
      <c r="O97" s="144" t="e">
        <f>L97*1000/N97/5.8</f>
        <v>#REF!</v>
      </c>
      <c r="P97" s="172"/>
      <c r="Q97" s="176"/>
      <c r="R97" s="172"/>
      <c r="S97" s="172"/>
      <c r="T97" s="172"/>
      <c r="U97" s="172"/>
      <c r="V97" s="148"/>
      <c r="W97" s="149" t="e">
        <f>O97-V97</f>
        <v>#REF!</v>
      </c>
      <c r="X97" s="172">
        <f>SUM(X3:X95)</f>
        <v>0</v>
      </c>
      <c r="Y97" s="172"/>
      <c r="Z97" s="172"/>
      <c r="AA97" s="160"/>
      <c r="AB97" s="161"/>
      <c r="AC97" s="162" t="e">
        <f>SUM(AC3:AC96)</f>
        <v>#REF!</v>
      </c>
    </row>
  </sheetData>
  <protectedRanges>
    <protectedRange sqref="M3:M95" name="区域2_1" securityDescriptor=""/>
    <protectedRange sqref="Y10" name="区域1_3_3" securityDescriptor=""/>
  </protectedRanges>
  <mergeCells count="1">
    <mergeCell ref="A1:Z1"/>
  </mergeCells>
  <phoneticPr fontId="53" type="noConversion"/>
  <pageMargins left="0.75" right="0.75" top="1" bottom="1" header="0.5" footer="0.5"/>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vector>
  </TitlesOfParts>
  <Company>MC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ll</cp:lastModifiedBy>
  <cp:revision>1</cp:revision>
  <cp:lastPrinted>2014-10-09T07:42:00Z</cp:lastPrinted>
  <dcterms:created xsi:type="dcterms:W3CDTF">2012-07-17T02:02:00Z</dcterms:created>
  <dcterms:modified xsi:type="dcterms:W3CDTF">2018-12-10T02:35:41Z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