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GADP\Desktop\BB.SS. 2026\BITACORAS 2026\"/>
    </mc:Choice>
  </mc:AlternateContent>
  <xr:revisionPtr revIDLastSave="0" documentId="13_ncr:1_{26A1B3AC-9510-4332-95A4-665B81547F09}" xr6:coauthVersionLast="47" xr6:coauthVersionMax="47" xr10:uidLastSave="{00000000-0000-0000-0000-000000000000}"/>
  <bookViews>
    <workbookView xWindow="-120" yWindow="-120" windowWidth="29040" windowHeight="15990" tabRatio="917" xr2:uid="{00000000-000D-0000-FFFF-FFFF00000000}"/>
  </bookViews>
  <sheets>
    <sheet name="bitacoras enero I" sheetId="1" r:id="rId1"/>
    <sheet name="Hoja1" sheetId="6" r:id="rId2"/>
    <sheet name="Hoja2" sheetId="2" r:id="rId3"/>
    <sheet name="FORMATO BITACORA (2)" sheetId="4" r:id="rId4"/>
    <sheet name="FORMATO BITACORA" sheetId="3" r:id="rId5"/>
    <sheet name="FORMATO BITACORA (3)" sheetId="5" r:id="rId6"/>
    <sheet name="EJEMPLO JMCC (1)" sheetId="7" r:id="rId7"/>
    <sheet name="EJEMPLO JMCC (2)" sheetId="8" r:id="rId8"/>
    <sheet name="EJEMPLO JMCC (3)" sheetId="9" r:id="rId9"/>
    <sheet name="EJEMPLO JMCC (4)" sheetId="10" r:id="rId10"/>
    <sheet name="EJEMPLO JMCC (5)" sheetId="11" r:id="rId11"/>
    <sheet name="EJEMPLO JMCC (6)" sheetId="12" r:id="rId12"/>
    <sheet name="EJEMPLO JMCC (7)" sheetId="13" r:id="rId13"/>
    <sheet name="EJEMPLO JMCC (8)" sheetId="14" r:id="rId14"/>
    <sheet name="EJEMPLO JMCC (9)" sheetId="15" r:id="rId15"/>
  </sheets>
  <definedNames>
    <definedName name="_xlnm._FilterDatabase" localSheetId="0" hidden="1">'bitacoras enero I'!$A$1:$R$85</definedName>
    <definedName name="_xlnm.Print_Area" localSheetId="4">'FORMATO BITACORA'!$A$1:$O$36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P73" i="1" l="1"/>
  <c r="AP21" i="1"/>
  <c r="AM64" i="1"/>
  <c r="AO29" i="1" l="1"/>
  <c r="AP29" i="1" s="1"/>
  <c r="AO4" i="1"/>
  <c r="AM5" i="1" l="1"/>
  <c r="AO58" i="1"/>
  <c r="AP58" i="1" s="1"/>
  <c r="U58" i="1"/>
  <c r="V58" i="1" s="1"/>
  <c r="S58" i="1"/>
  <c r="N58" i="1"/>
  <c r="P58" i="1" s="1"/>
  <c r="Q58" i="1" s="1"/>
  <c r="I58" i="1"/>
  <c r="K58" i="1" s="1"/>
  <c r="L58" i="1" s="1"/>
  <c r="H23" i="15" l="1"/>
  <c r="H22" i="15"/>
  <c r="H21" i="15"/>
  <c r="H20" i="15"/>
  <c r="H19" i="15"/>
  <c r="H18" i="15"/>
  <c r="H17" i="15"/>
  <c r="H16" i="15"/>
  <c r="H15" i="15"/>
  <c r="H14" i="15"/>
  <c r="H13" i="15"/>
  <c r="H12" i="15"/>
  <c r="H11" i="15"/>
  <c r="H10" i="15"/>
  <c r="A10" i="15"/>
  <c r="A11" i="15" s="1"/>
  <c r="A12" i="15" s="1"/>
  <c r="A13" i="15" s="1"/>
  <c r="A14" i="15" s="1"/>
  <c r="A15" i="15" s="1"/>
  <c r="A16" i="15" s="1"/>
  <c r="A17" i="15" s="1"/>
  <c r="A18" i="15" s="1"/>
  <c r="A19" i="15" s="1"/>
  <c r="A20" i="15" s="1"/>
  <c r="A21" i="15" s="1"/>
  <c r="A22" i="15" s="1"/>
  <c r="A23" i="15" s="1"/>
  <c r="H9" i="15"/>
  <c r="E29" i="15" l="1"/>
  <c r="AM82" i="1"/>
  <c r="AO82" i="1" s="1"/>
  <c r="AP82" i="1" s="1"/>
  <c r="AM81" i="1"/>
  <c r="AO81" i="1" s="1"/>
  <c r="AP81" i="1" s="1"/>
  <c r="AM80" i="1"/>
  <c r="AO80" i="1" s="1"/>
  <c r="AP80" i="1" s="1"/>
  <c r="AM79" i="1"/>
  <c r="AO79" i="1" s="1"/>
  <c r="AP79" i="1" s="1"/>
  <c r="AM78" i="1"/>
  <c r="AO78" i="1" s="1"/>
  <c r="AP78" i="1" s="1"/>
  <c r="AP77" i="1"/>
  <c r="AM76" i="1"/>
  <c r="AO76" i="1" s="1"/>
  <c r="AP76" i="1" s="1"/>
  <c r="AM74" i="1"/>
  <c r="AO74" i="1" s="1"/>
  <c r="AP74" i="1" s="1"/>
  <c r="AM73" i="1"/>
  <c r="AO73" i="1" s="1"/>
  <c r="AM72" i="1"/>
  <c r="AO72" i="1" s="1"/>
  <c r="AP72" i="1" s="1"/>
  <c r="AO71" i="1"/>
  <c r="AP71" i="1" s="1"/>
  <c r="AM71" i="1"/>
  <c r="AM68" i="1"/>
  <c r="AO68" i="1" s="1"/>
  <c r="AP68" i="1" s="1"/>
  <c r="AM66" i="1"/>
  <c r="AO66" i="1" s="1"/>
  <c r="AP66" i="1" s="1"/>
  <c r="AM65" i="1"/>
  <c r="AO65" i="1" s="1"/>
  <c r="AP65" i="1" s="1"/>
  <c r="AO64" i="1"/>
  <c r="AP64" i="1" s="1"/>
  <c r="AM63" i="1"/>
  <c r="AO63" i="1" s="1"/>
  <c r="AP63" i="1" s="1"/>
  <c r="AO62" i="1"/>
  <c r="AP62" i="1" s="1"/>
  <c r="AM62" i="1"/>
  <c r="AM61" i="1"/>
  <c r="AO61" i="1" s="1"/>
  <c r="AP61" i="1" s="1"/>
  <c r="AM60" i="1"/>
  <c r="AO60" i="1" s="1"/>
  <c r="AP60" i="1" s="1"/>
  <c r="AM59" i="1"/>
  <c r="AO59" i="1" s="1"/>
  <c r="AP59" i="1" s="1"/>
  <c r="AM57" i="1"/>
  <c r="AO57" i="1" s="1"/>
  <c r="AP57" i="1" s="1"/>
  <c r="AM56" i="1"/>
  <c r="AO56" i="1" s="1"/>
  <c r="AP56" i="1" s="1"/>
  <c r="AM55" i="1"/>
  <c r="AO55" i="1" s="1"/>
  <c r="AP55" i="1" s="1"/>
  <c r="AM54" i="1"/>
  <c r="AO54" i="1" s="1"/>
  <c r="AP54" i="1" s="1"/>
  <c r="AM53" i="1"/>
  <c r="AO53" i="1" s="1"/>
  <c r="AP53" i="1" s="1"/>
  <c r="AM51" i="1"/>
  <c r="AO51" i="1" s="1"/>
  <c r="AP51" i="1" s="1"/>
  <c r="AM50" i="1"/>
  <c r="AO50" i="1" s="1"/>
  <c r="AP50" i="1" s="1"/>
  <c r="AM49" i="1"/>
  <c r="AO49" i="1" s="1"/>
  <c r="AP49" i="1" s="1"/>
  <c r="AM47" i="1"/>
  <c r="AO47" i="1" s="1"/>
  <c r="AP47" i="1" s="1"/>
  <c r="AM46" i="1"/>
  <c r="AO46" i="1" s="1"/>
  <c r="AP46" i="1" s="1"/>
  <c r="AM45" i="1"/>
  <c r="AO45" i="1" s="1"/>
  <c r="AP45" i="1" s="1"/>
  <c r="AO43" i="1"/>
  <c r="AP43" i="1" s="1"/>
  <c r="AM42" i="1"/>
  <c r="AO42" i="1" s="1"/>
  <c r="AP42" i="1" s="1"/>
  <c r="AP41" i="1"/>
  <c r="AM41" i="1"/>
  <c r="AM40" i="1"/>
  <c r="AO40" i="1" s="1"/>
  <c r="AP40" i="1" s="1"/>
  <c r="AM39" i="1"/>
  <c r="AO39" i="1" s="1"/>
  <c r="AP39" i="1" s="1"/>
  <c r="AM38" i="1"/>
  <c r="AO38" i="1" s="1"/>
  <c r="AP38" i="1" s="1"/>
  <c r="AO37" i="1"/>
  <c r="AP37" i="1" s="1"/>
  <c r="AM36" i="1"/>
  <c r="AO36" i="1" s="1"/>
  <c r="AP36" i="1" s="1"/>
  <c r="AM35" i="1"/>
  <c r="AO35" i="1" s="1"/>
  <c r="AP35" i="1" s="1"/>
  <c r="AM33" i="1"/>
  <c r="AO33" i="1" s="1"/>
  <c r="AP33" i="1" s="1"/>
  <c r="AM32" i="1"/>
  <c r="AO32" i="1" s="1"/>
  <c r="AP32" i="1" s="1"/>
  <c r="AO31" i="1"/>
  <c r="AP31" i="1" s="1"/>
  <c r="AO30" i="1"/>
  <c r="AP30" i="1" s="1"/>
  <c r="AM28" i="1"/>
  <c r="AO28" i="1" s="1"/>
  <c r="AP28" i="1" s="1"/>
  <c r="AM27" i="1"/>
  <c r="AO27" i="1" s="1"/>
  <c r="AP27" i="1" s="1"/>
  <c r="AM26" i="1"/>
  <c r="AO26" i="1" s="1"/>
  <c r="AP26" i="1" s="1"/>
  <c r="AO25" i="1"/>
  <c r="AP25" i="1" s="1"/>
  <c r="AM25" i="1"/>
  <c r="AO22" i="1"/>
  <c r="AP22" i="1" s="1"/>
  <c r="AM21" i="1"/>
  <c r="AO21" i="1" s="1"/>
  <c r="AM20" i="1"/>
  <c r="AO20" i="1" s="1"/>
  <c r="AP20" i="1" s="1"/>
  <c r="AM19" i="1"/>
  <c r="AO19" i="1" s="1"/>
  <c r="AP19" i="1" s="1"/>
  <c r="AM18" i="1"/>
  <c r="AO18" i="1" s="1"/>
  <c r="AP18" i="1" s="1"/>
  <c r="AM17" i="1"/>
  <c r="AO17" i="1" s="1"/>
  <c r="AP17" i="1" s="1"/>
  <c r="AM16" i="1"/>
  <c r="AO16" i="1" s="1"/>
  <c r="AP16" i="1" s="1"/>
  <c r="AM15" i="1"/>
  <c r="AO15" i="1" s="1"/>
  <c r="AP15" i="1" s="1"/>
  <c r="AM14" i="1"/>
  <c r="AO14" i="1" s="1"/>
  <c r="AP14" i="1" s="1"/>
  <c r="AM11" i="1"/>
  <c r="AO11" i="1" s="1"/>
  <c r="AP11" i="1" s="1"/>
  <c r="AM10" i="1"/>
  <c r="AO10" i="1" s="1"/>
  <c r="AP10" i="1" s="1"/>
  <c r="AM8" i="1"/>
  <c r="AO8" i="1" s="1"/>
  <c r="AP8" i="1" s="1"/>
  <c r="AP7" i="1"/>
  <c r="AM6" i="1"/>
  <c r="AO6" i="1" s="1"/>
  <c r="AP6" i="1" s="1"/>
  <c r="AO5" i="1"/>
  <c r="AP5" i="1" s="1"/>
  <c r="AP4" i="1"/>
  <c r="AM3" i="1"/>
  <c r="AO3" i="1" s="1"/>
  <c r="AP3" i="1" s="1"/>
  <c r="AH45" i="1"/>
  <c r="AH38" i="1" l="1"/>
  <c r="AJ38" i="1" s="1"/>
  <c r="AK38" i="1" s="1"/>
  <c r="AH39" i="1"/>
  <c r="AH36" i="1"/>
  <c r="AH62" i="1" l="1"/>
  <c r="AH16" i="1"/>
  <c r="AH28" i="1"/>
  <c r="AH27" i="1"/>
  <c r="AH26" i="1"/>
  <c r="AK4" i="1"/>
  <c r="AK77" i="1"/>
  <c r="AH82" i="1" l="1"/>
  <c r="AJ82" i="1" s="1"/>
  <c r="AK82" i="1" s="1"/>
  <c r="AH81" i="1"/>
  <c r="AJ81" i="1" s="1"/>
  <c r="AK81" i="1" s="1"/>
  <c r="AH80" i="1"/>
  <c r="AJ80" i="1" s="1"/>
  <c r="AK80" i="1" s="1"/>
  <c r="AH79" i="1"/>
  <c r="AJ79" i="1" s="1"/>
  <c r="AK79" i="1" s="1"/>
  <c r="AH78" i="1"/>
  <c r="AJ78" i="1" s="1"/>
  <c r="AK78" i="1" s="1"/>
  <c r="AH76" i="1"/>
  <c r="AJ76" i="1" s="1"/>
  <c r="AK76" i="1" s="1"/>
  <c r="AH74" i="1"/>
  <c r="AJ74" i="1" s="1"/>
  <c r="AK74" i="1" s="1"/>
  <c r="AH73" i="1"/>
  <c r="AJ73" i="1" s="1"/>
  <c r="AK73" i="1" s="1"/>
  <c r="AH72" i="1"/>
  <c r="AJ72" i="1" s="1"/>
  <c r="AK72" i="1" s="1"/>
  <c r="AH71" i="1"/>
  <c r="AJ71" i="1" s="1"/>
  <c r="AK71" i="1" s="1"/>
  <c r="AH68" i="1"/>
  <c r="AJ68" i="1" s="1"/>
  <c r="AK68" i="1" s="1"/>
  <c r="AH66" i="1"/>
  <c r="AJ66" i="1" s="1"/>
  <c r="AK66" i="1" s="1"/>
  <c r="AH65" i="1"/>
  <c r="AJ65" i="1" s="1"/>
  <c r="AK65" i="1" s="1"/>
  <c r="AH64" i="1"/>
  <c r="AJ64" i="1" s="1"/>
  <c r="AK64" i="1" s="1"/>
  <c r="AH63" i="1"/>
  <c r="AJ63" i="1" s="1"/>
  <c r="AJ62" i="1"/>
  <c r="AK62" i="1" s="1"/>
  <c r="AH61" i="1"/>
  <c r="AJ61" i="1" s="1"/>
  <c r="AK61" i="1" s="1"/>
  <c r="AH60" i="1"/>
  <c r="AJ60" i="1" s="1"/>
  <c r="AK60" i="1" s="1"/>
  <c r="AH59" i="1"/>
  <c r="AJ59" i="1" s="1"/>
  <c r="AK59" i="1" s="1"/>
  <c r="AH57" i="1"/>
  <c r="AJ57" i="1" s="1"/>
  <c r="AK57" i="1" s="1"/>
  <c r="AH56" i="1"/>
  <c r="AJ56" i="1" s="1"/>
  <c r="AK56" i="1" s="1"/>
  <c r="AH55" i="1"/>
  <c r="AJ55" i="1" s="1"/>
  <c r="AK55" i="1" s="1"/>
  <c r="AH54" i="1"/>
  <c r="AJ54" i="1" s="1"/>
  <c r="AK54" i="1" s="1"/>
  <c r="AH53" i="1"/>
  <c r="AJ53" i="1" s="1"/>
  <c r="AK53" i="1" s="1"/>
  <c r="AH51" i="1"/>
  <c r="AJ51" i="1" s="1"/>
  <c r="AK51" i="1" s="1"/>
  <c r="AH50" i="1"/>
  <c r="AJ50" i="1" s="1"/>
  <c r="AK50" i="1" s="1"/>
  <c r="AH49" i="1"/>
  <c r="AJ49" i="1" s="1"/>
  <c r="AK49" i="1" s="1"/>
  <c r="AH47" i="1"/>
  <c r="AJ47" i="1" s="1"/>
  <c r="AK47" i="1" s="1"/>
  <c r="AH46" i="1"/>
  <c r="AJ46" i="1" s="1"/>
  <c r="AK46" i="1" s="1"/>
  <c r="AJ45" i="1"/>
  <c r="AK45" i="1" s="1"/>
  <c r="AJ43" i="1"/>
  <c r="AK43" i="1" s="1"/>
  <c r="AH42" i="1"/>
  <c r="AJ42" i="1" s="1"/>
  <c r="AK42" i="1" s="1"/>
  <c r="AK41" i="1"/>
  <c r="AH41" i="1"/>
  <c r="AH40" i="1"/>
  <c r="AJ40" i="1" s="1"/>
  <c r="AK40" i="1" s="1"/>
  <c r="AJ39" i="1"/>
  <c r="AK39" i="1" s="1"/>
  <c r="AJ37" i="1"/>
  <c r="AK37" i="1" s="1"/>
  <c r="AJ36" i="1"/>
  <c r="AK36" i="1" s="1"/>
  <c r="AH35" i="1"/>
  <c r="AJ35" i="1" s="1"/>
  <c r="AK35" i="1" s="1"/>
  <c r="AH33" i="1"/>
  <c r="AJ33" i="1" s="1"/>
  <c r="AK33" i="1" s="1"/>
  <c r="AH32" i="1"/>
  <c r="AJ32" i="1" s="1"/>
  <c r="AK32" i="1" s="1"/>
  <c r="AJ31" i="1"/>
  <c r="AK31" i="1" s="1"/>
  <c r="AJ30" i="1"/>
  <c r="AK30" i="1" s="1"/>
  <c r="AJ28" i="1"/>
  <c r="AK28" i="1" s="1"/>
  <c r="AJ27" i="1"/>
  <c r="AK27" i="1" s="1"/>
  <c r="AJ26" i="1"/>
  <c r="AK26" i="1" s="1"/>
  <c r="AH25" i="1"/>
  <c r="AJ25" i="1" s="1"/>
  <c r="AK25" i="1" s="1"/>
  <c r="AJ22" i="1"/>
  <c r="AK22" i="1" s="1"/>
  <c r="AH21" i="1"/>
  <c r="AJ21" i="1" s="1"/>
  <c r="AK21" i="1" s="1"/>
  <c r="AH20" i="1"/>
  <c r="AJ20" i="1" s="1"/>
  <c r="AK20" i="1" s="1"/>
  <c r="AH19" i="1"/>
  <c r="AJ19" i="1" s="1"/>
  <c r="AK19" i="1" s="1"/>
  <c r="AH18" i="1"/>
  <c r="AJ18" i="1" s="1"/>
  <c r="AK18" i="1" s="1"/>
  <c r="AH17" i="1"/>
  <c r="AJ17" i="1" s="1"/>
  <c r="AK17" i="1" s="1"/>
  <c r="AJ16" i="1"/>
  <c r="AK16" i="1" s="1"/>
  <c r="AH15" i="1"/>
  <c r="AJ15" i="1" s="1"/>
  <c r="AK15" i="1" s="1"/>
  <c r="AH14" i="1"/>
  <c r="AJ14" i="1" s="1"/>
  <c r="AK14" i="1" s="1"/>
  <c r="AH11" i="1"/>
  <c r="AJ11" i="1" s="1"/>
  <c r="AK11" i="1" s="1"/>
  <c r="AH10" i="1"/>
  <c r="AJ10" i="1" s="1"/>
  <c r="AK10" i="1" s="1"/>
  <c r="AH8" i="1"/>
  <c r="AJ8" i="1" s="1"/>
  <c r="AK8" i="1" s="1"/>
  <c r="AK7" i="1"/>
  <c r="AH6" i="1"/>
  <c r="AJ6" i="1" s="1"/>
  <c r="AK6" i="1" s="1"/>
  <c r="AH5" i="1"/>
  <c r="AJ5" i="1" s="1"/>
  <c r="AK5" i="1" s="1"/>
  <c r="AH3" i="1"/>
  <c r="AJ3" i="1" s="1"/>
  <c r="AK3" i="1" s="1"/>
  <c r="H24" i="14"/>
  <c r="H23" i="14"/>
  <c r="H22" i="14"/>
  <c r="H21" i="14"/>
  <c r="H20" i="14"/>
  <c r="H19" i="14"/>
  <c r="H18" i="14"/>
  <c r="H17" i="14"/>
  <c r="H16" i="14"/>
  <c r="H15" i="14"/>
  <c r="H14" i="14"/>
  <c r="H13" i="14"/>
  <c r="H12" i="14"/>
  <c r="H11" i="14"/>
  <c r="H10" i="14"/>
  <c r="A10" i="14"/>
  <c r="A11" i="14" s="1"/>
  <c r="A12" i="14" s="1"/>
  <c r="A13" i="14" s="1"/>
  <c r="A14" i="14" s="1"/>
  <c r="A15" i="14" s="1"/>
  <c r="A16" i="14" s="1"/>
  <c r="A17" i="14" s="1"/>
  <c r="A18" i="14" s="1"/>
  <c r="A19" i="14" s="1"/>
  <c r="A20" i="14" s="1"/>
  <c r="A21" i="14" s="1"/>
  <c r="A22" i="14" s="1"/>
  <c r="A23" i="14" s="1"/>
  <c r="A24" i="14" s="1"/>
  <c r="H9" i="14"/>
  <c r="AC59" i="1"/>
  <c r="AC50" i="1"/>
  <c r="AC8" i="1"/>
  <c r="AE31" i="1"/>
  <c r="AF31" i="1" s="1"/>
  <c r="AC71" i="1"/>
  <c r="AC33" i="1"/>
  <c r="E30" i="14" l="1"/>
  <c r="AC17" i="1"/>
  <c r="AE17" i="1" s="1"/>
  <c r="AF17" i="1" s="1"/>
  <c r="AE16" i="1"/>
  <c r="AF16" i="1" s="1"/>
  <c r="AC28" i="1"/>
  <c r="AE28" i="1" s="1"/>
  <c r="AF28" i="1" s="1"/>
  <c r="AE27" i="1"/>
  <c r="AF27" i="1" s="1"/>
  <c r="AE26" i="1"/>
  <c r="AF26" i="1" s="1"/>
  <c r="AE45" i="1"/>
  <c r="AF45" i="1" s="1"/>
  <c r="I45" i="1"/>
  <c r="K45" i="1" s="1"/>
  <c r="L45" i="1" s="1"/>
  <c r="AC14" i="1"/>
  <c r="AE36" i="1" l="1"/>
  <c r="AF36" i="1" s="1"/>
  <c r="AF77" i="1"/>
  <c r="AA77" i="1"/>
  <c r="V77" i="1"/>
  <c r="P77" i="1"/>
  <c r="Q77" i="1" s="1"/>
  <c r="L77" i="1"/>
  <c r="AC49" i="1" l="1"/>
  <c r="AE49" i="1" s="1"/>
  <c r="AF49" i="1" s="1"/>
  <c r="AC47" i="1"/>
  <c r="AE47" i="1" s="1"/>
  <c r="AF47" i="1" s="1"/>
  <c r="F47" i="1"/>
  <c r="G47" i="1" s="1"/>
  <c r="I47" i="1"/>
  <c r="K47" i="1" s="1"/>
  <c r="L47" i="1" s="1"/>
  <c r="N47" i="1"/>
  <c r="P47" i="1" s="1"/>
  <c r="Q47" i="1" s="1"/>
  <c r="S47" i="1"/>
  <c r="U47" i="1" s="1"/>
  <c r="V47" i="1" s="1"/>
  <c r="X47" i="1"/>
  <c r="Z47" i="1" s="1"/>
  <c r="AA47" i="1" s="1"/>
  <c r="AC82" i="1"/>
  <c r="AE82" i="1" s="1"/>
  <c r="AF82" i="1" s="1"/>
  <c r="AC81" i="1"/>
  <c r="AE81" i="1" s="1"/>
  <c r="AF81" i="1" s="1"/>
  <c r="AC80" i="1"/>
  <c r="AE80" i="1" s="1"/>
  <c r="AF80" i="1" s="1"/>
  <c r="AC79" i="1"/>
  <c r="AE79" i="1" s="1"/>
  <c r="AF79" i="1" s="1"/>
  <c r="AC78" i="1"/>
  <c r="AE78" i="1" s="1"/>
  <c r="AF78" i="1" s="1"/>
  <c r="AC76" i="1"/>
  <c r="AE76" i="1" s="1"/>
  <c r="AF76" i="1" s="1"/>
  <c r="AC74" i="1"/>
  <c r="AF74" i="1" s="1"/>
  <c r="AC73" i="1"/>
  <c r="AE73" i="1" s="1"/>
  <c r="AF73" i="1" s="1"/>
  <c r="AC72" i="1"/>
  <c r="AE72" i="1" s="1"/>
  <c r="AF72" i="1" s="1"/>
  <c r="AE71" i="1"/>
  <c r="AF71" i="1" s="1"/>
  <c r="AC68" i="1"/>
  <c r="AE68" i="1" s="1"/>
  <c r="AF68" i="1" s="1"/>
  <c r="AC66" i="1"/>
  <c r="AE66" i="1" s="1"/>
  <c r="AF66" i="1" s="1"/>
  <c r="AC65" i="1"/>
  <c r="AE65" i="1" s="1"/>
  <c r="AF65" i="1" s="1"/>
  <c r="AC64" i="1"/>
  <c r="AE64" i="1" s="1"/>
  <c r="AF64" i="1" s="1"/>
  <c r="AC63" i="1"/>
  <c r="AE63" i="1" s="1"/>
  <c r="AF63" i="1" s="1"/>
  <c r="AE62" i="1"/>
  <c r="AF62" i="1" s="1"/>
  <c r="AC61" i="1"/>
  <c r="AE61" i="1" s="1"/>
  <c r="AF61" i="1" s="1"/>
  <c r="AC60" i="1"/>
  <c r="AE60" i="1" s="1"/>
  <c r="AF60" i="1" s="1"/>
  <c r="AE59" i="1"/>
  <c r="AF59" i="1" s="1"/>
  <c r="AC57" i="1"/>
  <c r="AE57" i="1" s="1"/>
  <c r="AF57" i="1" s="1"/>
  <c r="AC56" i="1"/>
  <c r="AE56" i="1" s="1"/>
  <c r="AF56" i="1" s="1"/>
  <c r="AC55" i="1"/>
  <c r="AE55" i="1" s="1"/>
  <c r="AF55" i="1" s="1"/>
  <c r="AC54" i="1"/>
  <c r="AE54" i="1" s="1"/>
  <c r="AF54" i="1" s="1"/>
  <c r="AC53" i="1"/>
  <c r="AE53" i="1" s="1"/>
  <c r="AF53" i="1" s="1"/>
  <c r="AC51" i="1"/>
  <c r="AE51" i="1" s="1"/>
  <c r="AF51" i="1" s="1"/>
  <c r="AE50" i="1"/>
  <c r="AF50" i="1" s="1"/>
  <c r="AC46" i="1"/>
  <c r="AE46" i="1" s="1"/>
  <c r="AF46" i="1" s="1"/>
  <c r="AE43" i="1"/>
  <c r="AF43" i="1" s="1"/>
  <c r="AC42" i="1"/>
  <c r="AE42" i="1" s="1"/>
  <c r="AF42" i="1" s="1"/>
  <c r="AF41" i="1"/>
  <c r="AC41" i="1"/>
  <c r="AC40" i="1"/>
  <c r="AE40" i="1" s="1"/>
  <c r="AF40" i="1" s="1"/>
  <c r="AE39" i="1"/>
  <c r="AF39" i="1" s="1"/>
  <c r="AC38" i="1"/>
  <c r="AE38" i="1" s="1"/>
  <c r="AF38" i="1" s="1"/>
  <c r="AE37" i="1"/>
  <c r="AF37" i="1" s="1"/>
  <c r="AC35" i="1"/>
  <c r="AE35" i="1" s="1"/>
  <c r="AF35" i="1" s="1"/>
  <c r="AE33" i="1"/>
  <c r="AF33" i="1" s="1"/>
  <c r="AC32" i="1"/>
  <c r="AE32" i="1" s="1"/>
  <c r="AF32" i="1" s="1"/>
  <c r="AE30" i="1"/>
  <c r="AF30" i="1" s="1"/>
  <c r="AC25" i="1"/>
  <c r="AE25" i="1" s="1"/>
  <c r="AF25" i="1" s="1"/>
  <c r="AE22" i="1"/>
  <c r="AF22" i="1" s="1"/>
  <c r="AC21" i="1"/>
  <c r="AE21" i="1" s="1"/>
  <c r="AF21" i="1" s="1"/>
  <c r="AC20" i="1"/>
  <c r="AE20" i="1" s="1"/>
  <c r="AF20" i="1" s="1"/>
  <c r="AC19" i="1"/>
  <c r="AE19" i="1" s="1"/>
  <c r="AF19" i="1" s="1"/>
  <c r="AC18" i="1"/>
  <c r="AE18" i="1" s="1"/>
  <c r="AF18" i="1" s="1"/>
  <c r="AC15" i="1"/>
  <c r="AE15" i="1" s="1"/>
  <c r="AF15" i="1" s="1"/>
  <c r="AE14" i="1"/>
  <c r="AF14" i="1" s="1"/>
  <c r="AC11" i="1"/>
  <c r="AE11" i="1" s="1"/>
  <c r="AF11" i="1" s="1"/>
  <c r="AC10" i="1"/>
  <c r="AE10" i="1" s="1"/>
  <c r="AF10" i="1" s="1"/>
  <c r="AE8" i="1"/>
  <c r="AF8" i="1" s="1"/>
  <c r="AF7" i="1"/>
  <c r="AC6" i="1"/>
  <c r="AE6" i="1" s="1"/>
  <c r="AF6" i="1" s="1"/>
  <c r="AC5" i="1"/>
  <c r="AE5" i="1" s="1"/>
  <c r="AF5" i="1" s="1"/>
  <c r="AE4" i="1"/>
  <c r="AF4" i="1" s="1"/>
  <c r="AC3" i="1"/>
  <c r="AE3" i="1" s="1"/>
  <c r="AF3" i="1" s="1"/>
  <c r="H23" i="13"/>
  <c r="H22" i="13"/>
  <c r="H21" i="13"/>
  <c r="H20" i="13"/>
  <c r="H19" i="13"/>
  <c r="H18" i="13"/>
  <c r="H17" i="13"/>
  <c r="H16" i="13"/>
  <c r="H15" i="13"/>
  <c r="H14" i="13"/>
  <c r="H13" i="13"/>
  <c r="H12" i="13"/>
  <c r="H11" i="13"/>
  <c r="H10" i="13"/>
  <c r="A10" i="13"/>
  <c r="A11" i="13" s="1"/>
  <c r="A12" i="13" s="1"/>
  <c r="A13" i="13" s="1"/>
  <c r="A14" i="13" s="1"/>
  <c r="A15" i="13" s="1"/>
  <c r="A16" i="13" s="1"/>
  <c r="A17" i="13" s="1"/>
  <c r="A18" i="13" s="1"/>
  <c r="A19" i="13" s="1"/>
  <c r="A20" i="13" s="1"/>
  <c r="A21" i="13" s="1"/>
  <c r="A22" i="13" s="1"/>
  <c r="A23" i="13" s="1"/>
  <c r="H9" i="13"/>
  <c r="H21" i="12"/>
  <c r="H20" i="12"/>
  <c r="H19" i="12"/>
  <c r="H18" i="12"/>
  <c r="H17" i="12"/>
  <c r="H16" i="12"/>
  <c r="H15" i="12"/>
  <c r="H14" i="12"/>
  <c r="H13" i="12"/>
  <c r="H12" i="12"/>
  <c r="H11" i="12"/>
  <c r="H10" i="12"/>
  <c r="A10" i="12"/>
  <c r="A11" i="12" s="1"/>
  <c r="A12" i="12" s="1"/>
  <c r="A13" i="12" s="1"/>
  <c r="A14" i="12" s="1"/>
  <c r="A15" i="12" s="1"/>
  <c r="A16" i="12" s="1"/>
  <c r="A17" i="12" s="1"/>
  <c r="A18" i="12" s="1"/>
  <c r="A19" i="12" s="1"/>
  <c r="A20" i="12" s="1"/>
  <c r="A21" i="12" s="1"/>
  <c r="H9" i="12"/>
  <c r="H23" i="11"/>
  <c r="H22" i="11"/>
  <c r="H21" i="11"/>
  <c r="H20" i="11"/>
  <c r="H19" i="11"/>
  <c r="H18" i="11"/>
  <c r="H17" i="11"/>
  <c r="H16" i="11"/>
  <c r="H15" i="11"/>
  <c r="H14" i="11"/>
  <c r="H13" i="11"/>
  <c r="H12" i="11"/>
  <c r="H11" i="11"/>
  <c r="H10" i="11"/>
  <c r="A10" i="11"/>
  <c r="A11" i="11" s="1"/>
  <c r="A12" i="11" s="1"/>
  <c r="A13" i="11" s="1"/>
  <c r="A14" i="11" s="1"/>
  <c r="A15" i="11" s="1"/>
  <c r="A16" i="11" s="1"/>
  <c r="A17" i="11" s="1"/>
  <c r="A18" i="11" s="1"/>
  <c r="A19" i="11" s="1"/>
  <c r="A20" i="11" s="1"/>
  <c r="A21" i="11" s="1"/>
  <c r="A22" i="11" s="1"/>
  <c r="A23" i="11" s="1"/>
  <c r="H9" i="11"/>
  <c r="E29" i="13" l="1"/>
  <c r="E29" i="12"/>
  <c r="E29" i="11"/>
  <c r="A10" i="10" l="1"/>
  <c r="A11" i="10" s="1"/>
  <c r="A12" i="10" s="1"/>
  <c r="A13" i="10" s="1"/>
  <c r="A14" i="10" s="1"/>
  <c r="A15" i="10" s="1"/>
  <c r="A16" i="10" s="1"/>
  <c r="A17" i="10" s="1"/>
  <c r="A18" i="10" s="1"/>
  <c r="A19" i="10" s="1"/>
  <c r="A20" i="10" s="1"/>
  <c r="A21" i="10" s="1"/>
  <c r="A22" i="10" s="1"/>
  <c r="A23" i="10" s="1"/>
  <c r="A24" i="10" s="1"/>
  <c r="H24" i="10"/>
  <c r="H23" i="10"/>
  <c r="H22" i="10"/>
  <c r="H21" i="10"/>
  <c r="H20" i="10"/>
  <c r="H19" i="10"/>
  <c r="H18" i="10"/>
  <c r="H17" i="10"/>
  <c r="H16" i="10"/>
  <c r="H15" i="10"/>
  <c r="H14" i="10"/>
  <c r="H13" i="10"/>
  <c r="H12" i="10"/>
  <c r="H11" i="10"/>
  <c r="H10" i="10"/>
  <c r="H9" i="10"/>
  <c r="H23" i="9"/>
  <c r="H22" i="9"/>
  <c r="H21" i="9"/>
  <c r="H20" i="9"/>
  <c r="H19" i="9"/>
  <c r="H18" i="9"/>
  <c r="H17" i="9"/>
  <c r="H16" i="9"/>
  <c r="H15" i="9"/>
  <c r="H14" i="9"/>
  <c r="H13" i="9"/>
  <c r="H12" i="9"/>
  <c r="H11" i="9"/>
  <c r="H10" i="9"/>
  <c r="H9" i="9"/>
  <c r="L9" i="7"/>
  <c r="L10" i="7" s="1"/>
  <c r="K11" i="7" s="1"/>
  <c r="H24" i="8"/>
  <c r="H23" i="8"/>
  <c r="H22" i="8"/>
  <c r="H21" i="8"/>
  <c r="H20" i="8"/>
  <c r="H19" i="8"/>
  <c r="H18" i="8"/>
  <c r="H17" i="8"/>
  <c r="H16" i="8"/>
  <c r="H15" i="8"/>
  <c r="H14" i="8"/>
  <c r="H13" i="8"/>
  <c r="H12" i="8"/>
  <c r="H11" i="8"/>
  <c r="H10" i="8"/>
  <c r="H9" i="8"/>
  <c r="H23" i="7"/>
  <c r="H22" i="7"/>
  <c r="H21" i="7"/>
  <c r="H20" i="7"/>
  <c r="H19" i="7"/>
  <c r="H18" i="7"/>
  <c r="H17" i="7"/>
  <c r="H16" i="7"/>
  <c r="H15" i="7"/>
  <c r="H14" i="7"/>
  <c r="H13" i="7"/>
  <c r="H12" i="7"/>
  <c r="H11" i="7"/>
  <c r="H10" i="7"/>
  <c r="K9" i="7"/>
  <c r="E26" i="7" s="1"/>
  <c r="H9" i="7"/>
  <c r="X74" i="1"/>
  <c r="A29" i="2"/>
  <c r="Z71" i="1"/>
  <c r="AA71" i="1" s="1"/>
  <c r="S71" i="1"/>
  <c r="U71" i="1" s="1"/>
  <c r="V71" i="1" s="1"/>
  <c r="N71" i="1"/>
  <c r="P71" i="1" s="1"/>
  <c r="Q71" i="1" s="1"/>
  <c r="I71" i="1"/>
  <c r="K71" i="1" s="1"/>
  <c r="L71" i="1" s="1"/>
  <c r="E29" i="8" l="1"/>
  <c r="E29" i="10"/>
  <c r="E29" i="9"/>
  <c r="K10" i="7"/>
  <c r="M10" i="7" s="1"/>
  <c r="I10" i="7" s="1"/>
  <c r="L11" i="7"/>
  <c r="M9" i="7"/>
  <c r="I9" i="7" s="1"/>
  <c r="E29" i="7"/>
  <c r="Z49" i="1"/>
  <c r="AA49" i="1" s="1"/>
  <c r="S49" i="1"/>
  <c r="U49" i="1" s="1"/>
  <c r="V49" i="1" s="1"/>
  <c r="N49" i="1"/>
  <c r="P49" i="1" s="1"/>
  <c r="Q49" i="1" s="1"/>
  <c r="I49" i="1"/>
  <c r="K49" i="1" s="1"/>
  <c r="L49" i="1" s="1"/>
  <c r="X50" i="1"/>
  <c r="S31" i="1"/>
  <c r="U31" i="1" s="1"/>
  <c r="V31" i="1" s="1"/>
  <c r="P31" i="1"/>
  <c r="Q31" i="1" s="1"/>
  <c r="X62" i="1"/>
  <c r="Z14" i="1"/>
  <c r="AA14" i="1" s="1"/>
  <c r="S14" i="1"/>
  <c r="U14" i="1" s="1"/>
  <c r="V14" i="1" s="1"/>
  <c r="N14" i="1"/>
  <c r="P14" i="1" s="1"/>
  <c r="Q14" i="1" s="1"/>
  <c r="I14" i="1"/>
  <c r="K14" i="1" s="1"/>
  <c r="L14" i="1" s="1"/>
  <c r="K15" i="1"/>
  <c r="L15" i="1" s="1"/>
  <c r="N15" i="1"/>
  <c r="P15" i="1" s="1"/>
  <c r="Q15" i="1" s="1"/>
  <c r="S15" i="1"/>
  <c r="U15" i="1" s="1"/>
  <c r="V15" i="1" s="1"/>
  <c r="X15" i="1"/>
  <c r="Z15" i="1" s="1"/>
  <c r="AA15" i="1" s="1"/>
  <c r="X10" i="1"/>
  <c r="X68" i="1"/>
  <c r="Z68" i="1" s="1"/>
  <c r="AA68" i="1" s="1"/>
  <c r="X41" i="1"/>
  <c r="V59" i="1"/>
  <c r="Q59" i="1"/>
  <c r="Z8" i="1"/>
  <c r="AA8" i="1" s="1"/>
  <c r="X51" i="1"/>
  <c r="Z51" i="1" s="1"/>
  <c r="AA51" i="1" s="1"/>
  <c r="L12" i="7" l="1"/>
  <c r="K12" i="7"/>
  <c r="M11" i="7"/>
  <c r="I11" i="7" s="1"/>
  <c r="J9" i="7"/>
  <c r="J10" i="7" s="1"/>
  <c r="V43" i="1"/>
  <c r="X82" i="1"/>
  <c r="Z82" i="1" s="1"/>
  <c r="AA82" i="1" s="1"/>
  <c r="X81" i="1"/>
  <c r="Z81" i="1" s="1"/>
  <c r="AA81" i="1" s="1"/>
  <c r="X80" i="1"/>
  <c r="Z80" i="1" s="1"/>
  <c r="AA80" i="1" s="1"/>
  <c r="X79" i="1"/>
  <c r="Z79" i="1" s="1"/>
  <c r="AA79" i="1" s="1"/>
  <c r="X78" i="1"/>
  <c r="Z78" i="1" s="1"/>
  <c r="AA78" i="1" s="1"/>
  <c r="X76" i="1"/>
  <c r="Z76" i="1" s="1"/>
  <c r="AA76" i="1" s="1"/>
  <c r="Z74" i="1"/>
  <c r="AA74" i="1" s="1"/>
  <c r="X73" i="1"/>
  <c r="Z73" i="1" s="1"/>
  <c r="AA73" i="1" s="1"/>
  <c r="X72" i="1"/>
  <c r="Z72" i="1" s="1"/>
  <c r="AA72" i="1" s="1"/>
  <c r="X66" i="1"/>
  <c r="Z66" i="1" s="1"/>
  <c r="AA66" i="1" s="1"/>
  <c r="X65" i="1"/>
  <c r="Z65" i="1" s="1"/>
  <c r="AA65" i="1" s="1"/>
  <c r="X64" i="1"/>
  <c r="Z64" i="1" s="1"/>
  <c r="AA64" i="1" s="1"/>
  <c r="X63" i="1"/>
  <c r="Z63" i="1" s="1"/>
  <c r="AA63" i="1" s="1"/>
  <c r="Z62" i="1"/>
  <c r="AA62" i="1" s="1"/>
  <c r="X61" i="1"/>
  <c r="Z61" i="1" s="1"/>
  <c r="AA61" i="1" s="1"/>
  <c r="X60" i="1"/>
  <c r="Z60" i="1" s="1"/>
  <c r="AA60" i="1" s="1"/>
  <c r="Z59" i="1"/>
  <c r="AA59" i="1" s="1"/>
  <c r="X57" i="1"/>
  <c r="Z57" i="1" s="1"/>
  <c r="AA57" i="1" s="1"/>
  <c r="X56" i="1"/>
  <c r="Z56" i="1" s="1"/>
  <c r="AA56" i="1" s="1"/>
  <c r="X55" i="1"/>
  <c r="Z55" i="1" s="1"/>
  <c r="AA55" i="1" s="1"/>
  <c r="X54" i="1"/>
  <c r="Z54" i="1" s="1"/>
  <c r="AA54" i="1" s="1"/>
  <c r="X53" i="1"/>
  <c r="Z53" i="1" s="1"/>
  <c r="AA53" i="1" s="1"/>
  <c r="Z50" i="1"/>
  <c r="AA50" i="1" s="1"/>
  <c r="X46" i="1"/>
  <c r="Z46" i="1" s="1"/>
  <c r="AA46" i="1" s="1"/>
  <c r="Z43" i="1"/>
  <c r="AA43" i="1" s="1"/>
  <c r="X42" i="1"/>
  <c r="Z42" i="1" s="1"/>
  <c r="AA42" i="1" s="1"/>
  <c r="AA41" i="1"/>
  <c r="X40" i="1"/>
  <c r="Z40" i="1" s="1"/>
  <c r="AA40" i="1" s="1"/>
  <c r="X39" i="1"/>
  <c r="Z39" i="1" s="1"/>
  <c r="AA39" i="1" s="1"/>
  <c r="X38" i="1"/>
  <c r="Z38" i="1" s="1"/>
  <c r="AA38" i="1" s="1"/>
  <c r="Z37" i="1"/>
  <c r="AA37" i="1" s="1"/>
  <c r="X35" i="1"/>
  <c r="Z35" i="1" s="1"/>
  <c r="AA35" i="1" s="1"/>
  <c r="X33" i="1"/>
  <c r="Z33" i="1" s="1"/>
  <c r="AA33" i="1" s="1"/>
  <c r="X32" i="1"/>
  <c r="Z32" i="1" s="1"/>
  <c r="AA32" i="1" s="1"/>
  <c r="X25" i="1"/>
  <c r="Z25" i="1" s="1"/>
  <c r="AA25" i="1" s="1"/>
  <c r="X22" i="1"/>
  <c r="Z22" i="1" s="1"/>
  <c r="AA22" i="1" s="1"/>
  <c r="X21" i="1"/>
  <c r="Z21" i="1" s="1"/>
  <c r="AA21" i="1" s="1"/>
  <c r="X20" i="1"/>
  <c r="Z20" i="1" s="1"/>
  <c r="X19" i="1"/>
  <c r="Z19" i="1" s="1"/>
  <c r="AA19" i="1" s="1"/>
  <c r="X18" i="1"/>
  <c r="Z18" i="1" s="1"/>
  <c r="AA18" i="1" s="1"/>
  <c r="X17" i="1"/>
  <c r="Z17" i="1" s="1"/>
  <c r="AA17" i="1" s="1"/>
  <c r="X16" i="1"/>
  <c r="Z16" i="1" s="1"/>
  <c r="AA16" i="1" s="1"/>
  <c r="X11" i="1"/>
  <c r="Z11" i="1" s="1"/>
  <c r="AA11" i="1" s="1"/>
  <c r="Z10" i="1"/>
  <c r="AA10" i="1" s="1"/>
  <c r="AA7" i="1"/>
  <c r="X6" i="1"/>
  <c r="Z6" i="1" s="1"/>
  <c r="AA6" i="1" s="1"/>
  <c r="X5" i="1"/>
  <c r="Z5" i="1" s="1"/>
  <c r="AA5" i="1" s="1"/>
  <c r="X4" i="1"/>
  <c r="Z4" i="1" s="1"/>
  <c r="AA4" i="1" s="1"/>
  <c r="X3" i="1"/>
  <c r="Z3" i="1" s="1"/>
  <c r="AA3" i="1" s="1"/>
  <c r="P75" i="1"/>
  <c r="Q75" i="1" s="1"/>
  <c r="S73" i="1"/>
  <c r="N73" i="1"/>
  <c r="S17" i="1"/>
  <c r="U17" i="1" s="1"/>
  <c r="V17" i="1" s="1"/>
  <c r="S13" i="1"/>
  <c r="U13" i="1" s="1"/>
  <c r="V13" i="1" s="1"/>
  <c r="P13" i="1"/>
  <c r="Q13" i="1" s="1"/>
  <c r="S16" i="1"/>
  <c r="S35" i="1"/>
  <c r="J11" i="7" l="1"/>
  <c r="L13" i="7"/>
  <c r="K13" i="7"/>
  <c r="M12" i="7"/>
  <c r="I12" i="7" s="1"/>
  <c r="Z30" i="1"/>
  <c r="AA30" i="1" s="1"/>
  <c r="S53" i="1"/>
  <c r="P78" i="1"/>
  <c r="Q78" i="1" s="1"/>
  <c r="S78" i="1"/>
  <c r="J12" i="7" l="1"/>
  <c r="L14" i="7"/>
  <c r="K14" i="7"/>
  <c r="M13" i="7"/>
  <c r="I13" i="7" s="1"/>
  <c r="U37" i="1"/>
  <c r="V37" i="1" s="1"/>
  <c r="K19" i="5"/>
  <c r="M19" i="5" s="1"/>
  <c r="I19" i="5" s="1"/>
  <c r="E31" i="5"/>
  <c r="E27" i="5"/>
  <c r="K23" i="5"/>
  <c r="M23" i="5" s="1"/>
  <c r="I23" i="5" s="1"/>
  <c r="H23" i="5"/>
  <c r="K22" i="5"/>
  <c r="M22" i="5" s="1"/>
  <c r="I22" i="5" s="1"/>
  <c r="H22" i="5"/>
  <c r="K21" i="5"/>
  <c r="M21" i="5" s="1"/>
  <c r="I21" i="5" s="1"/>
  <c r="H21" i="5"/>
  <c r="K20" i="5"/>
  <c r="M20" i="5" s="1"/>
  <c r="I20" i="5" s="1"/>
  <c r="H20" i="5"/>
  <c r="H19" i="5"/>
  <c r="K18" i="5"/>
  <c r="M18" i="5" s="1"/>
  <c r="I18" i="5" s="1"/>
  <c r="H18" i="5"/>
  <c r="K17" i="5"/>
  <c r="M17" i="5" s="1"/>
  <c r="I17" i="5" s="1"/>
  <c r="H17" i="5"/>
  <c r="K16" i="5"/>
  <c r="M16" i="5" s="1"/>
  <c r="I16" i="5" s="1"/>
  <c r="H16" i="5"/>
  <c r="K15" i="5"/>
  <c r="M15" i="5" s="1"/>
  <c r="I15" i="5" s="1"/>
  <c r="H15" i="5"/>
  <c r="K14" i="5"/>
  <c r="M14" i="5" s="1"/>
  <c r="I14" i="5" s="1"/>
  <c r="H14" i="5"/>
  <c r="K13" i="5"/>
  <c r="M13" i="5" s="1"/>
  <c r="I13" i="5" s="1"/>
  <c r="H13" i="5"/>
  <c r="K12" i="5"/>
  <c r="M12" i="5" s="1"/>
  <c r="I12" i="5" s="1"/>
  <c r="H12" i="5"/>
  <c r="K11" i="5"/>
  <c r="M11" i="5" s="1"/>
  <c r="I11" i="5" s="1"/>
  <c r="H11" i="5"/>
  <c r="K10" i="5"/>
  <c r="M10" i="5" s="1"/>
  <c r="I10" i="5" s="1"/>
  <c r="H10" i="5"/>
  <c r="K9" i="5"/>
  <c r="E26" i="5" s="1"/>
  <c r="H9" i="5"/>
  <c r="I9" i="3"/>
  <c r="I10" i="3" s="1"/>
  <c r="I11" i="3" s="1"/>
  <c r="I12" i="3" s="1"/>
  <c r="I13" i="3" s="1"/>
  <c r="I14" i="3" s="1"/>
  <c r="I15" i="3" s="1"/>
  <c r="I16" i="3" s="1"/>
  <c r="I17" i="3" s="1"/>
  <c r="I18" i="3" s="1"/>
  <c r="I19" i="3" s="1"/>
  <c r="I20" i="3" s="1"/>
  <c r="I21" i="3" s="1"/>
  <c r="I22" i="3" s="1"/>
  <c r="U10" i="1"/>
  <c r="V10" i="1" s="1"/>
  <c r="S30" i="1"/>
  <c r="T30" i="1" s="1"/>
  <c r="U30" i="1" s="1"/>
  <c r="V30" i="1" s="1"/>
  <c r="N30" i="1"/>
  <c r="P30" i="1" s="1"/>
  <c r="Q30" i="1" s="1"/>
  <c r="J13" i="7" l="1"/>
  <c r="E27" i="15"/>
  <c r="L15" i="7"/>
  <c r="K15" i="7"/>
  <c r="M14" i="7"/>
  <c r="I14" i="7" s="1"/>
  <c r="E28" i="5"/>
  <c r="M9" i="5"/>
  <c r="I9" i="5" s="1"/>
  <c r="J9" i="5" s="1"/>
  <c r="J10" i="5" s="1"/>
  <c r="J11" i="5" s="1"/>
  <c r="J12" i="5" s="1"/>
  <c r="J13" i="5" s="1"/>
  <c r="J14" i="5" s="1"/>
  <c r="J15" i="5" s="1"/>
  <c r="J16" i="5" s="1"/>
  <c r="J17" i="5" s="1"/>
  <c r="J18" i="5" s="1"/>
  <c r="J19" i="5" s="1"/>
  <c r="J20" i="5" s="1"/>
  <c r="J21" i="5" s="1"/>
  <c r="J22" i="5" s="1"/>
  <c r="J23" i="5" s="1"/>
  <c r="E32" i="5" s="1"/>
  <c r="E29" i="5"/>
  <c r="S65" i="1"/>
  <c r="U65" i="1" s="1"/>
  <c r="V65" i="1" s="1"/>
  <c r="V8" i="1"/>
  <c r="V7" i="1"/>
  <c r="A4" i="1"/>
  <c r="A5" i="1" s="1"/>
  <c r="A6" i="1" s="1"/>
  <c r="A7" i="1" s="1"/>
  <c r="A8" i="1" s="1"/>
  <c r="A9" i="1" s="1"/>
  <c r="A10" i="1" s="1"/>
  <c r="A11" i="1" s="1"/>
  <c r="P65" i="1"/>
  <c r="Q65" i="1" s="1"/>
  <c r="K65" i="1"/>
  <c r="L65" i="1" s="1"/>
  <c r="Q8" i="1"/>
  <c r="L8" i="1"/>
  <c r="Q7" i="1"/>
  <c r="L7" i="1"/>
  <c r="S4" i="1"/>
  <c r="U4" i="1" s="1"/>
  <c r="V4" i="1" s="1"/>
  <c r="J14" i="7" l="1"/>
  <c r="L16" i="7"/>
  <c r="M15" i="7"/>
  <c r="I15" i="7" s="1"/>
  <c r="J15" i="7" s="1"/>
  <c r="K16" i="7"/>
  <c r="A12" i="1"/>
  <c r="A13" i="1"/>
  <c r="A14" i="1" s="1"/>
  <c r="E30" i="5"/>
  <c r="L17" i="7" l="1"/>
  <c r="K17" i="7"/>
  <c r="M16" i="7"/>
  <c r="I16" i="7" s="1"/>
  <c r="J16" i="7" s="1"/>
  <c r="A15" i="1"/>
  <c r="A16" i="1" s="1"/>
  <c r="A18" i="1" s="1"/>
  <c r="A19" i="1" s="1"/>
  <c r="A20" i="1" s="1"/>
  <c r="A21" i="1" s="1"/>
  <c r="A22" i="1" s="1"/>
  <c r="A23" i="1" s="1"/>
  <c r="A24" i="1" s="1"/>
  <c r="A25" i="1" s="1"/>
  <c r="A30" i="1" s="1"/>
  <c r="A32" i="1" s="1"/>
  <c r="A33" i="1" s="1"/>
  <c r="A34" i="1" s="1"/>
  <c r="A35" i="1" s="1"/>
  <c r="A37" i="1" s="1"/>
  <c r="A38" i="1" s="1"/>
  <c r="A39" i="1" s="1"/>
  <c r="A40" i="1" s="1"/>
  <c r="A41" i="1" s="1"/>
  <c r="A42" i="1" s="1"/>
  <c r="A43" i="1" s="1"/>
  <c r="S54" i="1"/>
  <c r="U54" i="1" s="1"/>
  <c r="V54" i="1" s="1"/>
  <c r="N37" i="1"/>
  <c r="P37" i="1" s="1"/>
  <c r="Q37" i="1" s="1"/>
  <c r="S82" i="1"/>
  <c r="U82" i="1" s="1"/>
  <c r="V82" i="1" s="1"/>
  <c r="S81" i="1"/>
  <c r="U81" i="1" s="1"/>
  <c r="V81" i="1" s="1"/>
  <c r="S80" i="1"/>
  <c r="U80" i="1" s="1"/>
  <c r="V80" i="1" s="1"/>
  <c r="S79" i="1"/>
  <c r="U79" i="1" s="1"/>
  <c r="V79" i="1" s="1"/>
  <c r="U78" i="1"/>
  <c r="V78" i="1" s="1"/>
  <c r="S76" i="1"/>
  <c r="U76" i="1" s="1"/>
  <c r="V76" i="1" s="1"/>
  <c r="U74" i="1"/>
  <c r="V74" i="1" s="1"/>
  <c r="U73" i="1"/>
  <c r="V73" i="1" s="1"/>
  <c r="S72" i="1"/>
  <c r="U72" i="1" s="1"/>
  <c r="V72" i="1" s="1"/>
  <c r="S70" i="1"/>
  <c r="U70" i="1" s="1"/>
  <c r="V70" i="1" s="1"/>
  <c r="S67" i="1"/>
  <c r="U67" i="1" s="1"/>
  <c r="V67" i="1" s="1"/>
  <c r="S66" i="1"/>
  <c r="U66" i="1" s="1"/>
  <c r="V66" i="1" s="1"/>
  <c r="S64" i="1"/>
  <c r="U64" i="1" s="1"/>
  <c r="V64" i="1" s="1"/>
  <c r="S63" i="1"/>
  <c r="U63" i="1" s="1"/>
  <c r="V63" i="1" s="1"/>
  <c r="S62" i="1"/>
  <c r="U62" i="1" s="1"/>
  <c r="V62" i="1" s="1"/>
  <c r="S61" i="1"/>
  <c r="U61" i="1" s="1"/>
  <c r="V61" i="1" s="1"/>
  <c r="S60" i="1"/>
  <c r="U60" i="1" s="1"/>
  <c r="V60" i="1" s="1"/>
  <c r="S57" i="1"/>
  <c r="U57" i="1" s="1"/>
  <c r="V57" i="1" s="1"/>
  <c r="S56" i="1"/>
  <c r="U56" i="1" s="1"/>
  <c r="V56" i="1" s="1"/>
  <c r="S55" i="1"/>
  <c r="U55" i="1" s="1"/>
  <c r="V55" i="1" s="1"/>
  <c r="U53" i="1"/>
  <c r="V53" i="1" s="1"/>
  <c r="U50" i="1"/>
  <c r="V50" i="1" s="1"/>
  <c r="S48" i="1"/>
  <c r="U48" i="1" s="1"/>
  <c r="V48" i="1" s="1"/>
  <c r="S46" i="1"/>
  <c r="U46" i="1" s="1"/>
  <c r="V46" i="1" s="1"/>
  <c r="S42" i="1"/>
  <c r="U42" i="1" s="1"/>
  <c r="V42" i="1" s="1"/>
  <c r="V41" i="1"/>
  <c r="S40" i="1"/>
  <c r="U40" i="1" s="1"/>
  <c r="V40" i="1" s="1"/>
  <c r="S39" i="1"/>
  <c r="U39" i="1" s="1"/>
  <c r="V39" i="1" s="1"/>
  <c r="S38" i="1"/>
  <c r="U38" i="1" s="1"/>
  <c r="V38" i="1" s="1"/>
  <c r="U35" i="1"/>
  <c r="V35" i="1" s="1"/>
  <c r="S33" i="1"/>
  <c r="U33" i="1" s="1"/>
  <c r="V33" i="1" s="1"/>
  <c r="S32" i="1"/>
  <c r="U32" i="1" s="1"/>
  <c r="V32" i="1" s="1"/>
  <c r="S25" i="1"/>
  <c r="U25" i="1" s="1"/>
  <c r="V25" i="1" s="1"/>
  <c r="S22" i="1"/>
  <c r="U22" i="1" s="1"/>
  <c r="V22" i="1" s="1"/>
  <c r="S21" i="1"/>
  <c r="U21" i="1" s="1"/>
  <c r="V21" i="1" s="1"/>
  <c r="S20" i="1"/>
  <c r="U20" i="1" s="1"/>
  <c r="V20" i="1" s="1"/>
  <c r="S19" i="1"/>
  <c r="U19" i="1" s="1"/>
  <c r="V19" i="1" s="1"/>
  <c r="S18" i="1"/>
  <c r="U18" i="1" s="1"/>
  <c r="V18" i="1" s="1"/>
  <c r="U16" i="1"/>
  <c r="V16" i="1" s="1"/>
  <c r="S11" i="1"/>
  <c r="U11" i="1" s="1"/>
  <c r="V11" i="1" s="1"/>
  <c r="S6" i="1"/>
  <c r="U6" i="1" s="1"/>
  <c r="V6" i="1" s="1"/>
  <c r="S5" i="1"/>
  <c r="U5" i="1" s="1"/>
  <c r="V5" i="1" s="1"/>
  <c r="S3" i="1"/>
  <c r="U3" i="1" s="1"/>
  <c r="V3" i="1" s="1"/>
  <c r="N64" i="1"/>
  <c r="P64" i="1" s="1"/>
  <c r="Q64" i="1" s="1"/>
  <c r="N39" i="1"/>
  <c r="P39" i="1" s="1"/>
  <c r="Q39" i="1" s="1"/>
  <c r="N33" i="1"/>
  <c r="P33" i="1" s="1"/>
  <c r="Q33" i="1" s="1"/>
  <c r="P16" i="1"/>
  <c r="Q16" i="1" s="1"/>
  <c r="N60" i="1"/>
  <c r="P60" i="1" s="1"/>
  <c r="Q60" i="1" s="1"/>
  <c r="N22" i="1"/>
  <c r="P22" i="1" s="1"/>
  <c r="Q22" i="1" s="1"/>
  <c r="N21" i="1"/>
  <c r="P21" i="1" s="1"/>
  <c r="Q21" i="1" s="1"/>
  <c r="N25" i="1"/>
  <c r="P25" i="1" s="1"/>
  <c r="Q25" i="1" s="1"/>
  <c r="N62" i="1"/>
  <c r="P62" i="1" s="1"/>
  <c r="Q62" i="1" s="1"/>
  <c r="N63" i="1"/>
  <c r="P63" i="1" s="1"/>
  <c r="Q63" i="1" s="1"/>
  <c r="P43" i="1"/>
  <c r="Q43" i="1" s="1"/>
  <c r="P53" i="1"/>
  <c r="Q53" i="1" s="1"/>
  <c r="N52" i="1"/>
  <c r="P52" i="1" s="1"/>
  <c r="Q52" i="1" s="1"/>
  <c r="N82" i="1"/>
  <c r="P82" i="1" s="1"/>
  <c r="Q82" i="1" s="1"/>
  <c r="N81" i="1"/>
  <c r="P81" i="1" s="1"/>
  <c r="Q81" i="1" s="1"/>
  <c r="N80" i="1"/>
  <c r="P80" i="1" s="1"/>
  <c r="Q80" i="1" s="1"/>
  <c r="N79" i="1"/>
  <c r="P79" i="1" s="1"/>
  <c r="Q79" i="1" s="1"/>
  <c r="N76" i="1"/>
  <c r="P76" i="1" s="1"/>
  <c r="Q76" i="1" s="1"/>
  <c r="N72" i="1"/>
  <c r="P72" i="1" s="1"/>
  <c r="Q72" i="1" s="1"/>
  <c r="N70" i="1"/>
  <c r="P70" i="1" s="1"/>
  <c r="Q70" i="1" s="1"/>
  <c r="N67" i="1"/>
  <c r="P67" i="1" s="1"/>
  <c r="Q67" i="1" s="1"/>
  <c r="N66" i="1"/>
  <c r="P66" i="1" s="1"/>
  <c r="Q66" i="1" s="1"/>
  <c r="N61" i="1"/>
  <c r="P61" i="1" s="1"/>
  <c r="Q61" i="1" s="1"/>
  <c r="N57" i="1"/>
  <c r="P57" i="1" s="1"/>
  <c r="Q57" i="1" s="1"/>
  <c r="N56" i="1"/>
  <c r="P56" i="1" s="1"/>
  <c r="Q56" i="1" s="1"/>
  <c r="N55" i="1"/>
  <c r="P55" i="1" s="1"/>
  <c r="Q55" i="1" s="1"/>
  <c r="P54" i="1"/>
  <c r="Q54" i="1" s="1"/>
  <c r="N48" i="1"/>
  <c r="P48" i="1" s="1"/>
  <c r="Q48" i="1" s="1"/>
  <c r="N46" i="1"/>
  <c r="P46" i="1" s="1"/>
  <c r="Q46" i="1" s="1"/>
  <c r="N42" i="1"/>
  <c r="P42" i="1" s="1"/>
  <c r="Q42" i="1" s="1"/>
  <c r="N40" i="1"/>
  <c r="P40" i="1" s="1"/>
  <c r="Q40" i="1" s="1"/>
  <c r="N38" i="1"/>
  <c r="P38" i="1" s="1"/>
  <c r="Q38" i="1" s="1"/>
  <c r="N35" i="1"/>
  <c r="P35" i="1" s="1"/>
  <c r="Q35" i="1" s="1"/>
  <c r="N32" i="1"/>
  <c r="P32" i="1" s="1"/>
  <c r="Q32" i="1" s="1"/>
  <c r="N20" i="1"/>
  <c r="P20" i="1" s="1"/>
  <c r="Q20" i="1" s="1"/>
  <c r="N19" i="1"/>
  <c r="P19" i="1" s="1"/>
  <c r="Q19" i="1" s="1"/>
  <c r="N18" i="1"/>
  <c r="P18" i="1" s="1"/>
  <c r="Q18" i="1" s="1"/>
  <c r="N12" i="1"/>
  <c r="P12" i="1" s="1"/>
  <c r="Q12" i="1" s="1"/>
  <c r="N11" i="1"/>
  <c r="P11" i="1" s="1"/>
  <c r="Q11" i="1" s="1"/>
  <c r="N9" i="1"/>
  <c r="P9" i="1" s="1"/>
  <c r="Q9" i="1" s="1"/>
  <c r="N6" i="1"/>
  <c r="P6" i="1" s="1"/>
  <c r="Q6" i="1" s="1"/>
  <c r="N5" i="1"/>
  <c r="P5" i="1" s="1"/>
  <c r="Q5" i="1" s="1"/>
  <c r="N3" i="1"/>
  <c r="P3" i="1" s="1"/>
  <c r="Q3" i="1" s="1"/>
  <c r="P74" i="1"/>
  <c r="Q74" i="1" s="1"/>
  <c r="P73" i="1"/>
  <c r="Q73" i="1" s="1"/>
  <c r="P50" i="1"/>
  <c r="Q50" i="1" s="1"/>
  <c r="Q41" i="1"/>
  <c r="Q4" i="1"/>
  <c r="K62" i="1"/>
  <c r="L62" i="1" s="1"/>
  <c r="A44" i="1" l="1"/>
  <c r="A46" i="1" s="1"/>
  <c r="A47" i="1" s="1"/>
  <c r="A48" i="1" s="1"/>
  <c r="A50" i="1" s="1"/>
  <c r="A45" i="1"/>
  <c r="L18" i="7"/>
  <c r="K18" i="7"/>
  <c r="M17" i="7"/>
  <c r="I17" i="7" s="1"/>
  <c r="J17" i="7" s="1"/>
  <c r="I11" i="1"/>
  <c r="K11" i="1" s="1"/>
  <c r="L11" i="1" s="1"/>
  <c r="K16" i="1"/>
  <c r="L16" i="1" s="1"/>
  <c r="K22" i="1"/>
  <c r="L22" i="1" s="1"/>
  <c r="L30" i="1"/>
  <c r="A51" i="1" l="1"/>
  <c r="A52" i="1"/>
  <c r="A53" i="1" s="1"/>
  <c r="A54" i="1" s="1"/>
  <c r="A55" i="1" s="1"/>
  <c r="A56" i="1" s="1"/>
  <c r="A57" i="1" s="1"/>
  <c r="A49" i="1"/>
  <c r="L19" i="7"/>
  <c r="M18" i="7"/>
  <c r="I18" i="7" s="1"/>
  <c r="J18" i="7" s="1"/>
  <c r="K19" i="7"/>
  <c r="E31" i="4"/>
  <c r="E27" i="4"/>
  <c r="K23" i="4"/>
  <c r="M23" i="4" s="1"/>
  <c r="I23" i="4" s="1"/>
  <c r="H23" i="4"/>
  <c r="K22" i="4"/>
  <c r="M22" i="4" s="1"/>
  <c r="I22" i="4" s="1"/>
  <c r="H22" i="4"/>
  <c r="K21" i="4"/>
  <c r="M21" i="4" s="1"/>
  <c r="I21" i="4" s="1"/>
  <c r="H21" i="4"/>
  <c r="K20" i="4"/>
  <c r="M20" i="4" s="1"/>
  <c r="I20" i="4" s="1"/>
  <c r="H20" i="4"/>
  <c r="K19" i="4"/>
  <c r="M19" i="4" s="1"/>
  <c r="I19" i="4" s="1"/>
  <c r="H19" i="4"/>
  <c r="K18" i="4"/>
  <c r="M18" i="4" s="1"/>
  <c r="I18" i="4" s="1"/>
  <c r="H18" i="4"/>
  <c r="K17" i="4"/>
  <c r="M17" i="4" s="1"/>
  <c r="I17" i="4" s="1"/>
  <c r="H17" i="4"/>
  <c r="K16" i="4"/>
  <c r="M16" i="4" s="1"/>
  <c r="I16" i="4" s="1"/>
  <c r="H16" i="4"/>
  <c r="K15" i="4"/>
  <c r="M15" i="4" s="1"/>
  <c r="I15" i="4" s="1"/>
  <c r="H15" i="4"/>
  <c r="K14" i="4"/>
  <c r="M14" i="4" s="1"/>
  <c r="I14" i="4" s="1"/>
  <c r="H14" i="4"/>
  <c r="K13" i="4"/>
  <c r="M13" i="4" s="1"/>
  <c r="I13" i="4" s="1"/>
  <c r="H13" i="4"/>
  <c r="K12" i="4"/>
  <c r="M12" i="4" s="1"/>
  <c r="I12" i="4" s="1"/>
  <c r="H12" i="4"/>
  <c r="K11" i="4"/>
  <c r="M11" i="4" s="1"/>
  <c r="I11" i="4" s="1"/>
  <c r="H11" i="4"/>
  <c r="K10" i="4"/>
  <c r="M10" i="4" s="1"/>
  <c r="I10" i="4" s="1"/>
  <c r="H10" i="4"/>
  <c r="K9" i="4"/>
  <c r="M9" i="4" s="1"/>
  <c r="I9" i="4" s="1"/>
  <c r="H9" i="4"/>
  <c r="A59" i="1" l="1"/>
  <c r="A60" i="1" s="1"/>
  <c r="A61" i="1" s="1"/>
  <c r="A62" i="1" s="1"/>
  <c r="A63" i="1" s="1"/>
  <c r="A64" i="1" s="1"/>
  <c r="A65" i="1" s="1"/>
  <c r="A66" i="1" s="1"/>
  <c r="A67" i="1" s="1"/>
  <c r="A69" i="1" s="1"/>
  <c r="A70" i="1" s="1"/>
  <c r="A72" i="1" s="1"/>
  <c r="A73" i="1" s="1"/>
  <c r="A74" i="1" s="1"/>
  <c r="A75" i="1" s="1"/>
  <c r="A76" i="1" s="1"/>
  <c r="A77" i="1" s="1"/>
  <c r="A78" i="1" s="1"/>
  <c r="A79" i="1" s="1"/>
  <c r="A80" i="1" s="1"/>
  <c r="A81" i="1" s="1"/>
  <c r="A82" i="1" s="1"/>
  <c r="A58" i="1"/>
  <c r="E29" i="4"/>
  <c r="L20" i="7"/>
  <c r="K20" i="7"/>
  <c r="M19" i="7"/>
  <c r="I19" i="7" s="1"/>
  <c r="J19" i="7" s="1"/>
  <c r="E30" i="4"/>
  <c r="J9" i="4"/>
  <c r="J10" i="4" s="1"/>
  <c r="J11" i="4" s="1"/>
  <c r="J12" i="4" s="1"/>
  <c r="J13" i="4" s="1"/>
  <c r="J14" i="4" s="1"/>
  <c r="J15" i="4" s="1"/>
  <c r="J16" i="4" s="1"/>
  <c r="J17" i="4" s="1"/>
  <c r="J18" i="4" s="1"/>
  <c r="J19" i="4" s="1"/>
  <c r="J20" i="4" s="1"/>
  <c r="J21" i="4" s="1"/>
  <c r="J22" i="4" s="1"/>
  <c r="J23" i="4" s="1"/>
  <c r="E32" i="4" s="1"/>
  <c r="E26" i="4"/>
  <c r="E28" i="4" s="1"/>
  <c r="A71" i="1" l="1"/>
  <c r="A68" i="1"/>
  <c r="L21" i="7"/>
  <c r="K21" i="7"/>
  <c r="M20" i="7"/>
  <c r="I20" i="7" s="1"/>
  <c r="J20" i="7" s="1"/>
  <c r="Q21" i="3"/>
  <c r="L22" i="7" l="1"/>
  <c r="K22" i="7"/>
  <c r="M21" i="7"/>
  <c r="I21" i="7" s="1"/>
  <c r="J21" i="7" s="1"/>
  <c r="I82" i="1"/>
  <c r="K82" i="1" s="1"/>
  <c r="L82" i="1" s="1"/>
  <c r="I81" i="1"/>
  <c r="K81" i="1" s="1"/>
  <c r="L81" i="1" s="1"/>
  <c r="I80" i="1"/>
  <c r="K80" i="1" s="1"/>
  <c r="L80" i="1" s="1"/>
  <c r="I79" i="1"/>
  <c r="K79" i="1" s="1"/>
  <c r="L79" i="1" s="1"/>
  <c r="I76" i="1"/>
  <c r="K76" i="1" s="1"/>
  <c r="L76" i="1" s="1"/>
  <c r="K74" i="1"/>
  <c r="L74" i="1" s="1"/>
  <c r="K73" i="1"/>
  <c r="L73" i="1" s="1"/>
  <c r="I72" i="1"/>
  <c r="K72" i="1" s="1"/>
  <c r="L72" i="1" s="1"/>
  <c r="I70" i="1"/>
  <c r="K70" i="1" s="1"/>
  <c r="L70" i="1" s="1"/>
  <c r="I69" i="1"/>
  <c r="K69" i="1" s="1"/>
  <c r="L69" i="1" s="1"/>
  <c r="I67" i="1"/>
  <c r="K67" i="1" s="1"/>
  <c r="L67" i="1" s="1"/>
  <c r="I66" i="1"/>
  <c r="K66" i="1" s="1"/>
  <c r="L66" i="1" s="1"/>
  <c r="K64" i="1"/>
  <c r="L64" i="1" s="1"/>
  <c r="K63" i="1"/>
  <c r="L63" i="1" s="1"/>
  <c r="I61" i="1"/>
  <c r="K61" i="1" s="1"/>
  <c r="L61" i="1" s="1"/>
  <c r="K60" i="1"/>
  <c r="L60" i="1" s="1"/>
  <c r="I59" i="1"/>
  <c r="K59" i="1" s="1"/>
  <c r="L59" i="1" s="1"/>
  <c r="I57" i="1"/>
  <c r="K57" i="1" s="1"/>
  <c r="L57" i="1" s="1"/>
  <c r="I56" i="1"/>
  <c r="K56" i="1" s="1"/>
  <c r="L56" i="1" s="1"/>
  <c r="I55" i="1"/>
  <c r="K55" i="1" s="1"/>
  <c r="L55" i="1" s="1"/>
  <c r="I54" i="1"/>
  <c r="K54" i="1" s="1"/>
  <c r="L54" i="1" s="1"/>
  <c r="K52" i="1"/>
  <c r="L52" i="1" s="1"/>
  <c r="K50" i="1"/>
  <c r="L50" i="1" s="1"/>
  <c r="I48" i="1"/>
  <c r="K48" i="1" s="1"/>
  <c r="L48" i="1" s="1"/>
  <c r="I46" i="1"/>
  <c r="K46" i="1" s="1"/>
  <c r="L46" i="1" s="1"/>
  <c r="L43" i="1"/>
  <c r="I42" i="1"/>
  <c r="K42" i="1" s="1"/>
  <c r="L42" i="1" s="1"/>
  <c r="L41" i="1"/>
  <c r="I40" i="1"/>
  <c r="K40" i="1" s="1"/>
  <c r="L40" i="1" s="1"/>
  <c r="K39" i="1"/>
  <c r="L39" i="1" s="1"/>
  <c r="I38" i="1"/>
  <c r="K38" i="1" s="1"/>
  <c r="L38" i="1" s="1"/>
  <c r="K37" i="1"/>
  <c r="L37" i="1" s="1"/>
  <c r="I35" i="1"/>
  <c r="K35" i="1" s="1"/>
  <c r="L35" i="1" s="1"/>
  <c r="I32" i="1"/>
  <c r="K32" i="1" s="1"/>
  <c r="L32" i="1" s="1"/>
  <c r="K25" i="1"/>
  <c r="L25" i="1" s="1"/>
  <c r="K21" i="1"/>
  <c r="L21" i="1" s="1"/>
  <c r="I20" i="1"/>
  <c r="K20" i="1" s="1"/>
  <c r="L20" i="1" s="1"/>
  <c r="I19" i="1"/>
  <c r="K19" i="1" s="1"/>
  <c r="L19" i="1" s="1"/>
  <c r="I18" i="1"/>
  <c r="K18" i="1" s="1"/>
  <c r="L18" i="1" s="1"/>
  <c r="I12" i="1"/>
  <c r="K12" i="1" s="1"/>
  <c r="L12" i="1" s="1"/>
  <c r="I9" i="1"/>
  <c r="K9" i="1" s="1"/>
  <c r="L9" i="1" s="1"/>
  <c r="K6" i="1"/>
  <c r="L6" i="1" s="1"/>
  <c r="I5" i="1"/>
  <c r="K5" i="1" s="1"/>
  <c r="L5" i="1" s="1"/>
  <c r="L4" i="1"/>
  <c r="I3" i="1"/>
  <c r="K3" i="1" s="1"/>
  <c r="L3" i="1" s="1"/>
  <c r="L23" i="7" l="1"/>
  <c r="M22" i="7"/>
  <c r="I22" i="7" s="1"/>
  <c r="J22" i="7" s="1"/>
  <c r="K23" i="7"/>
  <c r="E27" i="7" l="1"/>
  <c r="M23" i="7"/>
  <c r="I23" i="7" s="1"/>
  <c r="E30" i="7" s="1"/>
  <c r="E28" i="7" l="1"/>
  <c r="L8" i="8"/>
  <c r="J23" i="7"/>
  <c r="E32" i="7" s="1"/>
  <c r="J8" i="8" s="1"/>
  <c r="K9" i="8" l="1"/>
  <c r="M9" i="8" s="1"/>
  <c r="I9" i="8" s="1"/>
  <c r="L9" i="8"/>
  <c r="E26" i="8" l="1"/>
  <c r="L10" i="8"/>
  <c r="K10" i="8"/>
  <c r="J9" i="8"/>
  <c r="K11" i="8" l="1"/>
  <c r="M10" i="8"/>
  <c r="I10" i="8" s="1"/>
  <c r="L11" i="8"/>
  <c r="L12" i="8" l="1"/>
  <c r="M11" i="8"/>
  <c r="I11" i="8" s="1"/>
  <c r="K12" i="8"/>
  <c r="J10" i="8"/>
  <c r="J11" i="8" s="1"/>
  <c r="L13" i="8" l="1"/>
  <c r="K13" i="8"/>
  <c r="M12" i="8"/>
  <c r="I12" i="8" s="1"/>
  <c r="J12" i="8" s="1"/>
  <c r="L14" i="8" l="1"/>
  <c r="K14" i="8"/>
  <c r="M13" i="8"/>
  <c r="I13" i="8" s="1"/>
  <c r="J13" i="8" s="1"/>
  <c r="L15" i="8" l="1"/>
  <c r="M14" i="8"/>
  <c r="I14" i="8" s="1"/>
  <c r="J14" i="8" s="1"/>
  <c r="K15" i="8"/>
  <c r="L16" i="8" l="1"/>
  <c r="K16" i="8"/>
  <c r="M15" i="8"/>
  <c r="I15" i="8" s="1"/>
  <c r="J15" i="8" s="1"/>
  <c r="L17" i="8" l="1"/>
  <c r="K17" i="8"/>
  <c r="M16" i="8"/>
  <c r="I16" i="8" s="1"/>
  <c r="J16" i="8" s="1"/>
  <c r="L18" i="8" l="1"/>
  <c r="M17" i="8"/>
  <c r="I17" i="8" s="1"/>
  <c r="J17" i="8" s="1"/>
  <c r="K18" i="8"/>
  <c r="L19" i="8" l="1"/>
  <c r="K19" i="8"/>
  <c r="M18" i="8"/>
  <c r="I18" i="8" s="1"/>
  <c r="J18" i="8" s="1"/>
  <c r="M19" i="8" l="1"/>
  <c r="I19" i="8" s="1"/>
  <c r="J19" i="8" s="1"/>
  <c r="K20" i="8"/>
  <c r="L20" i="8"/>
  <c r="L21" i="8" l="1"/>
  <c r="M20" i="8"/>
  <c r="I20" i="8" s="1"/>
  <c r="J20" i="8" s="1"/>
  <c r="K21" i="8"/>
  <c r="L22" i="8" l="1"/>
  <c r="M21" i="8"/>
  <c r="I21" i="8" s="1"/>
  <c r="J21" i="8" s="1"/>
  <c r="K22" i="8"/>
  <c r="M22" i="8" s="1"/>
  <c r="I22" i="8" s="1"/>
  <c r="J22" i="8" l="1"/>
  <c r="K23" i="8"/>
  <c r="L23" i="8"/>
  <c r="L24" i="8" l="1"/>
  <c r="E27" i="8" s="1"/>
  <c r="M23" i="8"/>
  <c r="I23" i="8" s="1"/>
  <c r="J23" i="8" s="1"/>
  <c r="K24" i="8"/>
  <c r="M24" i="8" s="1"/>
  <c r="I24" i="8" s="1"/>
  <c r="E30" i="8" s="1"/>
  <c r="J24" i="8" l="1"/>
  <c r="E32" i="8" s="1"/>
  <c r="J8" i="9" s="1"/>
  <c r="L8" i="9"/>
  <c r="E28" i="8"/>
  <c r="L9" i="9" l="1"/>
  <c r="K9" i="9"/>
  <c r="E26" i="9" s="1"/>
  <c r="L10" i="9" l="1"/>
  <c r="K10" i="9"/>
  <c r="M9" i="9"/>
  <c r="I9" i="9" s="1"/>
  <c r="J9" i="9" s="1"/>
  <c r="L11" i="9" l="1"/>
  <c r="M10" i="9"/>
  <c r="I10" i="9" s="1"/>
  <c r="J10" i="9" s="1"/>
  <c r="K11" i="9"/>
  <c r="L12" i="9" l="1"/>
  <c r="K12" i="9"/>
  <c r="M11" i="9"/>
  <c r="I11" i="9" s="1"/>
  <c r="J11" i="9" s="1"/>
  <c r="L13" i="9" l="1"/>
  <c r="M12" i="9"/>
  <c r="I12" i="9" s="1"/>
  <c r="J12" i="9" s="1"/>
  <c r="K13" i="9"/>
  <c r="L14" i="9" l="1"/>
  <c r="K14" i="9"/>
  <c r="M13" i="9"/>
  <c r="I13" i="9" s="1"/>
  <c r="J13" i="9" s="1"/>
  <c r="L15" i="9" l="1"/>
  <c r="K15" i="9"/>
  <c r="M14" i="9"/>
  <c r="I14" i="9" s="1"/>
  <c r="J14" i="9" s="1"/>
  <c r="L16" i="9" l="1"/>
  <c r="K16" i="9"/>
  <c r="M15" i="9"/>
  <c r="I15" i="9" s="1"/>
  <c r="J15" i="9" s="1"/>
  <c r="L17" i="9" l="1"/>
  <c r="M16" i="9"/>
  <c r="I16" i="9" s="1"/>
  <c r="J16" i="9" s="1"/>
  <c r="K17" i="9"/>
  <c r="L18" i="9" l="1"/>
  <c r="M17" i="9"/>
  <c r="I17" i="9" s="1"/>
  <c r="J17" i="9" s="1"/>
  <c r="K18" i="9"/>
  <c r="L19" i="9" l="1"/>
  <c r="K19" i="9"/>
  <c r="M18" i="9"/>
  <c r="I18" i="9" s="1"/>
  <c r="J18" i="9" s="1"/>
  <c r="L20" i="9" l="1"/>
  <c r="K20" i="9"/>
  <c r="M19" i="9"/>
  <c r="I19" i="9" s="1"/>
  <c r="J19" i="9" s="1"/>
  <c r="L21" i="9" l="1"/>
  <c r="K21" i="9"/>
  <c r="M20" i="9"/>
  <c r="I20" i="9" s="1"/>
  <c r="J20" i="9" s="1"/>
  <c r="L22" i="9" l="1"/>
  <c r="K22" i="9"/>
  <c r="M21" i="9"/>
  <c r="I21" i="9" s="1"/>
  <c r="J21" i="9" s="1"/>
  <c r="L23" i="9" l="1"/>
  <c r="K23" i="9"/>
  <c r="M22" i="9"/>
  <c r="I22" i="9" s="1"/>
  <c r="J22" i="9" s="1"/>
  <c r="E27" i="9" l="1"/>
  <c r="M23" i="9"/>
  <c r="I23" i="9" s="1"/>
  <c r="E30" i="9" s="1"/>
  <c r="E28" i="9" l="1"/>
  <c r="L8" i="10"/>
  <c r="J23" i="9"/>
  <c r="E32" i="9" s="1"/>
  <c r="J8" i="10" s="1"/>
  <c r="L9" i="10" l="1"/>
  <c r="K9" i="10"/>
  <c r="E26" i="10" s="1"/>
  <c r="L10" i="10" l="1"/>
  <c r="K10" i="10"/>
  <c r="M9" i="10"/>
  <c r="I9" i="10" s="1"/>
  <c r="J9" i="10" s="1"/>
  <c r="L11" i="10" l="1"/>
  <c r="K11" i="10"/>
  <c r="M10" i="10"/>
  <c r="I10" i="10" s="1"/>
  <c r="J10" i="10" s="1"/>
  <c r="L12" i="10" l="1"/>
  <c r="K12" i="10"/>
  <c r="M11" i="10"/>
  <c r="I11" i="10" s="1"/>
  <c r="J11" i="10" s="1"/>
  <c r="L13" i="10" l="1"/>
  <c r="K13" i="10"/>
  <c r="M12" i="10"/>
  <c r="I12" i="10" s="1"/>
  <c r="J12" i="10" s="1"/>
  <c r="L14" i="10" l="1"/>
  <c r="K14" i="10"/>
  <c r="M13" i="10"/>
  <c r="I13" i="10" s="1"/>
  <c r="J13" i="10" s="1"/>
  <c r="L15" i="10" l="1"/>
  <c r="M14" i="10"/>
  <c r="I14" i="10" s="1"/>
  <c r="J14" i="10" s="1"/>
  <c r="K15" i="10"/>
  <c r="L16" i="10" l="1"/>
  <c r="M15" i="10"/>
  <c r="I15" i="10" s="1"/>
  <c r="K16" i="10"/>
  <c r="J15" i="10"/>
  <c r="L17" i="10" l="1"/>
  <c r="K17" i="10"/>
  <c r="M16" i="10"/>
  <c r="I16" i="10" s="1"/>
  <c r="J16" i="10" s="1"/>
  <c r="L18" i="10" l="1"/>
  <c r="K18" i="10"/>
  <c r="M17" i="10"/>
  <c r="I17" i="10" s="1"/>
  <c r="J17" i="10" s="1"/>
  <c r="L19" i="10" l="1"/>
  <c r="M18" i="10"/>
  <c r="I18" i="10" s="1"/>
  <c r="J18" i="10" s="1"/>
  <c r="K19" i="10"/>
  <c r="M19" i="10" l="1"/>
  <c r="I19" i="10" s="1"/>
  <c r="J19" i="10" s="1"/>
  <c r="L20" i="10"/>
  <c r="K20" i="10"/>
  <c r="L21" i="10" l="1"/>
  <c r="M20" i="10"/>
  <c r="I20" i="10" s="1"/>
  <c r="J20" i="10" s="1"/>
  <c r="K21" i="10"/>
  <c r="L22" i="10" l="1"/>
  <c r="K22" i="10"/>
  <c r="M21" i="10"/>
  <c r="I21" i="10" s="1"/>
  <c r="J21" i="10" s="1"/>
  <c r="L23" i="10" l="1"/>
  <c r="M22" i="10"/>
  <c r="I22" i="10" s="1"/>
  <c r="J22" i="10" s="1"/>
  <c r="K23" i="10"/>
  <c r="L24" i="10" l="1"/>
  <c r="K24" i="10"/>
  <c r="M23" i="10"/>
  <c r="I23" i="10" s="1"/>
  <c r="J23" i="10" s="1"/>
  <c r="E27" i="10" l="1"/>
  <c r="M24" i="10"/>
  <c r="I24" i="10" s="1"/>
  <c r="E30" i="10" s="1"/>
  <c r="E28" i="10" l="1"/>
  <c r="L8" i="11"/>
  <c r="J24" i="10"/>
  <c r="E32" i="10" s="1"/>
  <c r="J8" i="11" s="1"/>
  <c r="L9" i="11" l="1"/>
  <c r="K9" i="11"/>
  <c r="E26" i="11" s="1"/>
  <c r="L10" i="11" l="1"/>
  <c r="K10" i="11"/>
  <c r="M9" i="11"/>
  <c r="I9" i="11" s="1"/>
  <c r="J9" i="11" l="1"/>
  <c r="L11" i="11"/>
  <c r="M10" i="11"/>
  <c r="I10" i="11" s="1"/>
  <c r="K11" i="11"/>
  <c r="J10" i="11" l="1"/>
  <c r="L12" i="11"/>
  <c r="M11" i="11"/>
  <c r="I11" i="11" s="1"/>
  <c r="K12" i="11"/>
  <c r="L13" i="11" l="1"/>
  <c r="M12" i="11"/>
  <c r="I12" i="11" s="1"/>
  <c r="K13" i="11"/>
  <c r="J11" i="11"/>
  <c r="J12" i="11" l="1"/>
  <c r="L14" i="11"/>
  <c r="M13" i="11"/>
  <c r="I13" i="11" s="1"/>
  <c r="J13" i="11" s="1"/>
  <c r="K14" i="11"/>
  <c r="L15" i="11" l="1"/>
  <c r="M14" i="11"/>
  <c r="I14" i="11" s="1"/>
  <c r="J14" i="11" s="1"/>
  <c r="K15" i="11"/>
  <c r="L16" i="11" l="1"/>
  <c r="K16" i="11"/>
  <c r="M15" i="11"/>
  <c r="I15" i="11" s="1"/>
  <c r="J15" i="11" s="1"/>
  <c r="L17" i="11" l="1"/>
  <c r="M16" i="11"/>
  <c r="I16" i="11" s="1"/>
  <c r="J16" i="11" s="1"/>
  <c r="K17" i="11"/>
  <c r="L18" i="11" l="1"/>
  <c r="K18" i="11"/>
  <c r="M17" i="11"/>
  <c r="I17" i="11" s="1"/>
  <c r="J17" i="11" s="1"/>
  <c r="L19" i="11" l="1"/>
  <c r="M18" i="11"/>
  <c r="I18" i="11" s="1"/>
  <c r="J18" i="11" s="1"/>
  <c r="K19" i="11"/>
  <c r="L20" i="11" l="1"/>
  <c r="K20" i="11"/>
  <c r="M19" i="11"/>
  <c r="I19" i="11" s="1"/>
  <c r="J19" i="11" s="1"/>
  <c r="L21" i="11" l="1"/>
  <c r="M20" i="11"/>
  <c r="I20" i="11" s="1"/>
  <c r="J20" i="11" s="1"/>
  <c r="K21" i="11"/>
  <c r="L22" i="11" l="1"/>
  <c r="K22" i="11"/>
  <c r="M21" i="11"/>
  <c r="I21" i="11" s="1"/>
  <c r="J21" i="11" s="1"/>
  <c r="L23" i="11" l="1"/>
  <c r="K23" i="11"/>
  <c r="M22" i="11"/>
  <c r="I22" i="11" s="1"/>
  <c r="J22" i="11" s="1"/>
  <c r="E27" i="11" l="1"/>
  <c r="M23" i="11"/>
  <c r="I23" i="11" s="1"/>
  <c r="E30" i="11" s="1"/>
  <c r="L8" i="12" l="1"/>
  <c r="E28" i="11"/>
  <c r="J23" i="11"/>
  <c r="E32" i="11" s="1"/>
  <c r="J8" i="12" l="1"/>
  <c r="J8" i="13"/>
  <c r="L9" i="12"/>
  <c r="K9" i="12"/>
  <c r="E26" i="12" s="1"/>
  <c r="L10" i="12" l="1"/>
  <c r="K10" i="12"/>
  <c r="M9" i="12"/>
  <c r="I9" i="12" s="1"/>
  <c r="J9" i="12" l="1"/>
  <c r="L11" i="12"/>
  <c r="M10" i="12"/>
  <c r="I10" i="12" s="1"/>
  <c r="K11" i="12"/>
  <c r="L12" i="12" l="1"/>
  <c r="M11" i="12"/>
  <c r="I11" i="12" s="1"/>
  <c r="K12" i="12"/>
  <c r="J10" i="12"/>
  <c r="J11" i="12" l="1"/>
  <c r="L13" i="12"/>
  <c r="K13" i="12"/>
  <c r="M12" i="12"/>
  <c r="I12" i="12" s="1"/>
  <c r="J12" i="12" l="1"/>
  <c r="L14" i="12"/>
  <c r="K14" i="12"/>
  <c r="M13" i="12"/>
  <c r="I13" i="12" s="1"/>
  <c r="L15" i="12" l="1"/>
  <c r="M14" i="12"/>
  <c r="I14" i="12" s="1"/>
  <c r="K15" i="12"/>
  <c r="J13" i="12"/>
  <c r="J14" i="12" s="1"/>
  <c r="L16" i="12" l="1"/>
  <c r="K16" i="12"/>
  <c r="M15" i="12"/>
  <c r="I15" i="12" s="1"/>
  <c r="J15" i="12" s="1"/>
  <c r="L17" i="12" l="1"/>
  <c r="K17" i="12"/>
  <c r="M16" i="12"/>
  <c r="I16" i="12" s="1"/>
  <c r="J16" i="12" s="1"/>
  <c r="M17" i="12" l="1"/>
  <c r="I17" i="12" s="1"/>
  <c r="J17" i="12" s="1"/>
  <c r="K18" i="12"/>
  <c r="L18" i="12"/>
  <c r="L19" i="12" l="1"/>
  <c r="K19" i="12"/>
  <c r="M18" i="12"/>
  <c r="I18" i="12" s="1"/>
  <c r="J18" i="12" s="1"/>
  <c r="L20" i="12" l="1"/>
  <c r="M19" i="12"/>
  <c r="I19" i="12" s="1"/>
  <c r="J19" i="12" s="1"/>
  <c r="K20" i="12"/>
  <c r="L21" i="12" l="1"/>
  <c r="M20" i="12"/>
  <c r="I20" i="12" s="1"/>
  <c r="J20" i="12" s="1"/>
  <c r="K21" i="12"/>
  <c r="E27" i="12" l="1"/>
  <c r="M21" i="12"/>
  <c r="I21" i="12" s="1"/>
  <c r="E30" i="12" s="1"/>
  <c r="L8" i="13" l="1"/>
  <c r="L9" i="13" s="1"/>
  <c r="L10" i="13" s="1"/>
  <c r="L11" i="13" s="1"/>
  <c r="L12" i="13" s="1"/>
  <c r="L13" i="13" s="1"/>
  <c r="L14" i="13" s="1"/>
  <c r="E28" i="12"/>
  <c r="J21" i="12"/>
  <c r="E32" i="12" s="1"/>
  <c r="K9" i="13" l="1"/>
  <c r="E26" i="13" s="1"/>
  <c r="K10" i="13" l="1"/>
  <c r="M9" i="13"/>
  <c r="I9" i="13" l="1"/>
  <c r="J9" i="13" s="1"/>
  <c r="K11" i="13"/>
  <c r="M10" i="13"/>
  <c r="I10" i="13" s="1"/>
  <c r="J10" i="13" s="1"/>
  <c r="K12" i="13" l="1"/>
  <c r="M11" i="13"/>
  <c r="I11" i="13" s="1"/>
  <c r="J11" i="13" s="1"/>
  <c r="K13" i="13" l="1"/>
  <c r="M12" i="13"/>
  <c r="I12" i="13" s="1"/>
  <c r="J12" i="13" s="1"/>
  <c r="K14" i="13" l="1"/>
  <c r="M13" i="13"/>
  <c r="I13" i="13" s="1"/>
  <c r="J13" i="13" s="1"/>
  <c r="L15" i="13" l="1"/>
  <c r="K15" i="13"/>
  <c r="M14" i="13"/>
  <c r="I14" i="13" l="1"/>
  <c r="J14" i="13" s="1"/>
  <c r="L16" i="13"/>
  <c r="K16" i="13"/>
  <c r="M15" i="13"/>
  <c r="I15" i="13" s="1"/>
  <c r="J15" i="13" l="1"/>
  <c r="L17" i="13"/>
  <c r="M16" i="13"/>
  <c r="I16" i="13" s="1"/>
  <c r="J16" i="13" s="1"/>
  <c r="K17" i="13"/>
  <c r="L18" i="13" l="1"/>
  <c r="L19" i="13" s="1"/>
  <c r="L20" i="13" s="1"/>
  <c r="L21" i="13" s="1"/>
  <c r="L22" i="13" s="1"/>
  <c r="L23" i="13" s="1"/>
  <c r="M17" i="13"/>
  <c r="I17" i="13" s="1"/>
  <c r="J17" i="13" s="1"/>
  <c r="K18" i="13"/>
  <c r="S23" i="13" l="1"/>
  <c r="L8" i="14"/>
  <c r="M18" i="13"/>
  <c r="I18" i="13" s="1"/>
  <c r="J18" i="13" s="1"/>
  <c r="K19" i="13"/>
  <c r="L9" i="14" l="1"/>
  <c r="K9" i="14"/>
  <c r="E27" i="14" s="1"/>
  <c r="M19" i="13"/>
  <c r="I19" i="13" s="1"/>
  <c r="J19" i="13" s="1"/>
  <c r="K20" i="13"/>
  <c r="L10" i="14" l="1"/>
  <c r="K10" i="14"/>
  <c r="M9" i="14"/>
  <c r="M20" i="13"/>
  <c r="I20" i="13" s="1"/>
  <c r="J20" i="13" s="1"/>
  <c r="K21" i="13"/>
  <c r="L11" i="14" l="1"/>
  <c r="M10" i="14"/>
  <c r="I10" i="14" s="1"/>
  <c r="K11" i="14"/>
  <c r="I9" i="14"/>
  <c r="K22" i="13"/>
  <c r="M21" i="13"/>
  <c r="I21" i="13" s="1"/>
  <c r="J21" i="13" s="1"/>
  <c r="L12" i="14" l="1"/>
  <c r="K12" i="14"/>
  <c r="M11" i="14"/>
  <c r="I11" i="14" s="1"/>
  <c r="M22" i="13"/>
  <c r="I22" i="13" s="1"/>
  <c r="J22" i="13" s="1"/>
  <c r="K23" i="13"/>
  <c r="L13" i="14" l="1"/>
  <c r="K13" i="14"/>
  <c r="M12" i="14"/>
  <c r="M23" i="13"/>
  <c r="E27" i="13"/>
  <c r="E28" i="13" s="1"/>
  <c r="I23" i="13" l="1"/>
  <c r="J23" i="13" s="1"/>
  <c r="E32" i="13" s="1"/>
  <c r="J8" i="14" s="1"/>
  <c r="J9" i="14" s="1"/>
  <c r="J10" i="14" s="1"/>
  <c r="J11" i="14" s="1"/>
  <c r="M24" i="13"/>
  <c r="I24" i="13" s="1"/>
  <c r="L14" i="14"/>
  <c r="K14" i="14"/>
  <c r="M13" i="14"/>
  <c r="I13" i="14" s="1"/>
  <c r="I12" i="14"/>
  <c r="E30" i="13" l="1"/>
  <c r="J12" i="14"/>
  <c r="J13" i="14" s="1"/>
  <c r="L15" i="14"/>
  <c r="M14" i="14"/>
  <c r="K15" i="14"/>
  <c r="I14" i="14" l="1"/>
  <c r="L16" i="14"/>
  <c r="M15" i="14"/>
  <c r="I15" i="14" s="1"/>
  <c r="K16" i="14"/>
  <c r="J14" i="14"/>
  <c r="J15" i="14" l="1"/>
  <c r="L17" i="14"/>
  <c r="M16" i="14"/>
  <c r="I16" i="14" s="1"/>
  <c r="K17" i="14"/>
  <c r="J16" i="14" l="1"/>
  <c r="K18" i="14"/>
  <c r="M17" i="14"/>
  <c r="I17" i="14" s="1"/>
  <c r="J17" i="14" s="1"/>
  <c r="L18" i="14"/>
  <c r="M18" i="14" l="1"/>
  <c r="I18" i="14" s="1"/>
  <c r="J18" i="14" s="1"/>
  <c r="L19" i="14"/>
  <c r="K19" i="14"/>
  <c r="L20" i="14" l="1"/>
  <c r="M19" i="14"/>
  <c r="I19" i="14" s="1"/>
  <c r="J19" i="14" s="1"/>
  <c r="K20" i="14"/>
  <c r="L21" i="14" l="1"/>
  <c r="K21" i="14"/>
  <c r="M20" i="14"/>
  <c r="I20" i="14" s="1"/>
  <c r="J20" i="14" s="1"/>
  <c r="L22" i="14" l="1"/>
  <c r="K22" i="14"/>
  <c r="M21" i="14"/>
  <c r="I21" i="14" s="1"/>
  <c r="J21" i="14" s="1"/>
  <c r="L23" i="14" l="1"/>
  <c r="K23" i="14"/>
  <c r="M22" i="14"/>
  <c r="I22" i="14" s="1"/>
  <c r="J22" i="14" s="1"/>
  <c r="L24" i="14" l="1"/>
  <c r="M23" i="14"/>
  <c r="I23" i="14" s="1"/>
  <c r="J23" i="14" s="1"/>
  <c r="K24" i="14"/>
  <c r="E28" i="14" l="1"/>
  <c r="M24" i="14"/>
  <c r="E29" i="14" l="1"/>
  <c r="L8" i="15"/>
  <c r="I24" i="14"/>
  <c r="J24" i="14" s="1"/>
  <c r="E33" i="14" s="1"/>
  <c r="J8" i="15" s="1"/>
  <c r="M25" i="14"/>
  <c r="I25" i="14" s="1"/>
  <c r="E31" i="14" s="1"/>
  <c r="L9" i="15" l="1"/>
  <c r="K9" i="15"/>
  <c r="E26" i="15" s="1"/>
  <c r="E28" i="15" s="1"/>
  <c r="K10" i="15" l="1"/>
  <c r="M9" i="15"/>
  <c r="L10" i="15"/>
  <c r="L11" i="15" l="1"/>
  <c r="M10" i="15"/>
  <c r="I10" i="15" s="1"/>
  <c r="K11" i="15"/>
  <c r="I9" i="15"/>
  <c r="J9" i="15" l="1"/>
  <c r="J10" i="15" s="1"/>
  <c r="L12" i="15"/>
  <c r="M11" i="15"/>
  <c r="K12" i="15"/>
  <c r="I11" i="15" l="1"/>
  <c r="L13" i="15"/>
  <c r="K13" i="15"/>
  <c r="M12" i="15"/>
  <c r="I12" i="15" s="1"/>
  <c r="J12" i="15" s="1"/>
  <c r="J11" i="15"/>
  <c r="L14" i="15" l="1"/>
  <c r="M13" i="15"/>
  <c r="I13" i="15" s="1"/>
  <c r="J13" i="15" s="1"/>
  <c r="K14" i="15"/>
  <c r="L15" i="15" l="1"/>
  <c r="K15" i="15"/>
  <c r="M14" i="15"/>
  <c r="I14" i="15" s="1"/>
  <c r="K16" i="15" l="1"/>
  <c r="L16" i="15"/>
  <c r="M15" i="15"/>
  <c r="J14" i="15"/>
  <c r="L17" i="15" l="1"/>
  <c r="K17" i="15"/>
  <c r="M16" i="15"/>
  <c r="I16" i="15" s="1"/>
  <c r="I15" i="15"/>
  <c r="J15" i="15" s="1"/>
  <c r="L18" i="15" l="1"/>
  <c r="K18" i="15"/>
  <c r="M17" i="15"/>
  <c r="I17" i="15" s="1"/>
  <c r="J17" i="15" s="1"/>
  <c r="J16" i="15"/>
  <c r="J18" i="15" l="1"/>
  <c r="L19" i="15"/>
  <c r="K19" i="15"/>
  <c r="M18" i="15"/>
  <c r="I18" i="15" s="1"/>
  <c r="L20" i="15" l="1"/>
  <c r="M19" i="15"/>
  <c r="I19" i="15" s="1"/>
  <c r="J19" i="15" s="1"/>
  <c r="K20" i="15"/>
  <c r="J20" i="15" l="1"/>
  <c r="L21" i="15"/>
  <c r="M20" i="15"/>
  <c r="I20" i="15" s="1"/>
  <c r="K21" i="15"/>
  <c r="L22" i="15" l="1"/>
  <c r="M21" i="15"/>
  <c r="I21" i="15" s="1"/>
  <c r="J21" i="15" s="1"/>
  <c r="K22" i="15"/>
  <c r="M22" i="15" l="1"/>
  <c r="I22" i="15" s="1"/>
  <c r="J22" i="15" s="1"/>
  <c r="K23" i="15"/>
  <c r="M23" i="15" s="1"/>
  <c r="J23" i="15" l="1"/>
  <c r="E32" i="15" s="1"/>
  <c r="I23" i="15"/>
  <c r="M24" i="15"/>
  <c r="I24" i="15" s="1"/>
  <c r="E30" i="1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GADP</author>
  </authors>
  <commentList>
    <comment ref="AM10" authorId="0" shapeId="0" xr:uid="{00000000-0006-0000-0000-000001000000}">
      <text>
        <r>
          <rPr>
            <b/>
            <sz val="9"/>
            <color indexed="81"/>
            <rFont val="Tahoma"/>
            <charset val="1"/>
          </rPr>
          <t>GADP:</t>
        </r>
        <r>
          <rPr>
            <sz val="9"/>
            <color indexed="81"/>
            <rFont val="Tahoma"/>
            <charset val="1"/>
          </rPr>
          <t xml:space="preserve">
A LA DESVINCULACIÓN  DEL CONDUCTOR DANIEL MAMANI, SE LE ASIGNO SOLO PARA EL VIAJE AL MUNCIPIO DE COLCHA "K", AL CONDUCTOR  WILSON CABALLERO, EL MISMO PRESENTO LA BITACORA POR DICHO VIAJE DEL VEHLULO TOYOTA CON PLCA 4829-RYF</t>
        </r>
      </text>
    </comment>
  </commentList>
</comments>
</file>

<file path=xl/sharedStrings.xml><?xml version="1.0" encoding="utf-8"?>
<sst xmlns="http://schemas.openxmlformats.org/spreadsheetml/2006/main" count="1024" uniqueCount="224">
  <si>
    <t>Nombre del conductor</t>
  </si>
  <si>
    <t>INICIO</t>
  </si>
  <si>
    <t>FINAL</t>
  </si>
  <si>
    <t>KILOMETRO RECORRIDO</t>
  </si>
  <si>
    <t>PROMEDIO</t>
  </si>
  <si>
    <t>SALDO COMBUST.</t>
  </si>
  <si>
    <t>HUMBERTO AGUILAR ESTRADA</t>
  </si>
  <si>
    <t>SIN MOVIMIENTO</t>
  </si>
  <si>
    <t>CISTERNA 4822 LXH</t>
  </si>
  <si>
    <t>JUAN MENDOZA QUISPE</t>
  </si>
  <si>
    <t>MIGUEL CHOQUE LOPEZ</t>
  </si>
  <si>
    <t>RAUL PEÑA PINTO</t>
  </si>
  <si>
    <t>NISSAN 2721 GFP</t>
  </si>
  <si>
    <t>WILSON CABALLERO</t>
  </si>
  <si>
    <t>MILTON CONDORI LUJAN</t>
  </si>
  <si>
    <t>MARTIN SAAVEDRA ESTRADA</t>
  </si>
  <si>
    <t>NISSAN 2731 YFS</t>
  </si>
  <si>
    <t>NISSAN 2998 EXP</t>
  </si>
  <si>
    <t>REMBERTO CHOQUE COPA</t>
  </si>
  <si>
    <t>TOYOTA 2980 XKP</t>
  </si>
  <si>
    <t>HIBERTH ALCOBA MAMANI</t>
  </si>
  <si>
    <t>WILLIAMS ARIAS NOGALES</t>
  </si>
  <si>
    <t>NISSAN 6337 BLI</t>
  </si>
  <si>
    <t>TOYOTA 1642 GYT</t>
  </si>
  <si>
    <t>IVAN DELGADO JANCKO</t>
  </si>
  <si>
    <t>ELIAS VERA GUERRA</t>
  </si>
  <si>
    <t>EDWIN MOYA MENDOZA</t>
  </si>
  <si>
    <t>TOYOTA 2980 XIK</t>
  </si>
  <si>
    <t>TOYOTA 2980 XNY</t>
  </si>
  <si>
    <t>EDWIN CAMPOS BASAGOITIA</t>
  </si>
  <si>
    <t>CELSO GALVAN POVEDA</t>
  </si>
  <si>
    <t>MAXIMO GONZALES TORREZ</t>
  </si>
  <si>
    <t>TOYOTA 2980 XPC</t>
  </si>
  <si>
    <t>EMETERIO PEÑAS LIMACHI</t>
  </si>
  <si>
    <t>DANIEL MAMANI CHOQUE</t>
  </si>
  <si>
    <t>WILFREDO FLORES ARRIAGA</t>
  </si>
  <si>
    <t>TOYOTA 2980 XRF</t>
  </si>
  <si>
    <t>TOYOTA 2980 XSI</t>
  </si>
  <si>
    <t>EDGAR CORDERO CORDERO</t>
  </si>
  <si>
    <t>TOYOTA 2980 XTN</t>
  </si>
  <si>
    <t>NICOLAS FLORES OROS</t>
  </si>
  <si>
    <t>ALDO ALMAZAN TRONCOSO</t>
  </si>
  <si>
    <t>TOYOTA 3027 SXC</t>
  </si>
  <si>
    <t>RAUL MARISCAL VARGAS</t>
  </si>
  <si>
    <t>TOYOTA 3027 SYF</t>
  </si>
  <si>
    <t>TOYOTA 3027 SZI</t>
  </si>
  <si>
    <t>EFRAIN LLAVE VARGAS</t>
  </si>
  <si>
    <t>DAVID CRUZ ALIZARES</t>
  </si>
  <si>
    <t>TOYOTA 3616 BCD</t>
  </si>
  <si>
    <t>MAX PEÑARANDA CESPEDEZ</t>
  </si>
  <si>
    <t>EDGAR PUQUI COPA</t>
  </si>
  <si>
    <t>NISSAN 6337 BNN</t>
  </si>
  <si>
    <t>MARCO RICALDI MOLINA</t>
  </si>
  <si>
    <t>TOYOTA 3772 UPB</t>
  </si>
  <si>
    <t>TOYOTA 3772 USH</t>
  </si>
  <si>
    <t>EFRAIN QUISPE CONDORI</t>
  </si>
  <si>
    <t>RENE CONDO PACARA</t>
  </si>
  <si>
    <t>TOYOTA 3772 UTL</t>
  </si>
  <si>
    <t>GERARDO CHOQUE MAMANI</t>
  </si>
  <si>
    <t>TOYOTA 2859 NTA</t>
  </si>
  <si>
    <t>RONALD HUANCA LAZCANO</t>
  </si>
  <si>
    <t>TOYOTA 3786 LNL</t>
  </si>
  <si>
    <t>GUZMAN LOPEZ LLANOS</t>
  </si>
  <si>
    <t>NISSAN 3799 HIK</t>
  </si>
  <si>
    <t>SAMUEL CHILA CHARCAS</t>
  </si>
  <si>
    <t>REYNALDO CRUZ SANCHEZ</t>
  </si>
  <si>
    <t>TOYOTA 3869 HSD</t>
  </si>
  <si>
    <t>TOYOTA 3869 HTG</t>
  </si>
  <si>
    <t>SAMUEL MAMANI MAMANI</t>
  </si>
  <si>
    <t>EDWIN QUISPE VELIZ</t>
  </si>
  <si>
    <t>VICTOR CHOQUE JANCKO</t>
  </si>
  <si>
    <t>TOYOTA 3869 HUK</t>
  </si>
  <si>
    <t>JAVIER CHOQUE COLQUE</t>
  </si>
  <si>
    <t>TOYOTA 3869 IRB</t>
  </si>
  <si>
    <t>OMAR F. COLQUE SANCHEZ</t>
  </si>
  <si>
    <t>TOYOTA 3869 IPX</t>
  </si>
  <si>
    <t>TOYOTA 4028 CGD</t>
  </si>
  <si>
    <t>TOYOTA 4028 CUS</t>
  </si>
  <si>
    <t>VICTOR QUINTANA BARRERA</t>
  </si>
  <si>
    <t>TOYOTA 4691 DUK</t>
  </si>
  <si>
    <t>ERNESTO QUISPE FLORES</t>
  </si>
  <si>
    <t>TOYOTA 4829 RKU</t>
  </si>
  <si>
    <t>TOYOTA 4829 RLA</t>
  </si>
  <si>
    <t>MARTIN VARGAS SALVADOR</t>
  </si>
  <si>
    <t>TOYOTA 4829 RRK</t>
  </si>
  <si>
    <t>TOYOTA 4829 RUY</t>
  </si>
  <si>
    <t>ARMANDO QUISPE CORONADO</t>
  </si>
  <si>
    <t>TOYOTA 4829 SAK</t>
  </si>
  <si>
    <t>RAUL LAGUNA BUEZO</t>
  </si>
  <si>
    <t>TOYOTA 5678 XFD</t>
  </si>
  <si>
    <t>JUAN MAMANI ALANOCA</t>
  </si>
  <si>
    <t>TOYOTA 6000 CAI</t>
  </si>
  <si>
    <t>TOYOTA 6000 CBN</t>
  </si>
  <si>
    <t>TOYOTA 6000 CCS</t>
  </si>
  <si>
    <t>TRACTO LOVOY 3756 XGR</t>
  </si>
  <si>
    <t>EDGAR MAMANI QUISPE</t>
  </si>
  <si>
    <t>VOLQUETA 4833 TGS</t>
  </si>
  <si>
    <t>TRACTO LOVOY 4833 TDF</t>
  </si>
  <si>
    <t>TOYOTA 2859 NRR</t>
  </si>
  <si>
    <t>SUZUKI 1867 LSK</t>
  </si>
  <si>
    <t>CAMION GRUA 4822 LUE</t>
  </si>
  <si>
    <t>TOYOTA 1843 YRG</t>
  </si>
  <si>
    <t>EFRAIN CUSIPUMA MARINO</t>
  </si>
  <si>
    <t>HERNAN CHOQUE CONDORI</t>
  </si>
  <si>
    <t>COMPRESOR 4606 GAD</t>
  </si>
  <si>
    <t>NISSAN 2731 YDI</t>
  </si>
  <si>
    <t>CAMION CISTERNA GAD 4608</t>
  </si>
  <si>
    <t>CISTERNA 4687 BBS</t>
  </si>
  <si>
    <t>PERFORADOR 6448 ITN</t>
  </si>
  <si>
    <t>RECORRIDO KILOMETRAJE 2-DICIEMBRE -2025</t>
  </si>
  <si>
    <t>TRACTOR AGRICOLA (FUNDO CHINOLI</t>
  </si>
  <si>
    <t>RECORRIDO KILOMETRAJE ENERO (1) -2026</t>
  </si>
  <si>
    <t>RECORRIDO KILOMETRAJE ENERO (2) -2026</t>
  </si>
  <si>
    <t>Marca y N° de Placa</t>
  </si>
  <si>
    <t>CONTROL DE BITACORAS</t>
  </si>
  <si>
    <t>AUSBERTO SOTO MAMANI</t>
  </si>
  <si>
    <t>VICTOR BERRIOS PACO</t>
  </si>
  <si>
    <t>TOYOTA 2980 XST</t>
  </si>
  <si>
    <t>GESTION</t>
  </si>
  <si>
    <t>REPORTE DE USO DE COMBUSTIBLE EN VEHíCULOS</t>
  </si>
  <si>
    <t>SECRETARIA :</t>
  </si>
  <si>
    <t>MES</t>
  </si>
  <si>
    <t>TIPO DE VEHICULO</t>
  </si>
  <si>
    <t>CHOFER</t>
  </si>
  <si>
    <t xml:space="preserve">PLACA </t>
  </si>
  <si>
    <t>LUGAR</t>
  </si>
  <si>
    <t>COLOR</t>
  </si>
  <si>
    <t>FECHA</t>
  </si>
  <si>
    <t>Nº VALE</t>
  </si>
  <si>
    <t>CANT.</t>
  </si>
  <si>
    <t>OBJETO DE VIAJE O TRABAJO</t>
  </si>
  <si>
    <t>COMBUSTIBLE</t>
  </si>
  <si>
    <t>KILOMETRAJE</t>
  </si>
  <si>
    <t>RESPONSABLE DE VIAJE</t>
  </si>
  <si>
    <t>FIRMA</t>
  </si>
  <si>
    <t>INGRESO</t>
  </si>
  <si>
    <t>UTILIZADO (*)</t>
  </si>
  <si>
    <t>SALDO</t>
  </si>
  <si>
    <t>SALIDA</t>
  </si>
  <si>
    <t>LLEGADA</t>
  </si>
  <si>
    <t>RECORRIDO</t>
  </si>
  <si>
    <t xml:space="preserve">SALDO ANTERIOR </t>
  </si>
  <si>
    <t>TOTALES</t>
  </si>
  <si>
    <t xml:space="preserve">(*) Promedio de litro de combustible utilizado en relación a kilometros recorridos.  </t>
  </si>
  <si>
    <t>KILOMETRAJE INICIAL</t>
  </si>
  <si>
    <t>FIRMA CONDUCTOR</t>
  </si>
  <si>
    <t>CONFORMIDAD INMEDIATO SUPERIOR</t>
  </si>
  <si>
    <t>CONFORMIDAD MAESTRANZA</t>
  </si>
  <si>
    <t>CONFORMIDAD ACTIVOS FIJOS</t>
  </si>
  <si>
    <t>CONFORMIDAD RESP. DE COMBUSTIBLE</t>
  </si>
  <si>
    <t>KILOMETRAJE FINAL</t>
  </si>
  <si>
    <t>KILOMETRAJE RECORRIDO</t>
  </si>
  <si>
    <t>COMBUSTIBLE CONSUMIDO</t>
  </si>
  <si>
    <t>KILOMETRAJE POR LITRO GASOLINA</t>
  </si>
  <si>
    <t>LITROS SOBRANTES PARA EL MES SIGUIENTE</t>
  </si>
  <si>
    <t>OBSERVACIONES:</t>
  </si>
  <si>
    <t>ADMINISTRATIVA FINANCIERA</t>
  </si>
  <si>
    <t>ENERO</t>
  </si>
  <si>
    <t>CAMIONETA</t>
  </si>
  <si>
    <t>2980 XPC</t>
  </si>
  <si>
    <t>POTOSI</t>
  </si>
  <si>
    <t>PLOMO</t>
  </si>
  <si>
    <t>APOYO LOCAL</t>
  </si>
  <si>
    <t>VIAJE MUNCIPIO DE YOCALLA SG O.S. 250</t>
  </si>
  <si>
    <t>COMBUSTIBLE CARGADO EN EL PERIODO</t>
  </si>
  <si>
    <t>COMBUSTIBLE CONSUMIDO EN EL PERIODO</t>
  </si>
  <si>
    <t>CAMION ESTACA  4833 TFN</t>
  </si>
  <si>
    <t>ANTES LO MANEJABA DANIEL MAMANI</t>
  </si>
  <si>
    <t>INGRESO SEGUNDA QUINCENA DE ENERO</t>
  </si>
  <si>
    <t>VEHICULO SINIESTRADO</t>
  </si>
  <si>
    <t>RECORRIDO KILOMETRAJE FEBRERO (1) -2026</t>
  </si>
  <si>
    <t>SIN MOVIMIENTO en mantenimiento</t>
  </si>
  <si>
    <t>JOSE MAMUEL  CABEZAS CORDOVA</t>
  </si>
  <si>
    <t>TOYOTA 3772 ULS</t>
  </si>
  <si>
    <t>TOYOTA      XHG</t>
  </si>
  <si>
    <t>TOYOTA 4829 RYF</t>
  </si>
  <si>
    <t>CAMBIO DE MOVILIDAD</t>
  </si>
  <si>
    <t xml:space="preserve">  </t>
  </si>
  <si>
    <t>MANTENIMIENTO</t>
  </si>
  <si>
    <t>VOLQUETA 4506 XYY</t>
  </si>
  <si>
    <t>SIN MOVIMEINTO EN MAESTRANZA</t>
  </si>
  <si>
    <t>RETROESCAVADORA WB 93R (POR HORA DE CONSUMO)</t>
  </si>
  <si>
    <t>GABRIEL CHUCAMANI</t>
  </si>
  <si>
    <t>TOYOTA 2980 XTL</t>
  </si>
  <si>
    <t>EN MANTENIMEINTO</t>
  </si>
  <si>
    <t>El uso de la Gasolina es para en carguio en los tanques de los vehículos  y en algun caso en bidones para viajes largos que rezalizan las Unidades Ejecutoras para Proyectos  y Otros en la movilidades  del Gobierno Autonomo Departamental de Potosi</t>
  </si>
  <si>
    <t>RECORRIDO KILOMETRAJE FEBRERO (2) -2026</t>
  </si>
  <si>
    <t>CAMION VOLQUETA HINO 1336 UNS</t>
  </si>
  <si>
    <t>CAMION IVECO GRUA 4710 DUK</t>
  </si>
  <si>
    <t xml:space="preserve">SIN MOVIMIENTO </t>
  </si>
  <si>
    <t>VOLVO CAMION CISTERNA 4687 BBS</t>
  </si>
  <si>
    <t>SINOTRUCK PERFORADOR 6448 IUS</t>
  </si>
  <si>
    <t>SIN  MOVIMIENTO</t>
  </si>
  <si>
    <t>CAM.PERFORADOR SINOTRUK 3759 EZD</t>
  </si>
  <si>
    <t>LO MANEJABA EDGAR CORDERO</t>
  </si>
  <si>
    <t>TOYOTA 1142 DDK</t>
  </si>
  <si>
    <t>EFRAIN QUISPE CONDORI (LUIS MIGUEL RAMIREZ)</t>
  </si>
  <si>
    <t xml:space="preserve"> </t>
  </si>
  <si>
    <t>SIN MOVI</t>
  </si>
  <si>
    <t xml:space="preserve">   </t>
  </si>
  <si>
    <t>DICIEMBRE</t>
  </si>
  <si>
    <t>VAGONETA - TOYOTA</t>
  </si>
  <si>
    <t>3772 ULS</t>
  </si>
  <si>
    <t>BLANCO</t>
  </si>
  <si>
    <t>DEP</t>
  </si>
  <si>
    <t>DESPACHO</t>
  </si>
  <si>
    <t>FEBRERO</t>
  </si>
  <si>
    <t>COMPRA</t>
  </si>
  <si>
    <t>En fecha 11 de diciembre se cargo combustible  40 Litros  de forma particular, para su reposición si  corresponde</t>
  </si>
  <si>
    <t>JOSE MANUEL CABEZAS</t>
  </si>
  <si>
    <t>MARZO</t>
  </si>
  <si>
    <t>RECORRIDO KILOMETRAJE MARZO (1) -2026</t>
  </si>
  <si>
    <t xml:space="preserve">          </t>
  </si>
  <si>
    <t>VOLQUETA 2913 FEA</t>
  </si>
  <si>
    <t>CISTERNA 4833 TEI</t>
  </si>
  <si>
    <t>RECORRIDO KILOMETRAJE MARZO (2) -2026</t>
  </si>
  <si>
    <t xml:space="preserve">     </t>
  </si>
  <si>
    <t>RECORRIDO KILOMETRAJE ABRIL (1) -2026</t>
  </si>
  <si>
    <t>ABRIL</t>
  </si>
  <si>
    <t>FERIADO</t>
  </si>
  <si>
    <t>TOYOTA 3786 NXL</t>
  </si>
  <si>
    <t>MAXIMO SACACA CANAZA</t>
  </si>
  <si>
    <t>CISTERNA WOSBAGUEN 4516 NEX</t>
  </si>
  <si>
    <t>VOLQUETA 2913 FFD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</si>
</sst>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_ ;\-0\ "/>
    <numFmt numFmtId="165" formatCode="0.0"/>
    <numFmt numFmtId="166" formatCode="0.0000"/>
  </numFmts>
  <fonts count="22" x14ac:knownFonts="1">
    <font>
      <sz val="11"/>
      <color theme="1"/>
      <name val="Calibri"/>
      <family val="2"/>
      <scheme val="minor"/>
    </font>
    <font>
      <sz val="11"/>
      <color theme="1"/>
      <name val="Calibri"/>
      <family val="2"/>
      <scheme val="minor"/>
    </font>
    <font>
      <b/>
      <sz val="11"/>
      <color theme="1"/>
      <name val="Calibri"/>
      <family val="2"/>
      <scheme val="minor"/>
    </font>
    <font>
      <sz val="8"/>
      <color theme="1"/>
      <name val="Calibri"/>
      <family val="2"/>
      <scheme val="minor"/>
    </font>
    <font>
      <sz val="11"/>
      <color rgb="FFFF0000"/>
      <name val="Calibri"/>
      <family val="2"/>
      <scheme val="minor"/>
    </font>
    <font>
      <b/>
      <sz val="13"/>
      <color theme="1"/>
      <name val="Calibri"/>
      <family val="2"/>
      <scheme val="minor"/>
    </font>
    <font>
      <b/>
      <sz val="10"/>
      <color theme="1"/>
      <name val="Calibri"/>
      <family val="2"/>
      <scheme val="minor"/>
    </font>
    <font>
      <sz val="9"/>
      <color theme="1"/>
      <name val="Calibri"/>
      <family val="2"/>
      <scheme val="minor"/>
    </font>
    <font>
      <sz val="11"/>
      <name val="Calibri"/>
      <family val="2"/>
      <scheme val="minor"/>
    </font>
    <font>
      <b/>
      <sz val="8"/>
      <color theme="1"/>
      <name val="Calibri"/>
      <family val="2"/>
      <scheme val="minor"/>
    </font>
    <font>
      <b/>
      <sz val="10"/>
      <name val="Calibri"/>
      <family val="2"/>
      <scheme val="minor"/>
    </font>
    <font>
      <sz val="10"/>
      <color theme="1" tint="4.9989318521683403E-2"/>
      <name val="Calibri"/>
      <family val="2"/>
      <scheme val="minor"/>
    </font>
    <font>
      <sz val="10"/>
      <color theme="1"/>
      <name val="Calibri"/>
      <family val="2"/>
      <scheme val="minor"/>
    </font>
    <font>
      <b/>
      <sz val="10"/>
      <color theme="1" tint="4.9989318521683403E-2"/>
      <name val="Calibri"/>
      <family val="2"/>
      <scheme val="minor"/>
    </font>
    <font>
      <sz val="11"/>
      <color theme="1" tint="0.34998626667073579"/>
      <name val="Calibri"/>
      <family val="2"/>
      <scheme val="minor"/>
    </font>
    <font>
      <b/>
      <sz val="11"/>
      <name val="Calibri"/>
      <family val="2"/>
      <scheme val="minor"/>
    </font>
    <font>
      <i/>
      <sz val="11"/>
      <color theme="1"/>
      <name val="Calibri"/>
      <family val="2"/>
      <scheme val="minor"/>
    </font>
    <font>
      <i/>
      <sz val="11"/>
      <color theme="1" tint="4.9989318521683403E-2"/>
      <name val="Calibri"/>
      <family val="2"/>
      <scheme val="minor"/>
    </font>
    <font>
      <i/>
      <sz val="11"/>
      <name val="Calibri"/>
      <family val="2"/>
      <scheme val="minor"/>
    </font>
    <font>
      <b/>
      <sz val="11"/>
      <color rgb="FFFF0000"/>
      <name val="Calibri"/>
      <family val="2"/>
      <scheme val="minor"/>
    </font>
    <font>
      <sz val="9"/>
      <color indexed="81"/>
      <name val="Tahoma"/>
      <charset val="1"/>
    </font>
    <font>
      <b/>
      <sz val="9"/>
      <color indexed="81"/>
      <name val="Tahoma"/>
      <charset val="1"/>
    </font>
  </fonts>
  <fills count="12">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0" tint="-0.249977111117893"/>
        <bgColor indexed="64"/>
      </patternFill>
    </fill>
    <fill>
      <patternFill patternType="solid">
        <fgColor rgb="FFFFC000"/>
        <bgColor indexed="64"/>
      </patternFill>
    </fill>
    <fill>
      <patternFill patternType="solid">
        <fgColor rgb="FF00B0F0"/>
        <bgColor indexed="64"/>
      </patternFill>
    </fill>
    <fill>
      <patternFill patternType="darkGrid">
        <fgColor theme="0" tint="-0.34998626667073579"/>
        <bgColor indexed="65"/>
      </patternFill>
    </fill>
    <fill>
      <patternFill patternType="solid">
        <fgColor theme="0" tint="-0.34998626667073579"/>
        <bgColor indexed="64"/>
      </patternFill>
    </fill>
    <fill>
      <patternFill patternType="solid">
        <fgColor theme="0" tint="-0.14999847407452621"/>
        <bgColor indexed="64"/>
      </patternFill>
    </fill>
    <fill>
      <patternFill patternType="solid">
        <fgColor rgb="FF0070C0"/>
        <bgColor indexed="64"/>
      </patternFill>
    </fill>
    <fill>
      <patternFill patternType="solid">
        <fgColor theme="7" tint="0.79998168889431442"/>
        <bgColor indexed="64"/>
      </patternFill>
    </fill>
  </fills>
  <borders count="58">
    <border>
      <left/>
      <right/>
      <top/>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top style="hair">
        <color indexed="64"/>
      </top>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medium">
        <color indexed="64"/>
      </right>
      <top style="hair">
        <color indexed="64"/>
      </top>
      <bottom/>
      <diagonal/>
    </border>
    <border>
      <left style="medium">
        <color indexed="64"/>
      </left>
      <right style="thin">
        <color indexed="64"/>
      </right>
      <top style="hair">
        <color indexed="64"/>
      </top>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style="medium">
        <color indexed="64"/>
      </top>
      <bottom style="hair">
        <color indexed="64"/>
      </bottom>
      <diagonal/>
    </border>
    <border>
      <left style="thin">
        <color indexed="64"/>
      </left>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top/>
      <bottom/>
      <diagonal/>
    </border>
    <border>
      <left style="thin">
        <color indexed="64"/>
      </left>
      <right/>
      <top style="hair">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medium">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2">
    <xf numFmtId="0" fontId="0" fillId="0" borderId="0"/>
    <xf numFmtId="43" fontId="1" fillId="0" borderId="0" applyFont="0" applyFill="0" applyBorder="0" applyAlignment="0" applyProtection="0"/>
  </cellStyleXfs>
  <cellXfs count="630">
    <xf numFmtId="0" fontId="0" fillId="0" borderId="0" xfId="0"/>
    <xf numFmtId="0" fontId="6" fillId="0" borderId="3" xfId="0" applyFont="1" applyBorder="1" applyAlignment="1">
      <alignment horizontal="center"/>
    </xf>
    <xf numFmtId="0" fontId="6" fillId="0" borderId="3" xfId="0" applyFont="1" applyBorder="1" applyAlignment="1">
      <alignment horizontal="center" vertical="center"/>
    </xf>
    <xf numFmtId="14" fontId="7" fillId="0" borderId="3" xfId="0" applyNumberFormat="1" applyFont="1" applyBorder="1"/>
    <xf numFmtId="0" fontId="0" fillId="0" borderId="3" xfId="0" applyBorder="1"/>
    <xf numFmtId="0" fontId="4" fillId="0" borderId="3" xfId="0" applyFont="1" applyBorder="1" applyAlignment="1">
      <alignment horizontal="right" vertical="center"/>
    </xf>
    <xf numFmtId="2" fontId="0" fillId="0" borderId="3" xfId="0" applyNumberFormat="1" applyBorder="1"/>
    <xf numFmtId="0" fontId="8" fillId="0" borderId="3" xfId="0" applyFont="1" applyBorder="1" applyAlignment="1">
      <alignment vertical="center"/>
    </xf>
    <xf numFmtId="0" fontId="4" fillId="0" borderId="3" xfId="0" applyFont="1" applyBorder="1"/>
    <xf numFmtId="0" fontId="4" fillId="0" borderId="3" xfId="0" applyFont="1" applyBorder="1" applyAlignment="1">
      <alignment horizontal="center" vertical="center"/>
    </xf>
    <xf numFmtId="0" fontId="8" fillId="0" borderId="3" xfId="0" applyFont="1" applyBorder="1"/>
    <xf numFmtId="0" fontId="0" fillId="0" borderId="15" xfId="0" applyBorder="1"/>
    <xf numFmtId="0" fontId="0" fillId="0" borderId="3" xfId="0" applyBorder="1" applyAlignment="1">
      <alignment horizontal="center" vertical="center"/>
    </xf>
    <xf numFmtId="2" fontId="0" fillId="0" borderId="3" xfId="0" applyNumberFormat="1" applyBorder="1" applyAlignment="1">
      <alignment horizontal="center" vertical="center"/>
    </xf>
    <xf numFmtId="0" fontId="8" fillId="0" borderId="3" xfId="0" applyFont="1" applyBorder="1" applyAlignment="1">
      <alignment horizontal="center" vertical="center"/>
    </xf>
    <xf numFmtId="0" fontId="0" fillId="0" borderId="3" xfId="0" applyBorder="1" applyAlignment="1">
      <alignment vertical="center"/>
    </xf>
    <xf numFmtId="0" fontId="0" fillId="0" borderId="3" xfId="0" applyBorder="1" applyAlignment="1">
      <alignment horizontal="right" vertical="center"/>
    </xf>
    <xf numFmtId="0" fontId="3" fillId="0" borderId="3" xfId="0" applyFont="1" applyBorder="1" applyAlignment="1">
      <alignment horizontal="center" vertical="center"/>
    </xf>
    <xf numFmtId="0" fontId="0" fillId="0" borderId="15" xfId="0" applyBorder="1" applyAlignment="1">
      <alignment vertical="center"/>
    </xf>
    <xf numFmtId="2" fontId="0" fillId="0" borderId="0" xfId="0" applyNumberFormat="1"/>
    <xf numFmtId="0" fontId="0" fillId="0" borderId="15" xfId="0" applyBorder="1" applyAlignment="1">
      <alignment horizontal="center" vertical="center"/>
    </xf>
    <xf numFmtId="0" fontId="0" fillId="0" borderId="10" xfId="0" applyBorder="1" applyAlignment="1">
      <alignment horizontal="center"/>
    </xf>
    <xf numFmtId="0" fontId="0" fillId="0" borderId="15" xfId="0" applyBorder="1" applyAlignment="1">
      <alignment horizontal="center"/>
    </xf>
    <xf numFmtId="1" fontId="0" fillId="0" borderId="3" xfId="0" applyNumberFormat="1" applyBorder="1" applyAlignment="1">
      <alignment horizontal="center" vertical="center"/>
    </xf>
    <xf numFmtId="0" fontId="3" fillId="0" borderId="0" xfId="0" applyFont="1"/>
    <xf numFmtId="43" fontId="0" fillId="0" borderId="3" xfId="1" applyFont="1" applyBorder="1" applyAlignment="1">
      <alignment horizontal="right" vertical="center"/>
    </xf>
    <xf numFmtId="2" fontId="0" fillId="0" borderId="3" xfId="0" applyNumberFormat="1" applyBorder="1" applyAlignment="1">
      <alignment horizontal="right" vertical="center"/>
    </xf>
    <xf numFmtId="0" fontId="0" fillId="0" borderId="0" xfId="0" applyAlignment="1">
      <alignment vertical="center"/>
    </xf>
    <xf numFmtId="0" fontId="6" fillId="4" borderId="3" xfId="0" applyFont="1" applyFill="1" applyBorder="1" applyAlignment="1">
      <alignment horizontal="center" vertical="center"/>
    </xf>
    <xf numFmtId="14" fontId="0" fillId="0" borderId="3" xfId="0" applyNumberFormat="1" applyBorder="1" applyAlignment="1">
      <alignment vertical="center"/>
    </xf>
    <xf numFmtId="2" fontId="0" fillId="0" borderId="3" xfId="0" applyNumberFormat="1" applyBorder="1" applyAlignment="1">
      <alignment vertical="center"/>
    </xf>
    <xf numFmtId="0" fontId="8" fillId="4" borderId="3" xfId="0" applyFont="1" applyFill="1" applyBorder="1" applyAlignment="1">
      <alignment horizontal="center" vertical="center"/>
    </xf>
    <xf numFmtId="0" fontId="4" fillId="0" borderId="3" xfId="0" applyFont="1" applyBorder="1" applyAlignment="1">
      <alignment vertical="center"/>
    </xf>
    <xf numFmtId="14" fontId="0" fillId="2" borderId="3" xfId="0" applyNumberFormat="1" applyFill="1" applyBorder="1" applyAlignment="1">
      <alignment horizontal="center" vertical="center"/>
    </xf>
    <xf numFmtId="0" fontId="0" fillId="3" borderId="3" xfId="0" applyFill="1" applyBorder="1" applyAlignment="1">
      <alignment horizontal="center" vertical="center"/>
    </xf>
    <xf numFmtId="0" fontId="0" fillId="5" borderId="3" xfId="0" applyFill="1" applyBorder="1" applyAlignment="1">
      <alignment horizontal="center" vertical="center"/>
    </xf>
    <xf numFmtId="2" fontId="0" fillId="5" borderId="3" xfId="0" applyNumberFormat="1" applyFill="1" applyBorder="1" applyAlignment="1">
      <alignment horizontal="center" vertical="center"/>
    </xf>
    <xf numFmtId="0" fontId="8" fillId="5" borderId="3" xfId="0" applyFont="1" applyFill="1" applyBorder="1" applyAlignment="1">
      <alignment horizontal="center" vertical="center"/>
    </xf>
    <xf numFmtId="0" fontId="0" fillId="3" borderId="15" xfId="0" applyFill="1" applyBorder="1" applyAlignment="1">
      <alignment vertical="center"/>
    </xf>
    <xf numFmtId="0" fontId="0" fillId="3" borderId="15" xfId="0" applyFill="1" applyBorder="1" applyAlignment="1">
      <alignment horizontal="center" vertical="center"/>
    </xf>
    <xf numFmtId="14" fontId="0" fillId="2" borderId="3" xfId="0" applyNumberFormat="1" applyFill="1" applyBorder="1" applyAlignment="1">
      <alignment vertical="center"/>
    </xf>
    <xf numFmtId="0" fontId="0" fillId="3" borderId="10" xfId="0" applyFill="1" applyBorder="1" applyAlignment="1">
      <alignment horizontal="center" vertical="center"/>
    </xf>
    <xf numFmtId="2" fontId="0" fillId="0" borderId="0" xfId="0" applyNumberFormat="1" applyAlignment="1">
      <alignment vertical="center"/>
    </xf>
    <xf numFmtId="1" fontId="0" fillId="5" borderId="3" xfId="0" applyNumberFormat="1" applyFill="1" applyBorder="1" applyAlignment="1">
      <alignment horizontal="center" vertical="center"/>
    </xf>
    <xf numFmtId="2" fontId="0" fillId="5" borderId="3" xfId="1" applyNumberFormat="1" applyFont="1" applyFill="1" applyBorder="1" applyAlignment="1">
      <alignment horizontal="center" vertical="center"/>
    </xf>
    <xf numFmtId="0" fontId="2" fillId="3" borderId="25" xfId="0" applyFont="1" applyFill="1" applyBorder="1" applyAlignment="1">
      <alignment vertical="center" wrapText="1"/>
    </xf>
    <xf numFmtId="0" fontId="2" fillId="3" borderId="26" xfId="0" applyFont="1" applyFill="1" applyBorder="1" applyAlignment="1">
      <alignment vertical="center" wrapText="1"/>
    </xf>
    <xf numFmtId="0" fontId="2" fillId="3" borderId="5" xfId="0" applyFont="1" applyFill="1" applyBorder="1" applyAlignment="1">
      <alignment vertical="center" wrapText="1"/>
    </xf>
    <xf numFmtId="0" fontId="2" fillId="3" borderId="27" xfId="0" applyFont="1" applyFill="1" applyBorder="1" applyAlignment="1">
      <alignment vertical="center" wrapText="1"/>
    </xf>
    <xf numFmtId="0" fontId="2" fillId="3" borderId="28" xfId="0" applyFont="1" applyFill="1" applyBorder="1" applyAlignment="1">
      <alignment vertical="center" wrapText="1"/>
    </xf>
    <xf numFmtId="0" fontId="2" fillId="3" borderId="29" xfId="0" applyFont="1" applyFill="1" applyBorder="1" applyAlignment="1">
      <alignment vertical="center" wrapText="1"/>
    </xf>
    <xf numFmtId="0" fontId="2" fillId="3" borderId="30" xfId="0" applyFont="1" applyFill="1" applyBorder="1" applyAlignment="1">
      <alignment vertical="center" wrapText="1"/>
    </xf>
    <xf numFmtId="0" fontId="2" fillId="3" borderId="31" xfId="0" applyFont="1" applyFill="1" applyBorder="1" applyAlignment="1">
      <alignment vertical="center" wrapText="1"/>
    </xf>
    <xf numFmtId="0" fontId="13" fillId="0" borderId="1" xfId="0" applyFont="1" applyFill="1" applyBorder="1" applyAlignment="1">
      <alignment vertical="center" wrapText="1"/>
    </xf>
    <xf numFmtId="0" fontId="13" fillId="0" borderId="1" xfId="0" applyFont="1" applyFill="1" applyBorder="1" applyAlignment="1">
      <alignment vertical="center"/>
    </xf>
    <xf numFmtId="0" fontId="10" fillId="0" borderId="1" xfId="0" applyFont="1" applyFill="1" applyBorder="1" applyAlignment="1">
      <alignment horizontal="center" vertical="center" wrapText="1"/>
    </xf>
    <xf numFmtId="0" fontId="10" fillId="0" borderId="14" xfId="0" applyFont="1" applyFill="1" applyBorder="1" applyAlignment="1">
      <alignment horizontal="center" vertical="center" wrapText="1"/>
    </xf>
    <xf numFmtId="0" fontId="10" fillId="0" borderId="37" xfId="0" applyFont="1" applyBorder="1" applyAlignment="1">
      <alignment horizontal="center" vertical="center" wrapText="1"/>
    </xf>
    <xf numFmtId="0" fontId="10" fillId="0" borderId="1" xfId="0" applyFont="1" applyBorder="1" applyAlignment="1">
      <alignment horizontal="center" vertical="center" wrapText="1"/>
    </xf>
    <xf numFmtId="0" fontId="10" fillId="0" borderId="1" xfId="0" applyNumberFormat="1" applyFont="1" applyBorder="1" applyAlignment="1">
      <alignment horizontal="center" vertical="center" wrapText="1"/>
    </xf>
    <xf numFmtId="0" fontId="10" fillId="0" borderId="38" xfId="0" applyFont="1" applyBorder="1" applyAlignment="1">
      <alignment horizontal="center" vertical="center" wrapText="1"/>
    </xf>
    <xf numFmtId="0" fontId="10" fillId="0" borderId="39" xfId="0" applyFont="1" applyBorder="1" applyAlignment="1">
      <alignment horizontal="center" vertical="center" wrapText="1"/>
    </xf>
    <xf numFmtId="0" fontId="10" fillId="0" borderId="40" xfId="0" applyFont="1" applyBorder="1" applyAlignment="1">
      <alignment horizontal="center" vertical="center" wrapText="1"/>
    </xf>
    <xf numFmtId="0" fontId="15" fillId="0" borderId="45" xfId="0" applyFont="1" applyFill="1" applyBorder="1" applyAlignment="1">
      <alignment horizontal="center" vertical="center"/>
    </xf>
    <xf numFmtId="0" fontId="17" fillId="2" borderId="4" xfId="0" applyFont="1" applyFill="1" applyBorder="1" applyAlignment="1">
      <alignment vertical="center"/>
    </xf>
    <xf numFmtId="4" fontId="17" fillId="2" borderId="4" xfId="0" applyNumberFormat="1" applyFont="1" applyFill="1" applyBorder="1" applyAlignment="1">
      <alignment horizontal="left" vertical="center"/>
    </xf>
    <xf numFmtId="0" fontId="17" fillId="0" borderId="4" xfId="0" applyFont="1" applyFill="1" applyBorder="1" applyAlignment="1">
      <alignment vertical="center"/>
    </xf>
    <xf numFmtId="4" fontId="17" fillId="0" borderId="4" xfId="0" applyNumberFormat="1" applyFont="1" applyFill="1" applyBorder="1" applyAlignment="1">
      <alignment horizontal="left" vertical="center"/>
    </xf>
    <xf numFmtId="0" fontId="16" fillId="2" borderId="4" xfId="0" applyFont="1" applyFill="1" applyBorder="1" applyAlignment="1">
      <alignment vertical="center"/>
    </xf>
    <xf numFmtId="0" fontId="18" fillId="2" borderId="4" xfId="0" applyFont="1" applyFill="1" applyBorder="1" applyAlignment="1">
      <alignment vertical="center"/>
    </xf>
    <xf numFmtId="0" fontId="17" fillId="2" borderId="6" xfId="0" applyFont="1" applyFill="1" applyBorder="1" applyAlignment="1">
      <alignment vertical="center"/>
    </xf>
    <xf numFmtId="0" fontId="16" fillId="2" borderId="6" xfId="0" applyFont="1" applyFill="1" applyBorder="1" applyAlignment="1">
      <alignment vertical="center"/>
    </xf>
    <xf numFmtId="4" fontId="17" fillId="2" borderId="6" xfId="0" applyNumberFormat="1" applyFont="1" applyFill="1" applyBorder="1" applyAlignment="1">
      <alignment horizontal="left" vertical="center"/>
    </xf>
    <xf numFmtId="4" fontId="16" fillId="2" borderId="4" xfId="0" applyNumberFormat="1" applyFont="1" applyFill="1" applyBorder="1" applyAlignment="1">
      <alignment horizontal="left" vertical="center"/>
    </xf>
    <xf numFmtId="0" fontId="15" fillId="2" borderId="11" xfId="0" applyFont="1" applyFill="1" applyBorder="1" applyAlignment="1">
      <alignment horizontal="center" vertical="center"/>
    </xf>
    <xf numFmtId="0" fontId="16" fillId="2" borderId="41" xfId="0" applyFont="1" applyFill="1" applyBorder="1" applyAlignment="1">
      <alignment vertical="center"/>
    </xf>
    <xf numFmtId="0" fontId="17" fillId="2" borderId="41" xfId="0" applyFont="1" applyFill="1" applyBorder="1" applyAlignment="1">
      <alignment vertical="center"/>
    </xf>
    <xf numFmtId="0" fontId="10" fillId="0" borderId="47" xfId="0" applyFont="1" applyBorder="1" applyAlignment="1">
      <alignment horizontal="center" vertical="center" wrapText="1"/>
    </xf>
    <xf numFmtId="0" fontId="0" fillId="3" borderId="3" xfId="0" applyFill="1" applyBorder="1" applyAlignment="1">
      <alignment horizontal="center" vertical="center"/>
    </xf>
    <xf numFmtId="0" fontId="0" fillId="3" borderId="10" xfId="0" applyFill="1" applyBorder="1" applyAlignment="1">
      <alignment horizontal="center" vertical="center"/>
    </xf>
    <xf numFmtId="0" fontId="0" fillId="3" borderId="15" xfId="0" applyFill="1" applyBorder="1" applyAlignment="1">
      <alignment horizontal="center" vertical="center"/>
    </xf>
    <xf numFmtId="0" fontId="0" fillId="0" borderId="3" xfId="0" applyBorder="1" applyAlignment="1">
      <alignment vertical="center"/>
    </xf>
    <xf numFmtId="0" fontId="6" fillId="4" borderId="3" xfId="0" applyFont="1" applyFill="1" applyBorder="1" applyAlignment="1">
      <alignment horizontal="center" vertical="center"/>
    </xf>
    <xf numFmtId="0" fontId="19" fillId="0" borderId="45" xfId="0" applyFont="1" applyFill="1" applyBorder="1" applyAlignment="1">
      <alignment horizontal="center" vertical="center"/>
    </xf>
    <xf numFmtId="0" fontId="17" fillId="8" borderId="4" xfId="0" applyFont="1" applyFill="1" applyBorder="1" applyAlignment="1">
      <alignment vertical="center"/>
    </xf>
    <xf numFmtId="4" fontId="17" fillId="8" borderId="4" xfId="0" applyNumberFormat="1" applyFont="1" applyFill="1" applyBorder="1" applyAlignment="1">
      <alignment horizontal="left" vertical="center"/>
    </xf>
    <xf numFmtId="0" fontId="0" fillId="3" borderId="3" xfId="0" applyFill="1" applyBorder="1" applyAlignment="1">
      <alignment horizontal="center" vertical="center"/>
    </xf>
    <xf numFmtId="0" fontId="18" fillId="4" borderId="4" xfId="0" applyFont="1" applyFill="1" applyBorder="1" applyAlignment="1">
      <alignment vertical="center"/>
    </xf>
    <xf numFmtId="0" fontId="10" fillId="5" borderId="39" xfId="0" applyFont="1" applyFill="1" applyBorder="1" applyAlignment="1">
      <alignment horizontal="center" vertical="center" wrapText="1"/>
    </xf>
    <xf numFmtId="0" fontId="10" fillId="5" borderId="40" xfId="0" applyFont="1" applyFill="1" applyBorder="1" applyAlignment="1">
      <alignment horizontal="center" vertical="center" wrapText="1"/>
    </xf>
    <xf numFmtId="0" fontId="17" fillId="4" borderId="4" xfId="0" applyFont="1" applyFill="1" applyBorder="1" applyAlignment="1">
      <alignment vertical="center"/>
    </xf>
    <xf numFmtId="4" fontId="17" fillId="4" borderId="4" xfId="0" applyNumberFormat="1" applyFont="1" applyFill="1" applyBorder="1" applyAlignment="1">
      <alignment horizontal="left" vertical="center"/>
    </xf>
    <xf numFmtId="0" fontId="17" fillId="9" borderId="4" xfId="0" applyFont="1" applyFill="1" applyBorder="1" applyAlignment="1">
      <alignment vertical="center"/>
    </xf>
    <xf numFmtId="0" fontId="0" fillId="0" borderId="3" xfId="0" applyBorder="1" applyAlignment="1">
      <alignment vertical="center"/>
    </xf>
    <xf numFmtId="0" fontId="0" fillId="0" borderId="3" xfId="0" applyBorder="1" applyAlignment="1">
      <alignment vertical="center"/>
    </xf>
    <xf numFmtId="14" fontId="0" fillId="0" borderId="3" xfId="0" applyNumberFormat="1" applyFill="1" applyBorder="1" applyAlignment="1">
      <alignment horizontal="center" vertical="center"/>
    </xf>
    <xf numFmtId="0" fontId="0" fillId="0" borderId="3" xfId="0" applyFill="1" applyBorder="1" applyAlignment="1">
      <alignment horizontal="center" vertical="center"/>
    </xf>
    <xf numFmtId="2" fontId="0" fillId="0" borderId="3" xfId="0" applyNumberFormat="1" applyFill="1" applyBorder="1" applyAlignment="1">
      <alignment horizontal="center" vertical="center"/>
    </xf>
    <xf numFmtId="0" fontId="8" fillId="0" borderId="3" xfId="0" applyFont="1" applyFill="1" applyBorder="1" applyAlignment="1">
      <alignment horizontal="center" vertical="center"/>
    </xf>
    <xf numFmtId="0" fontId="0" fillId="0" borderId="3" xfId="0" applyFill="1" applyBorder="1" applyAlignment="1">
      <alignment horizontal="center" vertical="center"/>
    </xf>
    <xf numFmtId="0" fontId="0" fillId="0" borderId="15" xfId="0" applyFill="1" applyBorder="1" applyAlignment="1">
      <alignment vertical="center"/>
    </xf>
    <xf numFmtId="0" fontId="0" fillId="0" borderId="15" xfId="0" applyFill="1" applyBorder="1" applyAlignment="1">
      <alignment horizontal="center" vertical="center"/>
    </xf>
    <xf numFmtId="0" fontId="0" fillId="0" borderId="10" xfId="0" applyFill="1" applyBorder="1" applyAlignment="1">
      <alignment horizontal="center" vertical="center"/>
    </xf>
    <xf numFmtId="1" fontId="0" fillId="0" borderId="3" xfId="0" applyNumberFormat="1" applyFill="1" applyBorder="1" applyAlignment="1">
      <alignment horizontal="center" vertical="center"/>
    </xf>
    <xf numFmtId="2" fontId="0" fillId="0" borderId="3" xfId="1" applyNumberFormat="1" applyFont="1" applyFill="1" applyBorder="1" applyAlignment="1">
      <alignment horizontal="center" vertical="center"/>
    </xf>
    <xf numFmtId="0" fontId="4" fillId="0" borderId="3" xfId="0" applyFont="1" applyFill="1" applyBorder="1" applyAlignment="1">
      <alignment horizontal="right" vertical="center"/>
    </xf>
    <xf numFmtId="2" fontId="0" fillId="0" borderId="3" xfId="0" applyNumberFormat="1" applyFill="1" applyBorder="1" applyAlignment="1">
      <alignment vertical="center"/>
    </xf>
    <xf numFmtId="0" fontId="4" fillId="0" borderId="3" xfId="0" applyFont="1" applyFill="1" applyBorder="1" applyAlignment="1">
      <alignment vertical="center"/>
    </xf>
    <xf numFmtId="0" fontId="6" fillId="9" borderId="3" xfId="0" applyFont="1" applyFill="1" applyBorder="1" applyAlignment="1">
      <alignment horizontal="center" vertical="center"/>
    </xf>
    <xf numFmtId="1" fontId="8" fillId="0" borderId="3" xfId="0" applyNumberFormat="1" applyFont="1" applyFill="1" applyBorder="1" applyAlignment="1">
      <alignment horizontal="center" vertical="center"/>
    </xf>
    <xf numFmtId="2" fontId="8" fillId="0" borderId="3" xfId="0" applyNumberFormat="1" applyFont="1" applyFill="1" applyBorder="1" applyAlignment="1">
      <alignment horizontal="center" vertical="center"/>
    </xf>
    <xf numFmtId="0" fontId="2" fillId="0" borderId="25" xfId="0" applyFont="1" applyFill="1" applyBorder="1" applyAlignment="1">
      <alignment vertical="center" wrapText="1"/>
    </xf>
    <xf numFmtId="0" fontId="2" fillId="0" borderId="26" xfId="0" applyFont="1" applyFill="1" applyBorder="1" applyAlignment="1">
      <alignment vertical="center" wrapText="1"/>
    </xf>
    <xf numFmtId="0" fontId="2" fillId="0" borderId="5" xfId="0" applyFont="1" applyFill="1" applyBorder="1" applyAlignment="1">
      <alignment vertical="center" wrapText="1"/>
    </xf>
    <xf numFmtId="0" fontId="2" fillId="0" borderId="27" xfId="0" applyFont="1" applyFill="1" applyBorder="1" applyAlignment="1">
      <alignment vertical="center" wrapText="1"/>
    </xf>
    <xf numFmtId="0" fontId="2" fillId="0" borderId="28" xfId="0" applyFont="1" applyFill="1" applyBorder="1" applyAlignment="1">
      <alignment vertical="center" wrapText="1"/>
    </xf>
    <xf numFmtId="0" fontId="2" fillId="0" borderId="29" xfId="0" applyFont="1" applyFill="1" applyBorder="1" applyAlignment="1">
      <alignment vertical="center" wrapText="1"/>
    </xf>
    <xf numFmtId="0" fontId="2" fillId="0" borderId="30" xfId="0" applyFont="1" applyFill="1" applyBorder="1" applyAlignment="1">
      <alignment vertical="center" wrapText="1"/>
    </xf>
    <xf numFmtId="0" fontId="2" fillId="0" borderId="31" xfId="0" applyFont="1" applyFill="1" applyBorder="1" applyAlignment="1">
      <alignment vertical="center" wrapText="1"/>
    </xf>
    <xf numFmtId="0" fontId="0" fillId="0" borderId="25" xfId="0" applyFont="1" applyFill="1" applyBorder="1" applyAlignment="1">
      <alignment horizontal="left" vertical="center"/>
    </xf>
    <xf numFmtId="0" fontId="10" fillId="3" borderId="39" xfId="0" applyFont="1" applyFill="1" applyBorder="1" applyAlignment="1">
      <alignment horizontal="center" vertical="center" wrapText="1"/>
    </xf>
    <xf numFmtId="0" fontId="10" fillId="3" borderId="40" xfId="0" applyFont="1" applyFill="1" applyBorder="1" applyAlignment="1">
      <alignment horizontal="center" vertical="center" wrapText="1"/>
    </xf>
    <xf numFmtId="0" fontId="10" fillId="6" borderId="37" xfId="0" applyFont="1" applyFill="1" applyBorder="1" applyAlignment="1">
      <alignment horizontal="center" vertical="center" wrapText="1"/>
    </xf>
    <xf numFmtId="0" fontId="10" fillId="6" borderId="39" xfId="0" applyFont="1" applyFill="1" applyBorder="1" applyAlignment="1">
      <alignment horizontal="center" vertical="center" wrapText="1"/>
    </xf>
    <xf numFmtId="0" fontId="10" fillId="6" borderId="1" xfId="0" applyNumberFormat="1" applyFont="1" applyFill="1" applyBorder="1" applyAlignment="1">
      <alignment horizontal="center" vertical="center" wrapText="1"/>
    </xf>
    <xf numFmtId="0" fontId="10" fillId="6" borderId="47" xfId="0" applyFont="1" applyFill="1" applyBorder="1" applyAlignment="1">
      <alignment horizontal="center" vertical="center" wrapText="1"/>
    </xf>
    <xf numFmtId="0" fontId="10" fillId="6" borderId="40" xfId="0" applyFont="1" applyFill="1" applyBorder="1" applyAlignment="1">
      <alignment horizontal="center" vertical="center" wrapText="1"/>
    </xf>
    <xf numFmtId="0" fontId="18" fillId="0" borderId="4" xfId="0" applyFont="1" applyFill="1" applyBorder="1" applyAlignment="1">
      <alignment vertical="center"/>
    </xf>
    <xf numFmtId="4" fontId="18" fillId="0" borderId="4" xfId="0" applyNumberFormat="1" applyFont="1" applyFill="1" applyBorder="1" applyAlignment="1">
      <alignment horizontal="left" vertical="center"/>
    </xf>
    <xf numFmtId="0" fontId="0" fillId="0" borderId="3" xfId="0" applyBorder="1" applyAlignment="1">
      <alignment vertical="center"/>
    </xf>
    <xf numFmtId="0" fontId="0" fillId="0" borderId="3" xfId="0" applyFill="1" applyBorder="1" applyAlignment="1">
      <alignment horizontal="center" vertical="center"/>
    </xf>
    <xf numFmtId="0" fontId="6" fillId="9" borderId="3" xfId="0" applyFont="1" applyFill="1" applyBorder="1" applyAlignment="1">
      <alignment horizontal="center" vertical="center"/>
    </xf>
    <xf numFmtId="1" fontId="0" fillId="0" borderId="0" xfId="0" applyNumberFormat="1" applyAlignment="1">
      <alignment vertical="center"/>
    </xf>
    <xf numFmtId="14" fontId="0" fillId="0" borderId="18" xfId="0" applyNumberFormat="1" applyFill="1" applyBorder="1" applyAlignment="1">
      <alignment horizontal="center" vertical="center"/>
    </xf>
    <xf numFmtId="0" fontId="0" fillId="0" borderId="18" xfId="0" applyFill="1" applyBorder="1" applyAlignment="1">
      <alignment horizontal="center" vertical="center"/>
    </xf>
    <xf numFmtId="0" fontId="0" fillId="0" borderId="20" xfId="0" applyFill="1" applyBorder="1" applyAlignment="1">
      <alignment horizontal="center" vertical="center"/>
    </xf>
    <xf numFmtId="2" fontId="0" fillId="0" borderId="18" xfId="0" applyNumberFormat="1" applyFill="1" applyBorder="1" applyAlignment="1">
      <alignment horizontal="center" vertical="center"/>
    </xf>
    <xf numFmtId="1" fontId="0" fillId="0" borderId="18" xfId="0" applyNumberFormat="1" applyFill="1" applyBorder="1" applyAlignment="1">
      <alignment horizontal="center" vertical="center"/>
    </xf>
    <xf numFmtId="0" fontId="8" fillId="0" borderId="18" xfId="0" applyFont="1" applyFill="1" applyBorder="1" applyAlignment="1">
      <alignment horizontal="center" vertical="center"/>
    </xf>
    <xf numFmtId="0" fontId="0" fillId="0" borderId="19" xfId="0" applyFill="1" applyBorder="1" applyAlignment="1">
      <alignment horizontal="center" vertical="center"/>
    </xf>
    <xf numFmtId="0" fontId="0" fillId="0" borderId="20" xfId="0" applyFill="1" applyBorder="1" applyAlignment="1">
      <alignment vertical="center"/>
    </xf>
    <xf numFmtId="14" fontId="0" fillId="0" borderId="49" xfId="0" applyNumberFormat="1" applyFill="1" applyBorder="1" applyAlignment="1">
      <alignment horizontal="center" vertical="center"/>
    </xf>
    <xf numFmtId="0" fontId="0" fillId="0" borderId="49" xfId="0" applyFill="1" applyBorder="1" applyAlignment="1">
      <alignment horizontal="center" vertical="center"/>
    </xf>
    <xf numFmtId="0" fontId="0" fillId="0" borderId="50" xfId="0" applyFill="1" applyBorder="1" applyAlignment="1">
      <alignment horizontal="center" vertical="center"/>
    </xf>
    <xf numFmtId="2" fontId="0" fillId="0" borderId="49" xfId="0" applyNumberFormat="1" applyFill="1" applyBorder="1" applyAlignment="1">
      <alignment horizontal="center" vertical="center"/>
    </xf>
    <xf numFmtId="1" fontId="0" fillId="0" borderId="49" xfId="0" applyNumberFormat="1" applyFill="1" applyBorder="1" applyAlignment="1">
      <alignment horizontal="center" vertical="center"/>
    </xf>
    <xf numFmtId="0" fontId="8" fillId="0" borderId="49" xfId="0" applyFont="1" applyFill="1" applyBorder="1" applyAlignment="1">
      <alignment horizontal="center" vertical="center"/>
    </xf>
    <xf numFmtId="0" fontId="0" fillId="0" borderId="50" xfId="0" applyFill="1" applyBorder="1" applyAlignment="1">
      <alignment vertical="center"/>
    </xf>
    <xf numFmtId="0" fontId="10" fillId="5" borderId="53" xfId="0" applyFont="1" applyFill="1" applyBorder="1" applyAlignment="1">
      <alignment horizontal="center" vertical="center" wrapText="1"/>
    </xf>
    <xf numFmtId="0" fontId="10" fillId="5" borderId="39" xfId="0" applyNumberFormat="1" applyFont="1" applyFill="1" applyBorder="1" applyAlignment="1">
      <alignment horizontal="center" vertical="center" wrapText="1"/>
    </xf>
    <xf numFmtId="0" fontId="10" fillId="5" borderId="54" xfId="0" applyFont="1" applyFill="1" applyBorder="1" applyAlignment="1">
      <alignment horizontal="center" vertical="center" wrapText="1"/>
    </xf>
    <xf numFmtId="0" fontId="10" fillId="3" borderId="53" xfId="0" applyFont="1" applyFill="1" applyBorder="1" applyAlignment="1">
      <alignment horizontal="center" vertical="center" wrapText="1"/>
    </xf>
    <xf numFmtId="0" fontId="10" fillId="3" borderId="39" xfId="0" applyNumberFormat="1" applyFont="1" applyFill="1" applyBorder="1" applyAlignment="1">
      <alignment horizontal="center" vertical="center" wrapText="1"/>
    </xf>
    <xf numFmtId="0" fontId="10" fillId="3" borderId="54" xfId="0" applyFont="1" applyFill="1" applyBorder="1" applyAlignment="1">
      <alignment horizontal="center" vertical="center" wrapText="1"/>
    </xf>
    <xf numFmtId="0" fontId="10" fillId="10" borderId="53" xfId="0" applyFont="1" applyFill="1" applyBorder="1" applyAlignment="1">
      <alignment horizontal="center" vertical="center" wrapText="1"/>
    </xf>
    <xf numFmtId="0" fontId="10" fillId="10" borderId="39" xfId="0" applyFont="1" applyFill="1" applyBorder="1" applyAlignment="1">
      <alignment horizontal="center" vertical="center" wrapText="1"/>
    </xf>
    <xf numFmtId="0" fontId="10" fillId="10" borderId="39" xfId="0" applyNumberFormat="1" applyFont="1" applyFill="1" applyBorder="1" applyAlignment="1">
      <alignment horizontal="center" vertical="center" wrapText="1"/>
    </xf>
    <xf numFmtId="0" fontId="10" fillId="10" borderId="54" xfId="0" applyFont="1" applyFill="1" applyBorder="1" applyAlignment="1">
      <alignment horizontal="center" vertical="center" wrapText="1"/>
    </xf>
    <xf numFmtId="0" fontId="10" fillId="10" borderId="40" xfId="0" applyFont="1" applyFill="1" applyBorder="1" applyAlignment="1">
      <alignment horizontal="center" vertical="center" wrapText="1"/>
    </xf>
    <xf numFmtId="0" fontId="14" fillId="0" borderId="0" xfId="0" applyFont="1" applyAlignment="1">
      <alignment vertical="center"/>
    </xf>
    <xf numFmtId="0" fontId="0" fillId="0" borderId="0" xfId="0" applyFont="1" applyAlignment="1">
      <alignment vertical="center"/>
    </xf>
    <xf numFmtId="0" fontId="11" fillId="0" borderId="0" xfId="0" applyFont="1" applyBorder="1" applyAlignment="1">
      <alignment vertical="center"/>
    </xf>
    <xf numFmtId="0" fontId="12" fillId="0" borderId="0" xfId="0" applyFont="1" applyAlignment="1">
      <alignment vertical="center"/>
    </xf>
    <xf numFmtId="0" fontId="0" fillId="0" borderId="41" xfId="0" applyFont="1" applyFill="1" applyBorder="1" applyAlignment="1">
      <alignment vertical="center"/>
    </xf>
    <xf numFmtId="43" fontId="0" fillId="0" borderId="41" xfId="1" applyFont="1" applyFill="1" applyBorder="1" applyAlignment="1">
      <alignment vertical="center"/>
    </xf>
    <xf numFmtId="43" fontId="0" fillId="0" borderId="42" xfId="1" applyFont="1" applyFill="1" applyBorder="1" applyAlignment="1">
      <alignment vertical="center"/>
    </xf>
    <xf numFmtId="0" fontId="0" fillId="2" borderId="43" xfId="0" applyFont="1" applyFill="1" applyBorder="1" applyAlignment="1">
      <alignment vertical="center"/>
    </xf>
    <xf numFmtId="0" fontId="0" fillId="2" borderId="41" xfId="0" applyFont="1" applyFill="1" applyBorder="1" applyAlignment="1">
      <alignment vertical="center"/>
    </xf>
    <xf numFmtId="0" fontId="0" fillId="2" borderId="41" xfId="1" applyNumberFormat="1" applyFont="1" applyFill="1" applyBorder="1" applyAlignment="1">
      <alignment vertical="center"/>
    </xf>
    <xf numFmtId="43" fontId="0" fillId="2" borderId="41" xfId="1" applyFont="1" applyFill="1" applyBorder="1" applyAlignment="1">
      <alignment vertical="center"/>
    </xf>
    <xf numFmtId="43" fontId="0" fillId="2" borderId="44" xfId="1" applyFont="1" applyFill="1" applyBorder="1" applyAlignment="1">
      <alignment vertical="center"/>
    </xf>
    <xf numFmtId="0" fontId="0" fillId="3" borderId="43" xfId="0" applyFont="1" applyFill="1" applyBorder="1" applyAlignment="1">
      <alignment vertical="center"/>
    </xf>
    <xf numFmtId="0" fontId="0" fillId="3" borderId="41" xfId="0" applyFont="1" applyFill="1" applyBorder="1" applyAlignment="1">
      <alignment vertical="center"/>
    </xf>
    <xf numFmtId="0" fontId="0" fillId="3" borderId="41" xfId="1" applyNumberFormat="1" applyFont="1" applyFill="1" applyBorder="1" applyAlignment="1">
      <alignment vertical="center"/>
    </xf>
    <xf numFmtId="43" fontId="0" fillId="3" borderId="48" xfId="1" applyFont="1" applyFill="1" applyBorder="1" applyAlignment="1">
      <alignment vertical="center"/>
    </xf>
    <xf numFmtId="0" fontId="0" fillId="3" borderId="44" xfId="0" applyFont="1" applyFill="1" applyBorder="1" applyAlignment="1">
      <alignment vertical="center"/>
    </xf>
    <xf numFmtId="0" fontId="0" fillId="6" borderId="43" xfId="0" applyFont="1" applyFill="1" applyBorder="1" applyAlignment="1">
      <alignment vertical="center"/>
    </xf>
    <xf numFmtId="0" fontId="0" fillId="6" borderId="41" xfId="0" applyFont="1" applyFill="1" applyBorder="1" applyAlignment="1">
      <alignment vertical="center"/>
    </xf>
    <xf numFmtId="0" fontId="0" fillId="6" borderId="41" xfId="1" applyNumberFormat="1" applyFont="1" applyFill="1" applyBorder="1" applyAlignment="1">
      <alignment vertical="center"/>
    </xf>
    <xf numFmtId="43" fontId="0" fillId="6" borderId="48" xfId="1" applyFont="1" applyFill="1" applyBorder="1" applyAlignment="1">
      <alignment vertical="center"/>
    </xf>
    <xf numFmtId="0" fontId="0" fillId="6" borderId="44" xfId="0" applyFont="1" applyFill="1" applyBorder="1" applyAlignment="1">
      <alignment vertical="center"/>
    </xf>
    <xf numFmtId="0" fontId="0" fillId="5" borderId="43" xfId="0" applyFont="1" applyFill="1" applyBorder="1" applyAlignment="1">
      <alignment vertical="center"/>
    </xf>
    <xf numFmtId="0" fontId="0" fillId="5" borderId="41" xfId="0" applyFont="1" applyFill="1" applyBorder="1" applyAlignment="1">
      <alignment vertical="center"/>
    </xf>
    <xf numFmtId="0" fontId="0" fillId="5" borderId="41" xfId="1" applyNumberFormat="1" applyFont="1" applyFill="1" applyBorder="1" applyAlignment="1">
      <alignment vertical="center"/>
    </xf>
    <xf numFmtId="43" fontId="0" fillId="5" borderId="48" xfId="1" applyFont="1" applyFill="1" applyBorder="1" applyAlignment="1">
      <alignment vertical="center"/>
    </xf>
    <xf numFmtId="0" fontId="0" fillId="5" borderId="44" xfId="0" applyFont="1" applyFill="1" applyBorder="1" applyAlignment="1">
      <alignment vertical="center"/>
    </xf>
    <xf numFmtId="0" fontId="0" fillId="0" borderId="0" xfId="0" applyFont="1" applyFill="1" applyAlignment="1">
      <alignment vertical="center"/>
    </xf>
    <xf numFmtId="43" fontId="0" fillId="0" borderId="4" xfId="1" applyFont="1" applyFill="1" applyBorder="1" applyAlignment="1">
      <alignment vertical="center"/>
    </xf>
    <xf numFmtId="0" fontId="0" fillId="0" borderId="4" xfId="0" applyFont="1" applyFill="1" applyBorder="1" applyAlignment="1">
      <alignment vertical="center"/>
    </xf>
    <xf numFmtId="43" fontId="8" fillId="0" borderId="4" xfId="1" applyFont="1" applyFill="1" applyBorder="1" applyAlignment="1">
      <alignment vertical="center"/>
    </xf>
    <xf numFmtId="43" fontId="0" fillId="0" borderId="5" xfId="1" applyFont="1" applyFill="1" applyBorder="1" applyAlignment="1">
      <alignment vertical="center"/>
    </xf>
    <xf numFmtId="43" fontId="0" fillId="2" borderId="8" xfId="1" applyFont="1" applyFill="1" applyBorder="1" applyAlignment="1">
      <alignment vertical="center"/>
    </xf>
    <xf numFmtId="0" fontId="0" fillId="2" borderId="4" xfId="0" applyFont="1" applyFill="1" applyBorder="1" applyAlignment="1">
      <alignment vertical="center"/>
    </xf>
    <xf numFmtId="0" fontId="0" fillId="2" borderId="4" xfId="1" applyNumberFormat="1" applyFont="1" applyFill="1" applyBorder="1" applyAlignment="1">
      <alignment vertical="center"/>
    </xf>
    <xf numFmtId="43" fontId="8" fillId="2" borderId="4" xfId="1" applyFont="1" applyFill="1" applyBorder="1" applyAlignment="1">
      <alignment vertical="center"/>
    </xf>
    <xf numFmtId="43" fontId="0" fillId="2" borderId="9" xfId="1" applyFont="1" applyFill="1" applyBorder="1" applyAlignment="1">
      <alignment vertical="center"/>
    </xf>
    <xf numFmtId="43" fontId="2" fillId="3" borderId="8" xfId="1" applyFont="1" applyFill="1" applyBorder="1" applyAlignment="1">
      <alignment vertical="center"/>
    </xf>
    <xf numFmtId="0" fontId="0" fillId="3" borderId="4" xfId="0" applyFont="1" applyFill="1" applyBorder="1" applyAlignment="1">
      <alignment vertical="center"/>
    </xf>
    <xf numFmtId="0" fontId="0" fillId="3" borderId="4" xfId="1" applyNumberFormat="1" applyFont="1" applyFill="1" applyBorder="1" applyAlignment="1">
      <alignment vertical="center"/>
    </xf>
    <xf numFmtId="43" fontId="8" fillId="3" borderId="4" xfId="1" applyFont="1" applyFill="1" applyBorder="1" applyAlignment="1">
      <alignment vertical="center"/>
    </xf>
    <xf numFmtId="0" fontId="0" fillId="3" borderId="9" xfId="0" applyFont="1" applyFill="1" applyBorder="1" applyAlignment="1">
      <alignment vertical="center"/>
    </xf>
    <xf numFmtId="0" fontId="0" fillId="6" borderId="8" xfId="1" applyNumberFormat="1" applyFont="1" applyFill="1" applyBorder="1" applyAlignment="1">
      <alignment vertical="center"/>
    </xf>
    <xf numFmtId="0" fontId="0" fillId="6" borderId="4" xfId="0" applyFont="1" applyFill="1" applyBorder="1" applyAlignment="1">
      <alignment vertical="center"/>
    </xf>
    <xf numFmtId="0" fontId="0" fillId="6" borderId="4" xfId="1" applyNumberFormat="1" applyFont="1" applyFill="1" applyBorder="1" applyAlignment="1">
      <alignment vertical="center"/>
    </xf>
    <xf numFmtId="43" fontId="0" fillId="6" borderId="4" xfId="1" applyFont="1" applyFill="1" applyBorder="1" applyAlignment="1">
      <alignment vertical="center"/>
    </xf>
    <xf numFmtId="0" fontId="0" fillId="6" borderId="9" xfId="0" applyFont="1" applyFill="1" applyBorder="1" applyAlignment="1">
      <alignment vertical="center"/>
    </xf>
    <xf numFmtId="0" fontId="0" fillId="5" borderId="8" xfId="1" applyNumberFormat="1" applyFont="1" applyFill="1" applyBorder="1" applyAlignment="1">
      <alignment vertical="center"/>
    </xf>
    <xf numFmtId="0" fontId="0" fillId="5" borderId="4" xfId="0" applyFont="1" applyFill="1" applyBorder="1" applyAlignment="1">
      <alignment vertical="center"/>
    </xf>
    <xf numFmtId="0" fontId="0" fillId="5" borderId="4" xfId="1" applyNumberFormat="1" applyFont="1" applyFill="1" applyBorder="1" applyAlignment="1">
      <alignment vertical="center"/>
    </xf>
    <xf numFmtId="43" fontId="0" fillId="5" borderId="4" xfId="1" applyFont="1" applyFill="1" applyBorder="1" applyAlignment="1">
      <alignment vertical="center"/>
    </xf>
    <xf numFmtId="0" fontId="0" fillId="5" borderId="9" xfId="0" applyFont="1" applyFill="1" applyBorder="1" applyAlignment="1">
      <alignment vertical="center"/>
    </xf>
    <xf numFmtId="0" fontId="0" fillId="3" borderId="8" xfId="1" applyNumberFormat="1" applyFont="1" applyFill="1" applyBorder="1" applyAlignment="1">
      <alignment vertical="center"/>
    </xf>
    <xf numFmtId="43" fontId="0" fillId="3" borderId="4" xfId="1" applyFont="1" applyFill="1" applyBorder="1" applyAlignment="1">
      <alignment vertical="center"/>
    </xf>
    <xf numFmtId="0" fontId="0" fillId="0" borderId="4" xfId="1" applyNumberFormat="1" applyFont="1" applyFill="1" applyBorder="1" applyAlignment="1">
      <alignment vertical="center"/>
    </xf>
    <xf numFmtId="0" fontId="0" fillId="0" borderId="9" xfId="0" applyFont="1" applyFill="1" applyBorder="1" applyAlignment="1">
      <alignment vertical="center"/>
    </xf>
    <xf numFmtId="0" fontId="0" fillId="2" borderId="8" xfId="0" applyFont="1" applyFill="1" applyBorder="1" applyAlignment="1">
      <alignment vertical="center"/>
    </xf>
    <xf numFmtId="43" fontId="0" fillId="2" borderId="4" xfId="1" applyFont="1" applyFill="1" applyBorder="1" applyAlignment="1">
      <alignment vertical="center"/>
    </xf>
    <xf numFmtId="0" fontId="0" fillId="3" borderId="8" xfId="0" applyFont="1" applyFill="1" applyBorder="1" applyAlignment="1">
      <alignment vertical="center"/>
    </xf>
    <xf numFmtId="0" fontId="0" fillId="6" borderId="8" xfId="0" applyFont="1" applyFill="1" applyBorder="1" applyAlignment="1">
      <alignment vertical="center"/>
    </xf>
    <xf numFmtId="0" fontId="0" fillId="5" borderId="8" xfId="0" applyFont="1" applyFill="1" applyBorder="1" applyAlignment="1">
      <alignment vertical="center"/>
    </xf>
    <xf numFmtId="0" fontId="0" fillId="0" borderId="8" xfId="0" applyFont="1" applyFill="1" applyBorder="1" applyAlignment="1">
      <alignment vertical="center"/>
    </xf>
    <xf numFmtId="0" fontId="2" fillId="2" borderId="8" xfId="0" applyFont="1" applyFill="1" applyBorder="1" applyAlignment="1">
      <alignment vertical="center"/>
    </xf>
    <xf numFmtId="0" fontId="0" fillId="7" borderId="8" xfId="0" applyFont="1" applyFill="1" applyBorder="1" applyAlignment="1">
      <alignment vertical="center"/>
    </xf>
    <xf numFmtId="0" fontId="0" fillId="7" borderId="4" xfId="0" applyFont="1" applyFill="1" applyBorder="1" applyAlignment="1">
      <alignment vertical="center"/>
    </xf>
    <xf numFmtId="0" fontId="0" fillId="7" borderId="4" xfId="1" applyNumberFormat="1" applyFont="1" applyFill="1" applyBorder="1" applyAlignment="1">
      <alignment vertical="center"/>
    </xf>
    <xf numFmtId="43" fontId="0" fillId="7" borderId="4" xfId="1" applyFont="1" applyFill="1" applyBorder="1" applyAlignment="1">
      <alignment vertical="center"/>
    </xf>
    <xf numFmtId="0" fontId="0" fillId="7" borderId="9" xfId="0" applyFont="1" applyFill="1" applyBorder="1" applyAlignment="1">
      <alignment vertical="center"/>
    </xf>
    <xf numFmtId="0" fontId="0" fillId="8" borderId="8" xfId="0" applyFont="1" applyFill="1" applyBorder="1" applyAlignment="1">
      <alignment vertical="center"/>
    </xf>
    <xf numFmtId="0" fontId="0" fillId="8" borderId="4" xfId="0" applyFont="1" applyFill="1" applyBorder="1" applyAlignment="1">
      <alignment vertical="center"/>
    </xf>
    <xf numFmtId="0" fontId="0" fillId="8" borderId="4" xfId="1" applyNumberFormat="1" applyFont="1" applyFill="1" applyBorder="1" applyAlignment="1">
      <alignment vertical="center"/>
    </xf>
    <xf numFmtId="43" fontId="0" fillId="8" borderId="4" xfId="1" applyFont="1" applyFill="1" applyBorder="1" applyAlignment="1">
      <alignment vertical="center"/>
    </xf>
    <xf numFmtId="43" fontId="0" fillId="8" borderId="9" xfId="1" applyFont="1" applyFill="1" applyBorder="1" applyAlignment="1">
      <alignment vertical="center"/>
    </xf>
    <xf numFmtId="0" fontId="0" fillId="8" borderId="9" xfId="0" applyFont="1" applyFill="1" applyBorder="1" applyAlignment="1">
      <alignment vertical="center"/>
    </xf>
    <xf numFmtId="0" fontId="8" fillId="2" borderId="8" xfId="0" applyFont="1" applyFill="1" applyBorder="1" applyAlignment="1">
      <alignment vertical="center"/>
    </xf>
    <xf numFmtId="43" fontId="8" fillId="2" borderId="9" xfId="1" applyFont="1" applyFill="1" applyBorder="1" applyAlignment="1">
      <alignment vertical="center"/>
    </xf>
    <xf numFmtId="0" fontId="8" fillId="3" borderId="8" xfId="0" applyFont="1" applyFill="1" applyBorder="1" applyAlignment="1">
      <alignment vertical="center"/>
    </xf>
    <xf numFmtId="0" fontId="8" fillId="6" borderId="8" xfId="0" applyFont="1" applyFill="1" applyBorder="1" applyAlignment="1">
      <alignment vertical="center"/>
    </xf>
    <xf numFmtId="0" fontId="8" fillId="5" borderId="8" xfId="0" applyFont="1" applyFill="1" applyBorder="1" applyAlignment="1">
      <alignment vertical="center"/>
    </xf>
    <xf numFmtId="0" fontId="8" fillId="0" borderId="8" xfId="0" applyFont="1" applyFill="1" applyBorder="1" applyAlignment="1">
      <alignment vertical="center"/>
    </xf>
    <xf numFmtId="0" fontId="8" fillId="6" borderId="4" xfId="1" applyNumberFormat="1" applyFont="1" applyFill="1" applyBorder="1" applyAlignment="1">
      <alignment vertical="center"/>
    </xf>
    <xf numFmtId="0" fontId="8" fillId="4" borderId="4" xfId="0" applyFont="1" applyFill="1" applyBorder="1" applyAlignment="1">
      <alignment vertical="center"/>
    </xf>
    <xf numFmtId="0" fontId="0" fillId="4" borderId="4" xfId="0" applyFont="1" applyFill="1" applyBorder="1" applyAlignment="1">
      <alignment vertical="center"/>
    </xf>
    <xf numFmtId="43" fontId="0" fillId="4" borderId="4" xfId="1" applyFont="1" applyFill="1" applyBorder="1" applyAlignment="1">
      <alignment vertical="center"/>
    </xf>
    <xf numFmtId="43" fontId="0" fillId="4" borderId="7" xfId="1" applyFont="1" applyFill="1" applyBorder="1" applyAlignment="1">
      <alignment vertical="center"/>
    </xf>
    <xf numFmtId="0" fontId="8" fillId="4" borderId="8" xfId="0" applyFont="1" applyFill="1" applyBorder="1" applyAlignment="1">
      <alignment vertical="center"/>
    </xf>
    <xf numFmtId="0" fontId="0" fillId="4" borderId="4" xfId="1" applyNumberFormat="1" applyFont="1" applyFill="1" applyBorder="1" applyAlignment="1">
      <alignment vertical="center"/>
    </xf>
    <xf numFmtId="43" fontId="0" fillId="4" borderId="32" xfId="1" applyFont="1" applyFill="1" applyBorder="1" applyAlignment="1">
      <alignment vertical="center"/>
    </xf>
    <xf numFmtId="0" fontId="0" fillId="4" borderId="9" xfId="0" applyFont="1" applyFill="1" applyBorder="1" applyAlignment="1">
      <alignment vertical="center"/>
    </xf>
    <xf numFmtId="0" fontId="0" fillId="0" borderId="4" xfId="0" applyFont="1" applyFill="1" applyBorder="1" applyAlignment="1">
      <alignment horizontal="left" vertical="center"/>
    </xf>
    <xf numFmtId="0" fontId="2" fillId="2" borderId="8" xfId="0" applyFont="1" applyFill="1" applyBorder="1" applyAlignment="1">
      <alignment horizontal="left" vertical="center"/>
    </xf>
    <xf numFmtId="0" fontId="8" fillId="2" borderId="4" xfId="1" applyNumberFormat="1" applyFont="1" applyFill="1" applyBorder="1" applyAlignment="1">
      <alignment vertical="center"/>
    </xf>
    <xf numFmtId="0" fontId="8" fillId="3" borderId="4" xfId="1" applyNumberFormat="1" applyFont="1" applyFill="1" applyBorder="1" applyAlignment="1">
      <alignment vertical="center"/>
    </xf>
    <xf numFmtId="0" fontId="0" fillId="6" borderId="8" xfId="0" applyFont="1" applyFill="1" applyBorder="1" applyAlignment="1">
      <alignment horizontal="left" vertical="center"/>
    </xf>
    <xf numFmtId="0" fontId="0" fillId="5" borderId="8" xfId="0" applyFont="1" applyFill="1" applyBorder="1" applyAlignment="1">
      <alignment horizontal="right" vertical="center"/>
    </xf>
    <xf numFmtId="0" fontId="8" fillId="5" borderId="4" xfId="1" applyNumberFormat="1" applyFont="1" applyFill="1" applyBorder="1" applyAlignment="1">
      <alignment vertical="center"/>
    </xf>
    <xf numFmtId="0" fontId="0" fillId="3" borderId="8" xfId="0" applyFont="1" applyFill="1" applyBorder="1" applyAlignment="1">
      <alignment horizontal="right" vertical="center"/>
    </xf>
    <xf numFmtId="43" fontId="8" fillId="0" borderId="5" xfId="1" applyFont="1" applyFill="1" applyBorder="1" applyAlignment="1">
      <alignment vertical="center"/>
    </xf>
    <xf numFmtId="0" fontId="8" fillId="0" borderId="4" xfId="0" applyFont="1" applyFill="1" applyBorder="1" applyAlignment="1">
      <alignment vertical="center"/>
    </xf>
    <xf numFmtId="0" fontId="8" fillId="2" borderId="4" xfId="0" applyFont="1" applyFill="1" applyBorder="1" applyAlignment="1">
      <alignment vertical="center"/>
    </xf>
    <xf numFmtId="164" fontId="0" fillId="0" borderId="4" xfId="0" applyNumberFormat="1" applyFont="1" applyFill="1" applyBorder="1" applyAlignment="1">
      <alignment vertical="center"/>
    </xf>
    <xf numFmtId="164" fontId="0" fillId="0" borderId="4" xfId="1" applyNumberFormat="1" applyFont="1" applyFill="1" applyBorder="1" applyAlignment="1">
      <alignment vertical="center"/>
    </xf>
    <xf numFmtId="164" fontId="2" fillId="2" borderId="8" xfId="0" applyNumberFormat="1" applyFont="1" applyFill="1" applyBorder="1" applyAlignment="1">
      <alignment vertical="center"/>
    </xf>
    <xf numFmtId="164" fontId="0" fillId="2" borderId="4" xfId="1" applyNumberFormat="1" applyFont="1" applyFill="1" applyBorder="1" applyAlignment="1">
      <alignment vertical="center"/>
    </xf>
    <xf numFmtId="164" fontId="0" fillId="3" borderId="8" xfId="0" applyNumberFormat="1" applyFont="1" applyFill="1" applyBorder="1" applyAlignment="1">
      <alignment vertical="center"/>
    </xf>
    <xf numFmtId="164" fontId="0" fillId="6" borderId="8" xfId="0" applyNumberFormat="1" applyFont="1" applyFill="1" applyBorder="1" applyAlignment="1">
      <alignment vertical="center"/>
    </xf>
    <xf numFmtId="164" fontId="0" fillId="6" borderId="4" xfId="1" applyNumberFormat="1" applyFont="1" applyFill="1" applyBorder="1" applyAlignment="1">
      <alignment vertical="center"/>
    </xf>
    <xf numFmtId="164" fontId="0" fillId="5" borderId="8" xfId="0" applyNumberFormat="1" applyFont="1" applyFill="1" applyBorder="1" applyAlignment="1">
      <alignment vertical="center"/>
    </xf>
    <xf numFmtId="164" fontId="0" fillId="5" borderId="4" xfId="1" applyNumberFormat="1" applyFont="1" applyFill="1" applyBorder="1" applyAlignment="1">
      <alignment vertical="center"/>
    </xf>
    <xf numFmtId="164" fontId="0" fillId="3" borderId="4" xfId="1" applyNumberFormat="1" applyFont="1" applyFill="1" applyBorder="1" applyAlignment="1">
      <alignment vertical="center"/>
    </xf>
    <xf numFmtId="164" fontId="0" fillId="0" borderId="8" xfId="0" applyNumberFormat="1" applyFont="1" applyFill="1" applyBorder="1" applyAlignment="1">
      <alignment vertical="center"/>
    </xf>
    <xf numFmtId="165" fontId="0" fillId="6" borderId="4" xfId="1" applyNumberFormat="1" applyFont="1" applyFill="1" applyBorder="1" applyAlignment="1">
      <alignment vertical="center"/>
    </xf>
    <xf numFmtId="165" fontId="0" fillId="5" borderId="4" xfId="1" applyNumberFormat="1" applyFont="1" applyFill="1" applyBorder="1" applyAlignment="1">
      <alignment vertical="center"/>
    </xf>
    <xf numFmtId="165" fontId="0" fillId="3" borderId="4" xfId="1" applyNumberFormat="1" applyFont="1" applyFill="1" applyBorder="1" applyAlignment="1">
      <alignment vertical="center"/>
    </xf>
    <xf numFmtId="43" fontId="0" fillId="3" borderId="4" xfId="1" applyNumberFormat="1" applyFont="1" applyFill="1" applyBorder="1" applyAlignment="1">
      <alignment vertical="center"/>
    </xf>
    <xf numFmtId="0" fontId="0" fillId="2" borderId="4" xfId="0" applyNumberFormat="1" applyFont="1" applyFill="1" applyBorder="1" applyAlignment="1">
      <alignment vertical="center"/>
    </xf>
    <xf numFmtId="0" fontId="0" fillId="3" borderId="4" xfId="0" applyNumberFormat="1" applyFont="1" applyFill="1" applyBorder="1" applyAlignment="1">
      <alignment vertical="center"/>
    </xf>
    <xf numFmtId="0" fontId="0" fillId="6" borderId="4" xfId="0" applyNumberFormat="1" applyFont="1" applyFill="1" applyBorder="1" applyAlignment="1">
      <alignment vertical="center"/>
    </xf>
    <xf numFmtId="0" fontId="0" fillId="5" borderId="4" xfId="0" applyNumberFormat="1" applyFont="1" applyFill="1" applyBorder="1" applyAlignment="1">
      <alignment vertical="center"/>
    </xf>
    <xf numFmtId="0" fontId="15" fillId="0" borderId="8" xfId="0" applyFont="1" applyFill="1" applyBorder="1" applyAlignment="1">
      <alignment vertical="center"/>
    </xf>
    <xf numFmtId="43" fontId="0" fillId="0" borderId="9" xfId="1" applyFont="1" applyFill="1" applyBorder="1" applyAlignment="1">
      <alignment vertical="center"/>
    </xf>
    <xf numFmtId="0" fontId="8" fillId="0" borderId="6" xfId="0" applyFont="1" applyFill="1" applyBorder="1" applyAlignment="1">
      <alignment vertical="center"/>
    </xf>
    <xf numFmtId="43" fontId="8" fillId="0" borderId="6" xfId="1" applyFont="1" applyFill="1" applyBorder="1" applyAlignment="1">
      <alignment vertical="center"/>
    </xf>
    <xf numFmtId="43" fontId="8" fillId="0" borderId="7" xfId="1" applyFont="1" applyFill="1" applyBorder="1" applyAlignment="1">
      <alignment vertical="center"/>
    </xf>
    <xf numFmtId="0" fontId="8" fillId="0" borderId="6" xfId="1" applyNumberFormat="1" applyFont="1" applyFill="1" applyBorder="1" applyAlignment="1">
      <alignment vertical="center"/>
    </xf>
    <xf numFmtId="43" fontId="8" fillId="0" borderId="32" xfId="1" applyFont="1" applyFill="1" applyBorder="1" applyAlignment="1">
      <alignment vertical="center"/>
    </xf>
    <xf numFmtId="0" fontId="0" fillId="10" borderId="8" xfId="0" applyFont="1" applyFill="1" applyBorder="1" applyAlignment="1">
      <alignment vertical="center"/>
    </xf>
    <xf numFmtId="0" fontId="0" fillId="10" borderId="4" xfId="0" applyFont="1" applyFill="1" applyBorder="1" applyAlignment="1">
      <alignment vertical="center"/>
    </xf>
    <xf numFmtId="0" fontId="0" fillId="10" borderId="4" xfId="1" applyNumberFormat="1" applyFont="1" applyFill="1" applyBorder="1" applyAlignment="1">
      <alignment vertical="center"/>
    </xf>
    <xf numFmtId="43" fontId="0" fillId="10" borderId="4" xfId="1" applyFont="1" applyFill="1" applyBorder="1" applyAlignment="1">
      <alignment vertical="center"/>
    </xf>
    <xf numFmtId="0" fontId="0" fillId="10" borderId="9" xfId="0" applyFont="1" applyFill="1" applyBorder="1" applyAlignment="1">
      <alignment vertical="center"/>
    </xf>
    <xf numFmtId="0" fontId="0" fillId="0" borderId="6" xfId="0" applyFont="1" applyFill="1" applyBorder="1" applyAlignment="1">
      <alignment vertical="center"/>
    </xf>
    <xf numFmtId="43" fontId="0" fillId="0" borderId="7" xfId="1" applyFont="1" applyFill="1" applyBorder="1" applyAlignment="1">
      <alignment vertical="center"/>
    </xf>
    <xf numFmtId="0" fontId="0" fillId="2" borderId="33" xfId="0" applyFont="1" applyFill="1" applyBorder="1" applyAlignment="1">
      <alignment vertical="center"/>
    </xf>
    <xf numFmtId="0" fontId="0" fillId="2" borderId="6" xfId="0" applyFont="1" applyFill="1" applyBorder="1" applyAlignment="1">
      <alignment vertical="center"/>
    </xf>
    <xf numFmtId="43" fontId="0" fillId="2" borderId="32" xfId="1" applyFont="1" applyFill="1" applyBorder="1" applyAlignment="1">
      <alignment vertical="center"/>
    </xf>
    <xf numFmtId="0" fontId="0" fillId="3" borderId="33" xfId="0" applyFont="1" applyFill="1" applyBorder="1" applyAlignment="1">
      <alignment vertical="center"/>
    </xf>
    <xf numFmtId="0" fontId="0" fillId="6" borderId="33" xfId="0" applyFont="1" applyFill="1" applyBorder="1" applyAlignment="1">
      <alignment vertical="center"/>
    </xf>
    <xf numFmtId="0" fontId="0" fillId="5" borderId="33" xfId="0" applyFont="1" applyFill="1" applyBorder="1" applyAlignment="1">
      <alignment vertical="center"/>
    </xf>
    <xf numFmtId="43" fontId="8" fillId="6" borderId="4" xfId="1" applyFont="1" applyFill="1" applyBorder="1" applyAlignment="1">
      <alignment vertical="center"/>
    </xf>
    <xf numFmtId="43" fontId="0" fillId="4" borderId="5" xfId="1" applyFont="1" applyFill="1" applyBorder="1" applyAlignment="1">
      <alignment vertical="center"/>
    </xf>
    <xf numFmtId="0" fontId="0" fillId="4" borderId="8" xfId="0" applyFont="1" applyFill="1" applyBorder="1" applyAlignment="1">
      <alignment vertical="center"/>
    </xf>
    <xf numFmtId="43" fontId="0" fillId="4" borderId="9" xfId="1" applyFont="1" applyFill="1" applyBorder="1" applyAlignment="1">
      <alignment vertical="center"/>
    </xf>
    <xf numFmtId="0" fontId="15" fillId="2" borderId="8" xfId="0" applyFont="1" applyFill="1" applyBorder="1" applyAlignment="1">
      <alignment vertical="center"/>
    </xf>
    <xf numFmtId="0" fontId="15" fillId="3" borderId="8" xfId="0" applyFont="1" applyFill="1" applyBorder="1" applyAlignment="1">
      <alignment vertical="center"/>
    </xf>
    <xf numFmtId="43" fontId="0" fillId="0" borderId="6" xfId="1" applyFont="1" applyFill="1" applyBorder="1" applyAlignment="1">
      <alignment vertical="center"/>
    </xf>
    <xf numFmtId="0" fontId="8" fillId="2" borderId="33" xfId="0" applyFont="1" applyFill="1" applyBorder="1" applyAlignment="1">
      <alignment vertical="center"/>
    </xf>
    <xf numFmtId="0" fontId="0" fillId="2" borderId="6" xfId="1" applyNumberFormat="1" applyFont="1" applyFill="1" applyBorder="1" applyAlignment="1">
      <alignment vertical="center"/>
    </xf>
    <xf numFmtId="0" fontId="8" fillId="3" borderId="33" xfId="0" applyFont="1" applyFill="1" applyBorder="1" applyAlignment="1">
      <alignment vertical="center"/>
    </xf>
    <xf numFmtId="0" fontId="0" fillId="3" borderId="6" xfId="1" applyNumberFormat="1" applyFont="1" applyFill="1" applyBorder="1" applyAlignment="1">
      <alignment vertical="center"/>
    </xf>
    <xf numFmtId="0" fontId="8" fillId="6" borderId="33" xfId="0" applyFont="1" applyFill="1" applyBorder="1" applyAlignment="1">
      <alignment vertical="center"/>
    </xf>
    <xf numFmtId="0" fontId="0" fillId="6" borderId="6" xfId="1" applyNumberFormat="1" applyFont="1" applyFill="1" applyBorder="1" applyAlignment="1">
      <alignment vertical="center"/>
    </xf>
    <xf numFmtId="43" fontId="0" fillId="6" borderId="4" xfId="1" applyNumberFormat="1" applyFont="1" applyFill="1" applyBorder="1" applyAlignment="1">
      <alignment vertical="center"/>
    </xf>
    <xf numFmtId="0" fontId="8" fillId="5" borderId="33" xfId="0" applyFont="1" applyFill="1" applyBorder="1" applyAlignment="1">
      <alignment vertical="center"/>
    </xf>
    <xf numFmtId="0" fontId="0" fillId="5" borderId="6" xfId="1" applyNumberFormat="1" applyFont="1" applyFill="1" applyBorder="1" applyAlignment="1">
      <alignment vertical="center"/>
    </xf>
    <xf numFmtId="43" fontId="0" fillId="5" borderId="4" xfId="1" applyNumberFormat="1" applyFont="1" applyFill="1" applyBorder="1" applyAlignment="1">
      <alignment vertical="center"/>
    </xf>
    <xf numFmtId="0" fontId="0" fillId="2" borderId="32" xfId="1" quotePrefix="1" applyNumberFormat="1" applyFont="1" applyFill="1" applyBorder="1" applyAlignment="1">
      <alignment vertical="center"/>
    </xf>
    <xf numFmtId="0" fontId="18" fillId="2" borderId="6" xfId="0" applyFont="1" applyFill="1" applyBorder="1" applyAlignment="1">
      <alignment vertical="center"/>
    </xf>
    <xf numFmtId="43" fontId="0" fillId="2" borderId="6" xfId="1" applyFont="1" applyFill="1" applyBorder="1" applyAlignment="1">
      <alignment vertical="center"/>
    </xf>
    <xf numFmtId="0" fontId="0" fillId="2" borderId="7" xfId="0" applyFont="1" applyFill="1" applyBorder="1" applyAlignment="1">
      <alignment vertical="center"/>
    </xf>
    <xf numFmtId="0" fontId="0" fillId="2" borderId="32" xfId="0" applyFont="1" applyFill="1" applyBorder="1" applyAlignment="1">
      <alignment vertical="center"/>
    </xf>
    <xf numFmtId="43" fontId="8" fillId="5" borderId="4" xfId="1" applyFont="1" applyFill="1" applyBorder="1" applyAlignment="1">
      <alignment vertical="center"/>
    </xf>
    <xf numFmtId="0" fontId="2" fillId="2" borderId="33" xfId="0" applyFont="1" applyFill="1" applyBorder="1" applyAlignment="1">
      <alignment vertical="center"/>
    </xf>
    <xf numFmtId="0" fontId="0" fillId="10" borderId="33" xfId="0" applyFont="1" applyFill="1" applyBorder="1" applyAlignment="1">
      <alignment vertical="center"/>
    </xf>
    <xf numFmtId="0" fontId="0" fillId="10" borderId="6" xfId="1" applyNumberFormat="1" applyFont="1" applyFill="1" applyBorder="1" applyAlignment="1">
      <alignment vertical="center"/>
    </xf>
    <xf numFmtId="0" fontId="1" fillId="5" borderId="6" xfId="1" applyNumberFormat="1" applyFont="1" applyFill="1" applyBorder="1" applyAlignment="1">
      <alignment vertical="center"/>
    </xf>
    <xf numFmtId="43" fontId="1" fillId="5" borderId="4" xfId="1" applyFont="1" applyFill="1" applyBorder="1" applyAlignment="1">
      <alignment vertical="center"/>
    </xf>
    <xf numFmtId="0" fontId="1" fillId="3" borderId="6" xfId="1" applyNumberFormat="1" applyFont="1" applyFill="1" applyBorder="1" applyAlignment="1">
      <alignment vertical="center"/>
    </xf>
    <xf numFmtId="43" fontId="1" fillId="3" borderId="4" xfId="1" applyFont="1" applyFill="1" applyBorder="1" applyAlignment="1">
      <alignment vertical="center"/>
    </xf>
    <xf numFmtId="0" fontId="18" fillId="2" borderId="35" xfId="0" applyFont="1" applyFill="1" applyBorder="1" applyAlignment="1">
      <alignment vertical="center"/>
    </xf>
    <xf numFmtId="0" fontId="0" fillId="0" borderId="35" xfId="0" applyFont="1" applyFill="1" applyBorder="1" applyAlignment="1">
      <alignment vertical="center"/>
    </xf>
    <xf numFmtId="43" fontId="0" fillId="0" borderId="35" xfId="1" applyFont="1" applyFill="1" applyBorder="1" applyAlignment="1">
      <alignment vertical="center"/>
    </xf>
    <xf numFmtId="43" fontId="0" fillId="0" borderId="46" xfId="1" applyFont="1" applyFill="1" applyBorder="1" applyAlignment="1">
      <alignment vertical="center"/>
    </xf>
    <xf numFmtId="0" fontId="0" fillId="2" borderId="34" xfId="0" applyFont="1" applyFill="1" applyBorder="1" applyAlignment="1">
      <alignment vertical="center"/>
    </xf>
    <xf numFmtId="0" fontId="0" fillId="2" borderId="35" xfId="0" applyFont="1" applyFill="1" applyBorder="1" applyAlignment="1">
      <alignment vertical="center"/>
    </xf>
    <xf numFmtId="0" fontId="0" fillId="2" borderId="35" xfId="1" applyNumberFormat="1" applyFont="1" applyFill="1" applyBorder="1" applyAlignment="1">
      <alignment vertical="center"/>
    </xf>
    <xf numFmtId="43" fontId="0" fillId="2" borderId="35" xfId="1" applyFont="1" applyFill="1" applyBorder="1" applyAlignment="1">
      <alignment vertical="center"/>
    </xf>
    <xf numFmtId="43" fontId="0" fillId="2" borderId="36" xfId="1" applyFont="1" applyFill="1" applyBorder="1" applyAlignment="1">
      <alignment vertical="center"/>
    </xf>
    <xf numFmtId="0" fontId="0" fillId="3" borderId="34" xfId="0" applyFont="1" applyFill="1" applyBorder="1" applyAlignment="1">
      <alignment vertical="center"/>
    </xf>
    <xf numFmtId="0" fontId="0" fillId="3" borderId="35" xfId="0" applyFont="1" applyFill="1" applyBorder="1" applyAlignment="1">
      <alignment vertical="center"/>
    </xf>
    <xf numFmtId="0" fontId="0" fillId="3" borderId="35" xfId="1" applyNumberFormat="1" applyFont="1" applyFill="1" applyBorder="1" applyAlignment="1">
      <alignment vertical="center"/>
    </xf>
    <xf numFmtId="43" fontId="0" fillId="3" borderId="35" xfId="1" applyFont="1" applyFill="1" applyBorder="1" applyAlignment="1">
      <alignment vertical="center"/>
    </xf>
    <xf numFmtId="0" fontId="0" fillId="3" borderId="36" xfId="0" applyFont="1" applyFill="1" applyBorder="1" applyAlignment="1">
      <alignment vertical="center"/>
    </xf>
    <xf numFmtId="0" fontId="0" fillId="6" borderId="34" xfId="0" applyFont="1" applyFill="1" applyBorder="1" applyAlignment="1">
      <alignment vertical="center"/>
    </xf>
    <xf numFmtId="0" fontId="0" fillId="6" borderId="35" xfId="0" applyFont="1" applyFill="1" applyBorder="1" applyAlignment="1">
      <alignment vertical="center"/>
    </xf>
    <xf numFmtId="0" fontId="0" fillId="6" borderId="35" xfId="1" applyNumberFormat="1" applyFont="1" applyFill="1" applyBorder="1" applyAlignment="1">
      <alignment vertical="center"/>
    </xf>
    <xf numFmtId="43" fontId="0" fillId="6" borderId="35" xfId="1" applyFont="1" applyFill="1" applyBorder="1" applyAlignment="1">
      <alignment vertical="center"/>
    </xf>
    <xf numFmtId="0" fontId="0" fillId="6" borderId="36" xfId="0" applyFont="1" applyFill="1" applyBorder="1" applyAlignment="1">
      <alignment vertical="center"/>
    </xf>
    <xf numFmtId="0" fontId="0" fillId="5" borderId="34" xfId="0" applyFont="1" applyFill="1" applyBorder="1" applyAlignment="1">
      <alignment vertical="center"/>
    </xf>
    <xf numFmtId="0" fontId="0" fillId="5" borderId="35" xfId="0" applyFont="1" applyFill="1" applyBorder="1" applyAlignment="1">
      <alignment vertical="center"/>
    </xf>
    <xf numFmtId="0" fontId="0" fillId="5" borderId="35" xfId="1" applyNumberFormat="1" applyFont="1" applyFill="1" applyBorder="1" applyAlignment="1">
      <alignment vertical="center"/>
    </xf>
    <xf numFmtId="43" fontId="0" fillId="5" borderId="35" xfId="1" applyFont="1" applyFill="1" applyBorder="1" applyAlignment="1">
      <alignment vertical="center"/>
    </xf>
    <xf numFmtId="0" fontId="0" fillId="5" borderId="36" xfId="0" applyFont="1" applyFill="1" applyBorder="1" applyAlignment="1">
      <alignment vertical="center"/>
    </xf>
    <xf numFmtId="0" fontId="0" fillId="0" borderId="0" xfId="0" applyNumberFormat="1" applyFont="1" applyFill="1" applyAlignment="1">
      <alignment vertical="center"/>
    </xf>
    <xf numFmtId="0" fontId="0" fillId="0" borderId="0" xfId="0" applyNumberFormat="1" applyFont="1" applyAlignment="1">
      <alignment vertical="center"/>
    </xf>
    <xf numFmtId="43" fontId="0" fillId="10" borderId="4" xfId="1" applyNumberFormat="1" applyFont="1" applyFill="1" applyBorder="1" applyAlignment="1">
      <alignment vertical="center"/>
    </xf>
    <xf numFmtId="0" fontId="8" fillId="10" borderId="8" xfId="0" applyFont="1" applyFill="1" applyBorder="1" applyAlignment="1">
      <alignment vertical="center"/>
    </xf>
    <xf numFmtId="0" fontId="0" fillId="10" borderId="8" xfId="1" applyNumberFormat="1" applyFont="1" applyFill="1" applyBorder="1" applyAlignment="1">
      <alignment vertical="center"/>
    </xf>
    <xf numFmtId="0" fontId="8" fillId="10" borderId="4" xfId="1" applyNumberFormat="1" applyFont="1" applyFill="1" applyBorder="1" applyAlignment="1">
      <alignment vertical="center"/>
    </xf>
    <xf numFmtId="164" fontId="0" fillId="10" borderId="8" xfId="0" applyNumberFormat="1" applyFont="1" applyFill="1" applyBorder="1" applyAlignment="1">
      <alignment vertical="center"/>
    </xf>
    <xf numFmtId="164" fontId="0" fillId="10" borderId="4" xfId="1" applyNumberFormat="1" applyFont="1" applyFill="1" applyBorder="1" applyAlignment="1">
      <alignment vertical="center"/>
    </xf>
    <xf numFmtId="0" fontId="0" fillId="10" borderId="8" xfId="0" applyFont="1" applyFill="1" applyBorder="1" applyAlignment="1">
      <alignment horizontal="right" vertical="center"/>
    </xf>
    <xf numFmtId="0" fontId="1" fillId="10" borderId="6" xfId="1" applyNumberFormat="1" applyFont="1" applyFill="1" applyBorder="1" applyAlignment="1">
      <alignment vertical="center"/>
    </xf>
    <xf numFmtId="43" fontId="1" fillId="10" borderId="4" xfId="1" applyFont="1" applyFill="1" applyBorder="1" applyAlignment="1">
      <alignment vertical="center"/>
    </xf>
    <xf numFmtId="0" fontId="0" fillId="10" borderId="34" xfId="0" applyFont="1" applyFill="1" applyBorder="1" applyAlignment="1">
      <alignment vertical="center"/>
    </xf>
    <xf numFmtId="0" fontId="0" fillId="10" borderId="35" xfId="0" applyFont="1" applyFill="1" applyBorder="1" applyAlignment="1">
      <alignment vertical="center"/>
    </xf>
    <xf numFmtId="0" fontId="0" fillId="10" borderId="35" xfId="1" applyNumberFormat="1" applyFont="1" applyFill="1" applyBorder="1" applyAlignment="1">
      <alignment vertical="center"/>
    </xf>
    <xf numFmtId="43" fontId="0" fillId="10" borderId="35" xfId="1" applyFont="1" applyFill="1" applyBorder="1" applyAlignment="1">
      <alignment vertical="center"/>
    </xf>
    <xf numFmtId="0" fontId="0" fillId="10" borderId="36" xfId="0" applyFont="1" applyFill="1" applyBorder="1" applyAlignment="1">
      <alignment vertical="center"/>
    </xf>
    <xf numFmtId="0" fontId="0" fillId="10" borderId="4" xfId="0" applyNumberFormat="1" applyFont="1" applyFill="1" applyBorder="1" applyAlignment="1">
      <alignment vertical="center"/>
    </xf>
    <xf numFmtId="165" fontId="0" fillId="10" borderId="4" xfId="1" applyNumberFormat="1" applyFont="1" applyFill="1" applyBorder="1" applyAlignment="1">
      <alignment vertical="center"/>
    </xf>
    <xf numFmtId="0" fontId="0" fillId="10" borderId="43" xfId="0" applyFont="1" applyFill="1" applyBorder="1" applyAlignment="1">
      <alignment vertical="center"/>
    </xf>
    <xf numFmtId="0" fontId="0" fillId="10" borderId="41" xfId="0" applyFont="1" applyFill="1" applyBorder="1" applyAlignment="1">
      <alignment vertical="center"/>
    </xf>
    <xf numFmtId="0" fontId="0" fillId="10" borderId="41" xfId="1" applyNumberFormat="1" applyFont="1" applyFill="1" applyBorder="1" applyAlignment="1">
      <alignment vertical="center"/>
    </xf>
    <xf numFmtId="43" fontId="0" fillId="10" borderId="48" xfId="1" applyFont="1" applyFill="1" applyBorder="1" applyAlignment="1">
      <alignment vertical="center"/>
    </xf>
    <xf numFmtId="0" fontId="0" fillId="10" borderId="44" xfId="0" applyFont="1" applyFill="1" applyBorder="1" applyAlignment="1">
      <alignment vertical="center"/>
    </xf>
    <xf numFmtId="0" fontId="0" fillId="0" borderId="3" xfId="0" applyBorder="1" applyAlignment="1">
      <alignment vertical="center"/>
    </xf>
    <xf numFmtId="0" fontId="6" fillId="9" borderId="3" xfId="0" applyFont="1" applyFill="1" applyBorder="1" applyAlignment="1">
      <alignment horizontal="center" vertical="center"/>
    </xf>
    <xf numFmtId="0" fontId="0" fillId="0" borderId="3" xfId="0" applyFill="1" applyBorder="1" applyAlignment="1">
      <alignment horizontal="center" vertical="center"/>
    </xf>
    <xf numFmtId="0" fontId="0" fillId="0" borderId="49" xfId="0" applyFill="1" applyBorder="1" applyAlignment="1">
      <alignment horizontal="center" vertical="center"/>
    </xf>
    <xf numFmtId="0" fontId="8" fillId="10" borderId="33" xfId="0" applyFont="1" applyFill="1" applyBorder="1" applyAlignment="1">
      <alignment vertical="center"/>
    </xf>
    <xf numFmtId="0" fontId="0" fillId="0" borderId="43" xfId="0" applyFont="1" applyFill="1" applyBorder="1" applyAlignment="1">
      <alignment vertical="center"/>
    </xf>
    <xf numFmtId="0" fontId="0" fillId="0" borderId="41" xfId="1" applyNumberFormat="1" applyFont="1" applyFill="1" applyBorder="1" applyAlignment="1">
      <alignment vertical="center"/>
    </xf>
    <xf numFmtId="43" fontId="0" fillId="0" borderId="48" xfId="1" applyFont="1" applyFill="1" applyBorder="1" applyAlignment="1">
      <alignment vertical="center"/>
    </xf>
    <xf numFmtId="0" fontId="0" fillId="0" borderId="44" xfId="0" applyFont="1" applyFill="1" applyBorder="1" applyAlignment="1">
      <alignment vertical="center"/>
    </xf>
    <xf numFmtId="0" fontId="8" fillId="0" borderId="4" xfId="1" applyNumberFormat="1" applyFont="1" applyFill="1" applyBorder="1" applyAlignment="1">
      <alignment vertical="center"/>
    </xf>
    <xf numFmtId="165" fontId="0" fillId="0" borderId="4" xfId="1" applyNumberFormat="1" applyFont="1" applyFill="1" applyBorder="1" applyAlignment="1">
      <alignment vertical="center"/>
    </xf>
    <xf numFmtId="0" fontId="0" fillId="0" borderId="33" xfId="0" applyFont="1" applyFill="1" applyBorder="1" applyAlignment="1">
      <alignment vertical="center"/>
    </xf>
    <xf numFmtId="0" fontId="0" fillId="0" borderId="6" xfId="1" applyNumberFormat="1" applyFont="1" applyFill="1" applyBorder="1" applyAlignment="1">
      <alignment vertical="center"/>
    </xf>
    <xf numFmtId="43" fontId="0" fillId="0" borderId="4" xfId="1" applyNumberFormat="1" applyFont="1" applyFill="1" applyBorder="1" applyAlignment="1">
      <alignment vertical="center"/>
    </xf>
    <xf numFmtId="0" fontId="1" fillId="0" borderId="6" xfId="1" applyNumberFormat="1" applyFont="1" applyFill="1" applyBorder="1" applyAlignment="1">
      <alignment vertical="center"/>
    </xf>
    <xf numFmtId="43" fontId="1" fillId="0" borderId="4" xfId="1" applyFont="1" applyFill="1" applyBorder="1" applyAlignment="1">
      <alignment vertical="center"/>
    </xf>
    <xf numFmtId="0" fontId="10" fillId="11" borderId="53" xfId="0" applyFont="1" applyFill="1" applyBorder="1" applyAlignment="1">
      <alignment horizontal="center" vertical="center" wrapText="1"/>
    </xf>
    <xf numFmtId="0" fontId="10" fillId="11" borderId="39" xfId="0" applyFont="1" applyFill="1" applyBorder="1" applyAlignment="1">
      <alignment horizontal="center" vertical="center" wrapText="1"/>
    </xf>
    <xf numFmtId="0" fontId="10" fillId="11" borderId="39" xfId="0" applyNumberFormat="1" applyFont="1" applyFill="1" applyBorder="1" applyAlignment="1">
      <alignment horizontal="center" vertical="center" wrapText="1"/>
    </xf>
    <xf numFmtId="0" fontId="10" fillId="11" borderId="54" xfId="0" applyFont="1" applyFill="1" applyBorder="1" applyAlignment="1">
      <alignment horizontal="center" vertical="center" wrapText="1"/>
    </xf>
    <xf numFmtId="0" fontId="10" fillId="11" borderId="40" xfId="0" applyFont="1" applyFill="1" applyBorder="1" applyAlignment="1">
      <alignment horizontal="center" vertical="center" wrapText="1"/>
    </xf>
    <xf numFmtId="0" fontId="0" fillId="11" borderId="8" xfId="0" applyFont="1" applyFill="1" applyBorder="1" applyAlignment="1">
      <alignment vertical="center"/>
    </xf>
    <xf numFmtId="0" fontId="0" fillId="11" borderId="4" xfId="0" applyFont="1" applyFill="1" applyBorder="1" applyAlignment="1">
      <alignment vertical="center"/>
    </xf>
    <xf numFmtId="0" fontId="0" fillId="11" borderId="4" xfId="1" applyNumberFormat="1" applyFont="1" applyFill="1" applyBorder="1" applyAlignment="1">
      <alignment vertical="center"/>
    </xf>
    <xf numFmtId="43" fontId="0" fillId="11" borderId="4" xfId="1" applyFont="1" applyFill="1" applyBorder="1" applyAlignment="1">
      <alignment vertical="center"/>
    </xf>
    <xf numFmtId="0" fontId="0" fillId="11" borderId="9" xfId="0" applyFont="1" applyFill="1" applyBorder="1" applyAlignment="1">
      <alignment vertical="center"/>
    </xf>
    <xf numFmtId="0" fontId="0" fillId="11" borderId="34" xfId="0" applyFont="1" applyFill="1" applyBorder="1" applyAlignment="1">
      <alignment vertical="center"/>
    </xf>
    <xf numFmtId="0" fontId="0" fillId="11" borderId="35" xfId="0" applyFont="1" applyFill="1" applyBorder="1" applyAlignment="1">
      <alignment vertical="center"/>
    </xf>
    <xf numFmtId="0" fontId="0" fillId="11" borderId="35" xfId="1" applyNumberFormat="1" applyFont="1" applyFill="1" applyBorder="1" applyAlignment="1">
      <alignment vertical="center"/>
    </xf>
    <xf numFmtId="43" fontId="0" fillId="11" borderId="35" xfId="1" applyFont="1" applyFill="1" applyBorder="1" applyAlignment="1">
      <alignment vertical="center"/>
    </xf>
    <xf numFmtId="0" fontId="0" fillId="11" borderId="36" xfId="0" applyFont="1" applyFill="1" applyBorder="1" applyAlignment="1">
      <alignment vertical="center"/>
    </xf>
    <xf numFmtId="0" fontId="8" fillId="11" borderId="8" xfId="0" applyFont="1" applyFill="1" applyBorder="1" applyAlignment="1">
      <alignment vertical="center"/>
    </xf>
    <xf numFmtId="0" fontId="8" fillId="11" borderId="4" xfId="1" applyNumberFormat="1" applyFont="1" applyFill="1" applyBorder="1" applyAlignment="1">
      <alignment vertical="center"/>
    </xf>
    <xf numFmtId="165" fontId="0" fillId="11" borderId="4" xfId="1" applyNumberFormat="1" applyFont="1" applyFill="1" applyBorder="1" applyAlignment="1">
      <alignment vertical="center"/>
    </xf>
    <xf numFmtId="0" fontId="0" fillId="11" borderId="33" xfId="0" applyFont="1" applyFill="1" applyBorder="1" applyAlignment="1">
      <alignment vertical="center"/>
    </xf>
    <xf numFmtId="0" fontId="0" fillId="11" borderId="6" xfId="1" applyNumberFormat="1" applyFont="1" applyFill="1" applyBorder="1" applyAlignment="1">
      <alignment vertical="center"/>
    </xf>
    <xf numFmtId="166" fontId="0" fillId="10" borderId="8" xfId="0" applyNumberFormat="1" applyFont="1" applyFill="1" applyBorder="1" applyAlignment="1">
      <alignment vertical="center"/>
    </xf>
    <xf numFmtId="2" fontId="0" fillId="11" borderId="4" xfId="1" applyNumberFormat="1" applyFont="1" applyFill="1" applyBorder="1" applyAlignment="1">
      <alignment vertical="center"/>
    </xf>
    <xf numFmtId="0" fontId="0" fillId="11" borderId="8" xfId="0" applyFont="1" applyFill="1" applyBorder="1" applyAlignment="1">
      <alignment horizontal="right" vertical="center"/>
    </xf>
    <xf numFmtId="0" fontId="0" fillId="11" borderId="8" xfId="1" applyNumberFormat="1" applyFont="1" applyFill="1" applyBorder="1" applyAlignment="1">
      <alignment vertical="center"/>
    </xf>
    <xf numFmtId="0" fontId="8" fillId="11" borderId="33" xfId="0" applyFont="1" applyFill="1" applyBorder="1" applyAlignment="1">
      <alignment vertical="center"/>
    </xf>
    <xf numFmtId="43" fontId="0" fillId="11" borderId="4" xfId="1" applyNumberFormat="1" applyFont="1" applyFill="1" applyBorder="1" applyAlignment="1">
      <alignment vertical="center"/>
    </xf>
    <xf numFmtId="164" fontId="0" fillId="11" borderId="8" xfId="0" applyNumberFormat="1" applyFont="1" applyFill="1" applyBorder="1" applyAlignment="1">
      <alignment vertical="center"/>
    </xf>
    <xf numFmtId="164" fontId="0" fillId="11" borderId="4" xfId="1" applyNumberFormat="1" applyFont="1" applyFill="1" applyBorder="1" applyAlignment="1">
      <alignment vertical="center"/>
    </xf>
    <xf numFmtId="0" fontId="0" fillId="11" borderId="4" xfId="0" applyNumberFormat="1" applyFont="1" applyFill="1" applyBorder="1" applyAlignment="1">
      <alignment vertical="center"/>
    </xf>
    <xf numFmtId="0" fontId="15" fillId="11" borderId="55" xfId="0" applyFont="1" applyFill="1" applyBorder="1" applyAlignment="1">
      <alignment horizontal="center" vertical="center" wrapText="1"/>
    </xf>
    <xf numFmtId="0" fontId="15" fillId="11" borderId="56" xfId="0" applyFont="1" applyFill="1" applyBorder="1" applyAlignment="1">
      <alignment horizontal="center" vertical="center" wrapText="1"/>
    </xf>
    <xf numFmtId="0" fontId="15" fillId="11" borderId="57" xfId="0" applyFont="1" applyFill="1" applyBorder="1" applyAlignment="1">
      <alignment horizontal="center" vertical="center" wrapText="1"/>
    </xf>
    <xf numFmtId="0" fontId="15" fillId="10" borderId="55" xfId="0" applyFont="1" applyFill="1" applyBorder="1" applyAlignment="1">
      <alignment horizontal="center" vertical="center" wrapText="1"/>
    </xf>
    <xf numFmtId="0" fontId="15" fillId="10" borderId="56" xfId="0" applyFont="1" applyFill="1" applyBorder="1" applyAlignment="1">
      <alignment horizontal="center" vertical="center" wrapText="1"/>
    </xf>
    <xf numFmtId="0" fontId="15" fillId="10" borderId="57" xfId="0" applyFont="1" applyFill="1" applyBorder="1" applyAlignment="1">
      <alignment horizontal="center" vertical="center" wrapText="1"/>
    </xf>
    <xf numFmtId="0" fontId="2" fillId="0" borderId="16" xfId="0" applyFont="1" applyFill="1" applyBorder="1" applyAlignment="1">
      <alignment horizontal="center" vertical="center"/>
    </xf>
    <xf numFmtId="0" fontId="2" fillId="0" borderId="15" xfId="0" applyFont="1" applyFill="1" applyBorder="1" applyAlignment="1">
      <alignment horizontal="center" vertical="center"/>
    </xf>
    <xf numFmtId="0" fontId="15" fillId="6" borderId="11" xfId="0" applyFont="1" applyFill="1" applyBorder="1" applyAlignment="1">
      <alignment horizontal="center" vertical="center" wrapText="1"/>
    </xf>
    <xf numFmtId="0" fontId="15" fillId="6" borderId="12" xfId="0" applyFont="1" applyFill="1" applyBorder="1" applyAlignment="1">
      <alignment horizontal="center" vertical="center" wrapText="1"/>
    </xf>
    <xf numFmtId="0" fontId="15" fillId="6" borderId="13" xfId="0" applyFont="1" applyFill="1" applyBorder="1" applyAlignment="1">
      <alignment horizontal="center" vertical="center" wrapText="1"/>
    </xf>
    <xf numFmtId="0" fontId="15" fillId="3" borderId="55" xfId="0" applyFont="1" applyFill="1" applyBorder="1" applyAlignment="1">
      <alignment horizontal="center" vertical="center" wrapText="1"/>
    </xf>
    <xf numFmtId="0" fontId="15" fillId="3" borderId="56" xfId="0" applyFont="1" applyFill="1" applyBorder="1" applyAlignment="1">
      <alignment horizontal="center" vertical="center" wrapText="1"/>
    </xf>
    <xf numFmtId="0" fontId="15" fillId="3" borderId="57" xfId="0" applyFont="1" applyFill="1" applyBorder="1" applyAlignment="1">
      <alignment horizontal="center" vertical="center" wrapText="1"/>
    </xf>
    <xf numFmtId="0" fontId="15" fillId="5" borderId="55" xfId="0" applyFont="1" applyFill="1" applyBorder="1" applyAlignment="1">
      <alignment horizontal="center" vertical="center" wrapText="1"/>
    </xf>
    <xf numFmtId="0" fontId="15" fillId="5" borderId="56" xfId="0" applyFont="1" applyFill="1" applyBorder="1" applyAlignment="1">
      <alignment horizontal="center" vertical="center" wrapText="1"/>
    </xf>
    <xf numFmtId="0" fontId="15" fillId="5" borderId="57" xfId="0" applyFont="1" applyFill="1" applyBorder="1" applyAlignment="1">
      <alignment horizontal="center" vertical="center" wrapText="1"/>
    </xf>
    <xf numFmtId="0" fontId="15" fillId="0" borderId="14" xfId="0" applyFont="1" applyFill="1" applyBorder="1" applyAlignment="1">
      <alignment horizontal="center" vertical="center" wrapText="1"/>
    </xf>
    <xf numFmtId="0" fontId="15" fillId="0" borderId="2" xfId="0" applyFont="1" applyFill="1" applyBorder="1" applyAlignment="1">
      <alignment horizontal="center" vertical="center" wrapText="1"/>
    </xf>
    <xf numFmtId="0" fontId="15" fillId="2" borderId="11" xfId="0" applyFont="1" applyFill="1" applyBorder="1" applyAlignment="1">
      <alignment horizontal="center" vertical="center" wrapText="1"/>
    </xf>
    <xf numFmtId="0" fontId="15" fillId="2" borderId="12" xfId="0" applyFont="1" applyFill="1" applyBorder="1" applyAlignment="1">
      <alignment horizontal="center" vertical="center" wrapText="1"/>
    </xf>
    <xf numFmtId="0" fontId="15" fillId="2" borderId="13" xfId="0" applyFont="1" applyFill="1" applyBorder="1" applyAlignment="1">
      <alignment horizontal="center" vertical="center" wrapText="1"/>
    </xf>
    <xf numFmtId="0" fontId="15" fillId="3" borderId="11" xfId="0" applyFont="1" applyFill="1" applyBorder="1" applyAlignment="1">
      <alignment horizontal="center" vertical="center" wrapText="1"/>
    </xf>
    <xf numFmtId="0" fontId="15" fillId="3" borderId="12" xfId="0" applyFont="1" applyFill="1" applyBorder="1" applyAlignment="1">
      <alignment horizontal="center" vertical="center" wrapText="1"/>
    </xf>
    <xf numFmtId="0" fontId="15" fillId="3" borderId="13" xfId="0" applyFont="1" applyFill="1" applyBorder="1" applyAlignment="1">
      <alignment horizontal="center" vertical="center" wrapText="1"/>
    </xf>
    <xf numFmtId="0" fontId="2" fillId="4" borderId="10" xfId="0" applyFont="1" applyFill="1" applyBorder="1" applyAlignment="1">
      <alignment vertical="center"/>
    </xf>
    <xf numFmtId="0" fontId="2" fillId="4" borderId="15" xfId="0" applyFont="1" applyFill="1" applyBorder="1" applyAlignment="1">
      <alignment vertical="center"/>
    </xf>
    <xf numFmtId="0" fontId="2" fillId="2" borderId="10" xfId="0" applyFont="1" applyFill="1" applyBorder="1" applyAlignment="1">
      <alignment vertical="center"/>
    </xf>
    <xf numFmtId="0" fontId="2" fillId="2" borderId="16" xfId="0" applyFont="1" applyFill="1" applyBorder="1" applyAlignment="1">
      <alignment vertical="center"/>
    </xf>
    <xf numFmtId="0" fontId="2" fillId="2" borderId="15" xfId="0" applyFont="1" applyFill="1" applyBorder="1" applyAlignment="1">
      <alignment vertical="center"/>
    </xf>
    <xf numFmtId="0" fontId="2" fillId="4" borderId="3" xfId="0" applyFont="1" applyFill="1" applyBorder="1" applyAlignment="1">
      <alignment horizontal="left" vertical="center"/>
    </xf>
    <xf numFmtId="0" fontId="2" fillId="2" borderId="16" xfId="0" applyFont="1" applyFill="1" applyBorder="1" applyAlignment="1">
      <alignment horizontal="center" vertical="center"/>
    </xf>
    <xf numFmtId="0" fontId="2" fillId="2" borderId="15" xfId="0" applyFont="1" applyFill="1" applyBorder="1" applyAlignment="1">
      <alignment horizontal="center" vertical="center"/>
    </xf>
    <xf numFmtId="0" fontId="2" fillId="4" borderId="0" xfId="0" applyFont="1" applyFill="1" applyAlignment="1">
      <alignment horizontal="center" vertical="center"/>
    </xf>
    <xf numFmtId="0" fontId="2" fillId="4" borderId="19" xfId="0" applyFont="1" applyFill="1" applyBorder="1" applyAlignment="1">
      <alignment horizontal="left" vertical="center"/>
    </xf>
    <xf numFmtId="0" fontId="2" fillId="4" borderId="20" xfId="0" applyFont="1" applyFill="1" applyBorder="1" applyAlignment="1">
      <alignment horizontal="left" vertical="center"/>
    </xf>
    <xf numFmtId="0" fontId="2" fillId="2" borderId="19" xfId="0" applyFont="1" applyFill="1" applyBorder="1" applyAlignment="1">
      <alignment horizontal="left" vertical="center"/>
    </xf>
    <xf numFmtId="0" fontId="2" fillId="2" borderId="21" xfId="0" applyFont="1" applyFill="1" applyBorder="1" applyAlignment="1">
      <alignment horizontal="left" vertical="center"/>
    </xf>
    <xf numFmtId="0" fontId="2" fillId="2" borderId="20" xfId="0" applyFont="1" applyFill="1" applyBorder="1" applyAlignment="1">
      <alignment horizontal="left" vertical="center"/>
    </xf>
    <xf numFmtId="0" fontId="2" fillId="4" borderId="10" xfId="0" applyFont="1" applyFill="1" applyBorder="1" applyAlignment="1">
      <alignment horizontal="center" vertical="center"/>
    </xf>
    <xf numFmtId="0" fontId="2" fillId="4" borderId="16" xfId="0" applyFont="1" applyFill="1" applyBorder="1" applyAlignment="1">
      <alignment horizontal="center" vertical="center"/>
    </xf>
    <xf numFmtId="0" fontId="2" fillId="2" borderId="21" xfId="0" applyFont="1" applyFill="1" applyBorder="1" applyAlignment="1">
      <alignment horizontal="center" vertical="center"/>
    </xf>
    <xf numFmtId="0" fontId="2" fillId="2" borderId="20" xfId="0" applyFont="1" applyFill="1" applyBorder="1" applyAlignment="1">
      <alignment horizontal="center" vertical="center"/>
    </xf>
    <xf numFmtId="0" fontId="2" fillId="2" borderId="10" xfId="0" applyFont="1" applyFill="1" applyBorder="1" applyAlignment="1">
      <alignment horizontal="center" vertical="center"/>
    </xf>
    <xf numFmtId="0" fontId="6" fillId="4" borderId="3" xfId="0" applyFont="1" applyFill="1" applyBorder="1" applyAlignment="1">
      <alignment horizontal="center" vertical="center" wrapText="1"/>
    </xf>
    <xf numFmtId="0" fontId="6" fillId="4" borderId="3" xfId="0" applyFont="1" applyFill="1" applyBorder="1" applyAlignment="1">
      <alignment horizontal="center" vertical="center"/>
    </xf>
    <xf numFmtId="0" fontId="6" fillId="4" borderId="14"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17" xfId="0" applyFont="1" applyFill="1" applyBorder="1" applyAlignment="1">
      <alignment horizontal="center" vertical="center"/>
    </xf>
    <xf numFmtId="0" fontId="6" fillId="4" borderId="19" xfId="0" applyFont="1" applyFill="1" applyBorder="1" applyAlignment="1">
      <alignment horizontal="center" vertical="center"/>
    </xf>
    <xf numFmtId="0" fontId="6" fillId="4" borderId="21" xfId="0" applyFont="1" applyFill="1" applyBorder="1" applyAlignment="1">
      <alignment horizontal="center" vertical="center"/>
    </xf>
    <xf numFmtId="0" fontId="6" fillId="4" borderId="20" xfId="0" applyFont="1" applyFill="1" applyBorder="1" applyAlignment="1">
      <alignment horizontal="center" vertical="center"/>
    </xf>
    <xf numFmtId="0" fontId="6" fillId="4" borderId="14" xfId="0" applyFont="1" applyFill="1" applyBorder="1" applyAlignment="1">
      <alignment horizontal="center" vertical="center" wrapText="1"/>
    </xf>
    <xf numFmtId="0" fontId="6" fillId="4" borderId="17" xfId="0" applyFont="1" applyFill="1" applyBorder="1" applyAlignment="1">
      <alignment horizontal="center" vertical="center" wrapText="1"/>
    </xf>
    <xf numFmtId="0" fontId="6" fillId="4" borderId="19" xfId="0" applyFont="1" applyFill="1" applyBorder="1" applyAlignment="1">
      <alignment horizontal="center" vertical="center" wrapText="1"/>
    </xf>
    <xf numFmtId="0" fontId="6" fillId="4" borderId="20"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4" borderId="18" xfId="0" applyFont="1" applyFill="1" applyBorder="1" applyAlignment="1">
      <alignment horizontal="center" vertical="center" wrapText="1"/>
    </xf>
    <xf numFmtId="0" fontId="2" fillId="4" borderId="10" xfId="0" applyFont="1" applyFill="1" applyBorder="1" applyAlignment="1">
      <alignment horizontal="left" vertical="center"/>
    </xf>
    <xf numFmtId="0" fontId="2" fillId="4" borderId="16" xfId="0" applyFont="1" applyFill="1" applyBorder="1" applyAlignment="1">
      <alignment horizontal="left" vertical="center"/>
    </xf>
    <xf numFmtId="0" fontId="2" fillId="4" borderId="15" xfId="0" applyFont="1" applyFill="1" applyBorder="1" applyAlignment="1">
      <alignment horizontal="left" vertical="center"/>
    </xf>
    <xf numFmtId="0" fontId="0" fillId="0" borderId="3" xfId="0" applyBorder="1" applyAlignment="1">
      <alignment vertical="center"/>
    </xf>
    <xf numFmtId="0" fontId="0" fillId="3" borderId="10" xfId="0" applyFill="1" applyBorder="1" applyAlignment="1">
      <alignment horizontal="left" vertical="center"/>
    </xf>
    <xf numFmtId="0" fontId="0" fillId="3" borderId="16" xfId="0" applyFill="1" applyBorder="1" applyAlignment="1">
      <alignment horizontal="left" vertical="center"/>
    </xf>
    <xf numFmtId="0" fontId="0" fillId="3" borderId="15" xfId="0" applyFill="1" applyBorder="1" applyAlignment="1">
      <alignment horizontal="left" vertical="center"/>
    </xf>
    <xf numFmtId="0" fontId="0" fillId="3" borderId="3" xfId="0" applyFill="1" applyBorder="1" applyAlignment="1">
      <alignment horizontal="center" vertical="center"/>
    </xf>
    <xf numFmtId="0" fontId="0" fillId="3" borderId="10" xfId="0" applyFill="1" applyBorder="1" applyAlignment="1">
      <alignment horizontal="center" vertical="center"/>
    </xf>
    <xf numFmtId="0" fontId="0" fillId="3" borderId="15" xfId="0" applyFill="1" applyBorder="1" applyAlignment="1">
      <alignment horizontal="center" vertical="center"/>
    </xf>
    <xf numFmtId="0" fontId="6" fillId="4" borderId="3" xfId="0" applyFont="1" applyFill="1" applyBorder="1" applyAlignment="1">
      <alignment horizontal="left" vertical="center"/>
    </xf>
    <xf numFmtId="0" fontId="6" fillId="4" borderId="3" xfId="0" applyFont="1" applyFill="1" applyBorder="1" applyAlignment="1">
      <alignment horizontal="left" vertical="center" wrapText="1"/>
    </xf>
    <xf numFmtId="0" fontId="0" fillId="0" borderId="0" xfId="0" applyAlignment="1">
      <alignment horizontal="center" vertical="center"/>
    </xf>
    <xf numFmtId="0" fontId="2" fillId="4" borderId="24" xfId="0" applyFont="1" applyFill="1" applyBorder="1" applyAlignment="1">
      <alignment horizontal="center" vertical="center" wrapText="1"/>
    </xf>
    <xf numFmtId="0" fontId="2" fillId="4" borderId="25" xfId="0" applyFont="1" applyFill="1" applyBorder="1" applyAlignment="1">
      <alignment horizontal="center" vertical="center" wrapText="1"/>
    </xf>
    <xf numFmtId="0" fontId="0" fillId="3" borderId="3" xfId="0" applyFill="1" applyBorder="1" applyAlignment="1">
      <alignment horizontal="center" vertical="center" wrapText="1"/>
    </xf>
    <xf numFmtId="0" fontId="0" fillId="3" borderId="14" xfId="0" applyFill="1" applyBorder="1" applyAlignment="1">
      <alignment horizontal="center" vertical="center" wrapText="1"/>
    </xf>
    <xf numFmtId="0" fontId="0" fillId="3" borderId="17" xfId="0" applyFill="1" applyBorder="1" applyAlignment="1">
      <alignment horizontal="center" vertical="center" wrapText="1"/>
    </xf>
    <xf numFmtId="0" fontId="0" fillId="3" borderId="22" xfId="0" applyFill="1" applyBorder="1" applyAlignment="1">
      <alignment horizontal="center" vertical="center" wrapText="1"/>
    </xf>
    <xf numFmtId="0" fontId="0" fillId="3" borderId="23" xfId="0" applyFill="1" applyBorder="1" applyAlignment="1">
      <alignment horizontal="center" vertical="center" wrapText="1"/>
    </xf>
    <xf numFmtId="0" fontId="0" fillId="3" borderId="19" xfId="0" applyFill="1" applyBorder="1" applyAlignment="1">
      <alignment horizontal="center" vertical="center" wrapText="1"/>
    </xf>
    <xf numFmtId="0" fontId="0" fillId="3" borderId="20" xfId="0" applyFill="1" applyBorder="1" applyAlignment="1">
      <alignment horizontal="center" vertical="center" wrapText="1"/>
    </xf>
    <xf numFmtId="0" fontId="2" fillId="0" borderId="1" xfId="0" applyFont="1" applyBorder="1" applyAlignment="1">
      <alignment horizontal="center" vertical="center"/>
    </xf>
    <xf numFmtId="0" fontId="2" fillId="0" borderId="18" xfId="0" applyFont="1" applyBorder="1" applyAlignment="1">
      <alignment horizontal="center" vertical="center"/>
    </xf>
    <xf numFmtId="0" fontId="2" fillId="0" borderId="14" xfId="0" applyFont="1" applyBorder="1" applyAlignment="1">
      <alignment horizontal="center" vertical="center"/>
    </xf>
    <xf numFmtId="0" fontId="2" fillId="0" borderId="17" xfId="0" applyFont="1" applyBorder="1" applyAlignment="1">
      <alignment horizontal="center" vertical="center"/>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5" fillId="0" borderId="14" xfId="0" applyFont="1" applyBorder="1" applyAlignment="1">
      <alignment horizontal="center" vertical="center"/>
    </xf>
    <xf numFmtId="0" fontId="5" fillId="0" borderId="2" xfId="0" applyFont="1" applyBorder="1" applyAlignment="1">
      <alignment horizontal="center" vertical="center"/>
    </xf>
    <xf numFmtId="0" fontId="5" fillId="0" borderId="17" xfId="0" applyFont="1" applyBorder="1" applyAlignment="1">
      <alignment horizontal="center" vertical="center"/>
    </xf>
    <xf numFmtId="0" fontId="5" fillId="0" borderId="19" xfId="0" applyFont="1" applyBorder="1" applyAlignment="1">
      <alignment horizontal="center" vertical="center"/>
    </xf>
    <xf numFmtId="0" fontId="5" fillId="0" borderId="21" xfId="0" applyFont="1" applyBorder="1" applyAlignment="1">
      <alignment horizontal="center" vertical="center"/>
    </xf>
    <xf numFmtId="0" fontId="5" fillId="0" borderId="20" xfId="0" applyFont="1" applyBorder="1" applyAlignment="1">
      <alignment horizontal="center" vertical="center"/>
    </xf>
    <xf numFmtId="0" fontId="2" fillId="0" borderId="14" xfId="0" applyFont="1" applyBorder="1" applyAlignment="1">
      <alignment horizontal="left" vertical="center"/>
    </xf>
    <xf numFmtId="0" fontId="2" fillId="0" borderId="2" xfId="0" applyFont="1" applyBorder="1" applyAlignment="1">
      <alignment horizontal="left" vertical="center"/>
    </xf>
    <xf numFmtId="0" fontId="2" fillId="0" borderId="17" xfId="0" applyFont="1" applyBorder="1" applyAlignment="1">
      <alignment horizontal="left" vertical="center"/>
    </xf>
    <xf numFmtId="0" fontId="2" fillId="0" borderId="19" xfId="0" applyFont="1" applyBorder="1" applyAlignment="1">
      <alignment horizontal="left" vertical="center"/>
    </xf>
    <xf numFmtId="0" fontId="2" fillId="0" borderId="21" xfId="0" applyFont="1" applyBorder="1" applyAlignment="1">
      <alignment horizontal="left" vertical="center"/>
    </xf>
    <xf numFmtId="0" fontId="2" fillId="0" borderId="20" xfId="0" applyFont="1" applyBorder="1" applyAlignment="1">
      <alignment horizontal="left" vertical="center"/>
    </xf>
    <xf numFmtId="0" fontId="6" fillId="0" borderId="10" xfId="0" applyFont="1" applyBorder="1"/>
    <xf numFmtId="0" fontId="6" fillId="0" borderId="15" xfId="0" applyFont="1" applyBorder="1"/>
    <xf numFmtId="0" fontId="6" fillId="0" borderId="16" xfId="0" applyFont="1" applyBorder="1"/>
    <xf numFmtId="0" fontId="6" fillId="0" borderId="3" xfId="0" applyFont="1" applyBorder="1" applyAlignment="1">
      <alignment horizontal="left" vertical="top"/>
    </xf>
    <xf numFmtId="0" fontId="6" fillId="0" borderId="16" xfId="0" applyFont="1" applyBorder="1" applyAlignment="1">
      <alignment horizontal="center"/>
    </xf>
    <xf numFmtId="0" fontId="6" fillId="0" borderId="15" xfId="0" applyFont="1" applyBorder="1" applyAlignment="1">
      <alignment horizontal="center"/>
    </xf>
    <xf numFmtId="0" fontId="6" fillId="0" borderId="3" xfId="0" applyFont="1" applyBorder="1" applyAlignment="1">
      <alignment horizontal="left"/>
    </xf>
    <xf numFmtId="0" fontId="6" fillId="0" borderId="3" xfId="0" applyFont="1" applyBorder="1" applyAlignment="1">
      <alignment horizontal="center" vertical="center" wrapText="1"/>
    </xf>
    <xf numFmtId="0" fontId="6" fillId="0" borderId="3" xfId="0" applyFont="1" applyBorder="1" applyAlignment="1">
      <alignment horizontal="center" vertical="center"/>
    </xf>
    <xf numFmtId="0" fontId="6" fillId="0" borderId="14" xfId="0" applyFont="1" applyBorder="1" applyAlignment="1">
      <alignment horizontal="center" vertical="center"/>
    </xf>
    <xf numFmtId="0" fontId="6" fillId="0" borderId="2" xfId="0" applyFont="1" applyBorder="1" applyAlignment="1">
      <alignment horizontal="center" vertical="center"/>
    </xf>
    <xf numFmtId="0" fontId="6" fillId="0" borderId="17" xfId="0" applyFont="1" applyBorder="1" applyAlignment="1">
      <alignment horizontal="center" vertical="center"/>
    </xf>
    <xf numFmtId="0" fontId="6" fillId="0" borderId="19"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center" vertical="center"/>
    </xf>
    <xf numFmtId="0" fontId="6" fillId="0" borderId="3" xfId="0" applyFont="1" applyBorder="1" applyAlignment="1">
      <alignment horizontal="center"/>
    </xf>
    <xf numFmtId="0" fontId="2" fillId="0" borderId="14"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20" xfId="0" applyFont="1" applyBorder="1" applyAlignment="1">
      <alignment horizontal="center" vertical="center" wrapText="1"/>
    </xf>
    <xf numFmtId="0" fontId="0" fillId="0" borderId="10" xfId="0" applyBorder="1" applyAlignment="1">
      <alignment horizontal="left" vertical="center"/>
    </xf>
    <xf numFmtId="0" fontId="0" fillId="0" borderId="16" xfId="0" applyBorder="1" applyAlignment="1">
      <alignment horizontal="left" vertical="center"/>
    </xf>
    <xf numFmtId="0" fontId="0" fillId="0" borderId="15" xfId="0" applyBorder="1" applyAlignment="1">
      <alignment horizontal="left" vertical="center"/>
    </xf>
    <xf numFmtId="0" fontId="0" fillId="0" borderId="3" xfId="0" applyBorder="1"/>
    <xf numFmtId="0" fontId="0" fillId="0" borderId="10" xfId="0" applyBorder="1" applyAlignment="1">
      <alignment horizontal="center" vertical="center"/>
    </xf>
    <xf numFmtId="0" fontId="0" fillId="0" borderId="16" xfId="0" applyBorder="1" applyAlignment="1">
      <alignment horizontal="center" vertical="center"/>
    </xf>
    <xf numFmtId="0" fontId="0" fillId="0" borderId="15" xfId="0" applyBorder="1" applyAlignment="1">
      <alignment horizontal="center" vertical="center"/>
    </xf>
    <xf numFmtId="0" fontId="0" fillId="0" borderId="10" xfId="0" applyBorder="1"/>
    <xf numFmtId="0" fontId="0" fillId="0" borderId="15" xfId="0" applyBorder="1"/>
    <xf numFmtId="0" fontId="0" fillId="0" borderId="10" xfId="0" applyBorder="1" applyAlignment="1">
      <alignment horizontal="center"/>
    </xf>
    <xf numFmtId="0" fontId="0" fillId="0" borderId="15" xfId="0" applyBorder="1" applyAlignment="1">
      <alignment horizontal="center"/>
    </xf>
    <xf numFmtId="0" fontId="9" fillId="0" borderId="14" xfId="0" applyFont="1" applyBorder="1" applyAlignment="1">
      <alignment horizontal="center" vertical="center" wrapText="1"/>
    </xf>
    <xf numFmtId="0" fontId="9" fillId="0" borderId="17" xfId="0" applyFont="1" applyBorder="1" applyAlignment="1">
      <alignment horizontal="center" vertical="center" wrapText="1"/>
    </xf>
    <xf numFmtId="0" fontId="9" fillId="0" borderId="19" xfId="0" applyFont="1" applyBorder="1" applyAlignment="1">
      <alignment horizontal="center" vertical="center" wrapText="1"/>
    </xf>
    <xf numFmtId="0" fontId="9" fillId="0" borderId="20" xfId="0" applyFont="1" applyBorder="1" applyAlignment="1">
      <alignment horizontal="center" vertical="center" wrapText="1"/>
    </xf>
    <xf numFmtId="0" fontId="9" fillId="0" borderId="3" xfId="0" applyFont="1" applyBorder="1" applyAlignment="1">
      <alignment horizontal="left" vertical="top"/>
    </xf>
    <xf numFmtId="0" fontId="0" fillId="0" borderId="16" xfId="0" applyBorder="1" applyAlignment="1">
      <alignment horizontal="center"/>
    </xf>
    <xf numFmtId="0" fontId="9" fillId="0" borderId="10" xfId="0" applyFont="1" applyBorder="1" applyAlignment="1">
      <alignment horizontal="left" vertical="top"/>
    </xf>
    <xf numFmtId="0" fontId="9" fillId="0" borderId="16" xfId="0" applyFont="1" applyBorder="1" applyAlignment="1">
      <alignment horizontal="left" vertical="top"/>
    </xf>
    <xf numFmtId="0" fontId="9" fillId="0" borderId="15" xfId="0" applyFont="1" applyBorder="1" applyAlignment="1">
      <alignment horizontal="left" vertical="top"/>
    </xf>
    <xf numFmtId="0" fontId="9" fillId="0" borderId="3" xfId="0" applyFont="1" applyBorder="1" applyAlignment="1">
      <alignment horizontal="center" vertical="center" wrapText="1"/>
    </xf>
    <xf numFmtId="0" fontId="0" fillId="0" borderId="0" xfId="0" applyAlignment="1">
      <alignment horizontal="center"/>
    </xf>
    <xf numFmtId="0" fontId="2" fillId="0" borderId="14" xfId="0" applyFont="1" applyBorder="1" applyAlignment="1">
      <alignment horizontal="left" vertical="center" wrapText="1"/>
    </xf>
    <xf numFmtId="0" fontId="2" fillId="0" borderId="2" xfId="0" applyFont="1" applyBorder="1" applyAlignment="1">
      <alignment horizontal="left" vertical="center" wrapText="1"/>
    </xf>
    <xf numFmtId="0" fontId="2" fillId="0" borderId="17" xfId="0" applyFont="1" applyBorder="1" applyAlignment="1">
      <alignment horizontal="left" vertical="center" wrapText="1"/>
    </xf>
    <xf numFmtId="0" fontId="2" fillId="0" borderId="22" xfId="0" applyFont="1" applyBorder="1" applyAlignment="1">
      <alignment horizontal="left" vertical="center" wrapText="1"/>
    </xf>
    <xf numFmtId="0" fontId="2" fillId="0" borderId="0" xfId="0" applyFont="1" applyAlignment="1">
      <alignment horizontal="left" vertical="center" wrapText="1"/>
    </xf>
    <xf numFmtId="0" fontId="2" fillId="0" borderId="23" xfId="0" applyFont="1" applyBorder="1" applyAlignment="1">
      <alignment horizontal="left" vertical="center" wrapText="1"/>
    </xf>
    <xf numFmtId="0" fontId="2" fillId="0" borderId="19" xfId="0" applyFont="1" applyBorder="1" applyAlignment="1">
      <alignment horizontal="left" vertical="center" wrapText="1"/>
    </xf>
    <xf numFmtId="0" fontId="2" fillId="0" borderId="21" xfId="0" applyFont="1" applyBorder="1" applyAlignment="1">
      <alignment horizontal="left" vertical="center" wrapText="1"/>
    </xf>
    <xf numFmtId="0" fontId="2" fillId="0" borderId="20" xfId="0" applyFont="1" applyBorder="1" applyAlignment="1">
      <alignment horizontal="left" vertical="center" wrapText="1"/>
    </xf>
    <xf numFmtId="0" fontId="0" fillId="0" borderId="3" xfId="0" applyBorder="1" applyAlignment="1">
      <alignment horizontal="center"/>
    </xf>
    <xf numFmtId="0" fontId="0" fillId="0" borderId="3" xfId="0" applyBorder="1" applyAlignment="1">
      <alignment horizontal="center" wrapText="1"/>
    </xf>
    <xf numFmtId="0" fontId="0" fillId="0" borderId="14" xfId="0" applyBorder="1" applyAlignment="1">
      <alignment horizontal="center" wrapText="1"/>
    </xf>
    <xf numFmtId="0" fontId="0" fillId="0" borderId="17" xfId="0" applyBorder="1" applyAlignment="1">
      <alignment horizontal="center" wrapText="1"/>
    </xf>
    <xf numFmtId="0" fontId="0" fillId="0" borderId="22" xfId="0" applyBorder="1" applyAlignment="1">
      <alignment horizontal="center" wrapText="1"/>
    </xf>
    <xf numFmtId="0" fontId="0" fillId="0" borderId="23" xfId="0" applyBorder="1" applyAlignment="1">
      <alignment horizontal="center" wrapText="1"/>
    </xf>
    <xf numFmtId="0" fontId="0" fillId="0" borderId="19" xfId="0" applyBorder="1" applyAlignment="1">
      <alignment horizontal="center" wrapText="1"/>
    </xf>
    <xf numFmtId="0" fontId="0" fillId="0" borderId="20" xfId="0" applyBorder="1" applyAlignment="1">
      <alignment horizontal="center" wrapText="1"/>
    </xf>
    <xf numFmtId="0" fontId="9" fillId="0" borderId="3" xfId="0" applyFont="1" applyBorder="1" applyAlignment="1">
      <alignment horizontal="left" vertical="top" wrapText="1"/>
    </xf>
    <xf numFmtId="0" fontId="2" fillId="0" borderId="10" xfId="0" applyFont="1" applyFill="1" applyBorder="1" applyAlignment="1">
      <alignment vertical="center"/>
    </xf>
    <xf numFmtId="0" fontId="2" fillId="0" borderId="15" xfId="0" applyFont="1" applyFill="1" applyBorder="1" applyAlignment="1">
      <alignment vertical="center"/>
    </xf>
    <xf numFmtId="0" fontId="2" fillId="0" borderId="16" xfId="0" applyFont="1" applyFill="1" applyBorder="1" applyAlignment="1">
      <alignment vertical="center"/>
    </xf>
    <xf numFmtId="0" fontId="2" fillId="0" borderId="3" xfId="0" applyFont="1" applyFill="1" applyBorder="1" applyAlignment="1">
      <alignment horizontal="left" vertical="center"/>
    </xf>
    <xf numFmtId="0" fontId="2" fillId="9" borderId="0" xfId="0" applyFont="1" applyFill="1" applyAlignment="1">
      <alignment horizontal="center" vertical="center"/>
    </xf>
    <xf numFmtId="0" fontId="2" fillId="0" borderId="19" xfId="0" applyFont="1" applyFill="1" applyBorder="1" applyAlignment="1">
      <alignment horizontal="left" vertical="center"/>
    </xf>
    <xf numFmtId="0" fontId="2" fillId="0" borderId="20" xfId="0" applyFont="1" applyFill="1" applyBorder="1" applyAlignment="1">
      <alignment horizontal="left" vertical="center"/>
    </xf>
    <xf numFmtId="0" fontId="2" fillId="0" borderId="21" xfId="0" applyFont="1" applyFill="1" applyBorder="1" applyAlignment="1">
      <alignment horizontal="left" vertical="center"/>
    </xf>
    <xf numFmtId="0" fontId="2" fillId="0" borderId="10" xfId="0" applyFont="1" applyFill="1" applyBorder="1" applyAlignment="1">
      <alignment horizontal="center" vertical="center"/>
    </xf>
    <xf numFmtId="0" fontId="2" fillId="0" borderId="21" xfId="0" applyFont="1" applyFill="1" applyBorder="1" applyAlignment="1">
      <alignment horizontal="center" vertical="center"/>
    </xf>
    <xf numFmtId="0" fontId="2" fillId="0" borderId="20" xfId="0" applyFont="1" applyFill="1" applyBorder="1" applyAlignment="1">
      <alignment horizontal="center" vertical="center"/>
    </xf>
    <xf numFmtId="0" fontId="6" fillId="9" borderId="3" xfId="0" applyFont="1" applyFill="1" applyBorder="1" applyAlignment="1">
      <alignment horizontal="center" vertical="center" wrapText="1"/>
    </xf>
    <xf numFmtId="0" fontId="6" fillId="9" borderId="3" xfId="0" applyFont="1" applyFill="1" applyBorder="1" applyAlignment="1">
      <alignment horizontal="center" vertical="center"/>
    </xf>
    <xf numFmtId="0" fontId="6" fillId="9" borderId="14" xfId="0" applyFont="1" applyFill="1" applyBorder="1" applyAlignment="1">
      <alignment horizontal="center" vertical="center"/>
    </xf>
    <xf numFmtId="0" fontId="6" fillId="9" borderId="2" xfId="0" applyFont="1" applyFill="1" applyBorder="1" applyAlignment="1">
      <alignment horizontal="center" vertical="center"/>
    </xf>
    <xf numFmtId="0" fontId="6" fillId="9" borderId="17" xfId="0" applyFont="1" applyFill="1" applyBorder="1" applyAlignment="1">
      <alignment horizontal="center" vertical="center"/>
    </xf>
    <xf numFmtId="0" fontId="6" fillId="9" borderId="19" xfId="0" applyFont="1" applyFill="1" applyBorder="1" applyAlignment="1">
      <alignment horizontal="center" vertical="center"/>
    </xf>
    <xf numFmtId="0" fontId="6" fillId="9" borderId="21" xfId="0" applyFont="1" applyFill="1" applyBorder="1" applyAlignment="1">
      <alignment horizontal="center" vertical="center"/>
    </xf>
    <xf numFmtId="0" fontId="6" fillId="9" borderId="20" xfId="0" applyFont="1" applyFill="1" applyBorder="1" applyAlignment="1">
      <alignment horizontal="center" vertical="center"/>
    </xf>
    <xf numFmtId="0" fontId="6" fillId="9" borderId="14" xfId="0" applyFont="1" applyFill="1" applyBorder="1" applyAlignment="1">
      <alignment horizontal="center" vertical="center" wrapText="1"/>
    </xf>
    <xf numFmtId="0" fontId="6" fillId="9" borderId="17" xfId="0" applyFont="1" applyFill="1" applyBorder="1" applyAlignment="1">
      <alignment horizontal="center" vertical="center" wrapText="1"/>
    </xf>
    <xf numFmtId="0" fontId="6" fillId="9" borderId="19" xfId="0" applyFont="1" applyFill="1" applyBorder="1" applyAlignment="1">
      <alignment horizontal="center" vertical="center" wrapText="1"/>
    </xf>
    <xf numFmtId="0" fontId="6" fillId="9" borderId="20"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6" fillId="9" borderId="18" xfId="0" applyFont="1" applyFill="1" applyBorder="1" applyAlignment="1">
      <alignment horizontal="center" vertical="center" wrapText="1"/>
    </xf>
    <xf numFmtId="0" fontId="2" fillId="0" borderId="10" xfId="0" applyFont="1" applyFill="1" applyBorder="1" applyAlignment="1">
      <alignment horizontal="left" vertical="center"/>
    </xf>
    <xf numFmtId="0" fontId="2" fillId="0" borderId="16" xfId="0" applyFont="1" applyFill="1" applyBorder="1" applyAlignment="1">
      <alignment horizontal="left" vertical="center"/>
    </xf>
    <xf numFmtId="0" fontId="2" fillId="0" borderId="15" xfId="0" applyFont="1" applyFill="1" applyBorder="1" applyAlignment="1">
      <alignment horizontal="left" vertical="center"/>
    </xf>
    <xf numFmtId="0" fontId="0" fillId="0" borderId="10" xfId="0" applyFill="1" applyBorder="1" applyAlignment="1">
      <alignment horizontal="left" vertical="center"/>
    </xf>
    <xf numFmtId="0" fontId="0" fillId="0" borderId="16" xfId="0" applyFill="1" applyBorder="1" applyAlignment="1">
      <alignment horizontal="left" vertical="center"/>
    </xf>
    <xf numFmtId="0" fontId="0" fillId="0" borderId="15" xfId="0" applyFill="1" applyBorder="1" applyAlignment="1">
      <alignment horizontal="left" vertical="center"/>
    </xf>
    <xf numFmtId="0" fontId="0" fillId="0" borderId="3" xfId="0" applyFill="1" applyBorder="1" applyAlignment="1">
      <alignment horizontal="center" vertical="center"/>
    </xf>
    <xf numFmtId="0" fontId="6" fillId="9" borderId="3" xfId="0" applyFont="1" applyFill="1" applyBorder="1" applyAlignment="1">
      <alignment horizontal="left" vertical="center"/>
    </xf>
    <xf numFmtId="0" fontId="6" fillId="9" borderId="3" xfId="0" applyFont="1" applyFill="1" applyBorder="1" applyAlignment="1">
      <alignment horizontal="left" vertical="center" wrapText="1"/>
    </xf>
    <xf numFmtId="0" fontId="2" fillId="0" borderId="24" xfId="0" applyFont="1" applyFill="1" applyBorder="1" applyAlignment="1">
      <alignment horizontal="center" vertical="center" wrapText="1"/>
    </xf>
    <xf numFmtId="0" fontId="2" fillId="0" borderId="25" xfId="0" applyFont="1" applyFill="1" applyBorder="1" applyAlignment="1">
      <alignment horizontal="center" vertical="center" wrapText="1"/>
    </xf>
    <xf numFmtId="0" fontId="0" fillId="0" borderId="3" xfId="0" applyFill="1" applyBorder="1" applyAlignment="1">
      <alignment horizontal="center" vertical="center" wrapText="1"/>
    </xf>
    <xf numFmtId="0" fontId="0" fillId="0" borderId="14" xfId="0" applyFill="1" applyBorder="1" applyAlignment="1">
      <alignment horizontal="center" vertical="center" wrapText="1"/>
    </xf>
    <xf numFmtId="0" fontId="0" fillId="0" borderId="17" xfId="0" applyFill="1" applyBorder="1" applyAlignment="1">
      <alignment horizontal="center" vertical="center" wrapText="1"/>
    </xf>
    <xf numFmtId="0" fontId="0" fillId="0" borderId="22" xfId="0" applyFill="1" applyBorder="1" applyAlignment="1">
      <alignment horizontal="center" vertical="center" wrapText="1"/>
    </xf>
    <xf numFmtId="0" fontId="0" fillId="0" borderId="23" xfId="0" applyFill="1" applyBorder="1" applyAlignment="1">
      <alignment horizontal="center" vertical="center" wrapText="1"/>
    </xf>
    <xf numFmtId="0" fontId="0" fillId="0" borderId="19" xfId="0" applyFill="1" applyBorder="1" applyAlignment="1">
      <alignment horizontal="center" vertical="center" wrapText="1"/>
    </xf>
    <xf numFmtId="0" fontId="0" fillId="0" borderId="20" xfId="0" applyFill="1" applyBorder="1" applyAlignment="1">
      <alignment horizontal="center" vertical="center" wrapText="1"/>
    </xf>
    <xf numFmtId="0" fontId="0" fillId="0" borderId="51" xfId="0" applyFill="1" applyBorder="1" applyAlignment="1">
      <alignment horizontal="left" vertical="center"/>
    </xf>
    <xf numFmtId="0" fontId="0" fillId="0" borderId="52" xfId="0" applyFill="1" applyBorder="1" applyAlignment="1">
      <alignment horizontal="left" vertical="center"/>
    </xf>
    <xf numFmtId="0" fontId="0" fillId="0" borderId="50" xfId="0" applyFill="1" applyBorder="1" applyAlignment="1">
      <alignment horizontal="left" vertical="center"/>
    </xf>
    <xf numFmtId="0" fontId="0" fillId="0" borderId="49" xfId="0" applyFill="1" applyBorder="1" applyAlignment="1">
      <alignment horizontal="center" vertical="center"/>
    </xf>
    <xf numFmtId="0" fontId="0" fillId="0" borderId="19" xfId="0" applyFill="1" applyBorder="1" applyAlignment="1">
      <alignment horizontal="left" vertical="center"/>
    </xf>
    <xf numFmtId="0" fontId="0" fillId="0" borderId="21" xfId="0" applyFill="1" applyBorder="1" applyAlignment="1">
      <alignment horizontal="left" vertical="center"/>
    </xf>
    <xf numFmtId="0" fontId="0" fillId="0" borderId="20" xfId="0" applyFill="1" applyBorder="1" applyAlignment="1">
      <alignment horizontal="left" vertical="center"/>
    </xf>
    <xf numFmtId="0" fontId="0" fillId="0" borderId="51" xfId="0" applyFill="1" applyBorder="1" applyAlignment="1">
      <alignment horizontal="center" vertical="center"/>
    </xf>
    <xf numFmtId="0" fontId="0" fillId="0" borderId="50" xfId="0" applyFill="1" applyBorder="1" applyAlignment="1">
      <alignment horizontal="center" vertical="center"/>
    </xf>
  </cellXfs>
  <cellStyles count="2">
    <cellStyle name="Millare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47625</xdr:rowOff>
    </xdr:from>
    <xdr:to>
      <xdr:col>6</xdr:col>
      <xdr:colOff>717924</xdr:colOff>
      <xdr:row>16</xdr:row>
      <xdr:rowOff>142874</xdr:rowOff>
    </xdr:to>
    <xdr:pic>
      <xdr:nvPicPr>
        <xdr:cNvPr id="2" name="Imagen 1">
          <a:extLst>
            <a:ext uri="{FF2B5EF4-FFF2-40B4-BE49-F238E27FC236}">
              <a16:creationId xmlns:a16="http://schemas.microsoft.com/office/drawing/2014/main" id="{C8806E4A-84C8-4EE9-B459-F3064D6E76C9}"/>
            </a:ext>
          </a:extLst>
        </xdr:cNvPr>
        <xdr:cNvPicPr>
          <a:picLocks noChangeAspect="1"/>
        </xdr:cNvPicPr>
      </xdr:nvPicPr>
      <xdr:blipFill rotWithShape="1">
        <a:blip xmlns:r="http://schemas.openxmlformats.org/officeDocument/2006/relationships" r:embed="rId1"/>
        <a:srcRect l="471" t="7870" r="50150" b="3295"/>
        <a:stretch/>
      </xdr:blipFill>
      <xdr:spPr>
        <a:xfrm>
          <a:off x="0" y="47625"/>
          <a:ext cx="5289924" cy="3143249"/>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AQ85"/>
  <sheetViews>
    <sheetView tabSelected="1" zoomScale="80" zoomScaleNormal="80" workbookViewId="0">
      <pane ySplit="2" topLeftCell="A3" activePane="bottomLeft" state="frozen"/>
      <selection pane="bottomLeft" activeCell="AR15" sqref="AR15"/>
    </sheetView>
  </sheetViews>
  <sheetFormatPr baseColWidth="10" defaultColWidth="9.140625" defaultRowHeight="15" x14ac:dyDescent="0.25"/>
  <cols>
    <col min="1" max="1" width="3.28515625" style="160" customWidth="1"/>
    <col min="2" max="2" width="33.42578125" style="160" customWidth="1"/>
    <col min="3" max="3" width="33" style="160" customWidth="1"/>
    <col min="4" max="4" width="18.140625" style="186" hidden="1" customWidth="1"/>
    <col min="5" max="5" width="8.28515625" style="186" hidden="1" customWidth="1"/>
    <col min="6" max="6" width="11.140625" style="186" hidden="1" customWidth="1"/>
    <col min="7" max="7" width="9.85546875" style="186" hidden="1" customWidth="1"/>
    <col min="8" max="8" width="9.5703125" style="186" hidden="1" customWidth="1"/>
    <col min="9" max="9" width="9.5703125" style="160" hidden="1" customWidth="1"/>
    <col min="10" max="10" width="8.85546875" style="160" hidden="1" customWidth="1"/>
    <col min="11" max="11" width="11.85546875" style="353" hidden="1" customWidth="1"/>
    <col min="12" max="12" width="12.28515625" style="160" hidden="1" customWidth="1"/>
    <col min="13" max="14" width="8.85546875" style="160" hidden="1" customWidth="1"/>
    <col min="15" max="15" width="8.7109375" style="160" hidden="1" customWidth="1"/>
    <col min="16" max="16" width="11.85546875" style="353" hidden="1" customWidth="1"/>
    <col min="17" max="17" width="12.28515625" style="160" hidden="1" customWidth="1"/>
    <col min="18" max="18" width="8.7109375" style="160" hidden="1" customWidth="1"/>
    <col min="19" max="19" width="8.85546875" style="186" hidden="1" customWidth="1"/>
    <col min="20" max="20" width="8.7109375" style="186" hidden="1" customWidth="1"/>
    <col min="21" max="21" width="11.85546875" style="352" hidden="1" customWidth="1"/>
    <col min="22" max="22" width="12.28515625" style="186" hidden="1" customWidth="1"/>
    <col min="23" max="23" width="8.7109375" style="186" hidden="1" customWidth="1"/>
    <col min="24" max="24" width="8.85546875" style="186" hidden="1" customWidth="1"/>
    <col min="25" max="25" width="8.7109375" style="186" hidden="1" customWidth="1"/>
    <col min="26" max="26" width="11.85546875" style="352" hidden="1" customWidth="1"/>
    <col min="27" max="27" width="12.28515625" style="186" hidden="1" customWidth="1"/>
    <col min="28" max="28" width="8.7109375" style="186" hidden="1" customWidth="1"/>
    <col min="29" max="29" width="9.42578125" style="186" customWidth="1"/>
    <col min="30" max="30" width="8.7109375" style="186" customWidth="1"/>
    <col min="31" max="31" width="11.85546875" style="352" customWidth="1"/>
    <col min="32" max="32" width="12.28515625" style="186" bestFit="1" customWidth="1"/>
    <col min="33" max="33" width="8.7109375" style="186" customWidth="1"/>
    <col min="34" max="34" width="9.42578125" style="186" customWidth="1"/>
    <col min="35" max="35" width="8.7109375" style="186" customWidth="1"/>
    <col min="36" max="36" width="11.85546875" style="352" customWidth="1"/>
    <col min="37" max="37" width="12.28515625" style="186" bestFit="1" customWidth="1"/>
    <col min="38" max="38" width="8.7109375" style="186" customWidth="1"/>
    <col min="39" max="39" width="9.42578125" style="186" customWidth="1"/>
    <col min="40" max="40" width="8.7109375" style="186" customWidth="1"/>
    <col min="41" max="41" width="11.85546875" style="352" customWidth="1"/>
    <col min="42" max="42" width="12.28515625" style="186" bestFit="1" customWidth="1"/>
    <col min="43" max="43" width="8.7109375" style="186" customWidth="1"/>
    <col min="44" max="16384" width="9.140625" style="160"/>
  </cols>
  <sheetData>
    <row r="1" spans="1:43" ht="17.25" customHeight="1" x14ac:dyDescent="0.25">
      <c r="A1" s="159"/>
      <c r="B1" s="426" t="s">
        <v>114</v>
      </c>
      <c r="C1" s="427"/>
      <c r="D1" s="437" t="s">
        <v>109</v>
      </c>
      <c r="E1" s="438"/>
      <c r="F1" s="438"/>
      <c r="G1" s="438"/>
      <c r="H1" s="438"/>
      <c r="I1" s="439" t="s">
        <v>111</v>
      </c>
      <c r="J1" s="440"/>
      <c r="K1" s="440"/>
      <c r="L1" s="440"/>
      <c r="M1" s="441"/>
      <c r="N1" s="442" t="s">
        <v>112</v>
      </c>
      <c r="O1" s="443"/>
      <c r="P1" s="443"/>
      <c r="Q1" s="443"/>
      <c r="R1" s="444"/>
      <c r="S1" s="428" t="s">
        <v>170</v>
      </c>
      <c r="T1" s="429"/>
      <c r="U1" s="429"/>
      <c r="V1" s="429"/>
      <c r="W1" s="430"/>
      <c r="X1" s="434" t="s">
        <v>186</v>
      </c>
      <c r="Y1" s="435"/>
      <c r="Z1" s="435"/>
      <c r="AA1" s="435"/>
      <c r="AB1" s="436"/>
      <c r="AC1" s="431" t="s">
        <v>211</v>
      </c>
      <c r="AD1" s="432"/>
      <c r="AE1" s="432"/>
      <c r="AF1" s="432"/>
      <c r="AG1" s="433"/>
      <c r="AH1" s="423" t="s">
        <v>215</v>
      </c>
      <c r="AI1" s="424"/>
      <c r="AJ1" s="424"/>
      <c r="AK1" s="424"/>
      <c r="AL1" s="425"/>
      <c r="AM1" s="420" t="s">
        <v>217</v>
      </c>
      <c r="AN1" s="421"/>
      <c r="AO1" s="421"/>
      <c r="AP1" s="421"/>
      <c r="AQ1" s="422"/>
    </row>
    <row r="2" spans="1:43" s="162" customFormat="1" ht="39" thickBot="1" x14ac:dyDescent="0.3">
      <c r="A2" s="161"/>
      <c r="B2" s="53" t="s">
        <v>0</v>
      </c>
      <c r="C2" s="54" t="s">
        <v>113</v>
      </c>
      <c r="D2" s="55" t="s">
        <v>1</v>
      </c>
      <c r="E2" s="55" t="s">
        <v>2</v>
      </c>
      <c r="F2" s="55" t="s">
        <v>3</v>
      </c>
      <c r="G2" s="55" t="s">
        <v>4</v>
      </c>
      <c r="H2" s="56" t="s">
        <v>5</v>
      </c>
      <c r="I2" s="57" t="s">
        <v>1</v>
      </c>
      <c r="J2" s="58" t="s">
        <v>2</v>
      </c>
      <c r="K2" s="59" t="s">
        <v>3</v>
      </c>
      <c r="L2" s="58" t="s">
        <v>4</v>
      </c>
      <c r="M2" s="60" t="s">
        <v>5</v>
      </c>
      <c r="N2" s="57" t="s">
        <v>1</v>
      </c>
      <c r="O2" s="61" t="s">
        <v>2</v>
      </c>
      <c r="P2" s="59" t="s">
        <v>3</v>
      </c>
      <c r="Q2" s="77" t="s">
        <v>4</v>
      </c>
      <c r="R2" s="62" t="s">
        <v>5</v>
      </c>
      <c r="S2" s="122" t="s">
        <v>1</v>
      </c>
      <c r="T2" s="123" t="s">
        <v>2</v>
      </c>
      <c r="U2" s="124" t="s">
        <v>3</v>
      </c>
      <c r="V2" s="125" t="s">
        <v>4</v>
      </c>
      <c r="W2" s="126" t="s">
        <v>5</v>
      </c>
      <c r="X2" s="148" t="s">
        <v>1</v>
      </c>
      <c r="Y2" s="88" t="s">
        <v>2</v>
      </c>
      <c r="Z2" s="149" t="s">
        <v>3</v>
      </c>
      <c r="AA2" s="150" t="s">
        <v>4</v>
      </c>
      <c r="AB2" s="89" t="s">
        <v>5</v>
      </c>
      <c r="AC2" s="151" t="s">
        <v>1</v>
      </c>
      <c r="AD2" s="120" t="s">
        <v>2</v>
      </c>
      <c r="AE2" s="152" t="s">
        <v>3</v>
      </c>
      <c r="AF2" s="153" t="s">
        <v>4</v>
      </c>
      <c r="AG2" s="121" t="s">
        <v>5</v>
      </c>
      <c r="AH2" s="154" t="s">
        <v>1</v>
      </c>
      <c r="AI2" s="155" t="s">
        <v>2</v>
      </c>
      <c r="AJ2" s="156" t="s">
        <v>3</v>
      </c>
      <c r="AK2" s="157" t="s">
        <v>4</v>
      </c>
      <c r="AL2" s="158" t="s">
        <v>5</v>
      </c>
      <c r="AM2" s="391" t="s">
        <v>1</v>
      </c>
      <c r="AN2" s="392" t="s">
        <v>2</v>
      </c>
      <c r="AO2" s="393" t="s">
        <v>3</v>
      </c>
      <c r="AP2" s="394" t="s">
        <v>4</v>
      </c>
      <c r="AQ2" s="395" t="s">
        <v>5</v>
      </c>
    </row>
    <row r="3" spans="1:43" s="186" customFormat="1" ht="18" customHeight="1" x14ac:dyDescent="0.25">
      <c r="A3" s="74">
        <v>1</v>
      </c>
      <c r="B3" s="75" t="s">
        <v>41</v>
      </c>
      <c r="C3" s="76" t="s">
        <v>42</v>
      </c>
      <c r="D3" s="163">
        <v>351900</v>
      </c>
      <c r="E3" s="163">
        <v>352201</v>
      </c>
      <c r="F3" s="164">
        <v>301</v>
      </c>
      <c r="G3" s="164">
        <v>5.3086419753086433</v>
      </c>
      <c r="H3" s="165">
        <v>179</v>
      </c>
      <c r="I3" s="166">
        <f>+E3</f>
        <v>352201</v>
      </c>
      <c r="J3" s="167">
        <v>352500</v>
      </c>
      <c r="K3" s="168">
        <f>+J3-I3</f>
        <v>299</v>
      </c>
      <c r="L3" s="169">
        <f>+K3/(179+10+20-159.2)</f>
        <v>6.0040160642570264</v>
      </c>
      <c r="M3" s="170">
        <v>159.19999999999999</v>
      </c>
      <c r="N3" s="171">
        <f>+J3</f>
        <v>352500</v>
      </c>
      <c r="O3" s="172">
        <v>352910</v>
      </c>
      <c r="P3" s="173">
        <f>+O3-N3</f>
        <v>410</v>
      </c>
      <c r="Q3" s="174">
        <f>+P3/(M3+28.74+74-R3)</f>
        <v>5.9994146912496342</v>
      </c>
      <c r="R3" s="175">
        <v>193.6</v>
      </c>
      <c r="S3" s="176">
        <f>+O3</f>
        <v>352910</v>
      </c>
      <c r="T3" s="177">
        <v>353098</v>
      </c>
      <c r="U3" s="178">
        <f>+T3-S3</f>
        <v>188</v>
      </c>
      <c r="V3" s="179">
        <f>+U3/(R3+77.85-W3)</f>
        <v>5.9968102073365239</v>
      </c>
      <c r="W3" s="180">
        <v>240.1</v>
      </c>
      <c r="X3" s="181">
        <f>+T3</f>
        <v>353098</v>
      </c>
      <c r="Y3" s="182">
        <v>353773</v>
      </c>
      <c r="Z3" s="183">
        <f>+Y3-X3</f>
        <v>675</v>
      </c>
      <c r="AA3" s="184">
        <f>+Z3/(W3-AB3)</f>
        <v>5</v>
      </c>
      <c r="AB3" s="185">
        <v>105.1</v>
      </c>
      <c r="AC3" s="171">
        <f>+Y3</f>
        <v>353773</v>
      </c>
      <c r="AD3" s="172">
        <v>354346</v>
      </c>
      <c r="AE3" s="173">
        <f>+AD3-AC3</f>
        <v>573</v>
      </c>
      <c r="AF3" s="174">
        <f>+AE3/(AB3+14-AG3)</f>
        <v>6</v>
      </c>
      <c r="AG3" s="175">
        <v>23.6</v>
      </c>
      <c r="AH3" s="370">
        <f>+AD3</f>
        <v>354346</v>
      </c>
      <c r="AI3" s="371">
        <v>354722</v>
      </c>
      <c r="AJ3" s="372">
        <f>+AI3-AH3</f>
        <v>376</v>
      </c>
      <c r="AK3" s="373">
        <f>+AJ3/(AG3+68+75-AL3)</f>
        <v>5.9968102073365239</v>
      </c>
      <c r="AL3" s="374">
        <v>103.9</v>
      </c>
      <c r="AM3" s="380">
        <f>+AI3</f>
        <v>354722</v>
      </c>
      <c r="AN3" s="163">
        <v>354722</v>
      </c>
      <c r="AO3" s="381">
        <f>+AN3-AM3</f>
        <v>0</v>
      </c>
      <c r="AP3" s="382">
        <f>+AO3/(AL3+68+75-AQ3)</f>
        <v>0</v>
      </c>
      <c r="AQ3" s="383">
        <v>103.9</v>
      </c>
    </row>
    <row r="4" spans="1:43" s="186" customFormat="1" ht="18" customHeight="1" x14ac:dyDescent="0.25">
      <c r="A4" s="63">
        <f>+A3+1</f>
        <v>2</v>
      </c>
      <c r="B4" s="69" t="s">
        <v>86</v>
      </c>
      <c r="C4" s="69" t="s">
        <v>104</v>
      </c>
      <c r="D4" s="187" t="s">
        <v>7</v>
      </c>
      <c r="E4" s="188"/>
      <c r="F4" s="187"/>
      <c r="G4" s="189">
        <v>0</v>
      </c>
      <c r="H4" s="190">
        <v>201</v>
      </c>
      <c r="I4" s="191" t="s">
        <v>7</v>
      </c>
      <c r="J4" s="192"/>
      <c r="K4" s="193"/>
      <c r="L4" s="194">
        <f>+K4/(24+268-201)</f>
        <v>0</v>
      </c>
      <c r="M4" s="195"/>
      <c r="N4" s="196" t="s">
        <v>7</v>
      </c>
      <c r="O4" s="197">
        <v>43720</v>
      </c>
      <c r="P4" s="198"/>
      <c r="Q4" s="199">
        <f>+P4/(24+268-201)</f>
        <v>0</v>
      </c>
      <c r="R4" s="200">
        <v>201</v>
      </c>
      <c r="S4" s="201">
        <f>+O4</f>
        <v>43720</v>
      </c>
      <c r="T4" s="202">
        <v>43730</v>
      </c>
      <c r="U4" s="203">
        <f t="shared" ref="U4" si="0">+T4-S4</f>
        <v>10</v>
      </c>
      <c r="V4" s="204">
        <f>+U4/(R4+157-W4)</f>
        <v>2</v>
      </c>
      <c r="W4" s="205">
        <v>353</v>
      </c>
      <c r="X4" s="206">
        <f>+T4</f>
        <v>43730</v>
      </c>
      <c r="Y4" s="207" t="s">
        <v>192</v>
      </c>
      <c r="Z4" s="208" t="e">
        <f t="shared" ref="Z4:Z6" si="1">+Y4-X4</f>
        <v>#VALUE!</v>
      </c>
      <c r="AA4" s="209" t="e">
        <f>+Z4/(W4+157-AB4)</f>
        <v>#VALUE!</v>
      </c>
      <c r="AB4" s="210">
        <v>353</v>
      </c>
      <c r="AC4" s="211">
        <v>43730</v>
      </c>
      <c r="AD4" s="197">
        <v>43820</v>
      </c>
      <c r="AE4" s="198">
        <f t="shared" ref="AE4:AE6" si="2">+AD4-AC4</f>
        <v>90</v>
      </c>
      <c r="AF4" s="212">
        <f>+AE4/(AB4+170-AG4)</f>
        <v>1.0465116279069768</v>
      </c>
      <c r="AG4" s="200">
        <v>437</v>
      </c>
      <c r="AH4" s="356">
        <v>43820</v>
      </c>
      <c r="AI4" s="286">
        <v>43820</v>
      </c>
      <c r="AJ4" s="287" t="s">
        <v>7</v>
      </c>
      <c r="AK4" s="288" t="e">
        <f>+AJ4/(AG4-AL4)</f>
        <v>#VALUE!</v>
      </c>
      <c r="AL4" s="289">
        <v>437</v>
      </c>
      <c r="AM4" s="414">
        <v>43820</v>
      </c>
      <c r="AN4" s="397">
        <v>43908</v>
      </c>
      <c r="AO4" s="398">
        <f t="shared" ref="AO4:AO6" si="3">+AN4-AM4</f>
        <v>88</v>
      </c>
      <c r="AP4" s="399">
        <f>+AO4/(AL4-AQ4)</f>
        <v>2</v>
      </c>
      <c r="AQ4" s="400">
        <v>393</v>
      </c>
    </row>
    <row r="5" spans="1:43" s="186" customFormat="1" ht="18" customHeight="1" x14ac:dyDescent="0.25">
      <c r="A5" s="63">
        <f t="shared" ref="A5:A10" si="4">+A4+1</f>
        <v>3</v>
      </c>
      <c r="B5" s="64" t="s">
        <v>115</v>
      </c>
      <c r="C5" s="65" t="s">
        <v>82</v>
      </c>
      <c r="D5" s="188">
        <v>267576</v>
      </c>
      <c r="E5" s="188">
        <v>268475</v>
      </c>
      <c r="F5" s="187">
        <v>899</v>
      </c>
      <c r="G5" s="187">
        <v>6.4013101680432927</v>
      </c>
      <c r="H5" s="190">
        <v>17.28</v>
      </c>
      <c r="I5" s="215">
        <f t="shared" ref="I5:I12" si="5">+E5</f>
        <v>268475</v>
      </c>
      <c r="J5" s="192">
        <v>269884</v>
      </c>
      <c r="K5" s="193">
        <f t="shared" ref="K5:K12" si="6">+J5-I5</f>
        <v>1409</v>
      </c>
      <c r="L5" s="216">
        <f>+K5/(17.28+60+100-17.28)</f>
        <v>8.8062500000000004</v>
      </c>
      <c r="M5" s="195">
        <v>17.28</v>
      </c>
      <c r="N5" s="217">
        <f t="shared" ref="N5:N15" si="7">+J5</f>
        <v>269884</v>
      </c>
      <c r="O5" s="197">
        <v>271672</v>
      </c>
      <c r="P5" s="198">
        <f t="shared" ref="P5:P20" si="8">+O5-N5</f>
        <v>1788</v>
      </c>
      <c r="Q5" s="212">
        <f>+P5/(M5+28.74+71.23+76+64-R5)</f>
        <v>7.3680306589195208</v>
      </c>
      <c r="R5" s="200">
        <v>14.58</v>
      </c>
      <c r="S5" s="218">
        <f t="shared" ref="S5:S6" si="9">+O5</f>
        <v>271672</v>
      </c>
      <c r="T5" s="202">
        <v>272870</v>
      </c>
      <c r="U5" s="203">
        <f t="shared" ref="U5:U20" si="10">+T5-S5</f>
        <v>1198</v>
      </c>
      <c r="V5" s="204">
        <f>+U5/(R5+10+154.6+10+68.86-W5)</f>
        <v>6.4019665473200442</v>
      </c>
      <c r="W5" s="205">
        <v>70.91</v>
      </c>
      <c r="X5" s="219">
        <f t="shared" ref="X5:X6" si="11">+T5</f>
        <v>272870</v>
      </c>
      <c r="Y5" s="207">
        <v>275450</v>
      </c>
      <c r="Z5" s="208">
        <f t="shared" si="1"/>
        <v>2580</v>
      </c>
      <c r="AA5" s="209">
        <f>+Z5/(W5+77.5+128.12+138-AB5)</f>
        <v>6.4002381483962205</v>
      </c>
      <c r="AB5" s="210">
        <v>11.42</v>
      </c>
      <c r="AC5" s="217">
        <f t="shared" ref="AC5:AC6" si="12">+Y5</f>
        <v>275450</v>
      </c>
      <c r="AD5" s="197">
        <v>278115</v>
      </c>
      <c r="AE5" s="198">
        <f t="shared" si="2"/>
        <v>2665</v>
      </c>
      <c r="AF5" s="212">
        <f>+AE5/(AB5+79+69+141.34+123-AG5)</f>
        <v>6.4007109232395036</v>
      </c>
      <c r="AG5" s="200">
        <v>7.4</v>
      </c>
      <c r="AH5" s="285">
        <f t="shared" ref="AH5:AH6" si="13">+AD5</f>
        <v>278115</v>
      </c>
      <c r="AI5" s="286">
        <v>279218</v>
      </c>
      <c r="AJ5" s="287">
        <f t="shared" ref="AJ5:AJ6" si="14">+AI5-AH5</f>
        <v>1103</v>
      </c>
      <c r="AK5" s="288">
        <f>+AJ5/(AG5+30+144.72-AL5)</f>
        <v>6.4012535546398928</v>
      </c>
      <c r="AL5" s="289">
        <v>9.81</v>
      </c>
      <c r="AM5" s="396">
        <f>+AI5</f>
        <v>279218</v>
      </c>
      <c r="AN5" s="397">
        <v>281250</v>
      </c>
      <c r="AO5" s="398">
        <f t="shared" si="3"/>
        <v>2032</v>
      </c>
      <c r="AP5" s="399">
        <f>+AO5/(AL5+123+79+51.8+30-AQ5)</f>
        <v>7.3233142321692428</v>
      </c>
      <c r="AQ5" s="400">
        <v>16.14</v>
      </c>
    </row>
    <row r="6" spans="1:43" s="186" customFormat="1" ht="18" customHeight="1" x14ac:dyDescent="0.25">
      <c r="A6" s="63">
        <f t="shared" si="4"/>
        <v>4</v>
      </c>
      <c r="B6" s="64" t="s">
        <v>30</v>
      </c>
      <c r="C6" s="64" t="s">
        <v>76</v>
      </c>
      <c r="D6" s="188">
        <v>365218</v>
      </c>
      <c r="E6" s="188">
        <v>366120</v>
      </c>
      <c r="F6" s="187">
        <v>902</v>
      </c>
      <c r="G6" s="187">
        <v>3.9047619047619047</v>
      </c>
      <c r="H6" s="190">
        <v>55</v>
      </c>
      <c r="I6" s="221" t="s">
        <v>7</v>
      </c>
      <c r="J6" s="192">
        <v>366120</v>
      </c>
      <c r="K6" s="193" t="e">
        <f t="shared" si="6"/>
        <v>#VALUE!</v>
      </c>
      <c r="L6" s="216" t="e">
        <f>+K6/(146+140-55)</f>
        <v>#VALUE!</v>
      </c>
      <c r="M6" s="195">
        <v>55</v>
      </c>
      <c r="N6" s="217">
        <f t="shared" si="7"/>
        <v>366120</v>
      </c>
      <c r="O6" s="197">
        <v>366260</v>
      </c>
      <c r="P6" s="198">
        <f t="shared" si="8"/>
        <v>140</v>
      </c>
      <c r="Q6" s="212">
        <f>+P6/(M6-R6)</f>
        <v>4</v>
      </c>
      <c r="R6" s="200">
        <v>20</v>
      </c>
      <c r="S6" s="218">
        <f t="shared" si="9"/>
        <v>366260</v>
      </c>
      <c r="T6" s="202">
        <v>366840</v>
      </c>
      <c r="U6" s="203">
        <f t="shared" si="10"/>
        <v>580</v>
      </c>
      <c r="V6" s="204">
        <f>+U6/(R6+80+120-W6)</f>
        <v>3.8926174496644297</v>
      </c>
      <c r="W6" s="205">
        <v>71</v>
      </c>
      <c r="X6" s="219">
        <f t="shared" si="11"/>
        <v>366840</v>
      </c>
      <c r="Y6" s="207">
        <v>367508</v>
      </c>
      <c r="Z6" s="208">
        <f t="shared" si="1"/>
        <v>668</v>
      </c>
      <c r="AA6" s="209">
        <f>+Z6/(W6+100+70-AB6)</f>
        <v>3.8837209302325579</v>
      </c>
      <c r="AB6" s="210">
        <v>69</v>
      </c>
      <c r="AC6" s="217">
        <f t="shared" si="12"/>
        <v>367508</v>
      </c>
      <c r="AD6" s="197">
        <v>368850</v>
      </c>
      <c r="AE6" s="198">
        <f t="shared" si="2"/>
        <v>1342</v>
      </c>
      <c r="AF6" s="212">
        <f>+AE6/(AB6+80+90+94-AG6)</f>
        <v>4.2201257861635222</v>
      </c>
      <c r="AG6" s="200">
        <v>15</v>
      </c>
      <c r="AH6" s="285">
        <f t="shared" si="13"/>
        <v>368850</v>
      </c>
      <c r="AI6" s="286">
        <v>369585</v>
      </c>
      <c r="AJ6" s="287">
        <f t="shared" si="14"/>
        <v>735</v>
      </c>
      <c r="AK6" s="288">
        <f>+AJ6/(AG6+114+100-AL6)</f>
        <v>3.8684210526315788</v>
      </c>
      <c r="AL6" s="289">
        <v>39</v>
      </c>
      <c r="AM6" s="396">
        <f t="shared" ref="AM6" si="15">+AI6</f>
        <v>369585</v>
      </c>
      <c r="AN6" s="397">
        <v>370340</v>
      </c>
      <c r="AO6" s="398">
        <f t="shared" si="3"/>
        <v>755</v>
      </c>
      <c r="AP6" s="399">
        <f>+AO6/(AL6+110+118-AQ6)</f>
        <v>3.8917525773195876</v>
      </c>
      <c r="AQ6" s="400">
        <v>73</v>
      </c>
    </row>
    <row r="7" spans="1:43" s="186" customFormat="1" ht="15.75" customHeight="1" x14ac:dyDescent="0.25">
      <c r="A7" s="63">
        <f t="shared" si="4"/>
        <v>5</v>
      </c>
      <c r="B7" s="69" t="s">
        <v>30</v>
      </c>
      <c r="C7" s="69" t="s">
        <v>106</v>
      </c>
      <c r="D7" s="188"/>
      <c r="E7" s="188"/>
      <c r="F7" s="187">
        <v>10</v>
      </c>
      <c r="G7" s="189">
        <v>3.2573289902280131E-2</v>
      </c>
      <c r="H7" s="190">
        <v>775</v>
      </c>
      <c r="I7" s="221" t="s">
        <v>7</v>
      </c>
      <c r="J7" s="192"/>
      <c r="K7" s="193">
        <v>10</v>
      </c>
      <c r="L7" s="194">
        <f>+K7/(604+478-775)</f>
        <v>3.2573289902280131E-2</v>
      </c>
      <c r="M7" s="195"/>
      <c r="N7" s="217" t="s">
        <v>7</v>
      </c>
      <c r="O7" s="197"/>
      <c r="P7" s="198">
        <v>10</v>
      </c>
      <c r="Q7" s="199">
        <f>+P7/(604+478-775)</f>
        <v>3.2573289902280131E-2</v>
      </c>
      <c r="R7" s="200">
        <v>1190</v>
      </c>
      <c r="S7" s="218" t="s">
        <v>7</v>
      </c>
      <c r="T7" s="202"/>
      <c r="U7" s="203">
        <v>10</v>
      </c>
      <c r="V7" s="204" t="e">
        <f>+U7/(R7-W7)</f>
        <v>#DIV/0!</v>
      </c>
      <c r="W7" s="205">
        <v>1190</v>
      </c>
      <c r="X7" s="219" t="s">
        <v>7</v>
      </c>
      <c r="Y7" s="207"/>
      <c r="Z7" s="208">
        <v>10</v>
      </c>
      <c r="AA7" s="209" t="e">
        <f>+Z7/(W7-AB7)</f>
        <v>#DIV/0!</v>
      </c>
      <c r="AB7" s="210">
        <v>1190</v>
      </c>
      <c r="AC7" s="217" t="s">
        <v>7</v>
      </c>
      <c r="AD7" s="197"/>
      <c r="AE7" s="198">
        <v>10</v>
      </c>
      <c r="AF7" s="212" t="e">
        <f>+AE7/(AB7-AG7)</f>
        <v>#DIV/0!</v>
      </c>
      <c r="AG7" s="200">
        <v>1190</v>
      </c>
      <c r="AH7" s="285" t="s">
        <v>7</v>
      </c>
      <c r="AI7" s="286"/>
      <c r="AJ7" s="287">
        <v>10</v>
      </c>
      <c r="AK7" s="288">
        <f>+AJ7/(AG7-AL7)</f>
        <v>0.1</v>
      </c>
      <c r="AL7" s="289">
        <v>1090</v>
      </c>
      <c r="AM7" s="396" t="s">
        <v>7</v>
      </c>
      <c r="AN7" s="397"/>
      <c r="AO7" s="398">
        <v>0</v>
      </c>
      <c r="AP7" s="399" t="e">
        <f>+AO7/(AL7-AQ7)</f>
        <v>#DIV/0!</v>
      </c>
      <c r="AQ7" s="400">
        <v>1090</v>
      </c>
    </row>
    <row r="8" spans="1:43" s="186" customFormat="1" ht="15.75" customHeight="1" x14ac:dyDescent="0.25">
      <c r="A8" s="63">
        <f t="shared" si="4"/>
        <v>6</v>
      </c>
      <c r="B8" s="69" t="s">
        <v>30</v>
      </c>
      <c r="C8" s="69" t="s">
        <v>191</v>
      </c>
      <c r="D8" s="188"/>
      <c r="E8" s="188"/>
      <c r="F8" s="187">
        <v>187</v>
      </c>
      <c r="G8" s="189">
        <v>0.17093235831809872</v>
      </c>
      <c r="H8" s="190">
        <v>189</v>
      </c>
      <c r="I8" s="221" t="s">
        <v>7</v>
      </c>
      <c r="J8" s="192"/>
      <c r="K8" s="193">
        <v>187</v>
      </c>
      <c r="L8" s="194">
        <f>+K8/(983+300-189)</f>
        <v>0.17093235831809872</v>
      </c>
      <c r="M8" s="195"/>
      <c r="N8" s="217" t="s">
        <v>7</v>
      </c>
      <c r="O8" s="197"/>
      <c r="P8" s="198">
        <v>187</v>
      </c>
      <c r="Q8" s="199">
        <f>+P8/(983+300-189)</f>
        <v>0.17093235831809872</v>
      </c>
      <c r="R8" s="200">
        <v>89</v>
      </c>
      <c r="S8" s="218" t="s">
        <v>7</v>
      </c>
      <c r="T8" s="202"/>
      <c r="U8" s="203">
        <v>187</v>
      </c>
      <c r="V8" s="204" t="e">
        <f>+U8/(R8-W8)</f>
        <v>#DIV/0!</v>
      </c>
      <c r="W8" s="205">
        <v>89</v>
      </c>
      <c r="X8" s="219">
        <v>3671</v>
      </c>
      <c r="Y8" s="207">
        <v>3757</v>
      </c>
      <c r="Z8" s="208">
        <f>+Y8-X8</f>
        <v>86</v>
      </c>
      <c r="AA8" s="209">
        <f>+Z8/(W8+750-AB8)</f>
        <v>0.19815668202764977</v>
      </c>
      <c r="AB8" s="210">
        <v>405</v>
      </c>
      <c r="AC8" s="217">
        <f>+Y8</f>
        <v>3757</v>
      </c>
      <c r="AD8" s="197">
        <v>3831</v>
      </c>
      <c r="AE8" s="198">
        <f>+AD8-AC8</f>
        <v>74</v>
      </c>
      <c r="AF8" s="212">
        <f>+AE8/(AB8-AG8)</f>
        <v>0.26241134751773049</v>
      </c>
      <c r="AG8" s="200">
        <v>123</v>
      </c>
      <c r="AH8" s="285">
        <f>+AD8</f>
        <v>3831</v>
      </c>
      <c r="AI8" s="286">
        <v>4025</v>
      </c>
      <c r="AJ8" s="287">
        <f>+AI8-AH8</f>
        <v>194</v>
      </c>
      <c r="AK8" s="288">
        <f>+AJ8/(AG8+744+100-AL8)</f>
        <v>0.22045454545454546</v>
      </c>
      <c r="AL8" s="289">
        <v>87</v>
      </c>
      <c r="AM8" s="396">
        <f>+AI8</f>
        <v>4025</v>
      </c>
      <c r="AN8" s="397">
        <v>4110</v>
      </c>
      <c r="AO8" s="398">
        <f>+AN8-AM8</f>
        <v>85</v>
      </c>
      <c r="AP8" s="399">
        <f>+AO8/(AL8+750-AQ8)</f>
        <v>0.302491103202847</v>
      </c>
      <c r="AQ8" s="400">
        <v>556</v>
      </c>
    </row>
    <row r="9" spans="1:43" s="186" customFormat="1" ht="18" customHeight="1" x14ac:dyDescent="0.25">
      <c r="A9" s="63">
        <f t="shared" si="4"/>
        <v>7</v>
      </c>
      <c r="B9" s="84" t="s">
        <v>34</v>
      </c>
      <c r="C9" s="85" t="s">
        <v>32</v>
      </c>
      <c r="D9" s="188">
        <v>462002</v>
      </c>
      <c r="E9" s="188">
        <v>463577</v>
      </c>
      <c r="F9" s="187">
        <v>1575</v>
      </c>
      <c r="G9" s="187">
        <v>6.6046043527487743</v>
      </c>
      <c r="H9" s="190">
        <v>117</v>
      </c>
      <c r="I9" s="215">
        <f t="shared" si="5"/>
        <v>463577</v>
      </c>
      <c r="J9" s="192">
        <v>464115</v>
      </c>
      <c r="K9" s="193">
        <f t="shared" si="6"/>
        <v>538</v>
      </c>
      <c r="L9" s="216">
        <f>+K9/(62.43+30+30-32.8)</f>
        <v>6.0024545353118368</v>
      </c>
      <c r="M9" s="195">
        <v>32.799999999999997</v>
      </c>
      <c r="N9" s="217">
        <f t="shared" si="7"/>
        <v>464115</v>
      </c>
      <c r="O9" s="197">
        <v>464283</v>
      </c>
      <c r="P9" s="198">
        <f t="shared" si="8"/>
        <v>168</v>
      </c>
      <c r="Q9" s="212">
        <f>+P9/(M9+28-R9)</f>
        <v>5.5390702274975272</v>
      </c>
      <c r="R9" s="200">
        <v>30.47</v>
      </c>
      <c r="S9" s="222"/>
      <c r="T9" s="223"/>
      <c r="U9" s="224"/>
      <c r="V9" s="225"/>
      <c r="W9" s="226"/>
      <c r="X9" s="222"/>
      <c r="Y9" s="223"/>
      <c r="Z9" s="224"/>
      <c r="AA9" s="225"/>
      <c r="AB9" s="226"/>
      <c r="AC9" s="222"/>
      <c r="AD9" s="223"/>
      <c r="AE9" s="224"/>
      <c r="AF9" s="225"/>
      <c r="AG9" s="226"/>
      <c r="AH9" s="222"/>
      <c r="AI9" s="223"/>
      <c r="AJ9" s="224"/>
      <c r="AK9" s="225"/>
      <c r="AL9" s="226"/>
      <c r="AM9" s="222"/>
      <c r="AN9" s="223"/>
      <c r="AO9" s="224"/>
      <c r="AP9" s="225"/>
      <c r="AQ9" s="226"/>
    </row>
    <row r="10" spans="1:43" s="186" customFormat="1" ht="18" customHeight="1" x14ac:dyDescent="0.25">
      <c r="A10" s="63">
        <f t="shared" si="4"/>
        <v>8</v>
      </c>
      <c r="B10" s="64" t="s">
        <v>34</v>
      </c>
      <c r="C10" s="65" t="s">
        <v>175</v>
      </c>
      <c r="D10" s="188"/>
      <c r="E10" s="188"/>
      <c r="F10" s="187"/>
      <c r="G10" s="187"/>
      <c r="H10" s="190"/>
      <c r="I10" s="227"/>
      <c r="J10" s="228"/>
      <c r="K10" s="229"/>
      <c r="L10" s="230"/>
      <c r="M10" s="231"/>
      <c r="N10" s="227" t="s">
        <v>176</v>
      </c>
      <c r="O10" s="228"/>
      <c r="P10" s="229"/>
      <c r="Q10" s="230"/>
      <c r="R10" s="232">
        <v>50</v>
      </c>
      <c r="S10" s="218">
        <v>206276</v>
      </c>
      <c r="T10" s="202">
        <v>207605</v>
      </c>
      <c r="U10" s="203">
        <f>+T10-S10</f>
        <v>1329</v>
      </c>
      <c r="V10" s="204">
        <f>+U10/(R10+60+54+38+30-W10)</f>
        <v>7.0384493168096602</v>
      </c>
      <c r="W10" s="205">
        <v>43.18</v>
      </c>
      <c r="X10" s="219">
        <f>+T10</f>
        <v>207605</v>
      </c>
      <c r="Y10" s="207">
        <v>209042</v>
      </c>
      <c r="Z10" s="208">
        <f>+Y10-X10</f>
        <v>1437</v>
      </c>
      <c r="AA10" s="209">
        <f>+Z10/(W10+130+49-AB10)</f>
        <v>7.1005040023717756</v>
      </c>
      <c r="AB10" s="210">
        <v>19.8</v>
      </c>
      <c r="AC10" s="217">
        <f>+Y10</f>
        <v>209042</v>
      </c>
      <c r="AD10" s="197">
        <v>210237</v>
      </c>
      <c r="AE10" s="198">
        <f>+AD10-AC10</f>
        <v>1195</v>
      </c>
      <c r="AF10" s="212">
        <f>+AE10/(AB10+30+30+110-AG10)</f>
        <v>6.899538106235565</v>
      </c>
      <c r="AG10" s="200">
        <v>16.600000000000001</v>
      </c>
      <c r="AH10" s="285">
        <f>+AD10</f>
        <v>210237</v>
      </c>
      <c r="AI10" s="286">
        <v>211961</v>
      </c>
      <c r="AJ10" s="287">
        <f>+AI10-AH10</f>
        <v>1724</v>
      </c>
      <c r="AK10" s="288">
        <f>+AJ10/(AG10+30+50+60+30+68-AL10)</f>
        <v>7.2013366750208858</v>
      </c>
      <c r="AL10" s="289">
        <v>15.2</v>
      </c>
      <c r="AM10" s="396">
        <f>+AI10</f>
        <v>211961</v>
      </c>
      <c r="AN10" s="397">
        <v>212731</v>
      </c>
      <c r="AO10" s="398">
        <f>+AN10-AM10</f>
        <v>770</v>
      </c>
      <c r="AP10" s="399">
        <f>+AO10/(AL10+124-AQ10)</f>
        <v>6.8848354792560809</v>
      </c>
      <c r="AQ10" s="400">
        <v>27.36</v>
      </c>
    </row>
    <row r="11" spans="1:43" s="186" customFormat="1" ht="18" customHeight="1" x14ac:dyDescent="0.25">
      <c r="A11" s="63">
        <f>+A10+1</f>
        <v>9</v>
      </c>
      <c r="B11" s="64" t="s">
        <v>47</v>
      </c>
      <c r="C11" s="65" t="s">
        <v>48</v>
      </c>
      <c r="D11" s="188"/>
      <c r="E11" s="188">
        <v>381454</v>
      </c>
      <c r="F11" s="187">
        <v>0</v>
      </c>
      <c r="G11" s="187">
        <v>0</v>
      </c>
      <c r="H11" s="190">
        <v>76.3</v>
      </c>
      <c r="I11" s="233">
        <f t="shared" si="5"/>
        <v>381454</v>
      </c>
      <c r="J11" s="192">
        <v>382222</v>
      </c>
      <c r="K11" s="193">
        <f t="shared" ref="K11" si="16">+J11-I11</f>
        <v>768</v>
      </c>
      <c r="L11" s="194">
        <f>+K11/(56.76+70-8.65)</f>
        <v>6.5024130048260105</v>
      </c>
      <c r="M11" s="234">
        <v>8.65</v>
      </c>
      <c r="N11" s="235">
        <f t="shared" si="7"/>
        <v>382222</v>
      </c>
      <c r="O11" s="197">
        <v>382454</v>
      </c>
      <c r="P11" s="198">
        <f t="shared" si="8"/>
        <v>232</v>
      </c>
      <c r="Q11" s="212">
        <f>+P11/(M11+79.02-R11)</f>
        <v>6.491326245103525</v>
      </c>
      <c r="R11" s="200">
        <v>51.93</v>
      </c>
      <c r="S11" s="236">
        <f t="shared" ref="S11" si="17">+O11</f>
        <v>382454</v>
      </c>
      <c r="T11" s="202">
        <v>383496</v>
      </c>
      <c r="U11" s="203">
        <f t="shared" si="10"/>
        <v>1042</v>
      </c>
      <c r="V11" s="204">
        <f>+U11/(R11+73+92+69-W11)</f>
        <v>6.5031517194033572</v>
      </c>
      <c r="W11" s="205">
        <v>125.7</v>
      </c>
      <c r="X11" s="237">
        <f t="shared" ref="X11" si="18">+T11</f>
        <v>383496</v>
      </c>
      <c r="Y11" s="207">
        <v>384450</v>
      </c>
      <c r="Z11" s="208">
        <f>+Y11-X11</f>
        <v>954</v>
      </c>
      <c r="AA11" s="209">
        <f>+Z11/(W11+35+57+54-AB11)</f>
        <v>6.5008517887563881</v>
      </c>
      <c r="AB11" s="210">
        <v>124.95</v>
      </c>
      <c r="AC11" s="235">
        <f t="shared" ref="AC11" si="19">+Y11</f>
        <v>384450</v>
      </c>
      <c r="AD11" s="197">
        <v>385905</v>
      </c>
      <c r="AE11" s="198">
        <f>+AD11-AC11</f>
        <v>1455</v>
      </c>
      <c r="AF11" s="212">
        <f>+AE11/(AB11+76+47.6-AG11)</f>
        <v>6.5010499977659633</v>
      </c>
      <c r="AG11" s="200">
        <v>24.74</v>
      </c>
      <c r="AH11" s="355">
        <f t="shared" ref="AH11" si="20">+AD11</f>
        <v>385905</v>
      </c>
      <c r="AI11" s="286">
        <v>386232</v>
      </c>
      <c r="AJ11" s="287">
        <f>+AI11-AH11</f>
        <v>327</v>
      </c>
      <c r="AK11" s="288">
        <f>+AJ11/(AG11+68.82+62-AL11)</f>
        <v>6.5100537527374076</v>
      </c>
      <c r="AL11" s="289">
        <v>105.33</v>
      </c>
      <c r="AM11" s="406">
        <f t="shared" ref="AM11" si="21">+AI11</f>
        <v>386232</v>
      </c>
      <c r="AN11" s="397">
        <v>386820</v>
      </c>
      <c r="AO11" s="398">
        <f>+AN11-AM11</f>
        <v>588</v>
      </c>
      <c r="AP11" s="399">
        <f>+AO11/(AL11+75-AQ11)</f>
        <v>6.498673740053051</v>
      </c>
      <c r="AQ11" s="400">
        <v>89.85</v>
      </c>
    </row>
    <row r="12" spans="1:43" s="186" customFormat="1" ht="18" customHeight="1" x14ac:dyDescent="0.25">
      <c r="A12" s="63">
        <f t="shared" ref="A12:A47" si="22">+A11+1</f>
        <v>10</v>
      </c>
      <c r="B12" s="64" t="s">
        <v>38</v>
      </c>
      <c r="C12" s="64" t="s">
        <v>37</v>
      </c>
      <c r="D12" s="188">
        <v>273682</v>
      </c>
      <c r="E12" s="188">
        <v>273956</v>
      </c>
      <c r="F12" s="187">
        <v>274</v>
      </c>
      <c r="G12" s="187">
        <v>5.4997992773986359</v>
      </c>
      <c r="H12" s="190">
        <v>21.78</v>
      </c>
      <c r="I12" s="215">
        <f t="shared" si="5"/>
        <v>273956</v>
      </c>
      <c r="J12" s="192">
        <v>274157</v>
      </c>
      <c r="K12" s="193">
        <f t="shared" si="6"/>
        <v>201</v>
      </c>
      <c r="L12" s="216">
        <f>+K12/(14.78+40-14.78)</f>
        <v>5.0250000000000004</v>
      </c>
      <c r="M12" s="195">
        <v>14.78</v>
      </c>
      <c r="N12" s="217">
        <f t="shared" si="7"/>
        <v>274157</v>
      </c>
      <c r="O12" s="197">
        <v>274336</v>
      </c>
      <c r="P12" s="198">
        <f t="shared" si="8"/>
        <v>179</v>
      </c>
      <c r="Q12" s="212">
        <f>+P12/(M12+68.53-R12)</f>
        <v>4.9999999999999991</v>
      </c>
      <c r="R12" s="200">
        <v>47.51</v>
      </c>
      <c r="S12" s="222"/>
      <c r="T12" s="223"/>
      <c r="U12" s="224"/>
      <c r="V12" s="225"/>
      <c r="W12" s="226"/>
      <c r="X12" s="222"/>
      <c r="Y12" s="223"/>
      <c r="Z12" s="224"/>
      <c r="AA12" s="225"/>
      <c r="AB12" s="226"/>
      <c r="AC12" s="222"/>
      <c r="AD12" s="223"/>
      <c r="AE12" s="224"/>
      <c r="AF12" s="225"/>
      <c r="AG12" s="226"/>
      <c r="AH12" s="222"/>
      <c r="AI12" s="223"/>
      <c r="AJ12" s="224"/>
      <c r="AK12" s="225"/>
      <c r="AL12" s="226"/>
      <c r="AM12" s="222"/>
      <c r="AN12" s="223"/>
      <c r="AO12" s="224"/>
      <c r="AP12" s="225"/>
      <c r="AQ12" s="226"/>
    </row>
    <row r="13" spans="1:43" s="186" customFormat="1" ht="18" customHeight="1" x14ac:dyDescent="0.25">
      <c r="A13" s="63">
        <f>+A11+1</f>
        <v>10</v>
      </c>
      <c r="B13" s="64" t="s">
        <v>38</v>
      </c>
      <c r="C13" s="65" t="s">
        <v>53</v>
      </c>
      <c r="D13" s="188">
        <v>446271</v>
      </c>
      <c r="E13" s="188">
        <v>446499</v>
      </c>
      <c r="F13" s="187">
        <v>228</v>
      </c>
      <c r="G13" s="187">
        <v>5.7</v>
      </c>
      <c r="H13" s="190">
        <v>61</v>
      </c>
      <c r="I13" s="227" t="s">
        <v>176</v>
      </c>
      <c r="J13" s="228"/>
      <c r="K13" s="229"/>
      <c r="L13" s="230"/>
      <c r="M13" s="232">
        <v>35</v>
      </c>
      <c r="N13" s="217">
        <v>447935</v>
      </c>
      <c r="O13" s="197">
        <v>447992</v>
      </c>
      <c r="P13" s="198">
        <f t="shared" si="8"/>
        <v>57</v>
      </c>
      <c r="Q13" s="212">
        <f>+P13/(M13-R13)</f>
        <v>4.9137931034482749</v>
      </c>
      <c r="R13" s="200">
        <v>23.4</v>
      </c>
      <c r="S13" s="218">
        <f>+O13</f>
        <v>447992</v>
      </c>
      <c r="T13" s="202">
        <v>448905</v>
      </c>
      <c r="U13" s="239">
        <f t="shared" ref="U13:U14" si="23">+T13-S13</f>
        <v>913</v>
      </c>
      <c r="V13" s="204">
        <f>+U13/(R13+63.97+69-W13)</f>
        <v>6.4088165098975152</v>
      </c>
      <c r="W13" s="205">
        <v>13.91</v>
      </c>
      <c r="X13" s="222"/>
      <c r="Y13" s="223"/>
      <c r="Z13" s="224"/>
      <c r="AA13" s="225"/>
      <c r="AB13" s="226"/>
      <c r="AC13" s="222"/>
      <c r="AD13" s="223"/>
      <c r="AE13" s="224"/>
      <c r="AF13" s="225"/>
      <c r="AG13" s="226"/>
      <c r="AH13" s="222"/>
      <c r="AI13" s="223"/>
      <c r="AJ13" s="224"/>
      <c r="AK13" s="225"/>
      <c r="AL13" s="226"/>
      <c r="AM13" s="222"/>
      <c r="AN13" s="223"/>
      <c r="AO13" s="224"/>
      <c r="AP13" s="225"/>
      <c r="AQ13" s="226"/>
    </row>
    <row r="14" spans="1:43" s="186" customFormat="1" x14ac:dyDescent="0.25">
      <c r="A14" s="83">
        <f t="shared" ref="A14" si="24">+A13+1</f>
        <v>11</v>
      </c>
      <c r="B14" s="64" t="s">
        <v>38</v>
      </c>
      <c r="C14" s="90" t="s">
        <v>77</v>
      </c>
      <c r="D14" s="240">
        <v>236886</v>
      </c>
      <c r="E14" s="241">
        <v>237285</v>
      </c>
      <c r="F14" s="242">
        <v>399</v>
      </c>
      <c r="G14" s="242">
        <v>4.8305084745762716</v>
      </c>
      <c r="H14" s="243">
        <v>79.400000000000006</v>
      </c>
      <c r="I14" s="244">
        <f>+E14</f>
        <v>237285</v>
      </c>
      <c r="J14" s="241">
        <v>237469</v>
      </c>
      <c r="K14" s="245">
        <f t="shared" ref="K14" si="25">+J14-I14</f>
        <v>184</v>
      </c>
      <c r="L14" s="242">
        <f>+K14/(63.8+20+20-67)</f>
        <v>5</v>
      </c>
      <c r="M14" s="246">
        <v>118</v>
      </c>
      <c r="N14" s="244">
        <f>+J14</f>
        <v>237469</v>
      </c>
      <c r="O14" s="241">
        <v>238892</v>
      </c>
      <c r="P14" s="245">
        <f t="shared" si="8"/>
        <v>1423</v>
      </c>
      <c r="Q14" s="242">
        <f>+P14/(M14+30+31+92+60+21-R14)</f>
        <v>5</v>
      </c>
      <c r="R14" s="247">
        <v>67.400000000000006</v>
      </c>
      <c r="S14" s="244">
        <f t="shared" ref="S14" si="26">+O14</f>
        <v>238892</v>
      </c>
      <c r="T14" s="241">
        <v>239075</v>
      </c>
      <c r="U14" s="245">
        <f t="shared" si="23"/>
        <v>183</v>
      </c>
      <c r="V14" s="242">
        <f>+U14/(R14+53.17+27-W14)</f>
        <v>4.9687754547922891</v>
      </c>
      <c r="W14" s="247">
        <v>110.74</v>
      </c>
      <c r="X14" s="219">
        <v>239113</v>
      </c>
      <c r="Y14" s="207">
        <v>239850</v>
      </c>
      <c r="Z14" s="208">
        <f t="shared" ref="Z14" si="27">+Y14-X14</f>
        <v>737</v>
      </c>
      <c r="AA14" s="209">
        <f>+Z14/(W14-35.74+113-AB14)</f>
        <v>5.5</v>
      </c>
      <c r="AB14" s="210">
        <v>54</v>
      </c>
      <c r="AC14" s="217">
        <f>+Y14</f>
        <v>239850</v>
      </c>
      <c r="AD14" s="197">
        <v>240389</v>
      </c>
      <c r="AE14" s="198">
        <f t="shared" ref="AE14:AE20" si="28">+AD14-AC14</f>
        <v>539</v>
      </c>
      <c r="AF14" s="212">
        <f>+AE14/(AB14+80-AG14)</f>
        <v>5.6</v>
      </c>
      <c r="AG14" s="200">
        <v>37.75</v>
      </c>
      <c r="AH14" s="285">
        <f>+AD14</f>
        <v>240389</v>
      </c>
      <c r="AI14" s="286">
        <v>240822</v>
      </c>
      <c r="AJ14" s="287">
        <f t="shared" ref="AJ14:AJ20" si="29">+AI14-AH14</f>
        <v>433</v>
      </c>
      <c r="AK14" s="288">
        <f>+AJ14/(AG14+82+83-AL14)</f>
        <v>5</v>
      </c>
      <c r="AL14" s="289">
        <v>116.15</v>
      </c>
      <c r="AM14" s="396">
        <f>+AI14</f>
        <v>240822</v>
      </c>
      <c r="AN14" s="397">
        <v>241107</v>
      </c>
      <c r="AO14" s="398">
        <f t="shared" ref="AO14:AO20" si="30">+AN14-AM14</f>
        <v>285</v>
      </c>
      <c r="AP14" s="399">
        <f>+AO14/(AL14+80+71-AQ14)</f>
        <v>5.0000000000000027</v>
      </c>
      <c r="AQ14" s="400">
        <v>210.15</v>
      </c>
    </row>
    <row r="15" spans="1:43" s="186" customFormat="1" ht="18" customHeight="1" x14ac:dyDescent="0.25">
      <c r="A15" s="63">
        <f>+A12+1</f>
        <v>11</v>
      </c>
      <c r="B15" s="64" t="s">
        <v>95</v>
      </c>
      <c r="C15" s="65" t="s">
        <v>97</v>
      </c>
      <c r="D15" s="248" t="s">
        <v>7</v>
      </c>
      <c r="E15" s="188">
        <v>18900</v>
      </c>
      <c r="F15" s="187">
        <v>18900</v>
      </c>
      <c r="G15" s="187">
        <v>1.5</v>
      </c>
      <c r="H15" s="190">
        <v>425</v>
      </c>
      <c r="I15" s="249" t="s">
        <v>7</v>
      </c>
      <c r="J15" s="192">
        <v>18900</v>
      </c>
      <c r="K15" s="250" t="e">
        <f t="shared" ref="K15:K22" si="31">+J15-I15</f>
        <v>#VALUE!</v>
      </c>
      <c r="L15" s="216" t="e">
        <f>+K15/(425-425)</f>
        <v>#VALUE!</v>
      </c>
      <c r="M15" s="195">
        <v>425</v>
      </c>
      <c r="N15" s="217">
        <f t="shared" si="7"/>
        <v>18900</v>
      </c>
      <c r="O15" s="197">
        <v>20035</v>
      </c>
      <c r="P15" s="251">
        <f t="shared" si="8"/>
        <v>1135</v>
      </c>
      <c r="Q15" s="212">
        <f>+P15/(M15+390-R15)</f>
        <v>1.499339498018494</v>
      </c>
      <c r="R15" s="200">
        <v>58</v>
      </c>
      <c r="S15" s="252">
        <f>+O15</f>
        <v>20035</v>
      </c>
      <c r="T15" s="202">
        <v>20035</v>
      </c>
      <c r="U15" s="239">
        <f t="shared" si="10"/>
        <v>0</v>
      </c>
      <c r="V15" s="204" t="e">
        <f>+U15/(R15-W15)</f>
        <v>#DIV/0!</v>
      </c>
      <c r="W15" s="205">
        <v>58</v>
      </c>
      <c r="X15" s="253">
        <f>+T15</f>
        <v>20035</v>
      </c>
      <c r="Y15" s="207">
        <v>20035</v>
      </c>
      <c r="Z15" s="254">
        <f t="shared" ref="Z15:Z20" si="32">+Y15-X15</f>
        <v>0</v>
      </c>
      <c r="AA15" s="209" t="e">
        <f>+Z15/(W15-AB15)</f>
        <v>#DIV/0!</v>
      </c>
      <c r="AB15" s="210">
        <v>58</v>
      </c>
      <c r="AC15" s="255">
        <f>+Y15</f>
        <v>20035</v>
      </c>
      <c r="AD15" s="197">
        <v>20035</v>
      </c>
      <c r="AE15" s="251">
        <f t="shared" si="28"/>
        <v>0</v>
      </c>
      <c r="AF15" s="212" t="e">
        <f>+AE15/(AB15-AG15)</f>
        <v>#DIV/0!</v>
      </c>
      <c r="AG15" s="200">
        <v>58</v>
      </c>
      <c r="AH15" s="360">
        <f>+AD15</f>
        <v>20035</v>
      </c>
      <c r="AI15" s="286">
        <v>20035</v>
      </c>
      <c r="AJ15" s="357">
        <f t="shared" si="29"/>
        <v>0</v>
      </c>
      <c r="AK15" s="288" t="e">
        <f>+AJ15/(AG15-AL15)</f>
        <v>#DIV/0!</v>
      </c>
      <c r="AL15" s="289">
        <v>58</v>
      </c>
      <c r="AM15" s="413">
        <f>+AI15</f>
        <v>20035</v>
      </c>
      <c r="AN15" s="397">
        <v>20665</v>
      </c>
      <c r="AO15" s="407">
        <f t="shared" si="30"/>
        <v>630</v>
      </c>
      <c r="AP15" s="399">
        <f>+AO15/(AL15+387-AQ15)</f>
        <v>1.5</v>
      </c>
      <c r="AQ15" s="400">
        <v>25</v>
      </c>
    </row>
    <row r="16" spans="1:43" s="186" customFormat="1" ht="18" customHeight="1" x14ac:dyDescent="0.25">
      <c r="A16" s="63">
        <f t="shared" si="22"/>
        <v>12</v>
      </c>
      <c r="B16" s="64" t="s">
        <v>95</v>
      </c>
      <c r="C16" s="64" t="s">
        <v>166</v>
      </c>
      <c r="D16" s="188">
        <v>61877</v>
      </c>
      <c r="E16" s="188">
        <v>63310</v>
      </c>
      <c r="F16" s="187">
        <v>466</v>
      </c>
      <c r="G16" s="187">
        <v>0.97489539748953979</v>
      </c>
      <c r="H16" s="190">
        <v>82</v>
      </c>
      <c r="I16" s="221" t="s">
        <v>7</v>
      </c>
      <c r="J16" s="192"/>
      <c r="K16" s="250" t="e">
        <f t="shared" si="31"/>
        <v>#VALUE!</v>
      </c>
      <c r="L16" s="216" t="e">
        <f>+K16/(82-82)</f>
        <v>#VALUE!</v>
      </c>
      <c r="M16" s="195">
        <v>425</v>
      </c>
      <c r="N16" s="217">
        <v>63310</v>
      </c>
      <c r="O16" s="197">
        <v>63310</v>
      </c>
      <c r="P16" s="251">
        <f t="shared" ref="P16" si="33">+O16-N16</f>
        <v>0</v>
      </c>
      <c r="Q16" s="212">
        <f>+P16/(M16+390-R16)</f>
        <v>0</v>
      </c>
      <c r="R16" s="200">
        <v>82</v>
      </c>
      <c r="S16" s="218">
        <f>+O16</f>
        <v>63310</v>
      </c>
      <c r="T16" s="202">
        <v>63310</v>
      </c>
      <c r="U16" s="239">
        <f t="shared" si="10"/>
        <v>0</v>
      </c>
      <c r="V16" s="204" t="e">
        <f>+U16/(R16-W16)</f>
        <v>#DIV/0!</v>
      </c>
      <c r="W16" s="205">
        <v>82</v>
      </c>
      <c r="X16" s="219">
        <f>+T16</f>
        <v>63310</v>
      </c>
      <c r="Y16" s="207" t="s">
        <v>189</v>
      </c>
      <c r="Z16" s="254" t="e">
        <f t="shared" si="32"/>
        <v>#VALUE!</v>
      </c>
      <c r="AA16" s="209" t="e">
        <f>+Z16/(W16-AB16)</f>
        <v>#VALUE!</v>
      </c>
      <c r="AB16" s="210">
        <v>82</v>
      </c>
      <c r="AC16" s="217">
        <v>63310</v>
      </c>
      <c r="AD16" s="197">
        <v>63687</v>
      </c>
      <c r="AE16" s="251">
        <f t="shared" ref="AE16:AE17" si="34">+AD16-AC16</f>
        <v>377</v>
      </c>
      <c r="AF16" s="212">
        <f>+AE16/(AB16+160-AG16)</f>
        <v>5.4637681159420293</v>
      </c>
      <c r="AG16" s="200">
        <v>173</v>
      </c>
      <c r="AH16" s="411">
        <f>+AD16</f>
        <v>63687</v>
      </c>
      <c r="AI16" s="286">
        <v>64792</v>
      </c>
      <c r="AJ16" s="357">
        <f t="shared" si="29"/>
        <v>1105</v>
      </c>
      <c r="AK16" s="288">
        <f>+AJ16/(AG16+180-AL16)</f>
        <v>3.4968354430379747</v>
      </c>
      <c r="AL16" s="289">
        <v>37</v>
      </c>
      <c r="AM16" s="396">
        <f>+AI16</f>
        <v>64792</v>
      </c>
      <c r="AN16" s="397">
        <v>64792</v>
      </c>
      <c r="AO16" s="407">
        <f t="shared" si="30"/>
        <v>0</v>
      </c>
      <c r="AP16" s="399">
        <f>+AO16/(AL16+180-AQ16)</f>
        <v>0</v>
      </c>
      <c r="AQ16" s="400">
        <v>37</v>
      </c>
    </row>
    <row r="17" spans="1:43" s="186" customFormat="1" ht="18" customHeight="1" x14ac:dyDescent="0.25">
      <c r="A17" s="63"/>
      <c r="B17" s="64" t="s">
        <v>95</v>
      </c>
      <c r="C17" s="64" t="s">
        <v>179</v>
      </c>
      <c r="D17" s="188"/>
      <c r="E17" s="188"/>
      <c r="F17" s="187"/>
      <c r="G17" s="187"/>
      <c r="H17" s="190"/>
      <c r="I17" s="221" t="s">
        <v>7</v>
      </c>
      <c r="J17" s="192"/>
      <c r="K17" s="250"/>
      <c r="L17" s="216"/>
      <c r="M17" s="195"/>
      <c r="N17" s="217" t="s">
        <v>7</v>
      </c>
      <c r="O17" s="197">
        <v>92731</v>
      </c>
      <c r="P17" s="251"/>
      <c r="Q17" s="212"/>
      <c r="R17" s="200">
        <v>80</v>
      </c>
      <c r="S17" s="218">
        <f t="shared" ref="S17" si="35">+O17</f>
        <v>92731</v>
      </c>
      <c r="T17" s="202">
        <v>93406</v>
      </c>
      <c r="U17" s="239">
        <f t="shared" ref="U17" si="36">+T17-S17</f>
        <v>675</v>
      </c>
      <c r="V17" s="204">
        <f>+U17/(R17+258-W17)</f>
        <v>2.5</v>
      </c>
      <c r="W17" s="205">
        <v>68</v>
      </c>
      <c r="X17" s="219">
        <f t="shared" ref="X17:X22" si="37">+T17</f>
        <v>93406</v>
      </c>
      <c r="Y17" s="207">
        <v>93406</v>
      </c>
      <c r="Z17" s="254">
        <f t="shared" si="32"/>
        <v>0</v>
      </c>
      <c r="AA17" s="209">
        <f>+Z17/(W17+258-AB17)</f>
        <v>0</v>
      </c>
      <c r="AB17" s="210">
        <v>68</v>
      </c>
      <c r="AC17" s="217">
        <f t="shared" ref="AC17" si="38">+Y17</f>
        <v>93406</v>
      </c>
      <c r="AD17" s="197">
        <v>93406</v>
      </c>
      <c r="AE17" s="251">
        <f t="shared" si="34"/>
        <v>0</v>
      </c>
      <c r="AF17" s="212">
        <f>+AE17/(AB17+258-AG17)</f>
        <v>0</v>
      </c>
      <c r="AG17" s="200">
        <v>68</v>
      </c>
      <c r="AH17" s="285">
        <f t="shared" ref="AH17:AH21" si="39">+AD17</f>
        <v>93406</v>
      </c>
      <c r="AI17" s="286">
        <v>93406</v>
      </c>
      <c r="AJ17" s="357">
        <f t="shared" si="29"/>
        <v>0</v>
      </c>
      <c r="AK17" s="288">
        <f>+AJ17/(AG17+258-AL17)</f>
        <v>0</v>
      </c>
      <c r="AL17" s="289">
        <v>68</v>
      </c>
      <c r="AM17" s="396">
        <f t="shared" ref="AM17:AM21" si="40">+AI17</f>
        <v>93406</v>
      </c>
      <c r="AN17" s="397">
        <v>93406</v>
      </c>
      <c r="AO17" s="407">
        <f t="shared" si="30"/>
        <v>0</v>
      </c>
      <c r="AP17" s="399">
        <f>+AO17/(AL17+258-AQ17)</f>
        <v>0</v>
      </c>
      <c r="AQ17" s="400">
        <v>68</v>
      </c>
    </row>
    <row r="18" spans="1:43" s="186" customFormat="1" ht="18" customHeight="1" x14ac:dyDescent="0.25">
      <c r="A18" s="63">
        <f>+A16+1</f>
        <v>13</v>
      </c>
      <c r="B18" s="68" t="s">
        <v>50</v>
      </c>
      <c r="C18" s="73" t="s">
        <v>59</v>
      </c>
      <c r="D18" s="188">
        <v>244742</v>
      </c>
      <c r="E18" s="188">
        <v>245295</v>
      </c>
      <c r="F18" s="189">
        <v>553</v>
      </c>
      <c r="G18" s="187">
        <v>6.4997649271274094</v>
      </c>
      <c r="H18" s="190">
        <v>0.71</v>
      </c>
      <c r="I18" s="215">
        <f>+E18</f>
        <v>245295</v>
      </c>
      <c r="J18" s="192">
        <v>245646</v>
      </c>
      <c r="K18" s="250">
        <f t="shared" si="31"/>
        <v>351</v>
      </c>
      <c r="L18" s="216">
        <f>+K18/(0.71+10+30+20-6.71)</f>
        <v>6.5</v>
      </c>
      <c r="M18" s="195">
        <v>6.71</v>
      </c>
      <c r="N18" s="217">
        <f t="shared" ref="N18:N22" si="41">+J18</f>
        <v>245646</v>
      </c>
      <c r="O18" s="197">
        <v>245977</v>
      </c>
      <c r="P18" s="251">
        <f t="shared" si="8"/>
        <v>331</v>
      </c>
      <c r="Q18" s="212">
        <f>+P18/(M18+20+43-R18)</f>
        <v>6.500392772977218</v>
      </c>
      <c r="R18" s="200">
        <v>18.79</v>
      </c>
      <c r="S18" s="218">
        <f t="shared" ref="S18:S22" si="42">+O18</f>
        <v>245977</v>
      </c>
      <c r="T18" s="202">
        <v>246200</v>
      </c>
      <c r="U18" s="239">
        <f t="shared" si="10"/>
        <v>223</v>
      </c>
      <c r="V18" s="204">
        <f>+U18/(R18+38-W18)</f>
        <v>6.4995628096764788</v>
      </c>
      <c r="W18" s="205">
        <v>22.48</v>
      </c>
      <c r="X18" s="219">
        <f t="shared" si="37"/>
        <v>246200</v>
      </c>
      <c r="Y18" s="207">
        <v>246411</v>
      </c>
      <c r="Z18" s="254">
        <f t="shared" si="32"/>
        <v>211</v>
      </c>
      <c r="AA18" s="209">
        <f>+Z18/(W18+10+40-AB18)</f>
        <v>6.5003080714725812</v>
      </c>
      <c r="AB18" s="210">
        <v>40.020000000000003</v>
      </c>
      <c r="AC18" s="217">
        <f t="shared" ref="AC18:AC21" si="43">+Y18</f>
        <v>246411</v>
      </c>
      <c r="AD18" s="197">
        <v>246581</v>
      </c>
      <c r="AE18" s="251">
        <f t="shared" si="28"/>
        <v>170</v>
      </c>
      <c r="AF18" s="212">
        <f>+AE18/(AB18-AG18)</f>
        <v>6.5009560229445489</v>
      </c>
      <c r="AG18" s="200">
        <v>13.87</v>
      </c>
      <c r="AH18" s="285">
        <f t="shared" si="39"/>
        <v>246581</v>
      </c>
      <c r="AI18" s="286">
        <v>246809</v>
      </c>
      <c r="AJ18" s="357">
        <f t="shared" si="29"/>
        <v>228</v>
      </c>
      <c r="AK18" s="288">
        <f>+AJ18/(AG18+38-AL18)</f>
        <v>6.4994298745724066</v>
      </c>
      <c r="AL18" s="289">
        <v>16.79</v>
      </c>
      <c r="AM18" s="220">
        <f t="shared" si="40"/>
        <v>246809</v>
      </c>
      <c r="AN18" s="188">
        <v>246809</v>
      </c>
      <c r="AO18" s="384">
        <f t="shared" si="30"/>
        <v>0</v>
      </c>
      <c r="AP18" s="187">
        <f>+AO18/(AL18+38-AQ18)</f>
        <v>0</v>
      </c>
      <c r="AQ18" s="214">
        <v>16.79</v>
      </c>
    </row>
    <row r="19" spans="1:43" s="186" customFormat="1" ht="18" customHeight="1" x14ac:dyDescent="0.25">
      <c r="A19" s="63">
        <f t="shared" si="22"/>
        <v>14</v>
      </c>
      <c r="B19" s="64" t="s">
        <v>29</v>
      </c>
      <c r="C19" s="64" t="s">
        <v>93</v>
      </c>
      <c r="D19" s="188">
        <v>71466</v>
      </c>
      <c r="E19" s="188">
        <v>72131</v>
      </c>
      <c r="F19" s="187">
        <v>665</v>
      </c>
      <c r="G19" s="187">
        <v>7</v>
      </c>
      <c r="H19" s="190">
        <v>104</v>
      </c>
      <c r="I19" s="215">
        <f>+E19</f>
        <v>72131</v>
      </c>
      <c r="J19" s="192">
        <v>73216</v>
      </c>
      <c r="K19" s="193">
        <f t="shared" si="31"/>
        <v>1085</v>
      </c>
      <c r="L19" s="216">
        <f>+K19/(104+50+30-29)</f>
        <v>7</v>
      </c>
      <c r="M19" s="195">
        <v>29</v>
      </c>
      <c r="N19" s="217">
        <f t="shared" si="41"/>
        <v>73216</v>
      </c>
      <c r="O19" s="197">
        <v>73874</v>
      </c>
      <c r="P19" s="198">
        <f t="shared" si="8"/>
        <v>658</v>
      </c>
      <c r="Q19" s="212">
        <f>+P19/(M19+60.01+75-R19)</f>
        <v>6.9992553983618775</v>
      </c>
      <c r="R19" s="200">
        <v>70</v>
      </c>
      <c r="S19" s="218">
        <f t="shared" si="42"/>
        <v>73874</v>
      </c>
      <c r="T19" s="202">
        <v>74588</v>
      </c>
      <c r="U19" s="203">
        <f t="shared" si="10"/>
        <v>714</v>
      </c>
      <c r="V19" s="204">
        <f>+U19/(R19+68-W19)</f>
        <v>7</v>
      </c>
      <c r="W19" s="205">
        <v>36</v>
      </c>
      <c r="X19" s="219">
        <f t="shared" si="37"/>
        <v>74588</v>
      </c>
      <c r="Y19" s="207">
        <v>75211</v>
      </c>
      <c r="Z19" s="208">
        <f t="shared" si="32"/>
        <v>623</v>
      </c>
      <c r="AA19" s="209">
        <f>+Z19/(W19+59+67-AB19)</f>
        <v>7</v>
      </c>
      <c r="AB19" s="210">
        <v>73</v>
      </c>
      <c r="AC19" s="217">
        <f t="shared" si="43"/>
        <v>75211</v>
      </c>
      <c r="AD19" s="197">
        <v>76051</v>
      </c>
      <c r="AE19" s="198">
        <f t="shared" si="28"/>
        <v>840</v>
      </c>
      <c r="AF19" s="212">
        <f>+AE19/(AB19+77+55-AG19)</f>
        <v>7</v>
      </c>
      <c r="AG19" s="200">
        <v>85</v>
      </c>
      <c r="AH19" s="285">
        <f t="shared" si="39"/>
        <v>76051</v>
      </c>
      <c r="AI19" s="286">
        <v>77136</v>
      </c>
      <c r="AJ19" s="287">
        <f t="shared" si="29"/>
        <v>1085</v>
      </c>
      <c r="AK19" s="288">
        <f>+AJ19/(AG19+58+59-AL19)</f>
        <v>7</v>
      </c>
      <c r="AL19" s="289">
        <v>47</v>
      </c>
      <c r="AM19" s="396">
        <f t="shared" si="40"/>
        <v>77136</v>
      </c>
      <c r="AN19" s="397">
        <v>77836</v>
      </c>
      <c r="AO19" s="398">
        <f t="shared" si="30"/>
        <v>700</v>
      </c>
      <c r="AP19" s="399">
        <f>+AO19/(AL19+67+74-AQ19)</f>
        <v>7</v>
      </c>
      <c r="AQ19" s="400">
        <v>88</v>
      </c>
    </row>
    <row r="20" spans="1:43" s="186" customFormat="1" ht="18" customHeight="1" x14ac:dyDescent="0.25">
      <c r="A20" s="63">
        <f t="shared" si="22"/>
        <v>15</v>
      </c>
      <c r="B20" s="68" t="s">
        <v>26</v>
      </c>
      <c r="C20" s="64" t="s">
        <v>27</v>
      </c>
      <c r="D20" s="188">
        <v>335659</v>
      </c>
      <c r="E20" s="188">
        <v>335959</v>
      </c>
      <c r="F20" s="187">
        <v>300</v>
      </c>
      <c r="G20" s="187">
        <v>5.6043340183074912</v>
      </c>
      <c r="H20" s="190">
        <v>110.41</v>
      </c>
      <c r="I20" s="215">
        <f>+E20</f>
        <v>335959</v>
      </c>
      <c r="J20" s="192">
        <v>336176</v>
      </c>
      <c r="K20" s="193">
        <f t="shared" si="31"/>
        <v>217</v>
      </c>
      <c r="L20" s="216">
        <f>+K20/(110.41-71.69)</f>
        <v>5.6043388429752063</v>
      </c>
      <c r="M20" s="195">
        <v>71.69</v>
      </c>
      <c r="N20" s="217">
        <f t="shared" si="41"/>
        <v>336176</v>
      </c>
      <c r="O20" s="197">
        <v>336378</v>
      </c>
      <c r="P20" s="198">
        <f t="shared" si="8"/>
        <v>202</v>
      </c>
      <c r="Q20" s="212">
        <f>+P20/(M20+30+30-R20)</f>
        <v>5.6064390785456562</v>
      </c>
      <c r="R20" s="200">
        <v>95.66</v>
      </c>
      <c r="S20" s="218">
        <f t="shared" si="42"/>
        <v>336378</v>
      </c>
      <c r="T20" s="202">
        <v>336728</v>
      </c>
      <c r="U20" s="203">
        <f t="shared" si="10"/>
        <v>350</v>
      </c>
      <c r="V20" s="204">
        <f>+U20/(R20+44-W20)</f>
        <v>5.6044835868694953</v>
      </c>
      <c r="W20" s="205">
        <v>77.209999999999994</v>
      </c>
      <c r="X20" s="219">
        <f t="shared" si="37"/>
        <v>336728</v>
      </c>
      <c r="Y20" s="207">
        <v>336878</v>
      </c>
      <c r="Z20" s="208">
        <f t="shared" si="32"/>
        <v>150</v>
      </c>
      <c r="AA20" s="209" t="s">
        <v>197</v>
      </c>
      <c r="AB20" s="210">
        <v>80.45</v>
      </c>
      <c r="AC20" s="217">
        <f t="shared" si="43"/>
        <v>336878</v>
      </c>
      <c r="AD20" s="197">
        <v>337106</v>
      </c>
      <c r="AE20" s="198">
        <f t="shared" si="28"/>
        <v>228</v>
      </c>
      <c r="AF20" s="212">
        <f>+AE20/(AB20+30+30-AG20)</f>
        <v>5.6074766355140211</v>
      </c>
      <c r="AG20" s="200">
        <v>99.79</v>
      </c>
      <c r="AH20" s="285">
        <f t="shared" si="39"/>
        <v>337106</v>
      </c>
      <c r="AI20" s="286">
        <v>337339</v>
      </c>
      <c r="AJ20" s="287">
        <f t="shared" si="29"/>
        <v>233</v>
      </c>
      <c r="AK20" s="288">
        <f>+AJ20/(AG20+30-AL20)</f>
        <v>5.105170902716913</v>
      </c>
      <c r="AL20" s="289">
        <v>84.15</v>
      </c>
      <c r="AM20" s="396">
        <f t="shared" si="40"/>
        <v>337339</v>
      </c>
      <c r="AN20" s="397">
        <v>337553</v>
      </c>
      <c r="AO20" s="398">
        <f t="shared" si="30"/>
        <v>214</v>
      </c>
      <c r="AP20" s="399">
        <f>+AO20/(AL20+30+30-AQ20)</f>
        <v>5.1013110846245526</v>
      </c>
      <c r="AQ20" s="400">
        <v>102.2</v>
      </c>
    </row>
    <row r="21" spans="1:43" s="186" customFormat="1" ht="18" customHeight="1" x14ac:dyDescent="0.25">
      <c r="A21" s="63">
        <f t="shared" si="22"/>
        <v>16</v>
      </c>
      <c r="B21" s="69" t="s">
        <v>69</v>
      </c>
      <c r="C21" s="69" t="s">
        <v>105</v>
      </c>
      <c r="D21" s="188">
        <v>422544</v>
      </c>
      <c r="E21" s="188">
        <v>422802</v>
      </c>
      <c r="F21" s="187">
        <v>258</v>
      </c>
      <c r="G21" s="189">
        <v>4.7777777777777777</v>
      </c>
      <c r="H21" s="190">
        <v>15</v>
      </c>
      <c r="I21" s="221" t="s">
        <v>7</v>
      </c>
      <c r="J21" s="192">
        <v>422802</v>
      </c>
      <c r="K21" s="193" t="e">
        <f t="shared" si="31"/>
        <v>#VALUE!</v>
      </c>
      <c r="L21" s="194" t="e">
        <f>+K21/(15-15)</f>
        <v>#VALUE!</v>
      </c>
      <c r="M21" s="195">
        <v>15</v>
      </c>
      <c r="N21" s="217">
        <f t="shared" si="41"/>
        <v>422802</v>
      </c>
      <c r="O21" s="197">
        <v>422879</v>
      </c>
      <c r="P21" s="198">
        <f>+O21-N21</f>
        <v>77</v>
      </c>
      <c r="Q21" s="212">
        <f>+P21/(M21+130-R21)</f>
        <v>4.8125</v>
      </c>
      <c r="R21" s="200">
        <v>129</v>
      </c>
      <c r="S21" s="218">
        <f t="shared" si="42"/>
        <v>422879</v>
      </c>
      <c r="T21" s="202">
        <v>423046</v>
      </c>
      <c r="U21" s="203">
        <f>+T21-S21</f>
        <v>167</v>
      </c>
      <c r="V21" s="204">
        <f>+U21/(R21-W21)</f>
        <v>4.7714285714285714</v>
      </c>
      <c r="W21" s="205">
        <v>94</v>
      </c>
      <c r="X21" s="219">
        <f t="shared" si="37"/>
        <v>423046</v>
      </c>
      <c r="Y21" s="207">
        <v>423365</v>
      </c>
      <c r="Z21" s="208">
        <f>+Y21-X21</f>
        <v>319</v>
      </c>
      <c r="AA21" s="209">
        <f>+Z21/(W21-AB21)</f>
        <v>4.833333333333333</v>
      </c>
      <c r="AB21" s="210">
        <v>28</v>
      </c>
      <c r="AC21" s="217">
        <f t="shared" si="43"/>
        <v>423365</v>
      </c>
      <c r="AD21" s="197">
        <v>423907</v>
      </c>
      <c r="AE21" s="198">
        <f>+AD21-AC21</f>
        <v>542</v>
      </c>
      <c r="AF21" s="212">
        <f>+AE21/(AB21+117-AG21)</f>
        <v>4.7964601769911503</v>
      </c>
      <c r="AG21" s="200">
        <v>32</v>
      </c>
      <c r="AH21" s="285">
        <f t="shared" si="39"/>
        <v>423907</v>
      </c>
      <c r="AI21" s="286">
        <v>424033</v>
      </c>
      <c r="AJ21" s="287">
        <f>+AI21-AH21</f>
        <v>126</v>
      </c>
      <c r="AK21" s="288">
        <f>+AJ21/(AG21-AL21)</f>
        <v>5.04</v>
      </c>
      <c r="AL21" s="289">
        <v>7</v>
      </c>
      <c r="AM21" s="396">
        <f t="shared" si="40"/>
        <v>424033</v>
      </c>
      <c r="AN21" s="397">
        <v>424511</v>
      </c>
      <c r="AO21" s="398">
        <f>+AN21-AM21</f>
        <v>478</v>
      </c>
      <c r="AP21" s="399">
        <f>+AO21/(AL21+123-AQ21)</f>
        <v>4.8775510204081636</v>
      </c>
      <c r="AQ21" s="400">
        <v>32</v>
      </c>
    </row>
    <row r="22" spans="1:43" s="186" customFormat="1" ht="18" customHeight="1" x14ac:dyDescent="0.25">
      <c r="A22" s="63">
        <f t="shared" si="22"/>
        <v>17</v>
      </c>
      <c r="B22" s="69" t="s">
        <v>69</v>
      </c>
      <c r="C22" s="65" t="s">
        <v>96</v>
      </c>
      <c r="D22" s="248" t="s">
        <v>7</v>
      </c>
      <c r="E22" s="188">
        <v>50953</v>
      </c>
      <c r="F22" s="187">
        <v>50953</v>
      </c>
      <c r="G22" s="187">
        <v>2.5</v>
      </c>
      <c r="H22" s="190">
        <v>10</v>
      </c>
      <c r="I22" s="221" t="s">
        <v>7</v>
      </c>
      <c r="J22" s="192">
        <v>50923</v>
      </c>
      <c r="K22" s="193" t="e">
        <f t="shared" si="31"/>
        <v>#VALUE!</v>
      </c>
      <c r="L22" s="194" t="e">
        <f>+K22/(10-10)</f>
        <v>#VALUE!</v>
      </c>
      <c r="M22" s="195">
        <v>10</v>
      </c>
      <c r="N22" s="217">
        <f t="shared" si="41"/>
        <v>50923</v>
      </c>
      <c r="O22" s="197">
        <v>51343</v>
      </c>
      <c r="P22" s="198">
        <f>+O22-N22</f>
        <v>420</v>
      </c>
      <c r="Q22" s="212">
        <f>+P22/(M22+212-R22)</f>
        <v>2.5</v>
      </c>
      <c r="R22" s="200">
        <v>54</v>
      </c>
      <c r="S22" s="218">
        <f t="shared" si="42"/>
        <v>51343</v>
      </c>
      <c r="T22" s="202">
        <v>51685</v>
      </c>
      <c r="U22" s="203">
        <f>+T22-S22</f>
        <v>342</v>
      </c>
      <c r="V22" s="204">
        <f>+U22/(R22+100-W22)</f>
        <v>2.4963503649635035</v>
      </c>
      <c r="W22" s="205">
        <v>17</v>
      </c>
      <c r="X22" s="219">
        <f t="shared" si="37"/>
        <v>51685</v>
      </c>
      <c r="Y22" s="207" t="s">
        <v>189</v>
      </c>
      <c r="Z22" s="208" t="e">
        <f>+Y22-X22</f>
        <v>#VALUE!</v>
      </c>
      <c r="AA22" s="209" t="e">
        <f>+Z22/(W22+100-AB22)</f>
        <v>#VALUE!</v>
      </c>
      <c r="AB22" s="210">
        <v>17</v>
      </c>
      <c r="AC22" s="217">
        <v>51685</v>
      </c>
      <c r="AD22" s="197">
        <v>51685</v>
      </c>
      <c r="AE22" s="198">
        <f>+AD22-AC22</f>
        <v>0</v>
      </c>
      <c r="AF22" s="212">
        <f>+AE22/(AB22+100-AG22)</f>
        <v>0</v>
      </c>
      <c r="AG22" s="200">
        <v>17</v>
      </c>
      <c r="AH22" s="285">
        <v>51685</v>
      </c>
      <c r="AI22" s="286">
        <v>51685</v>
      </c>
      <c r="AJ22" s="287">
        <f>+AI22-AH22</f>
        <v>0</v>
      </c>
      <c r="AK22" s="288">
        <f>+AJ22/(AG22+100-AL22)</f>
        <v>0</v>
      </c>
      <c r="AL22" s="289">
        <v>17</v>
      </c>
      <c r="AM22" s="396">
        <v>51685</v>
      </c>
      <c r="AN22" s="397">
        <v>51685</v>
      </c>
      <c r="AO22" s="398">
        <f>+AN22-AM22</f>
        <v>0</v>
      </c>
      <c r="AP22" s="399">
        <f>+AO22/(AL22+100-AQ22)</f>
        <v>0</v>
      </c>
      <c r="AQ22" s="400">
        <v>17</v>
      </c>
    </row>
    <row r="23" spans="1:43" s="186" customFormat="1" ht="18" customHeight="1" x14ac:dyDescent="0.25">
      <c r="A23" s="63">
        <f t="shared" si="22"/>
        <v>18</v>
      </c>
      <c r="B23" s="69" t="s">
        <v>102</v>
      </c>
      <c r="C23" s="69" t="s">
        <v>101</v>
      </c>
      <c r="D23" s="188"/>
      <c r="E23" s="188"/>
      <c r="F23" s="187"/>
      <c r="G23" s="189"/>
      <c r="H23" s="256">
        <v>13</v>
      </c>
      <c r="I23" s="215">
        <v>0</v>
      </c>
      <c r="J23" s="192">
        <v>0</v>
      </c>
      <c r="K23" s="192" t="s">
        <v>7</v>
      </c>
      <c r="L23" s="192">
        <v>6</v>
      </c>
      <c r="M23" s="234">
        <v>13</v>
      </c>
      <c r="N23" s="217" t="s">
        <v>7</v>
      </c>
      <c r="O23" s="197"/>
      <c r="P23" s="197"/>
      <c r="Q23" s="197">
        <v>6</v>
      </c>
      <c r="R23" s="200"/>
      <c r="S23" s="222"/>
      <c r="T23" s="223"/>
      <c r="U23" s="224"/>
      <c r="V23" s="225"/>
      <c r="W23" s="226"/>
      <c r="X23" s="222"/>
      <c r="Y23" s="223"/>
      <c r="Z23" s="224"/>
      <c r="AA23" s="225"/>
      <c r="AB23" s="226"/>
      <c r="AC23" s="222"/>
      <c r="AD23" s="223"/>
      <c r="AE23" s="224"/>
      <c r="AF23" s="225"/>
      <c r="AG23" s="226"/>
      <c r="AH23" s="222"/>
      <c r="AI23" s="223"/>
      <c r="AJ23" s="224"/>
      <c r="AK23" s="225"/>
      <c r="AL23" s="226"/>
      <c r="AM23" s="222"/>
      <c r="AN23" s="223"/>
      <c r="AO23" s="224"/>
      <c r="AP23" s="225"/>
      <c r="AQ23" s="226"/>
    </row>
    <row r="24" spans="1:43" s="186" customFormat="1" ht="18" customHeight="1" x14ac:dyDescent="0.25">
      <c r="A24" s="63">
        <f t="shared" si="22"/>
        <v>19</v>
      </c>
      <c r="B24" s="87" t="s">
        <v>102</v>
      </c>
      <c r="C24" s="87" t="s">
        <v>107</v>
      </c>
      <c r="D24" s="188"/>
      <c r="E24" s="257"/>
      <c r="F24" s="187">
        <v>130</v>
      </c>
      <c r="G24" s="189">
        <v>2.5</v>
      </c>
      <c r="H24" s="190">
        <v>361.9</v>
      </c>
      <c r="I24" s="215">
        <v>40604</v>
      </c>
      <c r="J24" s="258">
        <v>40604</v>
      </c>
      <c r="K24" s="192" t="s">
        <v>7</v>
      </c>
      <c r="L24" s="194">
        <v>2.5</v>
      </c>
      <c r="M24" s="195">
        <v>361.9</v>
      </c>
      <c r="N24" s="217" t="s">
        <v>7</v>
      </c>
      <c r="O24" s="197"/>
      <c r="P24" s="197"/>
      <c r="Q24" s="199">
        <v>2.5</v>
      </c>
      <c r="R24" s="200">
        <v>362</v>
      </c>
      <c r="S24" s="222"/>
      <c r="T24" s="223"/>
      <c r="U24" s="224"/>
      <c r="V24" s="225"/>
      <c r="W24" s="226"/>
      <c r="X24" s="222"/>
      <c r="Y24" s="223"/>
      <c r="Z24" s="224"/>
      <c r="AA24" s="225"/>
      <c r="AB24" s="226"/>
      <c r="AC24" s="222"/>
      <c r="AD24" s="223"/>
      <c r="AE24" s="224"/>
      <c r="AF24" s="225"/>
      <c r="AG24" s="226"/>
      <c r="AH24" s="222"/>
      <c r="AI24" s="223"/>
      <c r="AJ24" s="224"/>
      <c r="AK24" s="225"/>
      <c r="AL24" s="226"/>
      <c r="AM24" s="222"/>
      <c r="AN24" s="223"/>
      <c r="AO24" s="224"/>
      <c r="AP24" s="225"/>
      <c r="AQ24" s="226"/>
    </row>
    <row r="25" spans="1:43" s="186" customFormat="1" ht="18" customHeight="1" x14ac:dyDescent="0.25">
      <c r="A25" s="63">
        <f t="shared" si="22"/>
        <v>20</v>
      </c>
      <c r="B25" s="64" t="s">
        <v>46</v>
      </c>
      <c r="C25" s="64" t="s">
        <v>45</v>
      </c>
      <c r="D25" s="259">
        <v>273949</v>
      </c>
      <c r="E25" s="260">
        <v>273974</v>
      </c>
      <c r="F25" s="187">
        <v>25</v>
      </c>
      <c r="G25" s="187">
        <v>6.25</v>
      </c>
      <c r="H25" s="190">
        <v>56.1</v>
      </c>
      <c r="I25" s="261" t="s">
        <v>7</v>
      </c>
      <c r="J25" s="262">
        <v>273974</v>
      </c>
      <c r="K25" s="193" t="e">
        <f>+J25-I25</f>
        <v>#VALUE!</v>
      </c>
      <c r="L25" s="216" t="e">
        <f>+K25/(17+43.1-56.1)</f>
        <v>#VALUE!</v>
      </c>
      <c r="M25" s="195">
        <v>56.1</v>
      </c>
      <c r="N25" s="263">
        <f>+J25</f>
        <v>273974</v>
      </c>
      <c r="O25" s="197">
        <v>275624</v>
      </c>
      <c r="P25" s="198">
        <f>+O25-N25</f>
        <v>1650</v>
      </c>
      <c r="Q25" s="212">
        <f>+P25/(M25+74.5+50+80-R25)</f>
        <v>6.6909975669099753</v>
      </c>
      <c r="R25" s="200">
        <v>14</v>
      </c>
      <c r="S25" s="264">
        <f>+O25</f>
        <v>275624</v>
      </c>
      <c r="T25" s="202">
        <v>275651</v>
      </c>
      <c r="U25" s="265">
        <f>+T25-S25</f>
        <v>27</v>
      </c>
      <c r="V25" s="204">
        <f>+U25/(R25+73-50-W25)</f>
        <v>6.75</v>
      </c>
      <c r="W25" s="205">
        <v>33</v>
      </c>
      <c r="X25" s="266">
        <f>+T25</f>
        <v>275651</v>
      </c>
      <c r="Y25" s="207">
        <v>276784</v>
      </c>
      <c r="Z25" s="267">
        <f>+Y25-X25</f>
        <v>1133</v>
      </c>
      <c r="AA25" s="209">
        <f>+Z25/(W25+67.5+123-AB25)</f>
        <v>6.724035608308605</v>
      </c>
      <c r="AB25" s="210">
        <v>55</v>
      </c>
      <c r="AC25" s="263">
        <f>+Y25</f>
        <v>276784</v>
      </c>
      <c r="AD25" s="197">
        <v>276826</v>
      </c>
      <c r="AE25" s="268">
        <f t="shared" ref="AE25:AE31" si="44">+AD25-AC25</f>
        <v>42</v>
      </c>
      <c r="AF25" s="212">
        <f>+AE25/(AB25-AG25)</f>
        <v>7</v>
      </c>
      <c r="AG25" s="200">
        <v>49</v>
      </c>
      <c r="AH25" s="358">
        <f>+AD25</f>
        <v>276826</v>
      </c>
      <c r="AI25" s="286">
        <v>277267</v>
      </c>
      <c r="AJ25" s="359">
        <f t="shared" ref="AJ25:AJ33" si="45">+AI25-AH25</f>
        <v>441</v>
      </c>
      <c r="AK25" s="288">
        <f>+AJ25/(AG25+56-AL25)</f>
        <v>6.6818181818181817</v>
      </c>
      <c r="AL25" s="289">
        <v>39</v>
      </c>
      <c r="AM25" s="269">
        <f>+AI25</f>
        <v>277267</v>
      </c>
      <c r="AN25" s="188">
        <v>277267</v>
      </c>
      <c r="AO25" s="260">
        <f t="shared" ref="AO25:AO33" si="46">+AN25-AM25</f>
        <v>0</v>
      </c>
      <c r="AP25" s="187">
        <f>+AO25/(AL25+56-AQ25)</f>
        <v>0</v>
      </c>
      <c r="AQ25" s="214">
        <v>39</v>
      </c>
    </row>
    <row r="26" spans="1:43" s="186" customFormat="1" ht="18" customHeight="1" x14ac:dyDescent="0.25">
      <c r="A26" s="63"/>
      <c r="B26" s="64" t="s">
        <v>46</v>
      </c>
      <c r="C26" s="64" t="s">
        <v>222</v>
      </c>
      <c r="D26" s="259"/>
      <c r="E26" s="260"/>
      <c r="F26" s="187"/>
      <c r="G26" s="187"/>
      <c r="H26" s="190"/>
      <c r="I26" s="261"/>
      <c r="J26" s="262"/>
      <c r="K26" s="193"/>
      <c r="L26" s="216"/>
      <c r="M26" s="195"/>
      <c r="N26" s="263"/>
      <c r="O26" s="197"/>
      <c r="P26" s="198"/>
      <c r="Q26" s="212"/>
      <c r="R26" s="200"/>
      <c r="S26" s="264" t="s">
        <v>7</v>
      </c>
      <c r="T26" s="202"/>
      <c r="U26" s="265"/>
      <c r="V26" s="204"/>
      <c r="W26" s="205"/>
      <c r="X26" s="266" t="s">
        <v>7</v>
      </c>
      <c r="Y26" s="207"/>
      <c r="Z26" s="267"/>
      <c r="AA26" s="209"/>
      <c r="AB26" s="210">
        <v>130</v>
      </c>
      <c r="AC26" s="263">
        <v>24178</v>
      </c>
      <c r="AD26" s="197">
        <v>24354</v>
      </c>
      <c r="AE26" s="268">
        <f t="shared" si="44"/>
        <v>176</v>
      </c>
      <c r="AF26" s="212">
        <f>+AE26/(AB26+100-AG26)</f>
        <v>3.3846153846153846</v>
      </c>
      <c r="AG26" s="200">
        <v>178</v>
      </c>
      <c r="AH26" s="358">
        <f>+AD26</f>
        <v>24354</v>
      </c>
      <c r="AI26" s="286">
        <v>24463</v>
      </c>
      <c r="AJ26" s="359">
        <f t="shared" si="45"/>
        <v>109</v>
      </c>
      <c r="AK26" s="288">
        <f>+AJ26/(AG26-AL26)</f>
        <v>3.3030303030303032</v>
      </c>
      <c r="AL26" s="289">
        <v>145</v>
      </c>
      <c r="AM26" s="417">
        <f>+AI26</f>
        <v>24463</v>
      </c>
      <c r="AN26" s="397">
        <v>24508</v>
      </c>
      <c r="AO26" s="418">
        <f t="shared" si="46"/>
        <v>45</v>
      </c>
      <c r="AP26" s="399">
        <f>+AO26/(AL26-AQ26)</f>
        <v>3.2142857142857144</v>
      </c>
      <c r="AQ26" s="400">
        <v>131</v>
      </c>
    </row>
    <row r="27" spans="1:43" s="186" customFormat="1" ht="18" customHeight="1" x14ac:dyDescent="0.25">
      <c r="A27" s="63"/>
      <c r="B27" s="64" t="s">
        <v>46</v>
      </c>
      <c r="C27" s="64" t="s">
        <v>213</v>
      </c>
      <c r="D27" s="259"/>
      <c r="E27" s="260"/>
      <c r="F27" s="187"/>
      <c r="G27" s="187"/>
      <c r="H27" s="190"/>
      <c r="I27" s="261"/>
      <c r="J27" s="262"/>
      <c r="K27" s="193"/>
      <c r="L27" s="216"/>
      <c r="M27" s="195"/>
      <c r="N27" s="263"/>
      <c r="O27" s="197"/>
      <c r="P27" s="198"/>
      <c r="Q27" s="212"/>
      <c r="R27" s="200"/>
      <c r="S27" s="264" t="s">
        <v>7</v>
      </c>
      <c r="T27" s="202"/>
      <c r="U27" s="265"/>
      <c r="V27" s="204"/>
      <c r="W27" s="205"/>
      <c r="X27" s="266" t="s">
        <v>7</v>
      </c>
      <c r="Y27" s="207"/>
      <c r="Z27" s="267"/>
      <c r="AA27" s="209"/>
      <c r="AB27" s="210">
        <v>155</v>
      </c>
      <c r="AC27" s="263">
        <v>1311674</v>
      </c>
      <c r="AD27" s="197">
        <v>1312481</v>
      </c>
      <c r="AE27" s="268">
        <f t="shared" si="44"/>
        <v>807</v>
      </c>
      <c r="AF27" s="212">
        <f>+AE27/(AB27+244-AG27)</f>
        <v>2.4984520123839009</v>
      </c>
      <c r="AG27" s="200">
        <v>76</v>
      </c>
      <c r="AH27" s="358">
        <f>+AD27</f>
        <v>1312481</v>
      </c>
      <c r="AI27" s="286">
        <v>1312536</v>
      </c>
      <c r="AJ27" s="359">
        <f t="shared" si="45"/>
        <v>55</v>
      </c>
      <c r="AK27" s="288">
        <f>+AJ27/(AG27-AL27)</f>
        <v>2.5</v>
      </c>
      <c r="AL27" s="289">
        <v>54</v>
      </c>
      <c r="AM27" s="417">
        <f>+AI27</f>
        <v>1312536</v>
      </c>
      <c r="AN27" s="397">
        <v>1312536</v>
      </c>
      <c r="AO27" s="418">
        <f t="shared" si="46"/>
        <v>0</v>
      </c>
      <c r="AP27" s="399" t="e">
        <f>+AO27/(AL27-AQ27)</f>
        <v>#DIV/0!</v>
      </c>
      <c r="AQ27" s="400">
        <v>54</v>
      </c>
    </row>
    <row r="28" spans="1:43" s="186" customFormat="1" ht="18" customHeight="1" x14ac:dyDescent="0.25">
      <c r="A28" s="63"/>
      <c r="B28" s="64" t="s">
        <v>46</v>
      </c>
      <c r="C28" s="64" t="s">
        <v>214</v>
      </c>
      <c r="D28" s="259"/>
      <c r="E28" s="260"/>
      <c r="F28" s="187"/>
      <c r="G28" s="187"/>
      <c r="H28" s="190"/>
      <c r="I28" s="261"/>
      <c r="J28" s="262"/>
      <c r="K28" s="193"/>
      <c r="L28" s="216"/>
      <c r="M28" s="195"/>
      <c r="N28" s="263"/>
      <c r="O28" s="197"/>
      <c r="P28" s="198"/>
      <c r="Q28" s="212"/>
      <c r="R28" s="200"/>
      <c r="S28" s="264" t="s">
        <v>7</v>
      </c>
      <c r="T28" s="202"/>
      <c r="U28" s="265"/>
      <c r="V28" s="204"/>
      <c r="W28" s="205"/>
      <c r="X28" s="266">
        <v>14156</v>
      </c>
      <c r="Y28" s="207">
        <v>14156</v>
      </c>
      <c r="Z28" s="267"/>
      <c r="AA28" s="209"/>
      <c r="AB28" s="210">
        <v>48</v>
      </c>
      <c r="AC28" s="217">
        <f t="shared" ref="AC28" si="47">+Y28</f>
        <v>14156</v>
      </c>
      <c r="AD28" s="197">
        <v>14156</v>
      </c>
      <c r="AE28" s="198">
        <f t="shared" si="44"/>
        <v>0</v>
      </c>
      <c r="AF28" s="212">
        <f>+AE28/(AB28+100-AG28)</f>
        <v>0</v>
      </c>
      <c r="AG28" s="200">
        <v>48</v>
      </c>
      <c r="AH28" s="285">
        <f>+AD28</f>
        <v>14156</v>
      </c>
      <c r="AI28" s="286">
        <v>14156</v>
      </c>
      <c r="AJ28" s="287">
        <f t="shared" si="45"/>
        <v>0</v>
      </c>
      <c r="AK28" s="288">
        <f>+AJ28/(AG28+100-AL28)</f>
        <v>0</v>
      </c>
      <c r="AL28" s="289">
        <v>48</v>
      </c>
      <c r="AM28" s="396">
        <f>+AI28</f>
        <v>14156</v>
      </c>
      <c r="AN28" s="397">
        <v>14156</v>
      </c>
      <c r="AO28" s="398">
        <f t="shared" si="46"/>
        <v>0</v>
      </c>
      <c r="AP28" s="399" t="e">
        <f>+AO28/(AL28-AQ28)</f>
        <v>#DIV/0!</v>
      </c>
      <c r="AQ28" s="400">
        <v>48</v>
      </c>
    </row>
    <row r="29" spans="1:43" s="186" customFormat="1" ht="18" customHeight="1" x14ac:dyDescent="0.25">
      <c r="A29" s="63"/>
      <c r="B29" s="64" t="s">
        <v>46</v>
      </c>
      <c r="C29" s="64" t="s">
        <v>223</v>
      </c>
      <c r="D29" s="259"/>
      <c r="E29" s="260"/>
      <c r="F29" s="187"/>
      <c r="G29" s="187"/>
      <c r="H29" s="190"/>
      <c r="I29" s="261"/>
      <c r="J29" s="262"/>
      <c r="K29" s="193"/>
      <c r="L29" s="216"/>
      <c r="M29" s="195"/>
      <c r="N29" s="263"/>
      <c r="O29" s="197"/>
      <c r="P29" s="198"/>
      <c r="Q29" s="212"/>
      <c r="R29" s="200"/>
      <c r="S29" s="264" t="s">
        <v>7</v>
      </c>
      <c r="T29" s="202"/>
      <c r="U29" s="265"/>
      <c r="V29" s="204"/>
      <c r="W29" s="205"/>
      <c r="X29" s="266">
        <v>14156</v>
      </c>
      <c r="Y29" s="207">
        <v>14156</v>
      </c>
      <c r="Z29" s="267"/>
      <c r="AA29" s="209"/>
      <c r="AB29" s="210">
        <v>48</v>
      </c>
      <c r="AC29" s="217" t="s">
        <v>7</v>
      </c>
      <c r="AD29" s="197"/>
      <c r="AE29" s="198"/>
      <c r="AF29" s="212"/>
      <c r="AG29" s="200"/>
      <c r="AH29" s="285" t="s">
        <v>171</v>
      </c>
      <c r="AI29" s="286" t="s">
        <v>216</v>
      </c>
      <c r="AJ29" s="287"/>
      <c r="AK29" s="288"/>
      <c r="AL29" s="289"/>
      <c r="AM29" s="396">
        <v>69716</v>
      </c>
      <c r="AN29" s="397">
        <v>69716</v>
      </c>
      <c r="AO29" s="398">
        <f t="shared" si="46"/>
        <v>0</v>
      </c>
      <c r="AP29" s="399">
        <f>+AO29/(AL29-AQ29)</f>
        <v>0</v>
      </c>
      <c r="AQ29" s="400">
        <v>20</v>
      </c>
    </row>
    <row r="30" spans="1:43" s="186" customFormat="1" ht="18" customHeight="1" x14ac:dyDescent="0.25">
      <c r="A30" s="63">
        <f>+A25+1</f>
        <v>21</v>
      </c>
      <c r="B30" s="64" t="s">
        <v>55</v>
      </c>
      <c r="C30" s="64" t="s">
        <v>98</v>
      </c>
      <c r="D30" s="188"/>
      <c r="E30" s="257"/>
      <c r="F30" s="187">
        <v>466</v>
      </c>
      <c r="G30" s="187">
        <v>5.9974259974259985</v>
      </c>
      <c r="H30" s="190">
        <v>29.6</v>
      </c>
      <c r="I30" s="215"/>
      <c r="J30" s="258" t="s">
        <v>177</v>
      </c>
      <c r="K30" s="193">
        <v>259</v>
      </c>
      <c r="L30" s="216">
        <f>+K30/(17.3+30-7.5)</f>
        <v>6.5075376884422118</v>
      </c>
      <c r="M30" s="195">
        <v>7.5</v>
      </c>
      <c r="N30" s="217" t="str">
        <f>+J30</f>
        <v xml:space="preserve">  </v>
      </c>
      <c r="O30" s="197">
        <v>366</v>
      </c>
      <c r="P30" s="198" t="e">
        <f>+O30-N30</f>
        <v>#VALUE!</v>
      </c>
      <c r="Q30" s="212" t="e">
        <f>+P30/(M30+30+30-R30)</f>
        <v>#VALUE!</v>
      </c>
      <c r="R30" s="200">
        <v>11.2</v>
      </c>
      <c r="S30" s="218">
        <f>+O30</f>
        <v>366</v>
      </c>
      <c r="T30" s="202">
        <f>+S30+365</f>
        <v>731</v>
      </c>
      <c r="U30" s="203">
        <f>+T30-S30</f>
        <v>365</v>
      </c>
      <c r="V30" s="204">
        <f>+U30/(R30+30+30-W30)</f>
        <v>6.4946619217081851</v>
      </c>
      <c r="W30" s="205">
        <v>15</v>
      </c>
      <c r="X30" s="219">
        <v>0</v>
      </c>
      <c r="Y30" s="207">
        <v>232</v>
      </c>
      <c r="Z30" s="208">
        <f>+Y30-X30</f>
        <v>232</v>
      </c>
      <c r="AA30" s="209">
        <f>+Z30/(W30+30-AB30)</f>
        <v>6.4985994397759095</v>
      </c>
      <c r="AB30" s="210">
        <v>9.3000000000000007</v>
      </c>
      <c r="AC30" s="217">
        <v>0</v>
      </c>
      <c r="AD30" s="197">
        <v>499</v>
      </c>
      <c r="AE30" s="198">
        <f t="shared" si="44"/>
        <v>499</v>
      </c>
      <c r="AF30" s="212">
        <f>+AE30/(AB30+30+30+30-AG30)</f>
        <v>7.0182841068917021</v>
      </c>
      <c r="AG30" s="200">
        <v>28.2</v>
      </c>
      <c r="AH30" s="285">
        <v>0</v>
      </c>
      <c r="AI30" s="286">
        <v>437</v>
      </c>
      <c r="AJ30" s="287">
        <f t="shared" si="45"/>
        <v>437</v>
      </c>
      <c r="AK30" s="288">
        <f>+AJ30/(AG30+30+30-AL30)</f>
        <v>6.4076246334310847</v>
      </c>
      <c r="AL30" s="289">
        <v>20</v>
      </c>
      <c r="AM30" s="396">
        <v>0</v>
      </c>
      <c r="AN30" s="397">
        <v>399</v>
      </c>
      <c r="AO30" s="398">
        <f t="shared" si="46"/>
        <v>399</v>
      </c>
      <c r="AP30" s="399">
        <f>+AO30/(AL30+30+30-AQ30)</f>
        <v>6.4563106796116507</v>
      </c>
      <c r="AQ30" s="400">
        <v>18.2</v>
      </c>
    </row>
    <row r="31" spans="1:43" s="186" customFormat="1" ht="18" customHeight="1" x14ac:dyDescent="0.25">
      <c r="A31" s="63"/>
      <c r="B31" s="64" t="s">
        <v>196</v>
      </c>
      <c r="C31" s="64" t="s">
        <v>195</v>
      </c>
      <c r="D31" s="188"/>
      <c r="E31" s="257"/>
      <c r="F31" s="187"/>
      <c r="G31" s="187"/>
      <c r="H31" s="190"/>
      <c r="I31" s="215"/>
      <c r="J31" s="258"/>
      <c r="K31" s="193"/>
      <c r="L31" s="216"/>
      <c r="M31" s="195"/>
      <c r="N31" s="217">
        <v>0</v>
      </c>
      <c r="O31" s="197">
        <v>710</v>
      </c>
      <c r="P31" s="198">
        <f>+O31-N31</f>
        <v>710</v>
      </c>
      <c r="Q31" s="212">
        <f>+P31/(M31+150-R31)</f>
        <v>5.5993690851735014</v>
      </c>
      <c r="R31" s="200">
        <v>23.2</v>
      </c>
      <c r="S31" s="269">
        <f>+O31</f>
        <v>710</v>
      </c>
      <c r="T31" s="188"/>
      <c r="U31" s="260">
        <f>+T31-S31</f>
        <v>-710</v>
      </c>
      <c r="V31" s="187">
        <f>+U31/(R31+73-50-W31)</f>
        <v>-53.787878787878775</v>
      </c>
      <c r="W31" s="214">
        <v>33</v>
      </c>
      <c r="X31" s="266" t="s">
        <v>7</v>
      </c>
      <c r="Y31" s="207"/>
      <c r="Z31" s="267"/>
      <c r="AA31" s="209"/>
      <c r="AB31" s="210">
        <v>23.2</v>
      </c>
      <c r="AC31" s="217">
        <v>0</v>
      </c>
      <c r="AD31" s="197">
        <v>450</v>
      </c>
      <c r="AE31" s="198">
        <f t="shared" si="44"/>
        <v>450</v>
      </c>
      <c r="AF31" s="212">
        <f>+AE31/(AB31+79.92-AG31)</f>
        <v>4.9988891357476115</v>
      </c>
      <c r="AG31" s="200">
        <v>13.1</v>
      </c>
      <c r="AH31" s="285">
        <v>0</v>
      </c>
      <c r="AI31" s="286">
        <v>0</v>
      </c>
      <c r="AJ31" s="287">
        <f t="shared" si="45"/>
        <v>0</v>
      </c>
      <c r="AK31" s="288">
        <f>+AJ31/(AG31+79.92-AL31)</f>
        <v>0</v>
      </c>
      <c r="AL31" s="289">
        <v>13.1</v>
      </c>
      <c r="AM31" s="220">
        <v>0</v>
      </c>
      <c r="AN31" s="188">
        <v>0</v>
      </c>
      <c r="AO31" s="213">
        <f t="shared" si="46"/>
        <v>0</v>
      </c>
      <c r="AP31" s="187">
        <f>+AO31/(AL31+79.92-AQ31)</f>
        <v>0</v>
      </c>
      <c r="AQ31" s="214">
        <v>13.1</v>
      </c>
    </row>
    <row r="32" spans="1:43" s="186" customFormat="1" ht="18" customHeight="1" x14ac:dyDescent="0.25">
      <c r="A32" s="63">
        <f>+A30+1</f>
        <v>22</v>
      </c>
      <c r="B32" s="64" t="s">
        <v>25</v>
      </c>
      <c r="C32" s="65" t="s">
        <v>174</v>
      </c>
      <c r="D32" s="188">
        <v>446355</v>
      </c>
      <c r="E32" s="188">
        <v>446584</v>
      </c>
      <c r="F32" s="187">
        <v>229</v>
      </c>
      <c r="G32" s="187">
        <v>6.5001419244961687</v>
      </c>
      <c r="H32" s="190">
        <v>26.75</v>
      </c>
      <c r="I32" s="215">
        <f>+E32</f>
        <v>446584</v>
      </c>
      <c r="J32" s="192">
        <v>446764</v>
      </c>
      <c r="K32" s="193">
        <f t="shared" ref="K32:K40" si="48">+J32-I32</f>
        <v>180</v>
      </c>
      <c r="L32" s="216">
        <f>+K32/(26.75+40-39.06)</f>
        <v>6.5005417118093183</v>
      </c>
      <c r="M32" s="195">
        <v>39.06</v>
      </c>
      <c r="N32" s="217">
        <f t="shared" ref="N32:N40" si="49">+J32</f>
        <v>446764</v>
      </c>
      <c r="O32" s="197">
        <v>448046</v>
      </c>
      <c r="P32" s="198">
        <f>+O32-N32</f>
        <v>1282</v>
      </c>
      <c r="Q32" s="212">
        <f>+P32/(M32+127.52+43.1-R32)</f>
        <v>6.5000253511129138</v>
      </c>
      <c r="R32" s="200">
        <v>12.45</v>
      </c>
      <c r="S32" s="218">
        <f>+O32</f>
        <v>448046</v>
      </c>
      <c r="T32" s="202">
        <v>448900</v>
      </c>
      <c r="U32" s="203">
        <f t="shared" ref="U32:U38" si="50">+T32-S32</f>
        <v>854</v>
      </c>
      <c r="V32" s="204">
        <f>+U32/(R32+64+71.71-W32)</f>
        <v>6.5002283452580301</v>
      </c>
      <c r="W32" s="205">
        <v>16.78</v>
      </c>
      <c r="X32" s="219">
        <f>+T32</f>
        <v>448900</v>
      </c>
      <c r="Y32" s="207">
        <v>449689</v>
      </c>
      <c r="Z32" s="208">
        <f t="shared" ref="Z32:Z33" si="51">+Y32-X32</f>
        <v>789</v>
      </c>
      <c r="AA32" s="209">
        <f>+Z32/(W32+56+50.3-AB32)</f>
        <v>6.5002471576866041</v>
      </c>
      <c r="AB32" s="210">
        <v>1.7</v>
      </c>
      <c r="AC32" s="217">
        <f>+Y32</f>
        <v>449689</v>
      </c>
      <c r="AD32" s="197">
        <v>450287</v>
      </c>
      <c r="AE32" s="198">
        <f t="shared" ref="AE32:AE33" si="52">+AD32-AC32</f>
        <v>598</v>
      </c>
      <c r="AF32" s="212">
        <f>+AE32/(AB32+74+20-AG32)</f>
        <v>6.5</v>
      </c>
      <c r="AG32" s="200">
        <v>3.7</v>
      </c>
      <c r="AH32" s="285">
        <f>+AD32</f>
        <v>450287</v>
      </c>
      <c r="AI32" s="286">
        <v>450501</v>
      </c>
      <c r="AJ32" s="287">
        <f t="shared" si="45"/>
        <v>214</v>
      </c>
      <c r="AK32" s="288">
        <f>+AJ32/(AG32+76.51-AL32)</f>
        <v>6.5006075334143363</v>
      </c>
      <c r="AL32" s="289">
        <v>47.29</v>
      </c>
      <c r="AM32" s="396">
        <f>+AI32</f>
        <v>450501</v>
      </c>
      <c r="AN32" s="397">
        <v>450989</v>
      </c>
      <c r="AO32" s="398">
        <f t="shared" si="46"/>
        <v>488</v>
      </c>
      <c r="AP32" s="399">
        <f>+AO32/(AL32+49.6-AQ32)</f>
        <v>6.4997336174746936</v>
      </c>
      <c r="AQ32" s="400">
        <v>21.81</v>
      </c>
    </row>
    <row r="33" spans="1:43" s="186" customFormat="1" ht="18" customHeight="1" x14ac:dyDescent="0.25">
      <c r="A33" s="63">
        <f t="shared" si="22"/>
        <v>23</v>
      </c>
      <c r="B33" s="64" t="s">
        <v>33</v>
      </c>
      <c r="C33" s="64" t="s">
        <v>12</v>
      </c>
      <c r="D33" s="188">
        <v>303210</v>
      </c>
      <c r="E33" s="188">
        <v>303384</v>
      </c>
      <c r="F33" s="187">
        <v>174</v>
      </c>
      <c r="G33" s="187">
        <v>6.0020696791997246</v>
      </c>
      <c r="H33" s="190">
        <v>17.010000000000002</v>
      </c>
      <c r="I33" s="221" t="s">
        <v>171</v>
      </c>
      <c r="J33" s="192">
        <v>303384</v>
      </c>
      <c r="K33" s="193"/>
      <c r="L33" s="216"/>
      <c r="M33" s="195">
        <v>17.100000000000001</v>
      </c>
      <c r="N33" s="217">
        <f t="shared" si="49"/>
        <v>303384</v>
      </c>
      <c r="O33" s="197">
        <v>303497</v>
      </c>
      <c r="P33" s="198">
        <f>+O33-N33</f>
        <v>113</v>
      </c>
      <c r="Q33" s="212">
        <f>+P33/(M33-R33)</f>
        <v>6.9667077681874217</v>
      </c>
      <c r="R33" s="200">
        <v>0.88</v>
      </c>
      <c r="S33" s="218">
        <f>+O33</f>
        <v>303497</v>
      </c>
      <c r="T33" s="202">
        <v>303840</v>
      </c>
      <c r="U33" s="203">
        <f t="shared" si="50"/>
        <v>343</v>
      </c>
      <c r="V33" s="204">
        <f>+U33/(R33+55+41-W33)</f>
        <v>6.0017497812773408</v>
      </c>
      <c r="W33" s="205">
        <v>39.729999999999997</v>
      </c>
      <c r="X33" s="219">
        <f>+T33</f>
        <v>303840</v>
      </c>
      <c r="Y33" s="207">
        <v>304201</v>
      </c>
      <c r="Z33" s="208">
        <f t="shared" si="51"/>
        <v>361</v>
      </c>
      <c r="AA33" s="209">
        <f>+Z33/(W33+30+37-AB33)</f>
        <v>6.0006648936170226</v>
      </c>
      <c r="AB33" s="210">
        <v>46.57</v>
      </c>
      <c r="AC33" s="217">
        <f>+Y33</f>
        <v>304201</v>
      </c>
      <c r="AD33" s="197">
        <v>304996</v>
      </c>
      <c r="AE33" s="198">
        <f t="shared" si="52"/>
        <v>795</v>
      </c>
      <c r="AF33" s="212">
        <f>+AE33/(AB33+47+40+41-AG33)</f>
        <v>6.0009057971014501</v>
      </c>
      <c r="AG33" s="200">
        <v>42.09</v>
      </c>
      <c r="AH33" s="220">
        <f>+AD33</f>
        <v>304996</v>
      </c>
      <c r="AI33" s="188">
        <v>304996</v>
      </c>
      <c r="AJ33" s="213">
        <f t="shared" si="45"/>
        <v>0</v>
      </c>
      <c r="AK33" s="187">
        <f>+AJ33/(AG33+47+40+41-AL33)</f>
        <v>0</v>
      </c>
      <c r="AL33" s="214">
        <v>42.09</v>
      </c>
      <c r="AM33" s="220">
        <f>+AI33</f>
        <v>304996</v>
      </c>
      <c r="AN33" s="188">
        <v>304996</v>
      </c>
      <c r="AO33" s="213">
        <f t="shared" si="46"/>
        <v>0</v>
      </c>
      <c r="AP33" s="187">
        <f>+AO33/(AL33+47+40+41-AQ33)</f>
        <v>0</v>
      </c>
      <c r="AQ33" s="214">
        <v>42.09</v>
      </c>
    </row>
    <row r="34" spans="1:43" s="186" customFormat="1" ht="18" customHeight="1" x14ac:dyDescent="0.25">
      <c r="A34" s="63">
        <f t="shared" si="22"/>
        <v>24</v>
      </c>
      <c r="B34" s="68" t="s">
        <v>33</v>
      </c>
      <c r="C34" s="65" t="s">
        <v>85</v>
      </c>
      <c r="D34" s="188">
        <v>259339</v>
      </c>
      <c r="E34" s="188">
        <v>260224</v>
      </c>
      <c r="F34" s="187">
        <v>885</v>
      </c>
      <c r="G34" s="187">
        <v>7.0004746084480303</v>
      </c>
      <c r="H34" s="190">
        <v>38.299999999999997</v>
      </c>
      <c r="I34" s="221" t="s">
        <v>171</v>
      </c>
      <c r="J34" s="192"/>
      <c r="K34" s="193"/>
      <c r="L34" s="216"/>
      <c r="M34" s="195"/>
      <c r="N34" s="217" t="s">
        <v>171</v>
      </c>
      <c r="O34" s="197"/>
      <c r="P34" s="198"/>
      <c r="Q34" s="212"/>
      <c r="R34" s="200"/>
      <c r="S34" s="218" t="s">
        <v>171</v>
      </c>
      <c r="T34" s="202"/>
      <c r="U34" s="203"/>
      <c r="V34" s="204"/>
      <c r="W34" s="205"/>
      <c r="X34" s="219" t="s">
        <v>171</v>
      </c>
      <c r="Y34" s="207"/>
      <c r="Z34" s="208"/>
      <c r="AA34" s="209"/>
      <c r="AB34" s="210"/>
      <c r="AC34" s="217" t="s">
        <v>171</v>
      </c>
      <c r="AD34" s="197"/>
      <c r="AE34" s="198"/>
      <c r="AF34" s="212"/>
      <c r="AG34" s="200"/>
      <c r="AH34" s="285" t="s">
        <v>171</v>
      </c>
      <c r="AI34" s="286" t="s">
        <v>216</v>
      </c>
      <c r="AJ34" s="287"/>
      <c r="AK34" s="288"/>
      <c r="AL34" s="289"/>
      <c r="AM34" s="220" t="s">
        <v>171</v>
      </c>
      <c r="AN34" s="188" t="s">
        <v>216</v>
      </c>
      <c r="AO34" s="213"/>
      <c r="AP34" s="187"/>
      <c r="AQ34" s="214"/>
    </row>
    <row r="35" spans="1:43" s="186" customFormat="1" ht="18" customHeight="1" x14ac:dyDescent="0.25">
      <c r="A35" s="63">
        <f t="shared" si="22"/>
        <v>25</v>
      </c>
      <c r="B35" s="64" t="s">
        <v>80</v>
      </c>
      <c r="C35" s="64" t="s">
        <v>81</v>
      </c>
      <c r="D35" s="188">
        <v>242118</v>
      </c>
      <c r="E35" s="188">
        <v>242944</v>
      </c>
      <c r="F35" s="187">
        <v>826</v>
      </c>
      <c r="G35" s="187">
        <v>7.0029673590504444</v>
      </c>
      <c r="H35" s="190">
        <v>94.35</v>
      </c>
      <c r="I35" s="215">
        <f>+E35</f>
        <v>242944</v>
      </c>
      <c r="J35" s="192">
        <v>243158</v>
      </c>
      <c r="K35" s="193">
        <f t="shared" si="48"/>
        <v>214</v>
      </c>
      <c r="L35" s="216">
        <f>+K35/(94.35-60.43)</f>
        <v>6.308962264150944</v>
      </c>
      <c r="M35" s="195">
        <v>60.43</v>
      </c>
      <c r="N35" s="217">
        <f t="shared" si="49"/>
        <v>243158</v>
      </c>
      <c r="O35" s="197">
        <v>244620</v>
      </c>
      <c r="P35" s="198">
        <f>+O35-N35</f>
        <v>1462</v>
      </c>
      <c r="Q35" s="212">
        <f>+P35/(M35+20+55+110-R35)</f>
        <v>7.0012450914663349</v>
      </c>
      <c r="R35" s="200">
        <v>36.61</v>
      </c>
      <c r="S35" s="218">
        <f>+O35</f>
        <v>244620</v>
      </c>
      <c r="T35" s="202">
        <v>245597</v>
      </c>
      <c r="U35" s="203">
        <f t="shared" si="50"/>
        <v>977</v>
      </c>
      <c r="V35" s="204">
        <f>+U35/(R35+58+49+60+21-W35)</f>
        <v>6.9696105007847047</v>
      </c>
      <c r="W35" s="205">
        <v>84.43</v>
      </c>
      <c r="X35" s="219">
        <f>+T35</f>
        <v>245597</v>
      </c>
      <c r="Y35" s="207">
        <v>247426</v>
      </c>
      <c r="Z35" s="208">
        <f t="shared" ref="Z35" si="53">+Y35-X35</f>
        <v>1829</v>
      </c>
      <c r="AA35" s="209">
        <f>+Z35/(W35+132+110-AB35)</f>
        <v>7.0006889688432983</v>
      </c>
      <c r="AB35" s="210">
        <v>65.17</v>
      </c>
      <c r="AC35" s="217">
        <f>+Y35</f>
        <v>247426</v>
      </c>
      <c r="AD35" s="197">
        <v>249658</v>
      </c>
      <c r="AE35" s="198">
        <f t="shared" ref="AE35" si="54">+AD35-AC35</f>
        <v>2232</v>
      </c>
      <c r="AF35" s="212">
        <f>+AE35/(AB35+66+138+105+36-AG35)</f>
        <v>7.0008155071827352</v>
      </c>
      <c r="AG35" s="200">
        <v>91.35</v>
      </c>
      <c r="AH35" s="285">
        <f>+AD35</f>
        <v>249658</v>
      </c>
      <c r="AI35" s="286">
        <v>250068</v>
      </c>
      <c r="AJ35" s="287">
        <f t="shared" ref="AJ35:AJ36" si="55">+AI35-AH35</f>
        <v>410</v>
      </c>
      <c r="AK35" s="288">
        <f>+AJ35/(AG35+45-AL35)</f>
        <v>6.3057520762842207</v>
      </c>
      <c r="AL35" s="289">
        <v>71.33</v>
      </c>
      <c r="AM35" s="396">
        <f>+AI35</f>
        <v>250068</v>
      </c>
      <c r="AN35" s="397">
        <v>250584</v>
      </c>
      <c r="AO35" s="398">
        <f t="shared" ref="AO35:AO36" si="56">+AN35-AM35</f>
        <v>516</v>
      </c>
      <c r="AP35" s="399">
        <f>+AO35/(AL35+41-AQ35)</f>
        <v>6.7030397505845682</v>
      </c>
      <c r="AQ35" s="400">
        <v>35.35</v>
      </c>
    </row>
    <row r="36" spans="1:43" s="186" customFormat="1" ht="18" customHeight="1" x14ac:dyDescent="0.25">
      <c r="A36" s="63"/>
      <c r="B36" s="64" t="s">
        <v>182</v>
      </c>
      <c r="C36" s="64" t="s">
        <v>183</v>
      </c>
      <c r="D36" s="188"/>
      <c r="E36" s="188"/>
      <c r="F36" s="187"/>
      <c r="G36" s="187"/>
      <c r="H36" s="190"/>
      <c r="I36" s="222" t="s">
        <v>184</v>
      </c>
      <c r="J36" s="223"/>
      <c r="K36" s="224"/>
      <c r="L36" s="225"/>
      <c r="M36" s="226"/>
      <c r="N36" s="222" t="s">
        <v>184</v>
      </c>
      <c r="O36" s="223"/>
      <c r="P36" s="224"/>
      <c r="Q36" s="225"/>
      <c r="R36" s="226"/>
      <c r="S36" s="222" t="s">
        <v>184</v>
      </c>
      <c r="T36" s="223"/>
      <c r="U36" s="224"/>
      <c r="V36" s="225"/>
      <c r="W36" s="226"/>
      <c r="X36" s="222" t="s">
        <v>184</v>
      </c>
      <c r="Y36" s="223"/>
      <c r="Z36" s="224"/>
      <c r="AA36" s="225"/>
      <c r="AB36" s="226">
        <v>20</v>
      </c>
      <c r="AC36" s="285">
        <v>491667</v>
      </c>
      <c r="AD36" s="286">
        <v>491667</v>
      </c>
      <c r="AE36" s="287">
        <f t="shared" ref="AE36" si="57">+AD36-AC36</f>
        <v>0</v>
      </c>
      <c r="AF36" s="288">
        <f>+AE36/(AB36+102-AG36)</f>
        <v>0</v>
      </c>
      <c r="AG36" s="289">
        <v>42.3</v>
      </c>
      <c r="AH36" s="285">
        <f>+AD36</f>
        <v>491667</v>
      </c>
      <c r="AI36" s="286">
        <v>493764</v>
      </c>
      <c r="AJ36" s="287">
        <f t="shared" si="55"/>
        <v>2097</v>
      </c>
      <c r="AK36" s="288">
        <f>+AJ36/(AG36+94+52+144-AL36)</f>
        <v>6.9002961500493578</v>
      </c>
      <c r="AL36" s="289">
        <v>28.4</v>
      </c>
      <c r="AM36" s="396">
        <f>+AI36</f>
        <v>493764</v>
      </c>
      <c r="AN36" s="397">
        <v>494513</v>
      </c>
      <c r="AO36" s="398">
        <f t="shared" si="56"/>
        <v>749</v>
      </c>
      <c r="AP36" s="399">
        <f>+AO36/(AL36+59+60+52-AQ36)</f>
        <v>6.2003311258278142</v>
      </c>
      <c r="AQ36" s="400">
        <v>78.599999999999994</v>
      </c>
    </row>
    <row r="37" spans="1:43" s="186" customFormat="1" ht="18" customHeight="1" x14ac:dyDescent="0.25">
      <c r="A37" s="63">
        <f>+A35+1</f>
        <v>26</v>
      </c>
      <c r="B37" s="68" t="s">
        <v>58</v>
      </c>
      <c r="C37" s="73" t="s">
        <v>57</v>
      </c>
      <c r="D37" s="188">
        <v>342083</v>
      </c>
      <c r="E37" s="188">
        <v>342091</v>
      </c>
      <c r="F37" s="187">
        <v>8</v>
      </c>
      <c r="G37" s="187">
        <v>5.5172413793103336</v>
      </c>
      <c r="H37" s="190">
        <v>51.75</v>
      </c>
      <c r="I37" s="215">
        <v>342091</v>
      </c>
      <c r="J37" s="215" t="s">
        <v>178</v>
      </c>
      <c r="K37" s="193" t="e">
        <f t="shared" si="48"/>
        <v>#VALUE!</v>
      </c>
      <c r="L37" s="216" t="e">
        <f>+K37/(51.75)</f>
        <v>#VALUE!</v>
      </c>
      <c r="M37" s="195">
        <v>51.75</v>
      </c>
      <c r="N37" s="217" t="str">
        <f t="shared" si="49"/>
        <v>MANTENIMIENTO</v>
      </c>
      <c r="O37" s="197">
        <v>342091</v>
      </c>
      <c r="P37" s="198" t="e">
        <f t="shared" ref="P37" si="58">+O37-N37</f>
        <v>#VALUE!</v>
      </c>
      <c r="Q37" s="198" t="e">
        <f>+P37/(M37-R37)</f>
        <v>#VALUE!</v>
      </c>
      <c r="R37" s="200">
        <v>51.75</v>
      </c>
      <c r="S37" s="218" t="s">
        <v>178</v>
      </c>
      <c r="T37" s="202"/>
      <c r="U37" s="203" t="e">
        <f>+T37-S37</f>
        <v>#VALUE!</v>
      </c>
      <c r="V37" s="204" t="e">
        <f>+U37/(R37-W37)</f>
        <v>#VALUE!</v>
      </c>
      <c r="W37" s="205">
        <v>51.75</v>
      </c>
      <c r="X37" s="219">
        <v>342091</v>
      </c>
      <c r="Y37" s="207">
        <v>342091</v>
      </c>
      <c r="Z37" s="208">
        <f>+Y37-X37</f>
        <v>0</v>
      </c>
      <c r="AA37" s="209" t="e">
        <f>+Z37/(W37-AB37)</f>
        <v>#DIV/0!</v>
      </c>
      <c r="AB37" s="210">
        <v>51.75</v>
      </c>
      <c r="AC37" s="217">
        <v>342091</v>
      </c>
      <c r="AD37" s="197">
        <v>342091</v>
      </c>
      <c r="AE37" s="198">
        <f>+AD37-AC37</f>
        <v>0</v>
      </c>
      <c r="AF37" s="212" t="e">
        <f>+AE37/(AB37-AG37)</f>
        <v>#DIV/0!</v>
      </c>
      <c r="AG37" s="200">
        <v>51.75</v>
      </c>
      <c r="AH37" s="285">
        <v>342091</v>
      </c>
      <c r="AI37" s="286">
        <v>342091</v>
      </c>
      <c r="AJ37" s="287">
        <f>+AI37-AH37</f>
        <v>0</v>
      </c>
      <c r="AK37" s="288" t="e">
        <f>+AJ37/(AG37-AL37)</f>
        <v>#DIV/0!</v>
      </c>
      <c r="AL37" s="289">
        <v>51.75</v>
      </c>
      <c r="AM37" s="396">
        <v>342091</v>
      </c>
      <c r="AN37" s="397">
        <v>342091</v>
      </c>
      <c r="AO37" s="398">
        <f>+AN37-AM37</f>
        <v>0</v>
      </c>
      <c r="AP37" s="399" t="e">
        <f>+AO37/(AL37-AQ37)</f>
        <v>#DIV/0!</v>
      </c>
      <c r="AQ37" s="400">
        <v>51.75</v>
      </c>
    </row>
    <row r="38" spans="1:43" s="186" customFormat="1" ht="18" customHeight="1" x14ac:dyDescent="0.25">
      <c r="A38" s="63">
        <f t="shared" si="22"/>
        <v>27</v>
      </c>
      <c r="B38" s="64" t="s">
        <v>62</v>
      </c>
      <c r="C38" s="64" t="s">
        <v>61</v>
      </c>
      <c r="D38" s="257">
        <v>393247</v>
      </c>
      <c r="E38" s="188">
        <v>394478</v>
      </c>
      <c r="F38" s="189">
        <v>1231</v>
      </c>
      <c r="G38" s="187">
        <v>6.5001584116590987</v>
      </c>
      <c r="H38" s="190">
        <v>52.01</v>
      </c>
      <c r="I38" s="233">
        <f>+E38</f>
        <v>394478</v>
      </c>
      <c r="J38" s="192">
        <v>394585</v>
      </c>
      <c r="K38" s="250">
        <f t="shared" si="48"/>
        <v>107</v>
      </c>
      <c r="L38" s="216">
        <f>+K38/(52.01+30-65.55)</f>
        <v>6.5006075334143398</v>
      </c>
      <c r="M38" s="195">
        <v>65.55</v>
      </c>
      <c r="N38" s="235">
        <f t="shared" si="49"/>
        <v>394585</v>
      </c>
      <c r="O38" s="197">
        <v>396100</v>
      </c>
      <c r="P38" s="251">
        <f>+O38-N38</f>
        <v>1515</v>
      </c>
      <c r="Q38" s="212">
        <f>+P38/(65.55+150.17+30+70.68-87.32)</f>
        <v>6.6134101623886856</v>
      </c>
      <c r="R38" s="200">
        <v>87.32</v>
      </c>
      <c r="S38" s="236">
        <f>+O38</f>
        <v>396100</v>
      </c>
      <c r="T38" s="202">
        <v>397891</v>
      </c>
      <c r="U38" s="239">
        <f t="shared" si="50"/>
        <v>1791</v>
      </c>
      <c r="V38" s="270">
        <f>+U38/(R38+45+70.87+30+72-W38)</f>
        <v>6.4999637076286563</v>
      </c>
      <c r="W38" s="205">
        <v>29.65</v>
      </c>
      <c r="X38" s="237">
        <f>+T38</f>
        <v>397891</v>
      </c>
      <c r="Y38" s="207">
        <v>398982</v>
      </c>
      <c r="Z38" s="254">
        <f t="shared" ref="Z38:Z39" si="59">+Y38-X38</f>
        <v>1091</v>
      </c>
      <c r="AA38" s="271">
        <f>+Z38/(W38+142+84-AB38)</f>
        <v>6.4998510574918074</v>
      </c>
      <c r="AB38" s="210">
        <v>87.8</v>
      </c>
      <c r="AC38" s="235">
        <f>+Y38</f>
        <v>398982</v>
      </c>
      <c r="AD38" s="197">
        <v>400416</v>
      </c>
      <c r="AE38" s="251">
        <f t="shared" ref="AE38:AE39" si="60">+AD38-AC38</f>
        <v>1434</v>
      </c>
      <c r="AF38" s="272">
        <f>+AE38/(AB38+100+30+30-AG38)</f>
        <v>6.4998640195811799</v>
      </c>
      <c r="AG38" s="200">
        <v>27.18</v>
      </c>
      <c r="AH38" s="355">
        <f>+AD38</f>
        <v>400416</v>
      </c>
      <c r="AI38" s="286">
        <v>401845</v>
      </c>
      <c r="AJ38" s="357">
        <f t="shared" ref="AJ38:AJ39" si="61">+AI38-AH38</f>
        <v>1429</v>
      </c>
      <c r="AK38" s="369">
        <f>+AJ38/(AG38+30+65+30+93.8+30.65-AL38)</f>
        <v>9.189710610932476</v>
      </c>
      <c r="AL38" s="289">
        <v>121.13</v>
      </c>
      <c r="AM38" s="406">
        <f>+AI38</f>
        <v>401845</v>
      </c>
      <c r="AN38" s="397">
        <v>403238</v>
      </c>
      <c r="AO38" s="407">
        <f t="shared" ref="AO38:AO39" si="62">+AN38-AM38</f>
        <v>1393</v>
      </c>
      <c r="AP38" s="408">
        <f>+AO38/(AL38+68+30+30-AQ38)</f>
        <v>6.4999300079324343</v>
      </c>
      <c r="AQ38" s="400">
        <v>34.82</v>
      </c>
    </row>
    <row r="39" spans="1:43" s="186" customFormat="1" ht="18" customHeight="1" x14ac:dyDescent="0.25">
      <c r="A39" s="63">
        <f t="shared" si="22"/>
        <v>28</v>
      </c>
      <c r="B39" s="69" t="s">
        <v>103</v>
      </c>
      <c r="C39" s="69" t="s">
        <v>188</v>
      </c>
      <c r="D39" s="188"/>
      <c r="E39" s="257"/>
      <c r="F39" s="187">
        <v>0</v>
      </c>
      <c r="G39" s="189">
        <v>0</v>
      </c>
      <c r="H39" s="190">
        <v>89</v>
      </c>
      <c r="I39" s="221" t="s">
        <v>7</v>
      </c>
      <c r="J39" s="258">
        <v>38390</v>
      </c>
      <c r="K39" s="193" t="e">
        <f t="shared" si="48"/>
        <v>#VALUE!</v>
      </c>
      <c r="L39" s="194" t="e">
        <f>+K39/(297-89)</f>
        <v>#VALUE!</v>
      </c>
      <c r="M39" s="195">
        <v>89</v>
      </c>
      <c r="N39" s="217">
        <f t="shared" si="49"/>
        <v>38390</v>
      </c>
      <c r="O39" s="197">
        <v>38400</v>
      </c>
      <c r="P39" s="198">
        <f t="shared" ref="P39" si="63">+O39-N39</f>
        <v>10</v>
      </c>
      <c r="Q39" s="198">
        <f>+P39/(M39+425-R39)</f>
        <v>2</v>
      </c>
      <c r="R39" s="200">
        <v>509</v>
      </c>
      <c r="S39" s="218">
        <f>+O39</f>
        <v>38400</v>
      </c>
      <c r="T39" s="202">
        <v>38400</v>
      </c>
      <c r="U39" s="203">
        <f t="shared" ref="U39" si="64">+T39-S39</f>
        <v>0</v>
      </c>
      <c r="V39" s="203">
        <f>+U39/(R39+425-W39)</f>
        <v>0</v>
      </c>
      <c r="W39" s="205">
        <v>509</v>
      </c>
      <c r="X39" s="219">
        <f>+T39</f>
        <v>38400</v>
      </c>
      <c r="Y39" s="207" t="s">
        <v>189</v>
      </c>
      <c r="Z39" s="208" t="e">
        <f t="shared" si="59"/>
        <v>#VALUE!</v>
      </c>
      <c r="AA39" s="208" t="e">
        <f>+Z39/(W39+425-AB39)</f>
        <v>#VALUE!</v>
      </c>
      <c r="AB39" s="210">
        <v>509</v>
      </c>
      <c r="AC39" s="217">
        <v>38400</v>
      </c>
      <c r="AD39" s="197">
        <v>39226</v>
      </c>
      <c r="AE39" s="198">
        <f t="shared" si="60"/>
        <v>826</v>
      </c>
      <c r="AF39" s="198">
        <f>+AE39/(AB39-AG39)</f>
        <v>1.8034934497816595</v>
      </c>
      <c r="AG39" s="200">
        <v>51</v>
      </c>
      <c r="AH39" s="285">
        <f>+AD39</f>
        <v>39226</v>
      </c>
      <c r="AI39" s="286">
        <v>39460</v>
      </c>
      <c r="AJ39" s="287">
        <f t="shared" si="61"/>
        <v>234</v>
      </c>
      <c r="AK39" s="287">
        <f>+AJ39/(AG39+242-AL39)</f>
        <v>1.5</v>
      </c>
      <c r="AL39" s="289">
        <v>137</v>
      </c>
      <c r="AM39" s="396">
        <f>+AI39</f>
        <v>39460</v>
      </c>
      <c r="AN39" s="397">
        <v>39929</v>
      </c>
      <c r="AO39" s="398">
        <f t="shared" si="62"/>
        <v>469</v>
      </c>
      <c r="AP39" s="412">
        <f>+AO39/(AL39+457-AQ39)</f>
        <v>1.8038461538461539</v>
      </c>
      <c r="AQ39" s="400">
        <v>334</v>
      </c>
    </row>
    <row r="40" spans="1:43" s="186" customFormat="1" ht="18" customHeight="1" x14ac:dyDescent="0.25">
      <c r="A40" s="63">
        <f t="shared" si="22"/>
        <v>29</v>
      </c>
      <c r="B40" s="64" t="s">
        <v>20</v>
      </c>
      <c r="C40" s="65" t="s">
        <v>44</v>
      </c>
      <c r="D40" s="188">
        <v>431326</v>
      </c>
      <c r="E40" s="188">
        <v>432561</v>
      </c>
      <c r="F40" s="187">
        <v>1235</v>
      </c>
      <c r="G40" s="187">
        <v>5.8425584255842562</v>
      </c>
      <c r="H40" s="190">
        <v>23.67</v>
      </c>
      <c r="I40" s="215">
        <f>+E40</f>
        <v>432561</v>
      </c>
      <c r="J40" s="192">
        <v>432661</v>
      </c>
      <c r="K40" s="193">
        <f t="shared" si="48"/>
        <v>100</v>
      </c>
      <c r="L40" s="216">
        <f>+K40/(23.67-7.01)</f>
        <v>6.0024009603841524</v>
      </c>
      <c r="M40" s="195">
        <v>7.01</v>
      </c>
      <c r="N40" s="217">
        <f t="shared" si="49"/>
        <v>432661</v>
      </c>
      <c r="O40" s="197">
        <v>433596</v>
      </c>
      <c r="P40" s="198">
        <f>+O40-N40</f>
        <v>935</v>
      </c>
      <c r="Q40" s="273">
        <f>+P40/(M40+30+81.7+100-R40)</f>
        <v>5.998588567395907</v>
      </c>
      <c r="R40" s="200">
        <v>62.84</v>
      </c>
      <c r="S40" s="218">
        <f>+O40</f>
        <v>433596</v>
      </c>
      <c r="T40" s="202">
        <v>435513</v>
      </c>
      <c r="U40" s="203">
        <f>+T40-S40</f>
        <v>1917</v>
      </c>
      <c r="V40" s="204">
        <f>+U40/(R40+65.64+69.91+78+93-W40)</f>
        <v>6.0020664391496297</v>
      </c>
      <c r="W40" s="205">
        <v>50</v>
      </c>
      <c r="X40" s="219">
        <f>+T40</f>
        <v>435513</v>
      </c>
      <c r="Y40" s="207">
        <v>436459</v>
      </c>
      <c r="Z40" s="208">
        <f>+Y40-X40</f>
        <v>946</v>
      </c>
      <c r="AA40" s="209">
        <f>+Z40/(W40+76+67-AB40)</f>
        <v>6.0025380710659899</v>
      </c>
      <c r="AB40" s="210">
        <v>35.4</v>
      </c>
      <c r="AC40" s="217">
        <f>+Y40</f>
        <v>436459</v>
      </c>
      <c r="AD40" s="197">
        <v>437759</v>
      </c>
      <c r="AE40" s="198">
        <f>+AD40-AC40</f>
        <v>1300</v>
      </c>
      <c r="AF40" s="212">
        <f>+AE40/(AB40+73+85+65-AG40)</f>
        <v>6.1937205202725245</v>
      </c>
      <c r="AG40" s="200">
        <v>48.51</v>
      </c>
      <c r="AH40" s="285">
        <f>+AD40</f>
        <v>437759</v>
      </c>
      <c r="AI40" s="286">
        <v>438774</v>
      </c>
      <c r="AJ40" s="287">
        <f>+AI40-AH40</f>
        <v>1015</v>
      </c>
      <c r="AK40" s="288">
        <f>+AJ40/(AG40+61+81+76-AL40)</f>
        <v>6.0294641796364505</v>
      </c>
      <c r="AL40" s="289">
        <v>98.17</v>
      </c>
      <c r="AM40" s="220">
        <f>+AI40</f>
        <v>438774</v>
      </c>
      <c r="AN40" s="188">
        <v>438774</v>
      </c>
      <c r="AO40" s="213">
        <f>+AN40-AM40</f>
        <v>0</v>
      </c>
      <c r="AP40" s="187">
        <f>+AO40/(AL40+61+81+76-AQ40)</f>
        <v>0</v>
      </c>
      <c r="AQ40" s="214">
        <v>98.17</v>
      </c>
    </row>
    <row r="41" spans="1:43" s="186" customFormat="1" ht="18" customHeight="1" x14ac:dyDescent="0.25">
      <c r="A41" s="63">
        <f t="shared" si="22"/>
        <v>30</v>
      </c>
      <c r="B41" s="64" t="s">
        <v>6</v>
      </c>
      <c r="C41" s="64" t="s">
        <v>193</v>
      </c>
      <c r="D41" s="188"/>
      <c r="E41" s="257"/>
      <c r="F41" s="188">
        <v>10</v>
      </c>
      <c r="G41" s="187">
        <v>1.4005602240896384</v>
      </c>
      <c r="H41" s="190">
        <v>570.63</v>
      </c>
      <c r="I41" s="215" t="s">
        <v>7</v>
      </c>
      <c r="J41" s="258"/>
      <c r="K41" s="274">
        <v>0</v>
      </c>
      <c r="L41" s="216">
        <f>+K41/(1117.77+460-1000-570.63)</f>
        <v>0</v>
      </c>
      <c r="M41" s="195">
        <v>570.63</v>
      </c>
      <c r="N41" s="217" t="s">
        <v>7</v>
      </c>
      <c r="O41" s="197"/>
      <c r="P41" s="275">
        <v>0</v>
      </c>
      <c r="Q41" s="212">
        <f>+P41/(1117.77+460-1000-570.63)</f>
        <v>0</v>
      </c>
      <c r="R41" s="200">
        <v>570.63</v>
      </c>
      <c r="S41" s="218" t="s">
        <v>7</v>
      </c>
      <c r="T41" s="202"/>
      <c r="U41" s="276">
        <v>0</v>
      </c>
      <c r="V41" s="204">
        <f>+U41/(1117.77+460-1000-570.63)</f>
        <v>0</v>
      </c>
      <c r="W41" s="205">
        <v>570.63</v>
      </c>
      <c r="X41" s="219">
        <f>+T41</f>
        <v>0</v>
      </c>
      <c r="Y41" s="207" t="s">
        <v>189</v>
      </c>
      <c r="Z41" s="277">
        <v>0</v>
      </c>
      <c r="AA41" s="209">
        <f>+Z41/(1117.77+460-1000-570.63)</f>
        <v>0</v>
      </c>
      <c r="AB41" s="210">
        <v>570.63</v>
      </c>
      <c r="AC41" s="217" t="str">
        <f>+Y41</f>
        <v xml:space="preserve">SIN MOVIMIENTO </v>
      </c>
      <c r="AD41" s="197" t="s">
        <v>189</v>
      </c>
      <c r="AE41" s="275">
        <v>0</v>
      </c>
      <c r="AF41" s="212">
        <f>+AE41/(1117.77+460-1000-570.63)</f>
        <v>0</v>
      </c>
      <c r="AG41" s="200">
        <v>570.63</v>
      </c>
      <c r="AH41" s="285" t="str">
        <f>+AD41</f>
        <v xml:space="preserve">SIN MOVIMIENTO </v>
      </c>
      <c r="AI41" s="286" t="s">
        <v>189</v>
      </c>
      <c r="AJ41" s="368">
        <v>0</v>
      </c>
      <c r="AK41" s="288">
        <f>+AJ41/(1117.77+460-1000-570.63)</f>
        <v>0</v>
      </c>
      <c r="AL41" s="289">
        <v>570.63</v>
      </c>
      <c r="AM41" s="396" t="str">
        <f>+AI41</f>
        <v xml:space="preserve">SIN MOVIMIENTO </v>
      </c>
      <c r="AN41" s="397" t="s">
        <v>189</v>
      </c>
      <c r="AO41" s="419">
        <v>0</v>
      </c>
      <c r="AP41" s="399">
        <f>+AO41/(1117.77+460-1000-570.63)</f>
        <v>0</v>
      </c>
      <c r="AQ41" s="400">
        <v>570.63</v>
      </c>
    </row>
    <row r="42" spans="1:43" s="186" customFormat="1" ht="18" customHeight="1" x14ac:dyDescent="0.25">
      <c r="A42" s="63">
        <f t="shared" si="22"/>
        <v>31</v>
      </c>
      <c r="B42" s="64" t="s">
        <v>6</v>
      </c>
      <c r="C42" s="65" t="s">
        <v>23</v>
      </c>
      <c r="D42" s="188">
        <v>331835</v>
      </c>
      <c r="E42" s="188">
        <v>333446</v>
      </c>
      <c r="F42" s="187">
        <v>1611</v>
      </c>
      <c r="G42" s="187">
        <v>4</v>
      </c>
      <c r="H42" s="190">
        <v>19.940000000000001</v>
      </c>
      <c r="I42" s="215">
        <f>+E42</f>
        <v>333446</v>
      </c>
      <c r="J42" s="192">
        <v>333769</v>
      </c>
      <c r="K42" s="193">
        <f>+J42-I42</f>
        <v>323</v>
      </c>
      <c r="L42" s="216">
        <f>+K42/(19.94+40+40-19.19)</f>
        <v>4</v>
      </c>
      <c r="M42" s="195">
        <v>19.190000000000001</v>
      </c>
      <c r="N42" s="217">
        <f>+J42</f>
        <v>333769</v>
      </c>
      <c r="O42" s="197">
        <v>334676</v>
      </c>
      <c r="P42" s="198">
        <f>+O42-N42</f>
        <v>907</v>
      </c>
      <c r="Q42" s="212">
        <f>+P42/(19.19+43.1+30+154-19.54)</f>
        <v>3.9999999999999996</v>
      </c>
      <c r="R42" s="200">
        <v>19.54</v>
      </c>
      <c r="S42" s="218">
        <f>+O42</f>
        <v>334676</v>
      </c>
      <c r="T42" s="202">
        <v>335444</v>
      </c>
      <c r="U42" s="203">
        <f>+T42-S42</f>
        <v>768</v>
      </c>
      <c r="V42" s="204">
        <f>+U42/(R42+147+143-W42)</f>
        <v>4.0000000000000009</v>
      </c>
      <c r="W42" s="205">
        <v>117.54</v>
      </c>
      <c r="X42" s="219">
        <f>+T42</f>
        <v>335444</v>
      </c>
      <c r="Y42" s="207">
        <v>336735</v>
      </c>
      <c r="Z42" s="208">
        <f>+Y42-X42</f>
        <v>1291</v>
      </c>
      <c r="AA42" s="209">
        <f>+Z42/(W42+92.18+60-AB42)</f>
        <v>4.9999999999999991</v>
      </c>
      <c r="AB42" s="210">
        <v>11.52</v>
      </c>
      <c r="AC42" s="217">
        <f>+Y42</f>
        <v>336735</v>
      </c>
      <c r="AD42" s="197">
        <v>338109</v>
      </c>
      <c r="AE42" s="198">
        <f>+AD42-AC42</f>
        <v>1374</v>
      </c>
      <c r="AF42" s="212">
        <f>+AE42/(AB42+106.04+159.13-AG42)</f>
        <v>6.440725636338068</v>
      </c>
      <c r="AG42" s="200">
        <v>63.36</v>
      </c>
      <c r="AH42" s="285">
        <f>+AD42</f>
        <v>338109</v>
      </c>
      <c r="AI42" s="286">
        <v>338193</v>
      </c>
      <c r="AJ42" s="287">
        <f>+AI42-AH42</f>
        <v>84</v>
      </c>
      <c r="AK42" s="288">
        <f>+AJ42/(AG42-AL42)</f>
        <v>4.5016077170418018</v>
      </c>
      <c r="AL42" s="289">
        <v>44.7</v>
      </c>
      <c r="AM42" s="396">
        <f>+AI42</f>
        <v>338193</v>
      </c>
      <c r="AN42" s="397">
        <v>338760</v>
      </c>
      <c r="AO42" s="398">
        <f>+AN42-AM42</f>
        <v>567</v>
      </c>
      <c r="AP42" s="399">
        <f>+AO42/(AL42+132-AQ42)</f>
        <v>4.5000000000000009</v>
      </c>
      <c r="AQ42" s="400">
        <v>50.7</v>
      </c>
    </row>
    <row r="43" spans="1:43" s="186" customFormat="1" ht="18" customHeight="1" x14ac:dyDescent="0.25">
      <c r="A43" s="63">
        <f t="shared" si="22"/>
        <v>32</v>
      </c>
      <c r="B43" s="69" t="s">
        <v>6</v>
      </c>
      <c r="C43" s="69" t="s">
        <v>187</v>
      </c>
      <c r="D43" s="188"/>
      <c r="E43" s="257"/>
      <c r="F43" s="187">
        <v>336</v>
      </c>
      <c r="G43" s="189">
        <v>2.9999999999999996</v>
      </c>
      <c r="H43" s="190">
        <v>36.549999999999997</v>
      </c>
      <c r="I43" s="215" t="s">
        <v>7</v>
      </c>
      <c r="J43" s="258"/>
      <c r="K43" s="193">
        <v>0</v>
      </c>
      <c r="L43" s="194">
        <f>+K43/(148.55-36.55)</f>
        <v>0</v>
      </c>
      <c r="M43" s="195">
        <v>36.549999999999997</v>
      </c>
      <c r="N43" s="217">
        <v>0</v>
      </c>
      <c r="O43" s="197">
        <v>1</v>
      </c>
      <c r="P43" s="198">
        <f>+O43-N43</f>
        <v>1</v>
      </c>
      <c r="Q43" s="199">
        <f>+P43/(36.55+286.22-319.44)</f>
        <v>0.30030030030029659</v>
      </c>
      <c r="R43" s="200">
        <v>319.44</v>
      </c>
      <c r="S43" s="218" t="s">
        <v>7</v>
      </c>
      <c r="T43" s="202"/>
      <c r="U43" s="276">
        <v>0</v>
      </c>
      <c r="V43" s="204">
        <f>+U43/(1117.77+460-1000-570.63)</f>
        <v>0</v>
      </c>
      <c r="W43" s="205">
        <v>319.44</v>
      </c>
      <c r="X43" s="219">
        <v>0</v>
      </c>
      <c r="Y43" s="207">
        <v>286</v>
      </c>
      <c r="Z43" s="208">
        <f>+Y43-X43</f>
        <v>286</v>
      </c>
      <c r="AA43" s="209">
        <f>+Z43/(W43+-AB43)</f>
        <v>3.000104898772685</v>
      </c>
      <c r="AB43" s="210">
        <v>224.11</v>
      </c>
      <c r="AC43" s="217">
        <v>0</v>
      </c>
      <c r="AD43" s="197">
        <v>286</v>
      </c>
      <c r="AE43" s="198">
        <f>+AD43-AC43</f>
        <v>286</v>
      </c>
      <c r="AF43" s="212">
        <f>+AE43/(AB43+-AG43)</f>
        <v>3.0001048987726842</v>
      </c>
      <c r="AG43" s="200">
        <v>128.78</v>
      </c>
      <c r="AH43" s="285">
        <v>0</v>
      </c>
      <c r="AI43" s="286">
        <v>0</v>
      </c>
      <c r="AJ43" s="287">
        <f>+AI43-AH43</f>
        <v>0</v>
      </c>
      <c r="AK43" s="288" t="e">
        <f>+AJ43/(AG43+-AL43)</f>
        <v>#DIV/0!</v>
      </c>
      <c r="AL43" s="289">
        <v>128.78</v>
      </c>
      <c r="AM43" s="396">
        <v>0</v>
      </c>
      <c r="AN43" s="397">
        <v>520</v>
      </c>
      <c r="AO43" s="398">
        <f>+AN43-AM43</f>
        <v>520</v>
      </c>
      <c r="AP43" s="399">
        <f>+AO43/(AL43+354.59-AQ43)</f>
        <v>3.0000576934171814</v>
      </c>
      <c r="AQ43" s="400">
        <v>310.04000000000002</v>
      </c>
    </row>
    <row r="44" spans="1:43" s="186" customFormat="1" ht="18" customHeight="1" x14ac:dyDescent="0.25">
      <c r="A44" s="63">
        <f t="shared" si="22"/>
        <v>33</v>
      </c>
      <c r="B44" s="127" t="s">
        <v>24</v>
      </c>
      <c r="C44" s="127" t="s">
        <v>89</v>
      </c>
      <c r="D44" s="257">
        <v>143069</v>
      </c>
      <c r="E44" s="188">
        <v>143519</v>
      </c>
      <c r="F44" s="187">
        <v>450</v>
      </c>
      <c r="G44" s="187">
        <v>6</v>
      </c>
      <c r="H44" s="190">
        <v>82</v>
      </c>
      <c r="I44" s="278" t="s">
        <v>169</v>
      </c>
      <c r="J44" s="188"/>
      <c r="K44" s="213"/>
      <c r="L44" s="187"/>
      <c r="M44" s="279"/>
      <c r="N44" s="222"/>
      <c r="O44" s="223"/>
      <c r="P44" s="224"/>
      <c r="Q44" s="225"/>
      <c r="R44" s="226"/>
      <c r="S44" s="222"/>
      <c r="T44" s="223"/>
      <c r="U44" s="224"/>
      <c r="V44" s="225"/>
      <c r="W44" s="226"/>
      <c r="X44" s="222"/>
      <c r="Y44" s="223"/>
      <c r="Z44" s="224"/>
      <c r="AA44" s="225"/>
      <c r="AB44" s="226"/>
      <c r="AC44" s="222"/>
      <c r="AD44" s="223"/>
      <c r="AE44" s="224"/>
      <c r="AF44" s="225"/>
      <c r="AG44" s="226"/>
      <c r="AH44" s="222"/>
      <c r="AI44" s="223"/>
      <c r="AJ44" s="224"/>
      <c r="AK44" s="225"/>
      <c r="AL44" s="226"/>
      <c r="AM44" s="222"/>
      <c r="AN44" s="223"/>
      <c r="AO44" s="224"/>
      <c r="AP44" s="225"/>
      <c r="AQ44" s="226"/>
    </row>
    <row r="45" spans="1:43" s="186" customFormat="1" x14ac:dyDescent="0.25">
      <c r="A45" s="63">
        <f>+A43+1</f>
        <v>33</v>
      </c>
      <c r="B45" s="127" t="s">
        <v>24</v>
      </c>
      <c r="C45" s="128" t="s">
        <v>63</v>
      </c>
      <c r="D45" s="257">
        <v>258440</v>
      </c>
      <c r="E45" s="280" t="s">
        <v>199</v>
      </c>
      <c r="F45" s="281">
        <v>973</v>
      </c>
      <c r="G45" s="187">
        <v>7.0035269560210178</v>
      </c>
      <c r="H45" s="282">
        <v>16.329999999999998</v>
      </c>
      <c r="I45" s="238" t="str">
        <f>+E45</f>
        <v xml:space="preserve">   </v>
      </c>
      <c r="J45" s="280"/>
      <c r="K45" s="283" t="e">
        <f t="shared" ref="K45" si="65">+J45-I45</f>
        <v>#VALUE!</v>
      </c>
      <c r="L45" s="187" t="e">
        <f>+K45/(92.26+63-16.33)</f>
        <v>#VALUE!</v>
      </c>
      <c r="M45" s="284"/>
      <c r="N45" s="222"/>
      <c r="O45" s="223"/>
      <c r="P45" s="224"/>
      <c r="Q45" s="225"/>
      <c r="R45" s="226"/>
      <c r="S45" s="222"/>
      <c r="T45" s="223"/>
      <c r="U45" s="224"/>
      <c r="V45" s="225"/>
      <c r="W45" s="226"/>
      <c r="X45" s="222"/>
      <c r="Y45" s="223"/>
      <c r="Z45" s="224"/>
      <c r="AA45" s="225"/>
      <c r="AB45" s="226"/>
      <c r="AC45" s="235">
        <v>259413</v>
      </c>
      <c r="AD45" s="197">
        <v>259889</v>
      </c>
      <c r="AE45" s="251">
        <f t="shared" ref="AE45" si="66">+AD45-AC45</f>
        <v>476</v>
      </c>
      <c r="AF45" s="272">
        <f>+AE45/(AB45+65+60-AG45)</f>
        <v>7</v>
      </c>
      <c r="AG45" s="200">
        <v>57</v>
      </c>
      <c r="AH45" s="355">
        <f>+AD45</f>
        <v>259889</v>
      </c>
      <c r="AI45" s="286">
        <v>260894</v>
      </c>
      <c r="AJ45" s="357">
        <f t="shared" ref="AJ45:AJ47" si="67">+AI45-AH45</f>
        <v>1005</v>
      </c>
      <c r="AK45" s="369">
        <f>+AJ45/(AG45+46+86+20-AL45)</f>
        <v>7.0000696524343526</v>
      </c>
      <c r="AL45" s="289">
        <v>65.430000000000007</v>
      </c>
      <c r="AM45" s="238">
        <f>+AI45</f>
        <v>260894</v>
      </c>
      <c r="AN45" s="188">
        <v>260894</v>
      </c>
      <c r="AO45" s="384">
        <f t="shared" ref="AO45:AO47" si="68">+AN45-AM45</f>
        <v>0</v>
      </c>
      <c r="AP45" s="385">
        <f>+AO45/(AL45+46+86+20-AQ45)</f>
        <v>0</v>
      </c>
      <c r="AQ45" s="214">
        <v>65.430000000000007</v>
      </c>
    </row>
    <row r="46" spans="1:43" s="186" customFormat="1" ht="18" customHeight="1" x14ac:dyDescent="0.25">
      <c r="A46" s="63">
        <f>+A44+1</f>
        <v>34</v>
      </c>
      <c r="B46" s="64" t="s">
        <v>72</v>
      </c>
      <c r="C46" s="64" t="s">
        <v>73</v>
      </c>
      <c r="D46" s="188">
        <v>461392</v>
      </c>
      <c r="E46" s="188">
        <v>461946</v>
      </c>
      <c r="F46" s="187">
        <v>554</v>
      </c>
      <c r="G46" s="187">
        <v>6.9984840828701369</v>
      </c>
      <c r="H46" s="256">
        <v>62.5</v>
      </c>
      <c r="I46" s="215">
        <f>+E46</f>
        <v>461946</v>
      </c>
      <c r="J46" s="192">
        <v>462420</v>
      </c>
      <c r="K46" s="193">
        <f t="shared" ref="K46:K62" si="69">+J46-I46</f>
        <v>474</v>
      </c>
      <c r="L46" s="216">
        <f>+K46/(62.5+40-36.67)</f>
        <v>7.2003645754215402</v>
      </c>
      <c r="M46" s="234">
        <v>36.700000000000003</v>
      </c>
      <c r="N46" s="217">
        <f>+J46</f>
        <v>462420</v>
      </c>
      <c r="O46" s="197">
        <v>464698</v>
      </c>
      <c r="P46" s="198">
        <f t="shared" ref="P46:P62" si="70">+O46-N46</f>
        <v>2278</v>
      </c>
      <c r="Q46" s="212">
        <f>+P46/(M46+75.15+15.8+130+69-R46)</f>
        <v>7.1992920801466411</v>
      </c>
      <c r="R46" s="200">
        <v>10.23</v>
      </c>
      <c r="S46" s="218">
        <f>+O46</f>
        <v>464698</v>
      </c>
      <c r="T46" s="202">
        <v>466811</v>
      </c>
      <c r="U46" s="203">
        <f t="shared" ref="U46:U50" si="71">+T46-S46</f>
        <v>2113</v>
      </c>
      <c r="V46" s="204">
        <f>+U46/(R46+20+68.59+65+62+78-W46)</f>
        <v>7.2000545200531576</v>
      </c>
      <c r="W46" s="205">
        <v>10.35</v>
      </c>
      <c r="X46" s="219">
        <f>+T46</f>
        <v>466811</v>
      </c>
      <c r="Y46" s="207">
        <v>467389</v>
      </c>
      <c r="Z46" s="208">
        <f t="shared" ref="Z46" si="72">+Y46-X46</f>
        <v>578</v>
      </c>
      <c r="AA46" s="209">
        <f>+Z46/(W46+30+70.62-AB46)</f>
        <v>7.3007452317797146</v>
      </c>
      <c r="AB46" s="210">
        <v>31.8</v>
      </c>
      <c r="AC46" s="217">
        <f>+Y46</f>
        <v>467389</v>
      </c>
      <c r="AD46" s="197">
        <v>470076</v>
      </c>
      <c r="AE46" s="198">
        <f t="shared" ref="AE46" si="73">+AD46-AC46</f>
        <v>2687</v>
      </c>
      <c r="AF46" s="212">
        <f>+AE46/(AB46+30+120+75+130-AG46)</f>
        <v>7.299646835099157</v>
      </c>
      <c r="AG46" s="200">
        <v>18.7</v>
      </c>
      <c r="AH46" s="285">
        <f>+AD46</f>
        <v>470076</v>
      </c>
      <c r="AI46" s="286">
        <v>472225</v>
      </c>
      <c r="AJ46" s="287">
        <f t="shared" si="67"/>
        <v>2149</v>
      </c>
      <c r="AK46" s="288">
        <f>+AJ46/(AG46+70+30+67+130-AL46)</f>
        <v>7.2995923913043486</v>
      </c>
      <c r="AL46" s="289">
        <v>21.3</v>
      </c>
      <c r="AM46" s="396">
        <f>+AI46</f>
        <v>472225</v>
      </c>
      <c r="AN46" s="397">
        <v>474030</v>
      </c>
      <c r="AO46" s="398">
        <f t="shared" si="68"/>
        <v>1805</v>
      </c>
      <c r="AP46" s="399">
        <f>+AO46/(AL46+57.43+68+50.87+61-AQ46)</f>
        <v>7.3017799352750803</v>
      </c>
      <c r="AQ46" s="400">
        <v>11.4</v>
      </c>
    </row>
    <row r="47" spans="1:43" s="186" customFormat="1" ht="18" customHeight="1" x14ac:dyDescent="0.25">
      <c r="A47" s="63">
        <f t="shared" si="22"/>
        <v>35</v>
      </c>
      <c r="B47" s="66" t="s">
        <v>172</v>
      </c>
      <c r="C47" s="66" t="s">
        <v>173</v>
      </c>
      <c r="D47" s="188">
        <v>420566</v>
      </c>
      <c r="E47" s="188">
        <v>421279</v>
      </c>
      <c r="F47" s="187">
        <f>+E47-D47</f>
        <v>713</v>
      </c>
      <c r="G47" s="187">
        <f>+F47/(64+40+105-H47)</f>
        <v>4.6723460026212322</v>
      </c>
      <c r="H47" s="256">
        <v>56.4</v>
      </c>
      <c r="I47" s="215">
        <f>+E47</f>
        <v>421279</v>
      </c>
      <c r="J47" s="192">
        <v>421341</v>
      </c>
      <c r="K47" s="193">
        <f>+J47-I47</f>
        <v>62</v>
      </c>
      <c r="L47" s="216">
        <f>+K47/(H47+40-M47)</f>
        <v>4.9999999999999973</v>
      </c>
      <c r="M47" s="234">
        <v>84</v>
      </c>
      <c r="N47" s="217">
        <f>+J47</f>
        <v>421341</v>
      </c>
      <c r="O47" s="197">
        <v>423200</v>
      </c>
      <c r="P47" s="198">
        <f t="shared" ref="P47" si="74">+O47-N47</f>
        <v>1859</v>
      </c>
      <c r="Q47" s="212">
        <f>+P47/(M47+60+60+96+150.2-R47)</f>
        <v>5.0000000000000009</v>
      </c>
      <c r="R47" s="200">
        <v>78.400000000000006</v>
      </c>
      <c r="S47" s="218">
        <f>+O47</f>
        <v>423200</v>
      </c>
      <c r="T47" s="202">
        <v>423662</v>
      </c>
      <c r="U47" s="203">
        <f t="shared" ref="U47" si="75">+T47-S47</f>
        <v>462</v>
      </c>
      <c r="V47" s="204">
        <f>+U47/(R47+79.76-W47)</f>
        <v>4.9999999999999991</v>
      </c>
      <c r="W47" s="205">
        <v>65.760000000000005</v>
      </c>
      <c r="X47" s="219">
        <f>+T47</f>
        <v>423662</v>
      </c>
      <c r="Y47" s="207">
        <v>424431</v>
      </c>
      <c r="Z47" s="208">
        <f t="shared" ref="Z47" si="76">+Y47-X47</f>
        <v>769</v>
      </c>
      <c r="AA47" s="209">
        <f>+Z47/(W47+106-AB47)</f>
        <v>5.0000000000000009</v>
      </c>
      <c r="AB47" s="210">
        <v>17.96</v>
      </c>
      <c r="AC47" s="217">
        <f>+Y47</f>
        <v>424431</v>
      </c>
      <c r="AD47" s="197">
        <v>425301</v>
      </c>
      <c r="AE47" s="198">
        <f t="shared" ref="AE47" si="77">+AD47-AC47</f>
        <v>870</v>
      </c>
      <c r="AF47" s="212">
        <f>+AE47/(AB47+105+107-AG47)</f>
        <v>6.8938193343898568</v>
      </c>
      <c r="AG47" s="200">
        <v>103.76</v>
      </c>
      <c r="AH47" s="285">
        <f>+AD47</f>
        <v>425301</v>
      </c>
      <c r="AI47" s="286">
        <v>425697</v>
      </c>
      <c r="AJ47" s="287">
        <f t="shared" si="67"/>
        <v>396</v>
      </c>
      <c r="AK47" s="288">
        <f>+AJ47/(AG47-AL47)</f>
        <v>5</v>
      </c>
      <c r="AL47" s="289">
        <v>24.56</v>
      </c>
      <c r="AM47" s="396">
        <f>+AI47</f>
        <v>425697</v>
      </c>
      <c r="AN47" s="397">
        <v>425999</v>
      </c>
      <c r="AO47" s="398">
        <f t="shared" si="68"/>
        <v>302</v>
      </c>
      <c r="AP47" s="399">
        <f>+AO47/(AL47+97-AQ47)</f>
        <v>4.5000745045447772</v>
      </c>
      <c r="AQ47" s="400">
        <v>54.45</v>
      </c>
    </row>
    <row r="48" spans="1:43" s="186" customFormat="1" ht="18" customHeight="1" x14ac:dyDescent="0.25">
      <c r="A48" s="83">
        <f t="shared" ref="A48:A82" si="78">+A47+1</f>
        <v>36</v>
      </c>
      <c r="B48" s="92" t="s">
        <v>90</v>
      </c>
      <c r="C48" s="92" t="s">
        <v>91</v>
      </c>
      <c r="D48" s="188">
        <v>81915</v>
      </c>
      <c r="E48" s="188">
        <v>82476</v>
      </c>
      <c r="F48" s="187">
        <v>561</v>
      </c>
      <c r="G48" s="187">
        <v>7.0028710523030817</v>
      </c>
      <c r="H48" s="190">
        <v>34.119999999999997</v>
      </c>
      <c r="I48" s="215">
        <f>+E48</f>
        <v>82476</v>
      </c>
      <c r="J48" s="192">
        <v>82989</v>
      </c>
      <c r="K48" s="193">
        <f t="shared" si="69"/>
        <v>513</v>
      </c>
      <c r="L48" s="216">
        <f>+K48/(47.01+40-13.76)</f>
        <v>7.0034129692832776</v>
      </c>
      <c r="M48" s="195">
        <v>13.76</v>
      </c>
      <c r="N48" s="217">
        <f>+J48</f>
        <v>82989</v>
      </c>
      <c r="O48" s="197">
        <v>84109</v>
      </c>
      <c r="P48" s="198">
        <f t="shared" si="70"/>
        <v>1120</v>
      </c>
      <c r="Q48" s="212">
        <f>+P48/(M48+57+84+47-R48)</f>
        <v>7.0013127461399014</v>
      </c>
      <c r="R48" s="200">
        <v>41.79</v>
      </c>
      <c r="S48" s="218">
        <f>+O48</f>
        <v>84109</v>
      </c>
      <c r="T48" s="202">
        <v>85117</v>
      </c>
      <c r="U48" s="203">
        <f t="shared" si="71"/>
        <v>1008</v>
      </c>
      <c r="V48" s="204">
        <f>+U48/(R48+63+60-W48)</f>
        <v>7.0019449847179782</v>
      </c>
      <c r="W48" s="205">
        <v>20.83</v>
      </c>
      <c r="X48" s="222"/>
      <c r="Y48" s="223"/>
      <c r="Z48" s="224"/>
      <c r="AA48" s="225"/>
      <c r="AB48" s="226"/>
      <c r="AC48" s="222"/>
      <c r="AD48" s="223"/>
      <c r="AE48" s="224"/>
      <c r="AF48" s="225"/>
      <c r="AG48" s="226"/>
      <c r="AH48" s="222"/>
      <c r="AI48" s="223"/>
      <c r="AJ48" s="224"/>
      <c r="AK48" s="225"/>
      <c r="AL48" s="226"/>
      <c r="AM48" s="222"/>
      <c r="AN48" s="223"/>
      <c r="AO48" s="224"/>
      <c r="AP48" s="225"/>
      <c r="AQ48" s="226"/>
    </row>
    <row r="49" spans="1:43" s="186" customFormat="1" x14ac:dyDescent="0.25">
      <c r="A49" s="83">
        <f t="shared" si="78"/>
        <v>37</v>
      </c>
      <c r="B49" s="64" t="s">
        <v>90</v>
      </c>
      <c r="C49" s="70" t="s">
        <v>66</v>
      </c>
      <c r="D49" s="290">
        <v>238899</v>
      </c>
      <c r="E49" s="290">
        <v>239837</v>
      </c>
      <c r="F49" s="187">
        <v>938</v>
      </c>
      <c r="G49" s="187">
        <v>6.605633802816901</v>
      </c>
      <c r="H49" s="291">
        <v>83</v>
      </c>
      <c r="I49" s="292">
        <f>+E49</f>
        <v>239837</v>
      </c>
      <c r="J49" s="293">
        <v>240428</v>
      </c>
      <c r="K49" s="193">
        <f t="shared" si="69"/>
        <v>591</v>
      </c>
      <c r="L49" s="216">
        <f>+K49/(83+20-12)</f>
        <v>6.4945054945054945</v>
      </c>
      <c r="M49" s="294">
        <v>12</v>
      </c>
      <c r="N49" s="295">
        <f>+J49</f>
        <v>240428</v>
      </c>
      <c r="O49" s="197">
        <v>241657</v>
      </c>
      <c r="P49" s="198">
        <f t="shared" si="70"/>
        <v>1229</v>
      </c>
      <c r="Q49" s="212">
        <f>+P49/(M49+140+103-R49)</f>
        <v>5.0785123966942152</v>
      </c>
      <c r="R49" s="200">
        <v>13</v>
      </c>
      <c r="S49" s="296">
        <f t="shared" ref="S49" si="79">+O49</f>
        <v>241657</v>
      </c>
      <c r="T49" s="202">
        <v>242112</v>
      </c>
      <c r="U49" s="203">
        <f t="shared" si="71"/>
        <v>455</v>
      </c>
      <c r="V49" s="204">
        <f>+U49/(R49+67.4-W49)</f>
        <v>6.6520467836257309</v>
      </c>
      <c r="W49" s="205">
        <v>12</v>
      </c>
      <c r="X49" s="297">
        <v>242265</v>
      </c>
      <c r="Y49" s="207">
        <v>243042</v>
      </c>
      <c r="Z49" s="208">
        <f t="shared" ref="Z49" si="80">+Y49-X49</f>
        <v>777</v>
      </c>
      <c r="AA49" s="209">
        <f>+Z49/(W49+69+86-AB49)</f>
        <v>5.4919423240033929</v>
      </c>
      <c r="AB49" s="210">
        <v>25.52</v>
      </c>
      <c r="AC49" s="295">
        <f>+Y49</f>
        <v>243042</v>
      </c>
      <c r="AD49" s="197">
        <v>244038</v>
      </c>
      <c r="AE49" s="198">
        <f t="shared" ref="AE49:AE51" si="81">+AD49-AC49</f>
        <v>996</v>
      </c>
      <c r="AF49" s="212">
        <f>+AE49/(AB49+30+30+85+30-AG49)</f>
        <v>6.0010845333494016</v>
      </c>
      <c r="AG49" s="200">
        <v>34.549999999999997</v>
      </c>
      <c r="AH49" s="322">
        <f>+AD49</f>
        <v>244038</v>
      </c>
      <c r="AI49" s="286">
        <v>244592</v>
      </c>
      <c r="AJ49" s="287">
        <f t="shared" ref="AJ49:AJ51" si="82">+AI49-AH49</f>
        <v>554</v>
      </c>
      <c r="AK49" s="288">
        <f>+AJ49/(AG49+36+30-AL49)</f>
        <v>6.0034677069787605</v>
      </c>
      <c r="AL49" s="289">
        <v>8.27</v>
      </c>
      <c r="AM49" s="409">
        <f>+AI49</f>
        <v>244592</v>
      </c>
      <c r="AN49" s="397">
        <v>245020</v>
      </c>
      <c r="AO49" s="398">
        <f t="shared" ref="AO49:AO51" si="83">+AN49-AM49</f>
        <v>428</v>
      </c>
      <c r="AP49" s="399">
        <f>+AO49/(AL49+30+30+40-AQ49)</f>
        <v>6.0028050490883595</v>
      </c>
      <c r="AQ49" s="400">
        <v>36.97</v>
      </c>
    </row>
    <row r="50" spans="1:43" s="186" customFormat="1" ht="18" customHeight="1" x14ac:dyDescent="0.25">
      <c r="A50" s="63">
        <f>+A48+1</f>
        <v>37</v>
      </c>
      <c r="B50" s="69" t="s">
        <v>9</v>
      </c>
      <c r="C50" s="69" t="s">
        <v>108</v>
      </c>
      <c r="D50" s="188">
        <v>3540</v>
      </c>
      <c r="E50" s="257">
        <v>3652</v>
      </c>
      <c r="F50" s="187">
        <v>112</v>
      </c>
      <c r="G50" s="189">
        <v>0.13751442673673353</v>
      </c>
      <c r="H50" s="190">
        <v>579.21</v>
      </c>
      <c r="I50" s="215" t="s">
        <v>7</v>
      </c>
      <c r="J50" s="258"/>
      <c r="K50" s="193" t="e">
        <f t="shared" si="69"/>
        <v>#VALUE!</v>
      </c>
      <c r="L50" s="194" t="e">
        <f>+K50/(393.67+1000-579.21)</f>
        <v>#VALUE!</v>
      </c>
      <c r="M50" s="195">
        <v>579.21</v>
      </c>
      <c r="N50" s="217">
        <v>3652</v>
      </c>
      <c r="O50" s="197">
        <v>3663</v>
      </c>
      <c r="P50" s="198">
        <f t="shared" si="70"/>
        <v>11</v>
      </c>
      <c r="Q50" s="199">
        <f>+P50/(579.21+864.85-1438.27)</f>
        <v>1.8998272884283367</v>
      </c>
      <c r="R50" s="200">
        <v>1438.27</v>
      </c>
      <c r="S50" s="218">
        <v>3652</v>
      </c>
      <c r="T50" s="202" t="s">
        <v>7</v>
      </c>
      <c r="U50" s="203" t="e">
        <f t="shared" si="71"/>
        <v>#VALUE!</v>
      </c>
      <c r="V50" s="298" t="e">
        <f>+U50/(579.21+864.85-1438.27)</f>
        <v>#VALUE!</v>
      </c>
      <c r="W50" s="205">
        <v>1438.27</v>
      </c>
      <c r="X50" s="219">
        <f>+O50</f>
        <v>3663</v>
      </c>
      <c r="Y50" s="207">
        <v>3943</v>
      </c>
      <c r="Z50" s="208">
        <f t="shared" ref="Z50" si="84">+Y50-X50</f>
        <v>280</v>
      </c>
      <c r="AA50" s="209">
        <f>+Z50/(W50-AB50)</f>
        <v>0.3578411951895919</v>
      </c>
      <c r="AB50" s="210">
        <v>655.8</v>
      </c>
      <c r="AC50" s="217">
        <f>+Y50</f>
        <v>3943</v>
      </c>
      <c r="AD50" s="197">
        <v>4250</v>
      </c>
      <c r="AE50" s="198">
        <f t="shared" si="81"/>
        <v>307</v>
      </c>
      <c r="AF50" s="212">
        <f>+AE50/(AB50-AG50)</f>
        <v>0.81803405366516568</v>
      </c>
      <c r="AG50" s="200">
        <v>280.51</v>
      </c>
      <c r="AH50" s="285">
        <f>+AD50</f>
        <v>4250</v>
      </c>
      <c r="AI50" s="286">
        <v>4250</v>
      </c>
      <c r="AJ50" s="287">
        <f t="shared" si="82"/>
        <v>0</v>
      </c>
      <c r="AK50" s="288" t="e">
        <f>+AJ50/(AG50-AL50)</f>
        <v>#DIV/0!</v>
      </c>
      <c r="AL50" s="289">
        <v>280.51</v>
      </c>
      <c r="AM50" s="396">
        <f>+AI50</f>
        <v>4250</v>
      </c>
      <c r="AN50" s="397">
        <v>4740</v>
      </c>
      <c r="AO50" s="398">
        <f t="shared" si="83"/>
        <v>490</v>
      </c>
      <c r="AP50" s="399">
        <f>+AO50/(AL50+891-AQ50)</f>
        <v>0.45897339827650807</v>
      </c>
      <c r="AQ50" s="400">
        <v>103.91</v>
      </c>
    </row>
    <row r="51" spans="1:43" s="186" customFormat="1" ht="18" customHeight="1" x14ac:dyDescent="0.25">
      <c r="A51" s="63">
        <f t="shared" si="78"/>
        <v>38</v>
      </c>
      <c r="B51" s="69" t="s">
        <v>9</v>
      </c>
      <c r="C51" s="69" t="s">
        <v>190</v>
      </c>
      <c r="D51" s="188"/>
      <c r="E51" s="257"/>
      <c r="F51" s="187">
        <v>130</v>
      </c>
      <c r="G51" s="189">
        <v>2.5</v>
      </c>
      <c r="H51" s="190">
        <v>361.9</v>
      </c>
      <c r="I51" s="222"/>
      <c r="J51" s="223"/>
      <c r="K51" s="224"/>
      <c r="L51" s="225"/>
      <c r="M51" s="226"/>
      <c r="N51" s="222"/>
      <c r="O51" s="223"/>
      <c r="P51" s="224"/>
      <c r="Q51" s="225"/>
      <c r="R51" s="226"/>
      <c r="S51" s="218" t="s">
        <v>7</v>
      </c>
      <c r="T51" s="202">
        <v>40604</v>
      </c>
      <c r="U51" s="202"/>
      <c r="V51" s="298"/>
      <c r="W51" s="205">
        <v>362</v>
      </c>
      <c r="X51" s="219">
        <f>+T51</f>
        <v>40604</v>
      </c>
      <c r="Y51" s="207">
        <v>40901</v>
      </c>
      <c r="Z51" s="208">
        <f t="shared" ref="Z51" si="85">+Y51-X51</f>
        <v>297</v>
      </c>
      <c r="AA51" s="209">
        <f>+Z51/(W51+270-AB51)</f>
        <v>2.2000000000000002</v>
      </c>
      <c r="AB51" s="210">
        <v>497</v>
      </c>
      <c r="AC51" s="217">
        <f>+Y51</f>
        <v>40901</v>
      </c>
      <c r="AD51" s="197">
        <v>41196</v>
      </c>
      <c r="AE51" s="198">
        <f t="shared" si="81"/>
        <v>295</v>
      </c>
      <c r="AF51" s="212">
        <f>+AE51/(AB51-AG51)</f>
        <v>2.5</v>
      </c>
      <c r="AG51" s="200">
        <v>379</v>
      </c>
      <c r="AH51" s="285">
        <f>+AD51</f>
        <v>41196</v>
      </c>
      <c r="AI51" s="286">
        <v>41196</v>
      </c>
      <c r="AJ51" s="287">
        <f t="shared" si="82"/>
        <v>0</v>
      </c>
      <c r="AK51" s="288" t="e">
        <f>+AJ51/(AG51-AL51)</f>
        <v>#DIV/0!</v>
      </c>
      <c r="AL51" s="289">
        <v>379</v>
      </c>
      <c r="AM51" s="396">
        <f>+AI51</f>
        <v>41196</v>
      </c>
      <c r="AN51" s="397">
        <v>41720</v>
      </c>
      <c r="AO51" s="398">
        <f t="shared" si="83"/>
        <v>524</v>
      </c>
      <c r="AP51" s="399">
        <f>+AO51/(AL51+352-AQ51)</f>
        <v>2.62</v>
      </c>
      <c r="AQ51" s="400">
        <v>531</v>
      </c>
    </row>
    <row r="52" spans="1:43" s="186" customFormat="1" ht="18" customHeight="1" x14ac:dyDescent="0.25">
      <c r="A52" s="63">
        <f>+A50+1</f>
        <v>38</v>
      </c>
      <c r="B52" s="90" t="s">
        <v>52</v>
      </c>
      <c r="C52" s="91" t="s">
        <v>53</v>
      </c>
      <c r="D52" s="241">
        <v>446271</v>
      </c>
      <c r="E52" s="241">
        <v>446499</v>
      </c>
      <c r="F52" s="242">
        <v>228</v>
      </c>
      <c r="G52" s="242">
        <v>5.7</v>
      </c>
      <c r="H52" s="299">
        <v>61</v>
      </c>
      <c r="I52" s="300">
        <v>446499</v>
      </c>
      <c r="J52" s="241">
        <v>447999</v>
      </c>
      <c r="K52" s="245">
        <f t="shared" si="69"/>
        <v>1500</v>
      </c>
      <c r="L52" s="242">
        <f>+K52/(96+80+90-16)</f>
        <v>6</v>
      </c>
      <c r="M52" s="301">
        <v>16</v>
      </c>
      <c r="N52" s="300">
        <f>+J52</f>
        <v>447999</v>
      </c>
      <c r="O52" s="241">
        <v>448125</v>
      </c>
      <c r="P52" s="245">
        <f t="shared" si="70"/>
        <v>126</v>
      </c>
      <c r="Q52" s="242">
        <f>+P52/(16+28-24)</f>
        <v>6.3</v>
      </c>
      <c r="R52" s="247">
        <v>24</v>
      </c>
      <c r="S52" s="222"/>
      <c r="T52" s="223"/>
      <c r="U52" s="224" t="s">
        <v>212</v>
      </c>
      <c r="V52" s="225"/>
      <c r="W52" s="226"/>
      <c r="X52" s="222"/>
      <c r="Y52" s="223"/>
      <c r="Z52" s="224"/>
      <c r="AA52" s="225"/>
      <c r="AB52" s="226"/>
      <c r="AC52" s="222"/>
      <c r="AD52" s="223"/>
      <c r="AE52" s="224"/>
      <c r="AF52" s="225"/>
      <c r="AG52" s="226"/>
      <c r="AH52" s="222"/>
      <c r="AI52" s="223"/>
      <c r="AJ52" s="224"/>
      <c r="AK52" s="225"/>
      <c r="AL52" s="226"/>
      <c r="AM52" s="222"/>
      <c r="AN52" s="223"/>
      <c r="AO52" s="224"/>
      <c r="AP52" s="225"/>
      <c r="AQ52" s="226"/>
    </row>
    <row r="53" spans="1:43" s="186" customFormat="1" ht="18" customHeight="1" x14ac:dyDescent="0.25">
      <c r="A53" s="63">
        <f t="shared" si="78"/>
        <v>39</v>
      </c>
      <c r="B53" s="64" t="s">
        <v>52</v>
      </c>
      <c r="C53" s="65" t="s">
        <v>32</v>
      </c>
      <c r="D53" s="188"/>
      <c r="E53" s="188"/>
      <c r="F53" s="187"/>
      <c r="G53" s="187"/>
      <c r="H53" s="190"/>
      <c r="I53" s="215" t="s">
        <v>167</v>
      </c>
      <c r="J53" s="192"/>
      <c r="K53" s="193"/>
      <c r="L53" s="216"/>
      <c r="M53" s="195"/>
      <c r="N53" s="217">
        <v>464283</v>
      </c>
      <c r="O53" s="197">
        <v>464369</v>
      </c>
      <c r="P53" s="198">
        <f>+O53-N53</f>
        <v>86</v>
      </c>
      <c r="Q53" s="212">
        <f>+P53/(20+30-36)</f>
        <v>6.1428571428571432</v>
      </c>
      <c r="R53" s="200">
        <v>36</v>
      </c>
      <c r="S53" s="218">
        <f>+O53</f>
        <v>464369</v>
      </c>
      <c r="T53" s="202">
        <v>465490</v>
      </c>
      <c r="U53" s="203">
        <f>+T53-S53</f>
        <v>1121</v>
      </c>
      <c r="V53" s="204">
        <f>+U53/(R53+35+30+30+53+43-W53)</f>
        <v>6.9197530864197532</v>
      </c>
      <c r="W53" s="205">
        <v>65</v>
      </c>
      <c r="X53" s="219">
        <f>+T53</f>
        <v>465490</v>
      </c>
      <c r="Y53" s="207">
        <v>465849</v>
      </c>
      <c r="Z53" s="208">
        <f>+Y53-X53</f>
        <v>359</v>
      </c>
      <c r="AA53" s="209">
        <f>+Z53/(W53+48+21-AB53)</f>
        <v>5.9833333333333334</v>
      </c>
      <c r="AB53" s="210">
        <v>74</v>
      </c>
      <c r="AC53" s="217">
        <f>+Y53</f>
        <v>465849</v>
      </c>
      <c r="AD53" s="197">
        <v>467571</v>
      </c>
      <c r="AE53" s="198">
        <f>+AD53-AC53</f>
        <v>1722</v>
      </c>
      <c r="AF53" s="212">
        <f>+AE53/(AB53+59+47+204-AG53)</f>
        <v>5.9379310344827587</v>
      </c>
      <c r="AG53" s="200">
        <v>94</v>
      </c>
      <c r="AH53" s="285">
        <f>+AD53</f>
        <v>467571</v>
      </c>
      <c r="AI53" s="286">
        <v>467855</v>
      </c>
      <c r="AJ53" s="287">
        <f>+AI53-AH53</f>
        <v>284</v>
      </c>
      <c r="AK53" s="288">
        <f>+AJ53/(AG53-AL53)</f>
        <v>6.042553191489362</v>
      </c>
      <c r="AL53" s="289">
        <v>47</v>
      </c>
      <c r="AM53" s="220">
        <f>+AI53</f>
        <v>467855</v>
      </c>
      <c r="AN53" s="188">
        <v>467855</v>
      </c>
      <c r="AO53" s="213">
        <f>+AN53-AM53</f>
        <v>0</v>
      </c>
      <c r="AP53" s="187" t="e">
        <f>+AO53/(AL53-AQ53)</f>
        <v>#DIV/0!</v>
      </c>
      <c r="AQ53" s="214">
        <v>47</v>
      </c>
    </row>
    <row r="54" spans="1:43" s="186" customFormat="1" ht="18" customHeight="1" x14ac:dyDescent="0.25">
      <c r="A54" s="63">
        <f t="shared" si="78"/>
        <v>40</v>
      </c>
      <c r="B54" s="64" t="s">
        <v>15</v>
      </c>
      <c r="C54" s="64" t="s">
        <v>16</v>
      </c>
      <c r="D54" s="188">
        <v>376615</v>
      </c>
      <c r="E54" s="188">
        <v>377955</v>
      </c>
      <c r="F54" s="187">
        <v>1340</v>
      </c>
      <c r="G54" s="187">
        <v>6.0401171963038083</v>
      </c>
      <c r="H54" s="190">
        <v>54.7</v>
      </c>
      <c r="I54" s="215">
        <f t="shared" ref="I54:I61" si="86">+E54</f>
        <v>377955</v>
      </c>
      <c r="J54" s="192">
        <v>378107</v>
      </c>
      <c r="K54" s="193">
        <f t="shared" si="69"/>
        <v>152</v>
      </c>
      <c r="L54" s="216">
        <f>+K54/(55-30)</f>
        <v>6.08</v>
      </c>
      <c r="M54" s="195">
        <v>30</v>
      </c>
      <c r="N54" s="217">
        <v>378793</v>
      </c>
      <c r="O54" s="197">
        <v>380348</v>
      </c>
      <c r="P54" s="198">
        <f t="shared" si="70"/>
        <v>1555</v>
      </c>
      <c r="Q54" s="212">
        <f>+P54/(M54+60+150+60-R54)</f>
        <v>6.4848409024563161</v>
      </c>
      <c r="R54" s="200">
        <v>60.21</v>
      </c>
      <c r="S54" s="218">
        <f>+O54</f>
        <v>380348</v>
      </c>
      <c r="T54" s="202">
        <v>380934</v>
      </c>
      <c r="U54" s="203">
        <f t="shared" ref="U54:U62" si="87">+T54-S54</f>
        <v>586</v>
      </c>
      <c r="V54" s="204">
        <f>+U54/(R54+59-W54)</f>
        <v>5.7899417053650817</v>
      </c>
      <c r="W54" s="205">
        <v>18</v>
      </c>
      <c r="X54" s="219">
        <f>+T54</f>
        <v>380934</v>
      </c>
      <c r="Y54" s="207">
        <v>382754</v>
      </c>
      <c r="Z54" s="208">
        <f t="shared" ref="Z54:Z62" si="88">+Y54-X54</f>
        <v>1820</v>
      </c>
      <c r="AA54" s="209">
        <f>+Z54/(W54+60+64+42+65+60-AB54)</f>
        <v>6.5</v>
      </c>
      <c r="AB54" s="210">
        <v>29</v>
      </c>
      <c r="AC54" s="217">
        <f>+Y54</f>
        <v>382754</v>
      </c>
      <c r="AD54" s="197">
        <v>383505</v>
      </c>
      <c r="AE54" s="198">
        <f t="shared" ref="AE54:AE62" si="89">+AD54-AC54</f>
        <v>751</v>
      </c>
      <c r="AF54" s="212">
        <f>+AE54/(AB54+50+60+40-AG54)</f>
        <v>6.008</v>
      </c>
      <c r="AG54" s="200">
        <v>54</v>
      </c>
      <c r="AH54" s="285">
        <f>+AD54</f>
        <v>383505</v>
      </c>
      <c r="AI54" s="286">
        <v>384400</v>
      </c>
      <c r="AJ54" s="287">
        <f t="shared" ref="AJ54:AJ62" si="90">+AI54-AH54</f>
        <v>895</v>
      </c>
      <c r="AK54" s="288">
        <f>+AJ54/(AG54+80+48-AL54)</f>
        <v>6.0067114093959733</v>
      </c>
      <c r="AL54" s="289">
        <v>33</v>
      </c>
      <c r="AM54" s="396">
        <f>+AI54</f>
        <v>384400</v>
      </c>
      <c r="AN54" s="397">
        <v>384551</v>
      </c>
      <c r="AO54" s="398">
        <f t="shared" ref="AO54:AO62" si="91">+AN54-AM54</f>
        <v>151</v>
      </c>
      <c r="AP54" s="399">
        <f>+AO54/(AL54+48-AQ54)</f>
        <v>6.04</v>
      </c>
      <c r="AQ54" s="400">
        <v>56</v>
      </c>
    </row>
    <row r="55" spans="1:43" s="186" customFormat="1" ht="18" customHeight="1" x14ac:dyDescent="0.25">
      <c r="A55" s="63">
        <f t="shared" si="78"/>
        <v>41</v>
      </c>
      <c r="B55" s="64" t="s">
        <v>83</v>
      </c>
      <c r="C55" s="65" t="s">
        <v>84</v>
      </c>
      <c r="D55" s="188">
        <v>216405</v>
      </c>
      <c r="E55" s="188">
        <v>216717</v>
      </c>
      <c r="F55" s="187">
        <v>312</v>
      </c>
      <c r="G55" s="187">
        <v>7.1005917159763339</v>
      </c>
      <c r="H55" s="190">
        <v>107.27</v>
      </c>
      <c r="I55" s="215">
        <f t="shared" si="86"/>
        <v>216717</v>
      </c>
      <c r="J55" s="192">
        <v>217041</v>
      </c>
      <c r="K55" s="193">
        <f t="shared" si="69"/>
        <v>324</v>
      </c>
      <c r="L55" s="216">
        <f>+K55/(107.27-61.64)</f>
        <v>7.1005917159763321</v>
      </c>
      <c r="M55" s="195">
        <v>61.64</v>
      </c>
      <c r="N55" s="217">
        <f t="shared" ref="N55:N61" si="92">+J55</f>
        <v>217041</v>
      </c>
      <c r="O55" s="197">
        <v>218100</v>
      </c>
      <c r="P55" s="198">
        <f t="shared" si="70"/>
        <v>1059</v>
      </c>
      <c r="Q55" s="212">
        <f>+P55/(61.64+28.74+50.29+30-21.52)</f>
        <v>7.1002346630908493</v>
      </c>
      <c r="R55" s="200">
        <v>21.52</v>
      </c>
      <c r="S55" s="218">
        <f t="shared" ref="S55:S61" si="93">+O55</f>
        <v>218100</v>
      </c>
      <c r="T55" s="202">
        <v>218869</v>
      </c>
      <c r="U55" s="203">
        <f t="shared" si="87"/>
        <v>769</v>
      </c>
      <c r="V55" s="204">
        <f>+U55/(R55+45+30+30-W55)</f>
        <v>7.0999907672421747</v>
      </c>
      <c r="W55" s="205">
        <v>18.21</v>
      </c>
      <c r="X55" s="219">
        <f t="shared" ref="X55:X66" si="94">+T55</f>
        <v>218869</v>
      </c>
      <c r="Y55" s="207">
        <v>219562</v>
      </c>
      <c r="Z55" s="208">
        <f t="shared" si="88"/>
        <v>693</v>
      </c>
      <c r="AA55" s="209">
        <f>+Z55/(W55+49+54+51-AB55)</f>
        <v>7.0996824095891808</v>
      </c>
      <c r="AB55" s="210">
        <v>74.599999999999994</v>
      </c>
      <c r="AC55" s="217">
        <f t="shared" ref="AC55:AC57" si="95">+Y55</f>
        <v>219562</v>
      </c>
      <c r="AD55" s="197">
        <v>219939</v>
      </c>
      <c r="AE55" s="198">
        <f t="shared" si="89"/>
        <v>377</v>
      </c>
      <c r="AF55" s="212">
        <f>+AE55/(AB55+30-AG55)</f>
        <v>7.0283370618941099</v>
      </c>
      <c r="AG55" s="200">
        <v>50.96</v>
      </c>
      <c r="AH55" s="285">
        <f t="shared" ref="AH55:AH57" si="96">+AD55</f>
        <v>219939</v>
      </c>
      <c r="AI55" s="286">
        <v>220946</v>
      </c>
      <c r="AJ55" s="287">
        <f t="shared" si="90"/>
        <v>1007</v>
      </c>
      <c r="AK55" s="288">
        <f>+AJ55/(AG55+59+30+59+42-AL55)</f>
        <v>7.1000493548614534</v>
      </c>
      <c r="AL55" s="289">
        <v>99.13</v>
      </c>
      <c r="AM55" s="396">
        <f t="shared" ref="AM55:AM57" si="97">+AI55</f>
        <v>220946</v>
      </c>
      <c r="AN55" s="397">
        <v>221684</v>
      </c>
      <c r="AO55" s="398">
        <f t="shared" si="91"/>
        <v>738</v>
      </c>
      <c r="AP55" s="399">
        <f>+AO55/(AL55+50+30-AQ55)</f>
        <v>7.1002501443140273</v>
      </c>
      <c r="AQ55" s="400">
        <v>75.19</v>
      </c>
    </row>
    <row r="56" spans="1:43" s="186" customFormat="1" ht="18" customHeight="1" x14ac:dyDescent="0.25">
      <c r="A56" s="63">
        <f t="shared" si="78"/>
        <v>42</v>
      </c>
      <c r="B56" s="68" t="s">
        <v>49</v>
      </c>
      <c r="C56" s="65" t="s">
        <v>51</v>
      </c>
      <c r="D56" s="257">
        <v>99065</v>
      </c>
      <c r="E56" s="188">
        <v>99685</v>
      </c>
      <c r="F56" s="187">
        <v>620</v>
      </c>
      <c r="G56" s="187">
        <v>6.9977426636568856</v>
      </c>
      <c r="H56" s="190">
        <v>164.3</v>
      </c>
      <c r="I56" s="233">
        <f t="shared" si="86"/>
        <v>99685</v>
      </c>
      <c r="J56" s="192">
        <v>99795</v>
      </c>
      <c r="K56" s="193">
        <f t="shared" si="69"/>
        <v>110</v>
      </c>
      <c r="L56" s="216">
        <f>+K56/(164.3+40+80-262.3)</f>
        <v>5</v>
      </c>
      <c r="M56" s="195">
        <v>262.3</v>
      </c>
      <c r="N56" s="235">
        <f t="shared" si="92"/>
        <v>99795</v>
      </c>
      <c r="O56" s="197">
        <v>102100</v>
      </c>
      <c r="P56" s="198">
        <f t="shared" si="70"/>
        <v>2305</v>
      </c>
      <c r="Q56" s="212">
        <f>+P56/(M56+100.72+71.84+160-R56)</f>
        <v>5.0004338771259977</v>
      </c>
      <c r="R56" s="200">
        <v>133.9</v>
      </c>
      <c r="S56" s="236">
        <f t="shared" si="93"/>
        <v>102100</v>
      </c>
      <c r="T56" s="202">
        <v>102190</v>
      </c>
      <c r="U56" s="203">
        <f t="shared" si="87"/>
        <v>90</v>
      </c>
      <c r="V56" s="204">
        <f>+U56/(R56+90-W56)</f>
        <v>4</v>
      </c>
      <c r="W56" s="205">
        <v>201.4</v>
      </c>
      <c r="X56" s="237">
        <f t="shared" si="94"/>
        <v>102190</v>
      </c>
      <c r="Y56" s="207">
        <v>104895</v>
      </c>
      <c r="Z56" s="208">
        <f t="shared" si="88"/>
        <v>2705</v>
      </c>
      <c r="AA56" s="209">
        <f>+Z56/(W56+185+182-AB56)</f>
        <v>5.1999231064975016</v>
      </c>
      <c r="AB56" s="210">
        <v>48.2</v>
      </c>
      <c r="AC56" s="235">
        <f t="shared" si="95"/>
        <v>104895</v>
      </c>
      <c r="AD56" s="197">
        <v>107040</v>
      </c>
      <c r="AE56" s="198">
        <f t="shared" si="89"/>
        <v>2145</v>
      </c>
      <c r="AF56" s="212">
        <f>+AE56/(AB56+175+39+182+120-AG56)</f>
        <v>5.1999999999999993</v>
      </c>
      <c r="AG56" s="200">
        <v>151.69999999999999</v>
      </c>
      <c r="AH56" s="355">
        <f t="shared" si="96"/>
        <v>107040</v>
      </c>
      <c r="AI56" s="286">
        <v>107250</v>
      </c>
      <c r="AJ56" s="287">
        <f t="shared" si="90"/>
        <v>210</v>
      </c>
      <c r="AK56" s="288">
        <f>+AJ56/(AG56+101+102-AL56)</f>
        <v>3</v>
      </c>
      <c r="AL56" s="289">
        <v>284.7</v>
      </c>
      <c r="AM56" s="238">
        <f t="shared" si="97"/>
        <v>107250</v>
      </c>
      <c r="AN56" s="188">
        <v>107250</v>
      </c>
      <c r="AO56" s="213">
        <f t="shared" si="91"/>
        <v>0</v>
      </c>
      <c r="AP56" s="187">
        <f>+AO56/(AL56+101+102-AQ56)</f>
        <v>0</v>
      </c>
      <c r="AQ56" s="214">
        <v>284.7</v>
      </c>
    </row>
    <row r="57" spans="1:43" s="186" customFormat="1" ht="18" customHeight="1" x14ac:dyDescent="0.25">
      <c r="A57" s="63">
        <f t="shared" si="78"/>
        <v>43</v>
      </c>
      <c r="B57" s="64" t="s">
        <v>31</v>
      </c>
      <c r="C57" s="65" t="s">
        <v>28</v>
      </c>
      <c r="D57" s="257">
        <v>477895</v>
      </c>
      <c r="E57" s="257">
        <v>478860</v>
      </c>
      <c r="F57" s="187">
        <v>965</v>
      </c>
      <c r="G57" s="187">
        <v>6.0001243549089107</v>
      </c>
      <c r="H57" s="190">
        <v>37.770000000000003</v>
      </c>
      <c r="I57" s="233">
        <f t="shared" si="86"/>
        <v>478860</v>
      </c>
      <c r="J57" s="258">
        <v>479080</v>
      </c>
      <c r="K57" s="193">
        <f t="shared" si="69"/>
        <v>220</v>
      </c>
      <c r="L57" s="216">
        <f>+K57/(67.77+20-36.67)</f>
        <v>4.3052837573385521</v>
      </c>
      <c r="M57" s="195">
        <v>51.1</v>
      </c>
      <c r="N57" s="235">
        <f t="shared" si="92"/>
        <v>479080</v>
      </c>
      <c r="O57" s="197">
        <v>480185</v>
      </c>
      <c r="P57" s="198">
        <f t="shared" si="70"/>
        <v>1105</v>
      </c>
      <c r="Q57" s="212">
        <f>+P57/(36.67+20+21+121.45+72-87.05)</f>
        <v>6.0031509751724892</v>
      </c>
      <c r="R57" s="200">
        <v>87.05</v>
      </c>
      <c r="S57" s="236">
        <f t="shared" si="93"/>
        <v>480185</v>
      </c>
      <c r="T57" s="202">
        <v>480430</v>
      </c>
      <c r="U57" s="203">
        <f t="shared" si="87"/>
        <v>245</v>
      </c>
      <c r="V57" s="204">
        <f>+U57/(R57+50-W57)</f>
        <v>6.0004898359049701</v>
      </c>
      <c r="W57" s="205">
        <v>96.22</v>
      </c>
      <c r="X57" s="237">
        <f t="shared" si="94"/>
        <v>480430</v>
      </c>
      <c r="Y57" s="207">
        <v>480580</v>
      </c>
      <c r="Z57" s="208">
        <f t="shared" si="88"/>
        <v>150</v>
      </c>
      <c r="AA57" s="209">
        <f>+Z57/(W57+63-AB57)</f>
        <v>5.5005500550054984</v>
      </c>
      <c r="AB57" s="210">
        <v>131.94999999999999</v>
      </c>
      <c r="AC57" s="235">
        <f t="shared" si="95"/>
        <v>480580</v>
      </c>
      <c r="AD57" s="197">
        <v>481310</v>
      </c>
      <c r="AE57" s="198">
        <f t="shared" si="89"/>
        <v>730</v>
      </c>
      <c r="AF57" s="212">
        <f>+AE57/(AB57+61+44+59-AG57)</f>
        <v>5.4998869886235218</v>
      </c>
      <c r="AG57" s="200">
        <v>163.22</v>
      </c>
      <c r="AH57" s="355">
        <f t="shared" si="96"/>
        <v>481310</v>
      </c>
      <c r="AI57" s="286">
        <v>483002</v>
      </c>
      <c r="AJ57" s="287">
        <f t="shared" si="90"/>
        <v>1692</v>
      </c>
      <c r="AK57" s="288">
        <f>+AJ57/(AG57+71.4+68.89+54+104-AL57)</f>
        <v>5.4999349889481213</v>
      </c>
      <c r="AL57" s="289">
        <v>153.87</v>
      </c>
      <c r="AM57" s="406">
        <f t="shared" si="97"/>
        <v>483002</v>
      </c>
      <c r="AN57" s="397">
        <v>484590</v>
      </c>
      <c r="AO57" s="398">
        <f t="shared" si="91"/>
        <v>1588</v>
      </c>
      <c r="AP57" s="399">
        <f>+AO57/(AL57+66+40+38+61.8-AQ57)</f>
        <v>5.499948048349669</v>
      </c>
      <c r="AQ57" s="400">
        <v>70.94</v>
      </c>
    </row>
    <row r="58" spans="1:43" s="186" customFormat="1" ht="18" customHeight="1" x14ac:dyDescent="0.25">
      <c r="A58" s="63">
        <f t="shared" si="78"/>
        <v>44</v>
      </c>
      <c r="B58" s="64" t="s">
        <v>221</v>
      </c>
      <c r="C58" s="65" t="s">
        <v>220</v>
      </c>
      <c r="D58" s="257">
        <v>477895</v>
      </c>
      <c r="E58" s="257">
        <v>478860</v>
      </c>
      <c r="F58" s="187">
        <v>965</v>
      </c>
      <c r="G58" s="187">
        <v>6.0001243549089107</v>
      </c>
      <c r="H58" s="190">
        <v>37.770000000000003</v>
      </c>
      <c r="I58" s="233">
        <f t="shared" ref="I58" si="98">+E58</f>
        <v>478860</v>
      </c>
      <c r="J58" s="258">
        <v>479080</v>
      </c>
      <c r="K58" s="193">
        <f t="shared" ref="K58" si="99">+J58-I58</f>
        <v>220</v>
      </c>
      <c r="L58" s="216">
        <f>+K58/(67.77+20-36.67)</f>
        <v>4.3052837573385521</v>
      </c>
      <c r="M58" s="195">
        <v>51.1</v>
      </c>
      <c r="N58" s="235">
        <f t="shared" ref="N58" si="100">+J58</f>
        <v>479080</v>
      </c>
      <c r="O58" s="197">
        <v>480185</v>
      </c>
      <c r="P58" s="198">
        <f t="shared" ref="P58" si="101">+O58-N58</f>
        <v>1105</v>
      </c>
      <c r="Q58" s="212">
        <f>+P58/(36.67+20+21+121.45+72-87.05)</f>
        <v>6.0031509751724892</v>
      </c>
      <c r="R58" s="200">
        <v>87.05</v>
      </c>
      <c r="S58" s="236">
        <f t="shared" ref="S58" si="102">+O58</f>
        <v>480185</v>
      </c>
      <c r="T58" s="202">
        <v>480430</v>
      </c>
      <c r="U58" s="203">
        <f t="shared" ref="U58" si="103">+T58-S58</f>
        <v>245</v>
      </c>
      <c r="V58" s="204">
        <f>+U58/(R58+50-W58)</f>
        <v>6.0004898359049701</v>
      </c>
      <c r="W58" s="205">
        <v>96.22</v>
      </c>
      <c r="X58" s="222"/>
      <c r="Y58" s="223"/>
      <c r="Z58" s="224"/>
      <c r="AA58" s="225"/>
      <c r="AB58" s="226"/>
      <c r="AC58" s="222"/>
      <c r="AD58" s="223"/>
      <c r="AE58" s="224"/>
      <c r="AF58" s="225"/>
      <c r="AG58" s="226"/>
      <c r="AH58" s="222"/>
      <c r="AI58" s="223"/>
      <c r="AJ58" s="224"/>
      <c r="AK58" s="225"/>
      <c r="AL58" s="226">
        <v>30</v>
      </c>
      <c r="AM58" s="406">
        <v>407822</v>
      </c>
      <c r="AN58" s="397">
        <v>408774</v>
      </c>
      <c r="AO58" s="398">
        <f t="shared" ref="AO58" si="104">+AN58-AM58</f>
        <v>952</v>
      </c>
      <c r="AP58" s="399">
        <f>+AO58/(AL58+47+77-AQ58)</f>
        <v>6.50006827802813</v>
      </c>
      <c r="AQ58" s="400">
        <v>7.54</v>
      </c>
    </row>
    <row r="59" spans="1:43" s="186" customFormat="1" ht="16.5" customHeight="1" x14ac:dyDescent="0.25">
      <c r="A59" s="63">
        <f>+A57+1</f>
        <v>44</v>
      </c>
      <c r="B59" s="64" t="s">
        <v>10</v>
      </c>
      <c r="C59" s="64" t="s">
        <v>8</v>
      </c>
      <c r="D59" s="257">
        <v>26655</v>
      </c>
      <c r="E59" s="257">
        <v>26838</v>
      </c>
      <c r="F59" s="187">
        <v>183</v>
      </c>
      <c r="G59" s="187">
        <v>1.90625</v>
      </c>
      <c r="H59" s="190">
        <v>318</v>
      </c>
      <c r="I59" s="238">
        <f t="shared" si="86"/>
        <v>26838</v>
      </c>
      <c r="J59" s="257"/>
      <c r="K59" s="213">
        <f t="shared" si="69"/>
        <v>-26838</v>
      </c>
      <c r="L59" s="187">
        <f>+K59/(414-318)</f>
        <v>-279.5625</v>
      </c>
      <c r="M59" s="279"/>
      <c r="N59" s="217" t="s">
        <v>7</v>
      </c>
      <c r="O59" s="197"/>
      <c r="P59" s="275">
        <v>0</v>
      </c>
      <c r="Q59" s="212">
        <f>+P59/(1117.77+460-1000-570.63)</f>
        <v>0</v>
      </c>
      <c r="R59" s="200">
        <v>318</v>
      </c>
      <c r="S59" s="218" t="s">
        <v>7</v>
      </c>
      <c r="T59" s="202"/>
      <c r="U59" s="276">
        <v>0</v>
      </c>
      <c r="V59" s="204">
        <f>+U59/(1117.77+460-1000-570.63)</f>
        <v>0</v>
      </c>
      <c r="W59" s="205">
        <v>318</v>
      </c>
      <c r="X59" s="237">
        <v>26838</v>
      </c>
      <c r="Y59" s="207">
        <v>26921</v>
      </c>
      <c r="Z59" s="208">
        <f t="shared" si="88"/>
        <v>83</v>
      </c>
      <c r="AA59" s="209">
        <f>+Z59/(W59+318-AB59)</f>
        <v>0.22991689750692521</v>
      </c>
      <c r="AB59" s="210">
        <v>275</v>
      </c>
      <c r="AC59" s="235">
        <f>+Y59</f>
        <v>26921</v>
      </c>
      <c r="AD59" s="197">
        <v>26990</v>
      </c>
      <c r="AE59" s="198">
        <f t="shared" si="89"/>
        <v>69</v>
      </c>
      <c r="AF59" s="212">
        <f>+AE59/(AB59-AG59)</f>
        <v>1.9166666666666667</v>
      </c>
      <c r="AG59" s="200">
        <v>239</v>
      </c>
      <c r="AH59" s="355">
        <f>+AD59</f>
        <v>26990</v>
      </c>
      <c r="AI59" s="286">
        <v>27184</v>
      </c>
      <c r="AJ59" s="287">
        <f t="shared" si="90"/>
        <v>194</v>
      </c>
      <c r="AK59" s="288">
        <f>+AJ59/(AG59+120-AL59)</f>
        <v>1.9019607843137254</v>
      </c>
      <c r="AL59" s="289">
        <v>257</v>
      </c>
      <c r="AM59" s="406">
        <f>+AI59</f>
        <v>27184</v>
      </c>
      <c r="AN59" s="397">
        <v>27255</v>
      </c>
      <c r="AO59" s="398">
        <f t="shared" si="91"/>
        <v>71</v>
      </c>
      <c r="AP59" s="399">
        <f>+AO59/(AL59-AQ59)</f>
        <v>1.9189189189189189</v>
      </c>
      <c r="AQ59" s="400">
        <v>220</v>
      </c>
    </row>
    <row r="60" spans="1:43" s="186" customFormat="1" ht="17.25" customHeight="1" x14ac:dyDescent="0.25">
      <c r="A60" s="63">
        <f t="shared" si="78"/>
        <v>45</v>
      </c>
      <c r="B60" s="64" t="s">
        <v>14</v>
      </c>
      <c r="C60" s="64" t="s">
        <v>17</v>
      </c>
      <c r="D60" s="257">
        <v>311171</v>
      </c>
      <c r="E60" s="257">
        <v>312570</v>
      </c>
      <c r="F60" s="189">
        <v>1399</v>
      </c>
      <c r="G60" s="187">
        <v>7.0002501876407308</v>
      </c>
      <c r="H60" s="190">
        <v>58.02</v>
      </c>
      <c r="I60" s="233" t="s">
        <v>7</v>
      </c>
      <c r="J60" s="233">
        <v>312570</v>
      </c>
      <c r="K60" s="250" t="e">
        <f t="shared" si="69"/>
        <v>#VALUE!</v>
      </c>
      <c r="L60" s="216" t="e">
        <f>+K60/(86.7+50+64.72+56.45-58.02)</f>
        <v>#VALUE!</v>
      </c>
      <c r="M60" s="195">
        <v>58.02</v>
      </c>
      <c r="N60" s="235">
        <f t="shared" si="92"/>
        <v>312570</v>
      </c>
      <c r="O60" s="197">
        <v>313387</v>
      </c>
      <c r="P60" s="251">
        <f t="shared" si="70"/>
        <v>817</v>
      </c>
      <c r="Q60" s="212">
        <f>+P60/(M60+67.9+90+60-R60)</f>
        <v>7.0002570473824006</v>
      </c>
      <c r="R60" s="200">
        <v>159.21</v>
      </c>
      <c r="S60" s="236">
        <f t="shared" si="93"/>
        <v>313387</v>
      </c>
      <c r="T60" s="202">
        <v>315238</v>
      </c>
      <c r="U60" s="239">
        <f t="shared" si="87"/>
        <v>1851</v>
      </c>
      <c r="V60" s="204">
        <f>+U60/(R60+60+67.66+51.91-W60)</f>
        <v>7.0002269117313372</v>
      </c>
      <c r="W60" s="205">
        <v>74.36</v>
      </c>
      <c r="X60" s="237">
        <f t="shared" si="94"/>
        <v>315238</v>
      </c>
      <c r="Y60" s="207">
        <v>316943</v>
      </c>
      <c r="Z60" s="254">
        <f t="shared" si="88"/>
        <v>1705</v>
      </c>
      <c r="AA60" s="209">
        <f>+Z60/(W60+70+110+30-AB60)</f>
        <v>7.0000410559592723</v>
      </c>
      <c r="AB60" s="210">
        <v>40.79</v>
      </c>
      <c r="AC60" s="235">
        <f t="shared" ref="AC60:AC61" si="105">+Y60</f>
        <v>316943</v>
      </c>
      <c r="AD60" s="197">
        <v>317593</v>
      </c>
      <c r="AE60" s="251">
        <f t="shared" si="89"/>
        <v>650</v>
      </c>
      <c r="AF60" s="212">
        <f>+AE60/(AB60+63.33+30+30-AG60)</f>
        <v>7.0005385029617653</v>
      </c>
      <c r="AG60" s="200">
        <v>71.27</v>
      </c>
      <c r="AH60" s="355">
        <f t="shared" ref="AH60:AH61" si="106">+AD60</f>
        <v>317593</v>
      </c>
      <c r="AI60" s="286">
        <v>319432</v>
      </c>
      <c r="AJ60" s="357">
        <f t="shared" si="90"/>
        <v>1839</v>
      </c>
      <c r="AK60" s="288">
        <f>+AJ60/(AG60+60+58.51+30+85-AL60)</f>
        <v>7.0001141943587992</v>
      </c>
      <c r="AL60" s="289">
        <v>42.07</v>
      </c>
      <c r="AM60" s="406">
        <f t="shared" ref="AM60:AM61" si="107">+AI60</f>
        <v>319432</v>
      </c>
      <c r="AN60" s="397">
        <v>321580</v>
      </c>
      <c r="AO60" s="407">
        <f t="shared" si="91"/>
        <v>2148</v>
      </c>
      <c r="AP60" s="399">
        <f>+AO60/(AL60+63.44+40+52.68+56.57+62+30-AQ60)</f>
        <v>7.0001629460648518</v>
      </c>
      <c r="AQ60" s="400">
        <v>39.909999999999997</v>
      </c>
    </row>
    <row r="61" spans="1:43" s="186" customFormat="1" ht="17.25" customHeight="1" x14ac:dyDescent="0.25">
      <c r="A61" s="63">
        <f t="shared" si="78"/>
        <v>46</v>
      </c>
      <c r="B61" s="64" t="s">
        <v>40</v>
      </c>
      <c r="C61" s="64" t="s">
        <v>39</v>
      </c>
      <c r="D61" s="188">
        <v>370310</v>
      </c>
      <c r="E61" s="188">
        <v>371112</v>
      </c>
      <c r="F61" s="187">
        <v>802</v>
      </c>
      <c r="G61" s="187">
        <v>6.5002431512400713</v>
      </c>
      <c r="H61" s="190">
        <v>62.65</v>
      </c>
      <c r="I61" s="215">
        <f t="shared" si="86"/>
        <v>371112</v>
      </c>
      <c r="J61" s="192">
        <v>371405</v>
      </c>
      <c r="K61" s="193">
        <f t="shared" si="69"/>
        <v>293</v>
      </c>
      <c r="L61" s="216">
        <f>+K61/(62.65+60-80.79)</f>
        <v>6.9995222169135216</v>
      </c>
      <c r="M61" s="195">
        <v>80.790000000000006</v>
      </c>
      <c r="N61" s="217">
        <f t="shared" si="92"/>
        <v>371405</v>
      </c>
      <c r="O61" s="197">
        <v>372205</v>
      </c>
      <c r="P61" s="198">
        <f t="shared" si="70"/>
        <v>800</v>
      </c>
      <c r="Q61" s="212">
        <f>+P61/(M61+70.19+77-R61)</f>
        <v>6.9997375098433796</v>
      </c>
      <c r="R61" s="200">
        <v>113.69</v>
      </c>
      <c r="S61" s="218">
        <f t="shared" si="93"/>
        <v>372205</v>
      </c>
      <c r="T61" s="202">
        <v>372580</v>
      </c>
      <c r="U61" s="203">
        <f t="shared" si="87"/>
        <v>375</v>
      </c>
      <c r="V61" s="204">
        <f>+U61/(R61+76-W61)</f>
        <v>6.5002600104004165</v>
      </c>
      <c r="W61" s="205">
        <v>132</v>
      </c>
      <c r="X61" s="219">
        <f t="shared" si="94"/>
        <v>372580</v>
      </c>
      <c r="Y61" s="207">
        <v>373470</v>
      </c>
      <c r="Z61" s="208">
        <f t="shared" si="88"/>
        <v>890</v>
      </c>
      <c r="AA61" s="209">
        <f>+Z61/(W61+139-AB61)</f>
        <v>6.5001460706982188</v>
      </c>
      <c r="AB61" s="210">
        <v>134.08000000000001</v>
      </c>
      <c r="AC61" s="217">
        <f t="shared" si="105"/>
        <v>373470</v>
      </c>
      <c r="AD61" s="197">
        <v>373805</v>
      </c>
      <c r="AE61" s="198">
        <f t="shared" si="89"/>
        <v>335</v>
      </c>
      <c r="AF61" s="212">
        <f>+AE61/(AB61+77-AG61)</f>
        <v>6.4998059759410145</v>
      </c>
      <c r="AG61" s="200">
        <v>159.54</v>
      </c>
      <c r="AH61" s="285">
        <f t="shared" si="106"/>
        <v>373805</v>
      </c>
      <c r="AI61" s="286">
        <v>374305</v>
      </c>
      <c r="AJ61" s="287">
        <f t="shared" si="90"/>
        <v>500</v>
      </c>
      <c r="AK61" s="288">
        <f>+AJ61/(AG61+75+59-AL61)</f>
        <v>6.5002600104004191</v>
      </c>
      <c r="AL61" s="289">
        <v>216.62</v>
      </c>
      <c r="AM61" s="396">
        <f t="shared" si="107"/>
        <v>374305</v>
      </c>
      <c r="AN61" s="397">
        <v>375910</v>
      </c>
      <c r="AO61" s="398">
        <f t="shared" si="91"/>
        <v>1605</v>
      </c>
      <c r="AP61" s="399">
        <f>+AO61/(AL61+72+64+74-AQ61)</f>
        <v>5.4999657323007334</v>
      </c>
      <c r="AQ61" s="400">
        <v>134.80000000000001</v>
      </c>
    </row>
    <row r="62" spans="1:43" s="186" customFormat="1" ht="19.5" customHeight="1" x14ac:dyDescent="0.25">
      <c r="A62" s="63">
        <f t="shared" si="78"/>
        <v>47</v>
      </c>
      <c r="B62" s="64" t="s">
        <v>74</v>
      </c>
      <c r="C62" s="65" t="s">
        <v>75</v>
      </c>
      <c r="D62" s="188" t="s">
        <v>7</v>
      </c>
      <c r="E62" s="188"/>
      <c r="F62" s="187"/>
      <c r="G62" s="187"/>
      <c r="H62" s="190">
        <v>84.95</v>
      </c>
      <c r="I62" s="215">
        <v>378107</v>
      </c>
      <c r="J62" s="192">
        <v>378620</v>
      </c>
      <c r="K62" s="193">
        <f t="shared" si="69"/>
        <v>513</v>
      </c>
      <c r="L62" s="216">
        <f>+K62/(30+30+30+5-10)</f>
        <v>6.0352941176470587</v>
      </c>
      <c r="M62" s="195">
        <v>10</v>
      </c>
      <c r="N62" s="217">
        <f>+J62</f>
        <v>378620</v>
      </c>
      <c r="O62" s="197">
        <v>378793</v>
      </c>
      <c r="P62" s="198">
        <f t="shared" si="70"/>
        <v>173</v>
      </c>
      <c r="Q62" s="212">
        <f>+P62/(M62+30+30-R62)</f>
        <v>5.9655172413793105</v>
      </c>
      <c r="R62" s="200">
        <v>41</v>
      </c>
      <c r="S62" s="218">
        <f t="shared" ref="S62:S72" si="108">+O62</f>
        <v>378793</v>
      </c>
      <c r="T62" s="202" t="s">
        <v>180</v>
      </c>
      <c r="U62" s="203" t="e">
        <f t="shared" si="87"/>
        <v>#VALUE!</v>
      </c>
      <c r="V62" s="204" t="e">
        <f>+U62/(R62+30+30-W62)</f>
        <v>#VALUE!</v>
      </c>
      <c r="W62" s="205">
        <v>41</v>
      </c>
      <c r="X62" s="219" t="str">
        <f>+T62</f>
        <v>SIN MOVIMEINTO EN MAESTRANZA</v>
      </c>
      <c r="Y62" s="207" t="s">
        <v>180</v>
      </c>
      <c r="Z62" s="208" t="e">
        <f t="shared" si="88"/>
        <v>#VALUE!</v>
      </c>
      <c r="AA62" s="209" t="e">
        <f>+Z62/(W62+30+30-AB62)</f>
        <v>#VALUE!</v>
      </c>
      <c r="AB62" s="210">
        <v>24.95</v>
      </c>
      <c r="AC62" s="217">
        <v>466710</v>
      </c>
      <c r="AD62" s="197">
        <v>468099</v>
      </c>
      <c r="AE62" s="198">
        <f t="shared" si="89"/>
        <v>1389</v>
      </c>
      <c r="AF62" s="212">
        <f>+AE62/(AB62+30+30+141+30-AG62)</f>
        <v>6.6001425516749821</v>
      </c>
      <c r="AG62" s="200">
        <v>45.5</v>
      </c>
      <c r="AH62" s="285">
        <f>+AD62</f>
        <v>468099</v>
      </c>
      <c r="AI62" s="286">
        <v>470691</v>
      </c>
      <c r="AJ62" s="287">
        <f t="shared" si="90"/>
        <v>2592</v>
      </c>
      <c r="AK62" s="288">
        <f>+AJ62/(AG62+65+93+30+120.55+100-AL62)</f>
        <v>6.6001222244856379</v>
      </c>
      <c r="AL62" s="289">
        <v>61.33</v>
      </c>
      <c r="AM62" s="396">
        <f>+AI62</f>
        <v>470691</v>
      </c>
      <c r="AN62" s="397">
        <v>471584</v>
      </c>
      <c r="AO62" s="398">
        <f t="shared" si="91"/>
        <v>893</v>
      </c>
      <c r="AP62" s="399">
        <f>+AO62/(AL62+72.21+37.39-AQ62)</f>
        <v>6.6001478196600143</v>
      </c>
      <c r="AQ62" s="400">
        <v>35.630000000000003</v>
      </c>
    </row>
    <row r="63" spans="1:43" s="186" customFormat="1" ht="19.5" customHeight="1" x14ac:dyDescent="0.25">
      <c r="A63" s="63">
        <f t="shared" si="78"/>
        <v>48</v>
      </c>
      <c r="B63" s="64" t="s">
        <v>88</v>
      </c>
      <c r="C63" s="64" t="s">
        <v>87</v>
      </c>
      <c r="D63" s="188">
        <v>245240</v>
      </c>
      <c r="E63" s="188">
        <v>247600</v>
      </c>
      <c r="F63" s="187">
        <v>2360</v>
      </c>
      <c r="G63" s="187">
        <v>7.4999205516890708</v>
      </c>
      <c r="H63" s="190">
        <v>40.31</v>
      </c>
      <c r="I63" s="215">
        <v>247600</v>
      </c>
      <c r="J63" s="192">
        <v>247610</v>
      </c>
      <c r="K63" s="193">
        <f>+J63-I63</f>
        <v>10</v>
      </c>
      <c r="L63" s="216">
        <f>+K63/(40.31+41.66-80.64)</f>
        <v>7.5187969924812128</v>
      </c>
      <c r="M63" s="195">
        <v>80.64</v>
      </c>
      <c r="N63" s="217">
        <f>+J63</f>
        <v>247610</v>
      </c>
      <c r="O63" s="197">
        <v>248210</v>
      </c>
      <c r="P63" s="198">
        <f>+O63-N63</f>
        <v>600</v>
      </c>
      <c r="Q63" s="212">
        <f>+P63/(M63+28.73-R63)</f>
        <v>7.5</v>
      </c>
      <c r="R63" s="200">
        <v>29.37</v>
      </c>
      <c r="S63" s="218">
        <f t="shared" si="108"/>
        <v>248210</v>
      </c>
      <c r="T63" s="202">
        <v>248220</v>
      </c>
      <c r="U63" s="203">
        <f>+T63-S63</f>
        <v>10</v>
      </c>
      <c r="V63" s="204">
        <f>+U63/(R63+155-W63)</f>
        <v>7.518796992481132</v>
      </c>
      <c r="W63" s="205">
        <v>183.04</v>
      </c>
      <c r="X63" s="219">
        <f t="shared" si="94"/>
        <v>248220</v>
      </c>
      <c r="Y63" s="207">
        <v>250010</v>
      </c>
      <c r="Z63" s="208">
        <f>+Y63-X63</f>
        <v>1790</v>
      </c>
      <c r="AA63" s="209">
        <f>+Z63/(W63+50+19+50+133-AB63)</f>
        <v>7.4998952528595986</v>
      </c>
      <c r="AB63" s="210">
        <v>196.37</v>
      </c>
      <c r="AC63" s="217">
        <f t="shared" ref="AC63:AC66" si="109">+Y63</f>
        <v>250010</v>
      </c>
      <c r="AD63" s="197">
        <v>251695</v>
      </c>
      <c r="AE63" s="198">
        <f>+AD63-AC63</f>
        <v>1685</v>
      </c>
      <c r="AF63" s="212">
        <f>+AE63/(AB63+42+35-AG63)</f>
        <v>7.5002225585328945</v>
      </c>
      <c r="AG63" s="200">
        <v>48.71</v>
      </c>
      <c r="AH63" s="285">
        <f t="shared" ref="AH63:AH66" si="110">+AD63</f>
        <v>251695</v>
      </c>
      <c r="AI63" s="286">
        <v>254200</v>
      </c>
      <c r="AJ63" s="287">
        <f>+AI63-AH63</f>
        <v>2505</v>
      </c>
      <c r="AK63" s="288" t="s">
        <v>199</v>
      </c>
      <c r="AL63" s="289">
        <v>37.21</v>
      </c>
      <c r="AM63" s="396">
        <f t="shared" ref="AM63:AM66" si="111">+AI63</f>
        <v>254200</v>
      </c>
      <c r="AN63" s="397">
        <v>256040</v>
      </c>
      <c r="AO63" s="398">
        <f>+AN63-AM63</f>
        <v>1840</v>
      </c>
      <c r="AP63" s="399">
        <f>+AO63/(AL63+45+38.5+51+49+62+55.84-AQ63)</f>
        <v>5.7499999999999991</v>
      </c>
      <c r="AQ63" s="400">
        <v>18.55</v>
      </c>
    </row>
    <row r="64" spans="1:43" s="186" customFormat="1" ht="15" customHeight="1" x14ac:dyDescent="0.25">
      <c r="A64" s="63">
        <f t="shared" si="78"/>
        <v>49</v>
      </c>
      <c r="B64" s="64" t="s">
        <v>43</v>
      </c>
      <c r="C64" s="64" t="s">
        <v>54</v>
      </c>
      <c r="D64" s="188"/>
      <c r="E64" s="188"/>
      <c r="F64" s="187">
        <v>0</v>
      </c>
      <c r="G64" s="187">
        <v>0</v>
      </c>
      <c r="H64" s="190">
        <v>67.400000000000006</v>
      </c>
      <c r="I64" s="215">
        <v>390165</v>
      </c>
      <c r="J64" s="192">
        <v>391226</v>
      </c>
      <c r="K64" s="193">
        <f>+J64-I64</f>
        <v>1061</v>
      </c>
      <c r="L64" s="216">
        <f>+K64/(69.4+30+165-52.2)</f>
        <v>5</v>
      </c>
      <c r="M64" s="195">
        <v>52.2</v>
      </c>
      <c r="N64" s="217">
        <f>+J64</f>
        <v>391226</v>
      </c>
      <c r="O64" s="197">
        <v>392819</v>
      </c>
      <c r="P64" s="198">
        <f>+O64-N64</f>
        <v>1593</v>
      </c>
      <c r="Q64" s="212">
        <f>+P64/(M64+100+57+183-R64)</f>
        <v>5.0252365930599368</v>
      </c>
      <c r="R64" s="200">
        <v>75.2</v>
      </c>
      <c r="S64" s="218">
        <f t="shared" si="108"/>
        <v>392819</v>
      </c>
      <c r="T64" s="202">
        <v>394601</v>
      </c>
      <c r="U64" s="203">
        <f>+T64-S64</f>
        <v>1782</v>
      </c>
      <c r="V64" s="204">
        <f>+U64/(R64+118+45+70+120-W64)</f>
        <v>5</v>
      </c>
      <c r="W64" s="205">
        <v>71.8</v>
      </c>
      <c r="X64" s="219">
        <f t="shared" si="94"/>
        <v>394601</v>
      </c>
      <c r="Y64" s="207">
        <v>397350</v>
      </c>
      <c r="Z64" s="208">
        <f>+Y64-X64</f>
        <v>2749</v>
      </c>
      <c r="AA64" s="209">
        <f>+Z64/(W64+130+95+94+99+100-AB64)</f>
        <v>5</v>
      </c>
      <c r="AB64" s="210">
        <v>40</v>
      </c>
      <c r="AC64" s="217">
        <f t="shared" si="109"/>
        <v>397350</v>
      </c>
      <c r="AD64" s="197">
        <v>398422</v>
      </c>
      <c r="AE64" s="198">
        <f>+AD64-AC64</f>
        <v>1072</v>
      </c>
      <c r="AF64" s="212">
        <f>+AE64/(AB64+113+20+110-AG64)</f>
        <v>5.009345794392523</v>
      </c>
      <c r="AG64" s="200">
        <v>69</v>
      </c>
      <c r="AH64" s="285">
        <f t="shared" si="110"/>
        <v>398422</v>
      </c>
      <c r="AI64" s="286">
        <v>400160</v>
      </c>
      <c r="AJ64" s="287">
        <f>+AI64-AH64</f>
        <v>1738</v>
      </c>
      <c r="AK64" s="288">
        <f>+AJ64/(AG64+125+37+21+30+30+30-AL64)</f>
        <v>5.5</v>
      </c>
      <c r="AL64" s="289">
        <v>26</v>
      </c>
      <c r="AM64" s="396">
        <f>+AI64</f>
        <v>400160</v>
      </c>
      <c r="AN64" s="397">
        <v>401529</v>
      </c>
      <c r="AO64" s="398">
        <f>+AN64-AM64</f>
        <v>1369</v>
      </c>
      <c r="AP64" s="399">
        <f>+AO64/(AL64+30+94+79+30-AQ64)</f>
        <v>5.520161290322581</v>
      </c>
      <c r="AQ64" s="400">
        <v>11</v>
      </c>
    </row>
    <row r="65" spans="1:43" s="186" customFormat="1" ht="18" customHeight="1" x14ac:dyDescent="0.25">
      <c r="A65" s="63">
        <f t="shared" si="78"/>
        <v>50</v>
      </c>
      <c r="B65" s="69" t="s">
        <v>11</v>
      </c>
      <c r="C65" s="69" t="s">
        <v>100</v>
      </c>
      <c r="D65" s="257">
        <v>53862</v>
      </c>
      <c r="E65" s="188">
        <v>54170</v>
      </c>
      <c r="F65" s="187">
        <v>308</v>
      </c>
      <c r="G65" s="189">
        <v>2.2000000000000002</v>
      </c>
      <c r="H65" s="256">
        <v>272</v>
      </c>
      <c r="I65" s="302" t="s">
        <v>7</v>
      </c>
      <c r="J65" s="192"/>
      <c r="K65" s="193" t="e">
        <f t="shared" ref="K65" si="112">+J65-I65</f>
        <v>#VALUE!</v>
      </c>
      <c r="L65" s="194" t="e">
        <f>+K65/(412-272)</f>
        <v>#VALUE!</v>
      </c>
      <c r="M65" s="234"/>
      <c r="N65" s="303" t="s">
        <v>7</v>
      </c>
      <c r="O65" s="197">
        <v>54170</v>
      </c>
      <c r="P65" s="198" t="e">
        <f t="shared" ref="P65" si="113">+O65-N65</f>
        <v>#VALUE!</v>
      </c>
      <c r="Q65" s="199" t="e">
        <f>+P65/(412-272)</f>
        <v>#VALUE!</v>
      </c>
      <c r="R65" s="200">
        <v>240</v>
      </c>
      <c r="S65" s="236">
        <f t="shared" si="108"/>
        <v>54170</v>
      </c>
      <c r="T65" s="202">
        <v>54766</v>
      </c>
      <c r="U65" s="203">
        <f t="shared" ref="U65" si="114">+T65-S65</f>
        <v>596</v>
      </c>
      <c r="V65" s="204">
        <f>+U65/(R65+250-W65)</f>
        <v>2.1831501831501829</v>
      </c>
      <c r="W65" s="205">
        <v>217</v>
      </c>
      <c r="X65" s="237">
        <f t="shared" si="94"/>
        <v>54766</v>
      </c>
      <c r="Y65" s="207">
        <v>54844</v>
      </c>
      <c r="Z65" s="208">
        <f t="shared" ref="Z65:Z66" si="115">+Y65-X65</f>
        <v>78</v>
      </c>
      <c r="AA65" s="209">
        <f>+Z65/(W65+240-AB65)</f>
        <v>2.1666666666666665</v>
      </c>
      <c r="AB65" s="210">
        <v>421</v>
      </c>
      <c r="AC65" s="235">
        <f t="shared" si="109"/>
        <v>54844</v>
      </c>
      <c r="AD65" s="197">
        <v>55035</v>
      </c>
      <c r="AE65" s="198">
        <f t="shared" ref="AE65:AE66" si="116">+AD65-AC65</f>
        <v>191</v>
      </c>
      <c r="AF65" s="212">
        <f>+AE65/(AB65-AG65)</f>
        <v>2.1954022988505746</v>
      </c>
      <c r="AG65" s="200">
        <v>334</v>
      </c>
      <c r="AH65" s="355">
        <f t="shared" si="110"/>
        <v>55035</v>
      </c>
      <c r="AI65" s="286">
        <v>55234</v>
      </c>
      <c r="AJ65" s="287">
        <f t="shared" ref="AJ65:AJ66" si="117">+AI65-AH65</f>
        <v>199</v>
      </c>
      <c r="AK65" s="288">
        <f>+AJ65/(AG65+245-AL65)</f>
        <v>2.1868131868131866</v>
      </c>
      <c r="AL65" s="289">
        <v>488</v>
      </c>
      <c r="AM65" s="406">
        <f t="shared" si="111"/>
        <v>55234</v>
      </c>
      <c r="AN65" s="397">
        <v>55376</v>
      </c>
      <c r="AO65" s="398">
        <f t="shared" ref="AO65:AO66" si="118">+AN65-AM65</f>
        <v>142</v>
      </c>
      <c r="AP65" s="399">
        <f>+AO65/(AL65-AQ65)</f>
        <v>1.6705882352941177</v>
      </c>
      <c r="AQ65" s="400">
        <v>403</v>
      </c>
    </row>
    <row r="66" spans="1:43" s="186" customFormat="1" x14ac:dyDescent="0.25">
      <c r="A66" s="63">
        <f t="shared" si="78"/>
        <v>51</v>
      </c>
      <c r="B66" s="64" t="s">
        <v>18</v>
      </c>
      <c r="C66" s="65" t="s">
        <v>19</v>
      </c>
      <c r="D66" s="188">
        <v>530536</v>
      </c>
      <c r="E66" s="290">
        <v>531064</v>
      </c>
      <c r="F66" s="187">
        <v>528</v>
      </c>
      <c r="G66" s="187">
        <v>6.504866329924849</v>
      </c>
      <c r="H66" s="190">
        <v>66.98</v>
      </c>
      <c r="I66" s="215">
        <f>+E66</f>
        <v>531064</v>
      </c>
      <c r="J66" s="293">
        <v>531390</v>
      </c>
      <c r="K66" s="193">
        <f t="shared" ref="K66:K76" si="119">+J66-I66</f>
        <v>326</v>
      </c>
      <c r="L66" s="216">
        <f>+K66/(66.98+60-77.24)</f>
        <v>6.5540812223562517</v>
      </c>
      <c r="M66" s="195">
        <v>77.239999999999995</v>
      </c>
      <c r="N66" s="217">
        <f>+J66</f>
        <v>531390</v>
      </c>
      <c r="O66" s="197">
        <v>533341</v>
      </c>
      <c r="P66" s="198">
        <f t="shared" ref="P66:P77" si="120">+O66-N66</f>
        <v>1951</v>
      </c>
      <c r="Q66" s="212">
        <f>+P66/(M66+28.74+58+164.71-R66)</f>
        <v>6.61131819722128</v>
      </c>
      <c r="R66" s="200">
        <v>33.590000000000003</v>
      </c>
      <c r="S66" s="218">
        <f t="shared" si="108"/>
        <v>533341</v>
      </c>
      <c r="T66" s="202">
        <v>535128</v>
      </c>
      <c r="U66" s="203">
        <f t="shared" ref="U66:U76" si="121">+T66-S66</f>
        <v>1787</v>
      </c>
      <c r="V66" s="204">
        <f>+U66/(R66+95+167.2-W66)</f>
        <v>6.4939312450032718</v>
      </c>
      <c r="W66" s="205">
        <v>20.61</v>
      </c>
      <c r="X66" s="219">
        <f t="shared" si="94"/>
        <v>535128</v>
      </c>
      <c r="Y66" s="207">
        <v>536790</v>
      </c>
      <c r="Z66" s="208">
        <f t="shared" si="115"/>
        <v>1662</v>
      </c>
      <c r="AA66" s="209">
        <f>+Z66/(W66+30+155+107.57-AB66)</f>
        <v>6.5008214034264258</v>
      </c>
      <c r="AB66" s="210">
        <v>57.52</v>
      </c>
      <c r="AC66" s="217">
        <f t="shared" si="109"/>
        <v>536790</v>
      </c>
      <c r="AD66" s="197">
        <v>539319</v>
      </c>
      <c r="AE66" s="198">
        <f t="shared" si="116"/>
        <v>2529</v>
      </c>
      <c r="AF66" s="212">
        <f>+AE66/(AB66+61+160+61.79+101-AG66)</f>
        <v>6.5007840012338383</v>
      </c>
      <c r="AG66" s="200">
        <v>52.28</v>
      </c>
      <c r="AH66" s="285">
        <f t="shared" si="110"/>
        <v>539319</v>
      </c>
      <c r="AI66" s="286">
        <v>540638</v>
      </c>
      <c r="AJ66" s="287">
        <f t="shared" si="117"/>
        <v>1319</v>
      </c>
      <c r="AK66" s="288">
        <f>+AJ66/(AG66+69.88+98.63-AL66)</f>
        <v>6.5618625939008011</v>
      </c>
      <c r="AL66" s="289">
        <v>19.78</v>
      </c>
      <c r="AM66" s="396">
        <f t="shared" si="111"/>
        <v>540638</v>
      </c>
      <c r="AN66" s="397">
        <v>542065</v>
      </c>
      <c r="AO66" s="398">
        <f t="shared" si="118"/>
        <v>1427</v>
      </c>
      <c r="AP66" s="399">
        <f>+AO66/(AL66+30+63.51+60+52+40-AQ66)</f>
        <v>6.303003533568905</v>
      </c>
      <c r="AQ66" s="400">
        <v>38.89</v>
      </c>
    </row>
    <row r="67" spans="1:43" s="186" customFormat="1" x14ac:dyDescent="0.25">
      <c r="A67" s="83">
        <f t="shared" si="78"/>
        <v>52</v>
      </c>
      <c r="B67" s="90" t="s">
        <v>56</v>
      </c>
      <c r="C67" s="90" t="s">
        <v>77</v>
      </c>
      <c r="D67" s="240">
        <v>236886</v>
      </c>
      <c r="E67" s="241">
        <v>237285</v>
      </c>
      <c r="F67" s="242">
        <v>399</v>
      </c>
      <c r="G67" s="242">
        <v>4.8305084745762716</v>
      </c>
      <c r="H67" s="243">
        <v>79.400000000000006</v>
      </c>
      <c r="I67" s="244">
        <f>+E67</f>
        <v>237285</v>
      </c>
      <c r="J67" s="241">
        <v>237469</v>
      </c>
      <c r="K67" s="245">
        <f t="shared" si="119"/>
        <v>184</v>
      </c>
      <c r="L67" s="242">
        <f>+K67/(63.8+20+20-67)</f>
        <v>5</v>
      </c>
      <c r="M67" s="246">
        <v>118</v>
      </c>
      <c r="N67" s="244">
        <f>+J67</f>
        <v>237469</v>
      </c>
      <c r="O67" s="241">
        <v>238892</v>
      </c>
      <c r="P67" s="245">
        <f t="shared" si="120"/>
        <v>1423</v>
      </c>
      <c r="Q67" s="242">
        <f>+P67/(M67+30+31+92+60+21-R67)</f>
        <v>5</v>
      </c>
      <c r="R67" s="247">
        <v>67.400000000000006</v>
      </c>
      <c r="S67" s="244">
        <f t="shared" si="108"/>
        <v>238892</v>
      </c>
      <c r="T67" s="241">
        <v>239075</v>
      </c>
      <c r="U67" s="245">
        <f t="shared" si="121"/>
        <v>183</v>
      </c>
      <c r="V67" s="242">
        <f>+U67/(R67+53.17+27-W67)</f>
        <v>4.9687754547922891</v>
      </c>
      <c r="W67" s="247">
        <v>110.74</v>
      </c>
      <c r="X67" s="222"/>
      <c r="Y67" s="223"/>
      <c r="Z67" s="224"/>
      <c r="AA67" s="225"/>
      <c r="AB67" s="226"/>
      <c r="AC67" s="222"/>
      <c r="AD67" s="223"/>
      <c r="AE67" s="224"/>
      <c r="AF67" s="225"/>
      <c r="AG67" s="226"/>
      <c r="AH67" s="222"/>
      <c r="AI67" s="223"/>
      <c r="AJ67" s="224"/>
      <c r="AK67" s="225"/>
      <c r="AL67" s="226"/>
      <c r="AM67" s="222"/>
      <c r="AN67" s="223"/>
      <c r="AO67" s="224"/>
      <c r="AP67" s="225"/>
      <c r="AQ67" s="226"/>
    </row>
    <row r="68" spans="1:43" s="186" customFormat="1" ht="18" customHeight="1" x14ac:dyDescent="0.25">
      <c r="A68" s="63">
        <f>+A66+1</f>
        <v>52</v>
      </c>
      <c r="B68" s="64" t="s">
        <v>56</v>
      </c>
      <c r="C68" s="65" t="s">
        <v>53</v>
      </c>
      <c r="D68" s="188">
        <v>446271</v>
      </c>
      <c r="E68" s="188">
        <v>446499</v>
      </c>
      <c r="F68" s="187">
        <v>228</v>
      </c>
      <c r="G68" s="187">
        <v>5.7</v>
      </c>
      <c r="H68" s="190">
        <v>61</v>
      </c>
      <c r="I68" s="227" t="s">
        <v>176</v>
      </c>
      <c r="J68" s="228"/>
      <c r="K68" s="229"/>
      <c r="L68" s="230"/>
      <c r="M68" s="232">
        <v>35</v>
      </c>
      <c r="N68" s="222"/>
      <c r="O68" s="223"/>
      <c r="P68" s="224"/>
      <c r="Q68" s="225"/>
      <c r="R68" s="226"/>
      <c r="S68" s="222" t="s">
        <v>194</v>
      </c>
      <c r="T68" s="223">
        <v>448905</v>
      </c>
      <c r="U68" s="224"/>
      <c r="V68" s="225"/>
      <c r="W68" s="226">
        <v>15</v>
      </c>
      <c r="X68" s="219">
        <f>+T68</f>
        <v>448905</v>
      </c>
      <c r="Y68" s="207">
        <v>448969</v>
      </c>
      <c r="Z68" s="208">
        <f>+Y68-X68</f>
        <v>64</v>
      </c>
      <c r="AA68" s="209">
        <f>+Z68/(W68+65+34-AB68)</f>
        <v>6.0606060606060597</v>
      </c>
      <c r="AB68" s="210">
        <v>103.44</v>
      </c>
      <c r="AC68" s="217">
        <f>+Y68</f>
        <v>448969</v>
      </c>
      <c r="AD68" s="197">
        <v>449753</v>
      </c>
      <c r="AE68" s="198">
        <f>+AD68-AC68</f>
        <v>784</v>
      </c>
      <c r="AF68" s="212">
        <f>+AE68/(AB68+34+57+30-AG68)</f>
        <v>5.9089538739825143</v>
      </c>
      <c r="AG68" s="200">
        <v>91.76</v>
      </c>
      <c r="AH68" s="285">
        <f>+AD68</f>
        <v>449753</v>
      </c>
      <c r="AI68" s="286">
        <v>449986</v>
      </c>
      <c r="AJ68" s="287">
        <f>+AI68-AH68</f>
        <v>233</v>
      </c>
      <c r="AK68" s="288">
        <f>+AJ68/(AG68+31.8+30-AL68)</f>
        <v>4.6257693071272579</v>
      </c>
      <c r="AL68" s="289">
        <v>103.19</v>
      </c>
      <c r="AM68" s="396">
        <f>+AI68</f>
        <v>449986</v>
      </c>
      <c r="AN68" s="397">
        <v>450314</v>
      </c>
      <c r="AO68" s="398">
        <f>+AN68-AM68</f>
        <v>328</v>
      </c>
      <c r="AP68" s="399">
        <f>+AO68/(AL68+30+30-AQ68)</f>
        <v>5.9788552679547937</v>
      </c>
      <c r="AQ68" s="400">
        <v>108.33</v>
      </c>
    </row>
    <row r="69" spans="1:43" s="186" customFormat="1" x14ac:dyDescent="0.25">
      <c r="A69" s="63">
        <f>+A67+1</f>
        <v>53</v>
      </c>
      <c r="B69" s="66" t="s">
        <v>65</v>
      </c>
      <c r="C69" s="67" t="s">
        <v>63</v>
      </c>
      <c r="D69" s="257">
        <v>258440</v>
      </c>
      <c r="E69" s="280" t="s">
        <v>199</v>
      </c>
      <c r="F69" s="281">
        <v>973</v>
      </c>
      <c r="G69" s="187">
        <v>7.0035269560210178</v>
      </c>
      <c r="H69" s="282">
        <v>16.329999999999998</v>
      </c>
      <c r="I69" s="238" t="str">
        <f>+E69</f>
        <v xml:space="preserve">   </v>
      </c>
      <c r="J69" s="280"/>
      <c r="K69" s="283" t="e">
        <f t="shared" si="119"/>
        <v>#VALUE!</v>
      </c>
      <c r="L69" s="187" t="e">
        <f>+K69/(92.26+63-16.33)</f>
        <v>#VALUE!</v>
      </c>
      <c r="M69" s="284"/>
      <c r="N69" s="222"/>
      <c r="O69" s="223"/>
      <c r="P69" s="224"/>
      <c r="Q69" s="225"/>
      <c r="R69" s="226"/>
      <c r="S69" s="222"/>
      <c r="T69" s="223"/>
      <c r="U69" s="224"/>
      <c r="V69" s="225"/>
      <c r="W69" s="226"/>
      <c r="X69" s="222"/>
      <c r="Y69" s="223"/>
      <c r="Z69" s="224"/>
      <c r="AA69" s="225"/>
      <c r="AB69" s="226"/>
      <c r="AC69" s="222"/>
      <c r="AD69" s="223"/>
      <c r="AE69" s="224"/>
      <c r="AF69" s="225"/>
      <c r="AG69" s="226"/>
      <c r="AH69" s="222"/>
      <c r="AI69" s="223"/>
      <c r="AJ69" s="224"/>
      <c r="AK69" s="225"/>
      <c r="AL69" s="226"/>
      <c r="AM69" s="222"/>
      <c r="AN69" s="223"/>
      <c r="AO69" s="224"/>
      <c r="AP69" s="225"/>
      <c r="AQ69" s="226"/>
    </row>
    <row r="70" spans="1:43" s="186" customFormat="1" x14ac:dyDescent="0.25">
      <c r="A70" s="83">
        <f t="shared" si="78"/>
        <v>54</v>
      </c>
      <c r="B70" s="70" t="s">
        <v>60</v>
      </c>
      <c r="C70" s="70" t="s">
        <v>66</v>
      </c>
      <c r="D70" s="290">
        <v>238899</v>
      </c>
      <c r="E70" s="290">
        <v>239837</v>
      </c>
      <c r="F70" s="187">
        <v>938</v>
      </c>
      <c r="G70" s="187">
        <v>6.605633802816901</v>
      </c>
      <c r="H70" s="291">
        <v>83</v>
      </c>
      <c r="I70" s="292">
        <f>+E70</f>
        <v>239837</v>
      </c>
      <c r="J70" s="293">
        <v>240428</v>
      </c>
      <c r="K70" s="193">
        <f t="shared" si="119"/>
        <v>591</v>
      </c>
      <c r="L70" s="216">
        <f>+K70/(83+20-12)</f>
        <v>6.4945054945054945</v>
      </c>
      <c r="M70" s="294">
        <v>12</v>
      </c>
      <c r="N70" s="295">
        <f>+J70</f>
        <v>240428</v>
      </c>
      <c r="O70" s="197">
        <v>241657</v>
      </c>
      <c r="P70" s="198">
        <f t="shared" si="120"/>
        <v>1229</v>
      </c>
      <c r="Q70" s="212">
        <f>+P70/(M70+140+103-R70)</f>
        <v>5.0785123966942152</v>
      </c>
      <c r="R70" s="200">
        <v>13</v>
      </c>
      <c r="S70" s="296">
        <f t="shared" si="108"/>
        <v>241657</v>
      </c>
      <c r="T70" s="202">
        <v>242112</v>
      </c>
      <c r="U70" s="203">
        <f t="shared" si="121"/>
        <v>455</v>
      </c>
      <c r="V70" s="204">
        <f>+U70/(R70+67.4-W70)</f>
        <v>6.6520467836257309</v>
      </c>
      <c r="W70" s="205">
        <v>12</v>
      </c>
      <c r="X70" s="222"/>
      <c r="Y70" s="223"/>
      <c r="Z70" s="224"/>
      <c r="AA70" s="225"/>
      <c r="AB70" s="226"/>
      <c r="AC70" s="222"/>
      <c r="AD70" s="223"/>
      <c r="AE70" s="224"/>
      <c r="AF70" s="225"/>
      <c r="AG70" s="226"/>
      <c r="AH70" s="222"/>
      <c r="AI70" s="223"/>
      <c r="AJ70" s="224"/>
      <c r="AK70" s="225"/>
      <c r="AL70" s="226"/>
      <c r="AM70" s="222"/>
      <c r="AN70" s="223"/>
      <c r="AO70" s="224"/>
      <c r="AP70" s="225"/>
      <c r="AQ70" s="226"/>
    </row>
    <row r="71" spans="1:43" s="186" customFormat="1" ht="18" customHeight="1" x14ac:dyDescent="0.25">
      <c r="A71" s="83">
        <f t="shared" si="78"/>
        <v>55</v>
      </c>
      <c r="B71" s="70" t="s">
        <v>60</v>
      </c>
      <c r="C71" s="92" t="s">
        <v>91</v>
      </c>
      <c r="D71" s="188">
        <v>81915</v>
      </c>
      <c r="E71" s="188">
        <v>82476</v>
      </c>
      <c r="F71" s="187">
        <v>561</v>
      </c>
      <c r="G71" s="187">
        <v>7.0028710523030817</v>
      </c>
      <c r="H71" s="190">
        <v>34.119999999999997</v>
      </c>
      <c r="I71" s="215">
        <f>+E71</f>
        <v>82476</v>
      </c>
      <c r="J71" s="192">
        <v>82989</v>
      </c>
      <c r="K71" s="193">
        <f t="shared" si="119"/>
        <v>513</v>
      </c>
      <c r="L71" s="216">
        <f>+K71/(47.01+40-13.76)</f>
        <v>7.0034129692832776</v>
      </c>
      <c r="M71" s="195">
        <v>13.76</v>
      </c>
      <c r="N71" s="217">
        <f>+J71</f>
        <v>82989</v>
      </c>
      <c r="O71" s="197">
        <v>84109</v>
      </c>
      <c r="P71" s="198">
        <f t="shared" si="120"/>
        <v>1120</v>
      </c>
      <c r="Q71" s="212">
        <f>+P71/(M71+57+84+47-R71)</f>
        <v>7.0013127461399014</v>
      </c>
      <c r="R71" s="200">
        <v>41.79</v>
      </c>
      <c r="S71" s="218">
        <f>+O71</f>
        <v>84109</v>
      </c>
      <c r="T71" s="202">
        <v>85117</v>
      </c>
      <c r="U71" s="203">
        <f t="shared" si="121"/>
        <v>1008</v>
      </c>
      <c r="V71" s="204">
        <f>+U71/(R71+63+60-W71)</f>
        <v>7.0019449847179782</v>
      </c>
      <c r="W71" s="205">
        <v>20.83</v>
      </c>
      <c r="X71" s="297">
        <v>85119</v>
      </c>
      <c r="Y71" s="207">
        <v>85792</v>
      </c>
      <c r="Z71" s="208">
        <f t="shared" ref="Z71" si="122">+Y71-X71</f>
        <v>673</v>
      </c>
      <c r="AA71" s="209">
        <f>+Z71/(W71+56+110+62-AB71)</f>
        <v>6.7414604828207967</v>
      </c>
      <c r="AB71" s="210">
        <v>149</v>
      </c>
      <c r="AC71" s="295">
        <f>+Y71</f>
        <v>85792</v>
      </c>
      <c r="AD71" s="197">
        <v>86669</v>
      </c>
      <c r="AE71" s="198">
        <f t="shared" ref="AE71:AE73" si="123">+AD71-AC71</f>
        <v>877</v>
      </c>
      <c r="AF71" s="212">
        <f>+AE71/(AB71+35-AG71)</f>
        <v>6.8000310149647207</v>
      </c>
      <c r="AG71" s="200">
        <v>55.03</v>
      </c>
      <c r="AH71" s="322">
        <f>+AD71</f>
        <v>86669</v>
      </c>
      <c r="AI71" s="286">
        <v>87829</v>
      </c>
      <c r="AJ71" s="287">
        <f t="shared" ref="AJ71:AJ74" si="124">+AI71-AH71</f>
        <v>1160</v>
      </c>
      <c r="AK71" s="288">
        <f>+AJ71/(AG71+99+60+48-AL71)</f>
        <v>6.7999296559001126</v>
      </c>
      <c r="AL71" s="289">
        <v>91.44</v>
      </c>
      <c r="AM71" s="386">
        <f>+AI71</f>
        <v>87829</v>
      </c>
      <c r="AN71" s="188">
        <v>87829</v>
      </c>
      <c r="AO71" s="213">
        <f t="shared" ref="AO71:AO74" si="125">+AN71-AM71</f>
        <v>0</v>
      </c>
      <c r="AP71" s="187">
        <f>+AO71/(AL71+99+60+48-AQ71)</f>
        <v>0</v>
      </c>
      <c r="AQ71" s="214">
        <v>91.44</v>
      </c>
    </row>
    <row r="72" spans="1:43" s="186" customFormat="1" x14ac:dyDescent="0.25">
      <c r="A72" s="63">
        <f>+A70+1</f>
        <v>55</v>
      </c>
      <c r="B72" s="70" t="s">
        <v>64</v>
      </c>
      <c r="C72" s="72" t="s">
        <v>92</v>
      </c>
      <c r="D72" s="280">
        <v>95690</v>
      </c>
      <c r="E72" s="290">
        <v>96666</v>
      </c>
      <c r="F72" s="304">
        <v>976</v>
      </c>
      <c r="G72" s="187">
        <v>5.6843331391962728</v>
      </c>
      <c r="H72" s="291">
        <v>24.1</v>
      </c>
      <c r="I72" s="305">
        <f>+E72</f>
        <v>96666</v>
      </c>
      <c r="J72" s="293">
        <v>97013</v>
      </c>
      <c r="K72" s="306">
        <f t="shared" si="119"/>
        <v>347</v>
      </c>
      <c r="L72" s="216">
        <f>+K72/(58+60-54.9)</f>
        <v>5.4992076069730587</v>
      </c>
      <c r="M72" s="294">
        <v>54.9</v>
      </c>
      <c r="N72" s="307">
        <f>+J72</f>
        <v>97013</v>
      </c>
      <c r="O72" s="197">
        <v>98305</v>
      </c>
      <c r="P72" s="308">
        <f t="shared" si="120"/>
        <v>1292</v>
      </c>
      <c r="Q72" s="212">
        <f>+P72/(M72+135.65+64-R72)</f>
        <v>5.4990423494360501</v>
      </c>
      <c r="R72" s="200">
        <v>19.600000000000001</v>
      </c>
      <c r="S72" s="309">
        <f t="shared" si="108"/>
        <v>98305</v>
      </c>
      <c r="T72" s="202">
        <v>99330</v>
      </c>
      <c r="U72" s="310">
        <f t="shared" si="121"/>
        <v>1025</v>
      </c>
      <c r="V72" s="311">
        <f>+U72/(R72+50+50+30+30-W72)</f>
        <v>7.00136612021858</v>
      </c>
      <c r="W72" s="205">
        <v>33.200000000000003</v>
      </c>
      <c r="X72" s="312">
        <f t="shared" ref="X72" si="126">+T72</f>
        <v>99330</v>
      </c>
      <c r="Y72" s="207">
        <v>100140</v>
      </c>
      <c r="Z72" s="313">
        <f t="shared" ref="Z72:Z74" si="127">+Y72-X72</f>
        <v>810</v>
      </c>
      <c r="AA72" s="314">
        <f>+Z72/(W72+50+85-AB72)</f>
        <v>6.8010075566750636</v>
      </c>
      <c r="AB72" s="210">
        <v>49.1</v>
      </c>
      <c r="AC72" s="307">
        <f t="shared" ref="AC72" si="128">+Y72</f>
        <v>100140</v>
      </c>
      <c r="AD72" s="197">
        <v>101200</v>
      </c>
      <c r="AE72" s="308">
        <f t="shared" si="123"/>
        <v>1060</v>
      </c>
      <c r="AF72" s="273">
        <f>+AE72/(AB72+48+30+30+30-AG72)</f>
        <v>6.7992302758178313</v>
      </c>
      <c r="AG72" s="200">
        <v>31.2</v>
      </c>
      <c r="AH72" s="379">
        <f t="shared" ref="AH72" si="129">+AD72</f>
        <v>101200</v>
      </c>
      <c r="AI72" s="286">
        <v>104452</v>
      </c>
      <c r="AJ72" s="323">
        <f t="shared" si="124"/>
        <v>3252</v>
      </c>
      <c r="AK72" s="354">
        <f>+AJ72/(AG72+134+164+63.24+56.04+55-AL72)</f>
        <v>6.846604067539686</v>
      </c>
      <c r="AL72" s="289">
        <v>28.5</v>
      </c>
      <c r="AM72" s="415">
        <f t="shared" ref="AM72" si="130">+AI72</f>
        <v>104452</v>
      </c>
      <c r="AN72" s="397">
        <v>107630</v>
      </c>
      <c r="AO72" s="410">
        <f t="shared" si="125"/>
        <v>3178</v>
      </c>
      <c r="AP72" s="416">
        <f>+AO72/(AL72+63+24.43+70+64+51.732+70+59.635-AQ72)</f>
        <v>7.5077309784855544</v>
      </c>
      <c r="AQ72" s="400">
        <v>8</v>
      </c>
    </row>
    <row r="73" spans="1:43" s="186" customFormat="1" x14ac:dyDescent="0.25">
      <c r="A73" s="63">
        <f t="shared" si="78"/>
        <v>56</v>
      </c>
      <c r="B73" s="70" t="s">
        <v>68</v>
      </c>
      <c r="C73" s="70" t="s">
        <v>67</v>
      </c>
      <c r="D73" s="290">
        <v>226732</v>
      </c>
      <c r="E73" s="290">
        <v>226923</v>
      </c>
      <c r="F73" s="304">
        <v>191</v>
      </c>
      <c r="G73" s="187">
        <v>6.8214285714285712</v>
      </c>
      <c r="H73" s="291">
        <v>12</v>
      </c>
      <c r="I73" s="292">
        <v>226968</v>
      </c>
      <c r="J73" s="293">
        <v>227365</v>
      </c>
      <c r="K73" s="306">
        <f t="shared" si="119"/>
        <v>397</v>
      </c>
      <c r="L73" s="216">
        <f>+K73/(12+80-26)</f>
        <v>6.0151515151515156</v>
      </c>
      <c r="M73" s="294">
        <v>26</v>
      </c>
      <c r="N73" s="295">
        <f>+J73</f>
        <v>227365</v>
      </c>
      <c r="O73" s="197">
        <v>227717</v>
      </c>
      <c r="P73" s="308">
        <f t="shared" si="120"/>
        <v>352</v>
      </c>
      <c r="Q73" s="212">
        <f>+P73/(M73+73-R73)</f>
        <v>6.7692307692307692</v>
      </c>
      <c r="R73" s="200">
        <v>47</v>
      </c>
      <c r="S73" s="296">
        <f>+O73</f>
        <v>227717</v>
      </c>
      <c r="T73" s="202">
        <v>227857</v>
      </c>
      <c r="U73" s="310">
        <f t="shared" si="121"/>
        <v>140</v>
      </c>
      <c r="V73" s="311">
        <f>+U73/(R73-W73)</f>
        <v>6.666666666666667</v>
      </c>
      <c r="W73" s="205">
        <v>26</v>
      </c>
      <c r="X73" s="297">
        <f>+T73</f>
        <v>227857</v>
      </c>
      <c r="Y73" s="207">
        <v>228182</v>
      </c>
      <c r="Z73" s="313">
        <f t="shared" si="127"/>
        <v>325</v>
      </c>
      <c r="AA73" s="314">
        <f>+Z73/(W73+55-AB73)</f>
        <v>6.770833333333333</v>
      </c>
      <c r="AB73" s="210">
        <v>33</v>
      </c>
      <c r="AC73" s="295">
        <f>+Y73</f>
        <v>228182</v>
      </c>
      <c r="AD73" s="197">
        <v>228495</v>
      </c>
      <c r="AE73" s="308">
        <f t="shared" si="123"/>
        <v>313</v>
      </c>
      <c r="AF73" s="273">
        <f>+AE73/(AB73+30-AG73)</f>
        <v>6.6595744680851068</v>
      </c>
      <c r="AG73" s="200">
        <v>16</v>
      </c>
      <c r="AH73" s="322">
        <f>+AD73</f>
        <v>228495</v>
      </c>
      <c r="AI73" s="286">
        <v>228560</v>
      </c>
      <c r="AJ73" s="323">
        <f t="shared" si="124"/>
        <v>65</v>
      </c>
      <c r="AK73" s="354">
        <f>+AJ73/(AG73-AL73)</f>
        <v>6.5</v>
      </c>
      <c r="AL73" s="289">
        <v>6</v>
      </c>
      <c r="AM73" s="409">
        <f>+AI73</f>
        <v>228560</v>
      </c>
      <c r="AN73" s="397">
        <v>228735</v>
      </c>
      <c r="AO73" s="410">
        <f t="shared" si="125"/>
        <v>175</v>
      </c>
      <c r="AP73" s="416">
        <f>+AO73/(AL73+30-AQ73)</f>
        <v>6.7307692307692308</v>
      </c>
      <c r="AQ73" s="400">
        <v>10</v>
      </c>
    </row>
    <row r="74" spans="1:43" s="186" customFormat="1" x14ac:dyDescent="0.25">
      <c r="A74" s="63">
        <f t="shared" si="78"/>
        <v>57</v>
      </c>
      <c r="B74" s="70" t="s">
        <v>68</v>
      </c>
      <c r="C74" s="70" t="s">
        <v>94</v>
      </c>
      <c r="D74" s="290">
        <v>68301</v>
      </c>
      <c r="E74" s="290">
        <v>68619</v>
      </c>
      <c r="F74" s="304">
        <v>318</v>
      </c>
      <c r="G74" s="187">
        <v>1.308641975308642</v>
      </c>
      <c r="H74" s="291">
        <v>401</v>
      </c>
      <c r="I74" s="292" t="s">
        <v>7</v>
      </c>
      <c r="J74" s="293"/>
      <c r="K74" s="306" t="e">
        <f t="shared" si="119"/>
        <v>#VALUE!</v>
      </c>
      <c r="L74" s="216" t="e">
        <f>+K74/(401-401)</f>
        <v>#VALUE!</v>
      </c>
      <c r="M74" s="294">
        <v>401</v>
      </c>
      <c r="N74" s="295" t="s">
        <v>7</v>
      </c>
      <c r="O74" s="197">
        <v>68619</v>
      </c>
      <c r="P74" s="308" t="e">
        <f t="shared" si="120"/>
        <v>#VALUE!</v>
      </c>
      <c r="Q74" s="212" t="e">
        <f>+P74/(401-401)</f>
        <v>#VALUE!</v>
      </c>
      <c r="R74" s="200"/>
      <c r="S74" s="296" t="s">
        <v>7</v>
      </c>
      <c r="T74" s="202">
        <v>68619</v>
      </c>
      <c r="U74" s="310" t="e">
        <f t="shared" si="121"/>
        <v>#VALUE!</v>
      </c>
      <c r="V74" s="204" t="e">
        <f>+U74/(401-401)</f>
        <v>#VALUE!</v>
      </c>
      <c r="W74" s="205">
        <v>401</v>
      </c>
      <c r="X74" s="297">
        <f>+T74</f>
        <v>68619</v>
      </c>
      <c r="Y74" s="207">
        <v>68798</v>
      </c>
      <c r="Z74" s="313">
        <f t="shared" si="127"/>
        <v>179</v>
      </c>
      <c r="AA74" s="314">
        <f>+Z74/(W74-AB74)</f>
        <v>1.2094594594594594</v>
      </c>
      <c r="AB74" s="210">
        <v>253</v>
      </c>
      <c r="AC74" s="295">
        <f>+Y74</f>
        <v>68798</v>
      </c>
      <c r="AD74" s="197">
        <v>68798</v>
      </c>
      <c r="AE74" s="308" t="s">
        <v>7</v>
      </c>
      <c r="AF74" s="273" t="e">
        <f>+AE74/(AB74-AG74)</f>
        <v>#VALUE!</v>
      </c>
      <c r="AG74" s="200">
        <v>253</v>
      </c>
      <c r="AH74" s="322">
        <f>+AD74</f>
        <v>68798</v>
      </c>
      <c r="AI74" s="286">
        <v>68877</v>
      </c>
      <c r="AJ74" s="323">
        <f t="shared" si="124"/>
        <v>79</v>
      </c>
      <c r="AK74" s="354">
        <f>+AJ74/(AG74-AL74)</f>
        <v>1.0821917808219179</v>
      </c>
      <c r="AL74" s="289">
        <v>180</v>
      </c>
      <c r="AM74" s="386">
        <f>+AI74</f>
        <v>68877</v>
      </c>
      <c r="AN74" s="188">
        <v>68877</v>
      </c>
      <c r="AO74" s="387">
        <f t="shared" si="125"/>
        <v>0</v>
      </c>
      <c r="AP74" s="388" t="e">
        <f>+AO74/(AL74-AQ74)</f>
        <v>#DIV/0!</v>
      </c>
      <c r="AQ74" s="214">
        <v>180</v>
      </c>
    </row>
    <row r="75" spans="1:43" s="186" customFormat="1" x14ac:dyDescent="0.25">
      <c r="A75" s="63">
        <f t="shared" si="78"/>
        <v>58</v>
      </c>
      <c r="B75" s="70" t="s">
        <v>68</v>
      </c>
      <c r="C75" s="70" t="s">
        <v>181</v>
      </c>
      <c r="D75" s="290"/>
      <c r="E75" s="290"/>
      <c r="F75" s="304"/>
      <c r="G75" s="187"/>
      <c r="H75" s="291"/>
      <c r="I75" s="222"/>
      <c r="J75" s="223"/>
      <c r="K75" s="224"/>
      <c r="L75" s="225"/>
      <c r="M75" s="226"/>
      <c r="N75" s="295">
        <v>459</v>
      </c>
      <c r="O75" s="197">
        <v>483</v>
      </c>
      <c r="P75" s="308">
        <f t="shared" ref="P75" si="131">+O75-N75</f>
        <v>24</v>
      </c>
      <c r="Q75" s="212">
        <f>+P75/(M75+200-R75)</f>
        <v>0.13186813186813187</v>
      </c>
      <c r="R75" s="200">
        <v>18</v>
      </c>
      <c r="S75" s="296" t="s">
        <v>7</v>
      </c>
      <c r="T75" s="202"/>
      <c r="U75" s="310"/>
      <c r="V75" s="204"/>
      <c r="W75" s="205"/>
      <c r="X75" s="297" t="s">
        <v>7</v>
      </c>
      <c r="Y75" s="207" t="s">
        <v>197</v>
      </c>
      <c r="Z75" s="313"/>
      <c r="AA75" s="209"/>
      <c r="AB75" s="210"/>
      <c r="AC75" s="295" t="s">
        <v>7</v>
      </c>
      <c r="AD75" s="197" t="s">
        <v>197</v>
      </c>
      <c r="AE75" s="308"/>
      <c r="AF75" s="212"/>
      <c r="AG75" s="200"/>
      <c r="AH75" s="322" t="s">
        <v>7</v>
      </c>
      <c r="AI75" s="286" t="s">
        <v>197</v>
      </c>
      <c r="AJ75" s="323"/>
      <c r="AK75" s="288"/>
      <c r="AL75" s="289"/>
      <c r="AM75" s="409"/>
      <c r="AN75" s="397" t="s">
        <v>197</v>
      </c>
      <c r="AO75" s="410">
        <v>120</v>
      </c>
      <c r="AP75" s="399">
        <v>0</v>
      </c>
      <c r="AQ75" s="400">
        <v>80</v>
      </c>
    </row>
    <row r="76" spans="1:43" s="186" customFormat="1" x14ac:dyDescent="0.25">
      <c r="A76" s="63">
        <f t="shared" si="78"/>
        <v>59</v>
      </c>
      <c r="B76" s="71" t="s">
        <v>70</v>
      </c>
      <c r="C76" s="70" t="s">
        <v>71</v>
      </c>
      <c r="D76" s="290">
        <v>371912</v>
      </c>
      <c r="E76" s="290">
        <v>372909</v>
      </c>
      <c r="F76" s="304">
        <v>997</v>
      </c>
      <c r="G76" s="187">
        <v>8.4937808826035095</v>
      </c>
      <c r="H76" s="291">
        <v>0.41</v>
      </c>
      <c r="I76" s="292">
        <f>+E76</f>
        <v>372909</v>
      </c>
      <c r="J76" s="293">
        <v>373404</v>
      </c>
      <c r="K76" s="306">
        <f t="shared" si="119"/>
        <v>495</v>
      </c>
      <c r="L76" s="216">
        <f>+K76/(0.41+50+20)</f>
        <v>7.0302513847464851</v>
      </c>
      <c r="M76" s="315">
        <v>0</v>
      </c>
      <c r="N76" s="295">
        <f>+J76</f>
        <v>373404</v>
      </c>
      <c r="O76" s="197">
        <v>374196</v>
      </c>
      <c r="P76" s="308">
        <f t="shared" si="120"/>
        <v>792</v>
      </c>
      <c r="Q76" s="212">
        <f>+P76/(M76+60-R76)</f>
        <v>23.841059602649008</v>
      </c>
      <c r="R76" s="200">
        <v>26.78</v>
      </c>
      <c r="S76" s="296">
        <f>+O76</f>
        <v>374196</v>
      </c>
      <c r="T76" s="202">
        <v>375532</v>
      </c>
      <c r="U76" s="310">
        <f t="shared" si="121"/>
        <v>1336</v>
      </c>
      <c r="V76" s="204">
        <f>+U76/(R76+30+30+30+53+30-W76)</f>
        <v>7.0017294691053928</v>
      </c>
      <c r="W76" s="205">
        <v>8.9700000000000006</v>
      </c>
      <c r="X76" s="297">
        <f>+T76</f>
        <v>375532</v>
      </c>
      <c r="Y76" s="207">
        <v>376468</v>
      </c>
      <c r="Z76" s="313">
        <f t="shared" ref="Z76" si="132">+Y76-X76</f>
        <v>936</v>
      </c>
      <c r="AA76" s="209">
        <f>+Z76/(W76+60+30+30-AB76)</f>
        <v>7.5685291501576772</v>
      </c>
      <c r="AB76" s="210">
        <v>5.3</v>
      </c>
      <c r="AC76" s="295">
        <f>+Y76</f>
        <v>376468</v>
      </c>
      <c r="AD76" s="197">
        <v>377893</v>
      </c>
      <c r="AE76" s="308">
        <f t="shared" ref="AE76" si="133">+AD76-AC76</f>
        <v>1425</v>
      </c>
      <c r="AF76" s="212">
        <f>+AE76/(AB76+98+30+30+30-AG76)</f>
        <v>7.574146911874136</v>
      </c>
      <c r="AG76" s="200">
        <v>5.16</v>
      </c>
      <c r="AH76" s="322">
        <f>+AD76</f>
        <v>377893</v>
      </c>
      <c r="AI76" s="286">
        <v>379015</v>
      </c>
      <c r="AJ76" s="323">
        <f t="shared" ref="AJ76" si="134">+AI76-AH76</f>
        <v>1122</v>
      </c>
      <c r="AK76" s="288">
        <f>+AJ76/(AG76+30+101.8+30-AL76)</f>
        <v>7.0011231748408838</v>
      </c>
      <c r="AL76" s="289">
        <v>6.7</v>
      </c>
      <c r="AM76" s="409">
        <f>+AI76</f>
        <v>379015</v>
      </c>
      <c r="AN76" s="397">
        <v>379640</v>
      </c>
      <c r="AO76" s="410">
        <f t="shared" ref="AO76" si="135">+AN76-AM76</f>
        <v>625</v>
      </c>
      <c r="AP76" s="399">
        <f>+AO76/(AL76+30+30+30-AQ76)</f>
        <v>7.0028011204481793</v>
      </c>
      <c r="AQ76" s="400">
        <v>7.45</v>
      </c>
    </row>
    <row r="77" spans="1:43" s="186" customFormat="1" x14ac:dyDescent="0.25">
      <c r="A77" s="63">
        <f t="shared" si="78"/>
        <v>60</v>
      </c>
      <c r="B77" s="71" t="s">
        <v>70</v>
      </c>
      <c r="C77" s="316" t="s">
        <v>110</v>
      </c>
      <c r="D77" s="293"/>
      <c r="E77" s="293"/>
      <c r="F77" s="317">
        <v>1</v>
      </c>
      <c r="G77" s="194">
        <v>8.3333333333333332E-3</v>
      </c>
      <c r="H77" s="318">
        <v>120</v>
      </c>
      <c r="I77" s="292"/>
      <c r="J77" s="293"/>
      <c r="K77" s="306">
        <v>1</v>
      </c>
      <c r="L77" s="194">
        <f>+K77/(120+40+20-60)</f>
        <v>8.3333333333333332E-3</v>
      </c>
      <c r="M77" s="319">
        <v>60</v>
      </c>
      <c r="N77" s="295" t="s">
        <v>7</v>
      </c>
      <c r="O77" s="197"/>
      <c r="P77" s="308" t="e">
        <f t="shared" si="120"/>
        <v>#VALUE!</v>
      </c>
      <c r="Q77" s="212" t="e">
        <f>+P77/(401-401)</f>
        <v>#VALUE!</v>
      </c>
      <c r="R77" s="200"/>
      <c r="S77" s="296" t="s">
        <v>198</v>
      </c>
      <c r="T77" s="202">
        <v>0</v>
      </c>
      <c r="U77" s="310">
        <v>1</v>
      </c>
      <c r="V77" s="298">
        <f>+U77/(120+40+20-60)</f>
        <v>8.3333333333333332E-3</v>
      </c>
      <c r="W77" s="205">
        <v>40</v>
      </c>
      <c r="X77" s="297" t="s">
        <v>198</v>
      </c>
      <c r="Y77" s="207">
        <v>0</v>
      </c>
      <c r="Z77" s="313">
        <v>1</v>
      </c>
      <c r="AA77" s="320">
        <f>+Z77/(120+40+20-60)</f>
        <v>8.3333333333333332E-3</v>
      </c>
      <c r="AB77" s="210">
        <v>40</v>
      </c>
      <c r="AC77" s="295">
        <v>0</v>
      </c>
      <c r="AD77" s="197">
        <v>0</v>
      </c>
      <c r="AE77" s="308">
        <v>0</v>
      </c>
      <c r="AF77" s="212">
        <f>+AE77/(AB77-AG77)</f>
        <v>0</v>
      </c>
      <c r="AG77" s="200">
        <v>0</v>
      </c>
      <c r="AH77" s="322">
        <v>0</v>
      </c>
      <c r="AI77" s="286">
        <v>0</v>
      </c>
      <c r="AJ77" s="323" t="s">
        <v>7</v>
      </c>
      <c r="AK77" s="288" t="e">
        <f>+AJ77/(AG77+200-AL77)</f>
        <v>#VALUE!</v>
      </c>
      <c r="AL77" s="289">
        <v>200</v>
      </c>
      <c r="AM77" s="386">
        <v>0</v>
      </c>
      <c r="AN77" s="188">
        <v>0</v>
      </c>
      <c r="AO77" s="387" t="s">
        <v>7</v>
      </c>
      <c r="AP77" s="187" t="e">
        <f>+AO77/(AL77+200-AQ77)</f>
        <v>#VALUE!</v>
      </c>
      <c r="AQ77" s="214">
        <v>200</v>
      </c>
    </row>
    <row r="78" spans="1:43" s="186" customFormat="1" x14ac:dyDescent="0.25">
      <c r="A78" s="63">
        <f t="shared" si="78"/>
        <v>61</v>
      </c>
      <c r="B78" s="71" t="s">
        <v>116</v>
      </c>
      <c r="C78" s="70" t="s">
        <v>117</v>
      </c>
      <c r="D78" s="290"/>
      <c r="E78" s="290"/>
      <c r="F78" s="304"/>
      <c r="G78" s="187"/>
      <c r="H78" s="291"/>
      <c r="I78" s="321" t="s">
        <v>168</v>
      </c>
      <c r="J78" s="293"/>
      <c r="K78" s="306"/>
      <c r="L78" s="216"/>
      <c r="M78" s="294">
        <v>20</v>
      </c>
      <c r="N78" s="295">
        <v>274336</v>
      </c>
      <c r="O78" s="197">
        <v>274435</v>
      </c>
      <c r="P78" s="198">
        <f>+O78-N78</f>
        <v>99</v>
      </c>
      <c r="Q78" s="212">
        <f>+P78/(M78+60-R78)</f>
        <v>5.0000000000000009</v>
      </c>
      <c r="R78" s="200">
        <v>60.2</v>
      </c>
      <c r="S78" s="296">
        <f>+O78</f>
        <v>274435</v>
      </c>
      <c r="T78" s="202">
        <v>274722</v>
      </c>
      <c r="U78" s="203">
        <f>+T78-S78</f>
        <v>287</v>
      </c>
      <c r="V78" s="204">
        <f>+U78/(R78-W78)</f>
        <v>9.1987179487179471</v>
      </c>
      <c r="W78" s="205">
        <v>29</v>
      </c>
      <c r="X78" s="297">
        <f>+T78</f>
        <v>274722</v>
      </c>
      <c r="Y78" s="207">
        <v>274980</v>
      </c>
      <c r="Z78" s="208">
        <f>+Y78-X78</f>
        <v>258</v>
      </c>
      <c r="AA78" s="209">
        <f>+Z78/(W78+60-AB78)</f>
        <v>6.7894736842105265</v>
      </c>
      <c r="AB78" s="210">
        <v>51</v>
      </c>
      <c r="AC78" s="295">
        <f>+Y78</f>
        <v>274980</v>
      </c>
      <c r="AD78" s="197">
        <v>275330</v>
      </c>
      <c r="AE78" s="198">
        <f>+AD78-AC78</f>
        <v>350</v>
      </c>
      <c r="AF78" s="212">
        <f>+AE78/(AB78+64.89-AG78)</f>
        <v>6.2994960403167743</v>
      </c>
      <c r="AG78" s="200">
        <v>60.33</v>
      </c>
      <c r="AH78" s="322">
        <f>+AD78</f>
        <v>275330</v>
      </c>
      <c r="AI78" s="286">
        <v>275659</v>
      </c>
      <c r="AJ78" s="287">
        <f>+AI78-AH78</f>
        <v>329</v>
      </c>
      <c r="AK78" s="288">
        <f>+AJ78/(AG78+59+20-AL78)</f>
        <v>6.7514877898625087</v>
      </c>
      <c r="AL78" s="289">
        <v>90.6</v>
      </c>
      <c r="AM78" s="386">
        <f>+AI78</f>
        <v>275659</v>
      </c>
      <c r="AN78" s="188">
        <v>275659</v>
      </c>
      <c r="AO78" s="213">
        <f>+AN78-AM78</f>
        <v>0</v>
      </c>
      <c r="AP78" s="187">
        <f>+AO78/(AL78+59+20-AQ78)</f>
        <v>0</v>
      </c>
      <c r="AQ78" s="214">
        <v>90.6</v>
      </c>
    </row>
    <row r="79" spans="1:43" s="186" customFormat="1" x14ac:dyDescent="0.25">
      <c r="A79" s="63">
        <f t="shared" si="78"/>
        <v>62</v>
      </c>
      <c r="B79" s="70" t="s">
        <v>78</v>
      </c>
      <c r="C79" s="70" t="s">
        <v>79</v>
      </c>
      <c r="D79" s="290">
        <v>250718</v>
      </c>
      <c r="E79" s="290">
        <v>250958</v>
      </c>
      <c r="F79" s="304">
        <v>240</v>
      </c>
      <c r="G79" s="187">
        <v>7.0072992700729912</v>
      </c>
      <c r="H79" s="291">
        <v>32.15</v>
      </c>
      <c r="I79" s="292">
        <f>+E79</f>
        <v>250958</v>
      </c>
      <c r="J79" s="293">
        <v>251575</v>
      </c>
      <c r="K79" s="306">
        <f>+J79-I79</f>
        <v>617</v>
      </c>
      <c r="L79" s="216">
        <f>+K79/(32.15+40+17.61+20-21.63)</f>
        <v>7.0010212186542597</v>
      </c>
      <c r="M79" s="294">
        <v>21.62</v>
      </c>
      <c r="N79" s="295">
        <f>+J79</f>
        <v>251575</v>
      </c>
      <c r="O79" s="197">
        <v>251672</v>
      </c>
      <c r="P79" s="308">
        <f>+O79-N79</f>
        <v>97</v>
      </c>
      <c r="Q79" s="212">
        <f>+P79/(M79+30-R79)</f>
        <v>7.0036101083032483</v>
      </c>
      <c r="R79" s="200">
        <v>37.770000000000003</v>
      </c>
      <c r="S79" s="296">
        <f>+O79</f>
        <v>251672</v>
      </c>
      <c r="T79" s="202">
        <v>251903</v>
      </c>
      <c r="U79" s="310">
        <f>+T79-S79</f>
        <v>231</v>
      </c>
      <c r="V79" s="204">
        <f>+U79/(R79+30-W79)</f>
        <v>6.9999999999999982</v>
      </c>
      <c r="W79" s="205">
        <v>34.770000000000003</v>
      </c>
      <c r="X79" s="297">
        <f>+T79</f>
        <v>251903</v>
      </c>
      <c r="Y79" s="207">
        <v>253884</v>
      </c>
      <c r="Z79" s="313">
        <f>+Y79-X79</f>
        <v>1981</v>
      </c>
      <c r="AA79" s="209">
        <f>+Z79/(W79+156.35+149.2-AB79)</f>
        <v>7</v>
      </c>
      <c r="AB79" s="210">
        <v>57.32</v>
      </c>
      <c r="AC79" s="295">
        <f>+Y79</f>
        <v>253884</v>
      </c>
      <c r="AD79" s="197">
        <v>254588</v>
      </c>
      <c r="AE79" s="308">
        <f>+AD79-AC79</f>
        <v>704</v>
      </c>
      <c r="AF79" s="212">
        <f>+AE79/(AB79+100-AG79)</f>
        <v>7.0000994332305861</v>
      </c>
      <c r="AG79" s="200">
        <v>56.75</v>
      </c>
      <c r="AH79" s="322">
        <f>+AD79</f>
        <v>254588</v>
      </c>
      <c r="AI79" s="286">
        <v>254736</v>
      </c>
      <c r="AJ79" s="323">
        <f>+AI79-AH79</f>
        <v>148</v>
      </c>
      <c r="AK79" s="288">
        <f>+AJ79/(AG79+61.49-AL79)</f>
        <v>7.0009460737937514</v>
      </c>
      <c r="AL79" s="289">
        <v>97.1</v>
      </c>
      <c r="AM79" s="409">
        <f>+AI79</f>
        <v>254736</v>
      </c>
      <c r="AN79" s="397">
        <v>256081</v>
      </c>
      <c r="AO79" s="410">
        <f>+AN79-AM79</f>
        <v>1345</v>
      </c>
      <c r="AP79" s="399">
        <f>+AO79/(AL79+53+63+30-AQ79)</f>
        <v>7.0001040907671497</v>
      </c>
      <c r="AQ79" s="400">
        <v>50.96</v>
      </c>
    </row>
    <row r="80" spans="1:43" s="186" customFormat="1" x14ac:dyDescent="0.25">
      <c r="A80" s="63">
        <f t="shared" si="78"/>
        <v>63</v>
      </c>
      <c r="B80" s="70" t="s">
        <v>35</v>
      </c>
      <c r="C80" s="72" t="s">
        <v>36</v>
      </c>
      <c r="D80" s="290">
        <v>501515</v>
      </c>
      <c r="E80" s="290">
        <v>501775</v>
      </c>
      <c r="F80" s="304">
        <v>260</v>
      </c>
      <c r="G80" s="187">
        <v>6.8062827225130897</v>
      </c>
      <c r="H80" s="291">
        <v>62.43</v>
      </c>
      <c r="I80" s="292">
        <f>+E80</f>
        <v>501775</v>
      </c>
      <c r="J80" s="293">
        <v>502257</v>
      </c>
      <c r="K80" s="306">
        <f>+J80-I80</f>
        <v>482</v>
      </c>
      <c r="L80" s="216">
        <f>+K80/(61.1+20-10.2)</f>
        <v>6.7983074753173494</v>
      </c>
      <c r="M80" s="294">
        <v>10.199999999999999</v>
      </c>
      <c r="N80" s="295">
        <f>+J80</f>
        <v>502257</v>
      </c>
      <c r="O80" s="197">
        <v>503563</v>
      </c>
      <c r="P80" s="308">
        <f>+O80-N80</f>
        <v>1306</v>
      </c>
      <c r="Q80" s="212">
        <f>+P80/(M80+79.8+130-R80)</f>
        <v>6.6059686393525547</v>
      </c>
      <c r="R80" s="200">
        <v>22.3</v>
      </c>
      <c r="S80" s="296">
        <f>+O80</f>
        <v>503563</v>
      </c>
      <c r="T80" s="202">
        <v>504880</v>
      </c>
      <c r="U80" s="310">
        <f>+T80-S80</f>
        <v>1317</v>
      </c>
      <c r="V80" s="204">
        <f>+U80/(R80+80+61+94-W80)</f>
        <v>6.6015037593984962</v>
      </c>
      <c r="W80" s="205">
        <v>57.8</v>
      </c>
      <c r="X80" s="297">
        <f>+T80</f>
        <v>504880</v>
      </c>
      <c r="Y80" s="207">
        <v>505888</v>
      </c>
      <c r="Z80" s="313">
        <f>+Y80-X80</f>
        <v>1008</v>
      </c>
      <c r="AA80" s="209">
        <f>+Z80/(W80+49+100-AB80)</f>
        <v>6.4990328820116048</v>
      </c>
      <c r="AB80" s="210">
        <v>51.7</v>
      </c>
      <c r="AC80" s="295">
        <f>+Y80</f>
        <v>505888</v>
      </c>
      <c r="AD80" s="197">
        <v>508863</v>
      </c>
      <c r="AE80" s="308">
        <f>+AD80-AC80</f>
        <v>2975</v>
      </c>
      <c r="AF80" s="212">
        <f>+AE80/(AB80+65+45+193+122+70-AG80)</f>
        <v>6.4998907581385179</v>
      </c>
      <c r="AG80" s="200">
        <v>89</v>
      </c>
      <c r="AH80" s="322">
        <f>+AD80</f>
        <v>508863</v>
      </c>
      <c r="AI80" s="286">
        <v>509524</v>
      </c>
      <c r="AJ80" s="323">
        <f>+AI80-AH80</f>
        <v>661</v>
      </c>
      <c r="AK80" s="288">
        <f>+AJ80/(AG80+84-AL80)</f>
        <v>6.4995083579154374</v>
      </c>
      <c r="AL80" s="289">
        <v>71.3</v>
      </c>
      <c r="AM80" s="409">
        <f>+AI80</f>
        <v>509524</v>
      </c>
      <c r="AN80" s="397">
        <v>510561</v>
      </c>
      <c r="AO80" s="410">
        <f>+AN80-AM80</f>
        <v>1037</v>
      </c>
      <c r="AP80" s="399">
        <f>+AO80/(AL80+58+30+60-AQ80)</f>
        <v>6.5015673981191222</v>
      </c>
      <c r="AQ80" s="400">
        <v>59.8</v>
      </c>
    </row>
    <row r="81" spans="1:43" s="186" customFormat="1" x14ac:dyDescent="0.25">
      <c r="A81" s="63">
        <f t="shared" si="78"/>
        <v>64</v>
      </c>
      <c r="B81" s="71" t="s">
        <v>21</v>
      </c>
      <c r="C81" s="70" t="s">
        <v>22</v>
      </c>
      <c r="D81" s="290">
        <v>78676</v>
      </c>
      <c r="E81" s="290">
        <v>79000</v>
      </c>
      <c r="F81" s="304">
        <v>324</v>
      </c>
      <c r="G81" s="187">
        <v>5.4999151247665932</v>
      </c>
      <c r="H81" s="291">
        <v>219.54</v>
      </c>
      <c r="I81" s="292">
        <f>+E81</f>
        <v>79000</v>
      </c>
      <c r="J81" s="293">
        <v>80314</v>
      </c>
      <c r="K81" s="306">
        <f>+J81-I81</f>
        <v>1314</v>
      </c>
      <c r="L81" s="216">
        <f>+K81/(219.54+40+125-M81)</f>
        <v>4.2115384615384626</v>
      </c>
      <c r="M81" s="294">
        <v>72.540000000000006</v>
      </c>
      <c r="N81" s="295">
        <f>+J81</f>
        <v>80314</v>
      </c>
      <c r="O81" s="197">
        <v>81354</v>
      </c>
      <c r="P81" s="308">
        <f>+O81-N81</f>
        <v>1040</v>
      </c>
      <c r="Q81" s="212">
        <f>+P81/(M81+40+114+93+66-R81)</f>
        <v>4.5000216347193973</v>
      </c>
      <c r="R81" s="200">
        <v>154.43</v>
      </c>
      <c r="S81" s="296">
        <f>+O81</f>
        <v>81354</v>
      </c>
      <c r="T81" s="202">
        <v>81604</v>
      </c>
      <c r="U81" s="310">
        <f>+T81-S81</f>
        <v>250</v>
      </c>
      <c r="V81" s="204">
        <f>+U81/(R81+88-W81)</f>
        <v>4</v>
      </c>
      <c r="W81" s="205">
        <v>179.93</v>
      </c>
      <c r="X81" s="297">
        <f>+T81</f>
        <v>81604</v>
      </c>
      <c r="Y81" s="207">
        <v>83280</v>
      </c>
      <c r="Z81" s="324">
        <f>+Y81-X81</f>
        <v>1676</v>
      </c>
      <c r="AA81" s="325">
        <f>+Z81/(W81+92+75+94+109-AB81)</f>
        <v>4.5000536999248197</v>
      </c>
      <c r="AB81" s="210">
        <v>177.49</v>
      </c>
      <c r="AC81" s="295">
        <f>+Y81</f>
        <v>83280</v>
      </c>
      <c r="AD81" s="197">
        <v>83692</v>
      </c>
      <c r="AE81" s="326">
        <f>+AD81-AC81</f>
        <v>412</v>
      </c>
      <c r="AF81" s="327">
        <f>+AE81/(AB81+-AG81)</f>
        <v>3.7264833574529668</v>
      </c>
      <c r="AG81" s="200">
        <v>66.930000000000007</v>
      </c>
      <c r="AH81" s="322">
        <f>+AD81</f>
        <v>83692</v>
      </c>
      <c r="AI81" s="286">
        <v>84976</v>
      </c>
      <c r="AJ81" s="361">
        <f>+AI81-AH81</f>
        <v>1284</v>
      </c>
      <c r="AK81" s="362">
        <f>+AJ81/(AG81+100+33+114-AL81)</f>
        <v>4.9120122417750576</v>
      </c>
      <c r="AL81" s="289">
        <v>52.53</v>
      </c>
      <c r="AM81" s="386">
        <f>+AI81</f>
        <v>84976</v>
      </c>
      <c r="AN81" s="188">
        <v>85566</v>
      </c>
      <c r="AO81" s="389">
        <f>+AN81-AM81</f>
        <v>590</v>
      </c>
      <c r="AP81" s="390">
        <f>+AO81/(AL81+119-AQ81)</f>
        <v>4.6329014526894392</v>
      </c>
      <c r="AQ81" s="214">
        <v>44.18</v>
      </c>
    </row>
    <row r="82" spans="1:43" s="186" customFormat="1" ht="15.75" thickBot="1" x14ac:dyDescent="0.3">
      <c r="A82" s="63">
        <f t="shared" si="78"/>
        <v>65</v>
      </c>
      <c r="B82" s="328" t="s">
        <v>13</v>
      </c>
      <c r="C82" s="328" t="s">
        <v>99</v>
      </c>
      <c r="D82" s="329">
        <v>64082</v>
      </c>
      <c r="E82" s="329">
        <v>65060</v>
      </c>
      <c r="F82" s="330">
        <v>978</v>
      </c>
      <c r="G82" s="330">
        <v>7.0122607012260705</v>
      </c>
      <c r="H82" s="331">
        <v>24.72</v>
      </c>
      <c r="I82" s="332">
        <f>+E82</f>
        <v>65060</v>
      </c>
      <c r="J82" s="333">
        <v>65285</v>
      </c>
      <c r="K82" s="334">
        <f>+J82-I82</f>
        <v>225</v>
      </c>
      <c r="L82" s="335">
        <f>+K82/(24.72+30-26.6)</f>
        <v>8.0014224751066862</v>
      </c>
      <c r="M82" s="336">
        <v>26.6</v>
      </c>
      <c r="N82" s="337">
        <f>+J82</f>
        <v>65285</v>
      </c>
      <c r="O82" s="338">
        <v>65712</v>
      </c>
      <c r="P82" s="339">
        <f>+O82-N82</f>
        <v>427</v>
      </c>
      <c r="Q82" s="340">
        <f>+P82/(M82+28.74+62.9-R82)</f>
        <v>8.0007494847292477</v>
      </c>
      <c r="R82" s="341">
        <v>64.87</v>
      </c>
      <c r="S82" s="342">
        <f>+O82</f>
        <v>65712</v>
      </c>
      <c r="T82" s="343">
        <v>66136</v>
      </c>
      <c r="U82" s="344">
        <f>+T82-S82</f>
        <v>424</v>
      </c>
      <c r="V82" s="345">
        <f>+U82/(R82+30-W82)</f>
        <v>7.9999999999999991</v>
      </c>
      <c r="W82" s="346">
        <v>41.87</v>
      </c>
      <c r="X82" s="347">
        <f>+T82</f>
        <v>66136</v>
      </c>
      <c r="Y82" s="348">
        <v>66586</v>
      </c>
      <c r="Z82" s="349">
        <f>+Y82-X82</f>
        <v>450</v>
      </c>
      <c r="AA82" s="350">
        <f>+Z82/(W82+30+42.87-AB82)</f>
        <v>7.9999999999999991</v>
      </c>
      <c r="AB82" s="351">
        <v>58.49</v>
      </c>
      <c r="AC82" s="337">
        <f>+Y82</f>
        <v>66586</v>
      </c>
      <c r="AD82" s="338">
        <v>67006</v>
      </c>
      <c r="AE82" s="339">
        <f>+AD82-AC82</f>
        <v>420</v>
      </c>
      <c r="AF82" s="340">
        <f>+AE82/(AB82+30-AG82)</f>
        <v>7.9999999999999991</v>
      </c>
      <c r="AG82" s="341">
        <v>35.99</v>
      </c>
      <c r="AH82" s="363">
        <f>+AD82</f>
        <v>67006</v>
      </c>
      <c r="AI82" s="364">
        <v>67876</v>
      </c>
      <c r="AJ82" s="365">
        <f>+AI82-AH82</f>
        <v>870</v>
      </c>
      <c r="AK82" s="366">
        <f>+AJ82/(AG82+10+28+30+30-AL82)</f>
        <v>7.9999999999999991</v>
      </c>
      <c r="AL82" s="367">
        <v>25.24</v>
      </c>
      <c r="AM82" s="401">
        <f>+AI82</f>
        <v>67876</v>
      </c>
      <c r="AN82" s="402">
        <v>68075</v>
      </c>
      <c r="AO82" s="403">
        <f>+AN82-AM82</f>
        <v>199</v>
      </c>
      <c r="AP82" s="404">
        <f>+AO82/(AL82-AQ82)</f>
        <v>7.9983922829581999</v>
      </c>
      <c r="AQ82" s="405">
        <v>0.36</v>
      </c>
    </row>
    <row r="83" spans="1:43" s="186" customFormat="1" x14ac:dyDescent="0.25">
      <c r="K83" s="352"/>
      <c r="P83" s="352"/>
      <c r="U83" s="352"/>
      <c r="Z83" s="352"/>
      <c r="AE83" s="352"/>
      <c r="AJ83" s="352"/>
      <c r="AO83" s="352"/>
    </row>
    <row r="84" spans="1:43" s="186" customFormat="1" x14ac:dyDescent="0.25">
      <c r="K84" s="352"/>
      <c r="P84" s="352"/>
      <c r="U84" s="352"/>
      <c r="Z84" s="352"/>
      <c r="AE84" s="352"/>
      <c r="AJ84" s="352"/>
      <c r="AO84" s="352"/>
    </row>
    <row r="85" spans="1:43" s="186" customFormat="1" x14ac:dyDescent="0.25">
      <c r="K85" s="352"/>
      <c r="P85" s="352"/>
      <c r="U85" s="352"/>
      <c r="Z85" s="352"/>
      <c r="AE85" s="352"/>
      <c r="AJ85" s="352"/>
      <c r="AO85" s="352"/>
    </row>
  </sheetData>
  <autoFilter ref="A1:R85" xr:uid="{00000000-0009-0000-0000-000000000000}">
    <filterColumn colId="1" showButton="0"/>
    <filterColumn colId="3" showButton="0"/>
    <filterColumn colId="4" showButton="0"/>
    <filterColumn colId="5" showButton="0"/>
    <filterColumn colId="6" showButton="0"/>
    <filterColumn colId="8" showButton="0"/>
    <filterColumn colId="9" showButton="0"/>
    <filterColumn colId="10" showButton="0"/>
    <filterColumn colId="11" showButton="0"/>
    <filterColumn colId="13" showButton="0"/>
    <filterColumn colId="14" showButton="0"/>
    <filterColumn colId="15" showButton="0"/>
    <filterColumn colId="16" showButton="0"/>
  </autoFilter>
  <sortState xmlns:xlrd2="http://schemas.microsoft.com/office/spreadsheetml/2017/richdata2" ref="A3:R81">
    <sortCondition ref="B3:B81"/>
  </sortState>
  <mergeCells count="9">
    <mergeCell ref="AM1:AQ1"/>
    <mergeCell ref="AH1:AL1"/>
    <mergeCell ref="B1:C1"/>
    <mergeCell ref="S1:W1"/>
    <mergeCell ref="AC1:AG1"/>
    <mergeCell ref="X1:AB1"/>
    <mergeCell ref="D1:H1"/>
    <mergeCell ref="I1:M1"/>
    <mergeCell ref="N1:R1"/>
  </mergeCells>
  <pageMargins left="0.7" right="0.7" top="0.75" bottom="0.75" header="0.3" footer="0.3"/>
  <pageSetup orientation="portrait" r:id="rId1"/>
  <ignoredErrors>
    <ignoredError sqref="Z62:AA62 Z75:AA75 Z4:AA4 Z7:AA7 Z34:AA34 Z22:AA22 Z18:Z21 Z37:AA37 Z35 Z39:AA39 Z38 Z15:AA17 Z10 Z30 Z32:Z33 Z5:Z6 Z73:Z74 Z78 Z25 Z76 Z3" evalError="1"/>
  </ignoredError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8"/>
  <sheetViews>
    <sheetView workbookViewId="0">
      <selection activeCell="D37" sqref="D37"/>
    </sheetView>
  </sheetViews>
  <sheetFormatPr baseColWidth="10" defaultRowHeight="15" x14ac:dyDescent="0.25"/>
  <sheetData>
    <row r="18" spans="1:1" x14ac:dyDescent="0.25">
      <c r="A18" t="s">
        <v>185</v>
      </c>
    </row>
  </sheetData>
  <pageMargins left="0.7" right="0.7" top="0.75" bottom="0.75" header="0.3" footer="0.3"/>
  <pageSetup paperSize="9" orientation="portrait"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9"/>
  <sheetViews>
    <sheetView workbookViewId="0">
      <selection activeCell="A30" sqref="A30"/>
    </sheetView>
  </sheetViews>
  <sheetFormatPr baseColWidth="10" defaultRowHeight="15" x14ac:dyDescent="0.25"/>
  <sheetData>
    <row r="1" spans="1:1" x14ac:dyDescent="0.25">
      <c r="A1">
        <v>263</v>
      </c>
    </row>
    <row r="2" spans="1:1" x14ac:dyDescent="0.25">
      <c r="A2">
        <v>564.5</v>
      </c>
    </row>
    <row r="3" spans="1:1" x14ac:dyDescent="0.25">
      <c r="A3">
        <v>808</v>
      </c>
    </row>
    <row r="4" spans="1:1" x14ac:dyDescent="0.25">
      <c r="A4">
        <v>41</v>
      </c>
    </row>
    <row r="5" spans="1:1" x14ac:dyDescent="0.25">
      <c r="A5">
        <v>41</v>
      </c>
    </row>
    <row r="6" spans="1:1" x14ac:dyDescent="0.25">
      <c r="A6">
        <v>1290.5</v>
      </c>
    </row>
    <row r="7" spans="1:1" x14ac:dyDescent="0.25">
      <c r="A7">
        <v>1234.5</v>
      </c>
    </row>
    <row r="8" spans="1:1" x14ac:dyDescent="0.25">
      <c r="A8">
        <v>1123</v>
      </c>
    </row>
    <row r="9" spans="1:1" x14ac:dyDescent="0.25">
      <c r="A9">
        <v>345.5</v>
      </c>
    </row>
    <row r="10" spans="1:1" x14ac:dyDescent="0.25">
      <c r="A10">
        <v>1089</v>
      </c>
    </row>
    <row r="11" spans="1:1" x14ac:dyDescent="0.25">
      <c r="A11">
        <v>242.5</v>
      </c>
    </row>
    <row r="12" spans="1:1" x14ac:dyDescent="0.25">
      <c r="A12">
        <v>41</v>
      </c>
    </row>
    <row r="13" spans="1:1" x14ac:dyDescent="0.25">
      <c r="A13">
        <v>343</v>
      </c>
    </row>
    <row r="14" spans="1:1" x14ac:dyDescent="0.25">
      <c r="A14">
        <v>41</v>
      </c>
    </row>
    <row r="15" spans="1:1" x14ac:dyDescent="0.25">
      <c r="A15">
        <v>1821.5</v>
      </c>
    </row>
    <row r="16" spans="1:1" x14ac:dyDescent="0.25">
      <c r="A16">
        <v>41</v>
      </c>
    </row>
    <row r="17" spans="1:1" x14ac:dyDescent="0.25">
      <c r="A17">
        <v>697</v>
      </c>
    </row>
    <row r="18" spans="1:1" x14ac:dyDescent="0.25">
      <c r="A18">
        <v>1002</v>
      </c>
    </row>
    <row r="19" spans="1:1" x14ac:dyDescent="0.25">
      <c r="A19">
        <v>451.5</v>
      </c>
    </row>
    <row r="20" spans="1:1" x14ac:dyDescent="0.25">
      <c r="A20">
        <v>3473</v>
      </c>
    </row>
    <row r="21" spans="1:1" x14ac:dyDescent="0.25">
      <c r="A21">
        <v>2785</v>
      </c>
    </row>
    <row r="22" spans="1:1" x14ac:dyDescent="0.25">
      <c r="A22">
        <v>341.5</v>
      </c>
    </row>
    <row r="23" spans="1:1" x14ac:dyDescent="0.25">
      <c r="A23">
        <v>2886.5</v>
      </c>
    </row>
    <row r="24" spans="1:1" x14ac:dyDescent="0.25">
      <c r="A24">
        <v>655.5</v>
      </c>
    </row>
    <row r="25" spans="1:1" x14ac:dyDescent="0.25">
      <c r="A25">
        <v>41</v>
      </c>
    </row>
    <row r="26" spans="1:1" x14ac:dyDescent="0.25">
      <c r="A26">
        <v>135</v>
      </c>
    </row>
    <row r="27" spans="1:1" x14ac:dyDescent="0.25">
      <c r="A27">
        <v>159</v>
      </c>
    </row>
    <row r="28" spans="1:1" x14ac:dyDescent="0.25">
      <c r="A28">
        <v>5472</v>
      </c>
    </row>
    <row r="29" spans="1:1" x14ac:dyDescent="0.25">
      <c r="A29">
        <f>SUM(A1:A28)</f>
        <v>27429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P37"/>
  <sheetViews>
    <sheetView zoomScaleNormal="100" workbookViewId="0">
      <selection activeCell="H39" sqref="H39"/>
    </sheetView>
  </sheetViews>
  <sheetFormatPr baseColWidth="10" defaultRowHeight="15" x14ac:dyDescent="0.25"/>
  <cols>
    <col min="1" max="1" width="10.140625" style="27" customWidth="1"/>
    <col min="2" max="2" width="7.42578125" style="27" customWidth="1"/>
    <col min="3" max="3" width="6" style="27" customWidth="1"/>
    <col min="4" max="4" width="11.85546875" style="27" customWidth="1"/>
    <col min="5" max="5" width="10.42578125" style="27" customWidth="1"/>
    <col min="6" max="6" width="4.28515625" style="27" customWidth="1"/>
    <col min="7" max="7" width="11.140625" style="27" customWidth="1"/>
    <col min="8" max="8" width="7.85546875" style="27" bestFit="1" customWidth="1"/>
    <col min="9" max="9" width="11.5703125" style="27" bestFit="1" customWidth="1"/>
    <col min="10" max="10" width="6.28515625" style="27" bestFit="1" customWidth="1"/>
    <col min="11" max="12" width="8.7109375" style="27" customWidth="1"/>
    <col min="13" max="13" width="10" style="27" bestFit="1" customWidth="1"/>
    <col min="14" max="15" width="5.7109375" style="27" customWidth="1"/>
    <col min="16" max="16" width="18.85546875" style="27" customWidth="1"/>
    <col min="17" max="17" width="0.5703125" style="27" customWidth="1"/>
    <col min="18" max="16384" width="11.42578125" style="27"/>
  </cols>
  <sheetData>
    <row r="1" spans="1:16" ht="17.25" customHeight="1" x14ac:dyDescent="0.25">
      <c r="A1" s="453" t="s">
        <v>119</v>
      </c>
      <c r="B1" s="453"/>
      <c r="C1" s="453"/>
      <c r="D1" s="453"/>
      <c r="E1" s="453"/>
      <c r="F1" s="453"/>
      <c r="G1" s="453"/>
      <c r="H1" s="453"/>
      <c r="I1" s="453"/>
      <c r="J1" s="453"/>
      <c r="K1" s="453"/>
      <c r="L1" s="453"/>
      <c r="M1" s="453"/>
      <c r="N1" s="453"/>
      <c r="O1" s="453"/>
      <c r="P1" s="453"/>
    </row>
    <row r="2" spans="1:16" ht="18" customHeight="1" x14ac:dyDescent="0.25">
      <c r="A2" s="454" t="s">
        <v>118</v>
      </c>
      <c r="B2" s="455"/>
      <c r="C2" s="456">
        <v>2026</v>
      </c>
      <c r="D2" s="457"/>
      <c r="E2" s="457"/>
      <c r="F2" s="457"/>
      <c r="G2" s="457"/>
      <c r="H2" s="457"/>
      <c r="I2" s="457"/>
      <c r="J2" s="458"/>
      <c r="K2" s="459" t="s">
        <v>120</v>
      </c>
      <c r="L2" s="460"/>
      <c r="M2" s="461" t="s">
        <v>156</v>
      </c>
      <c r="N2" s="461"/>
      <c r="O2" s="461"/>
      <c r="P2" s="462"/>
    </row>
    <row r="3" spans="1:16" ht="18" customHeight="1" x14ac:dyDescent="0.25">
      <c r="A3" s="445" t="s">
        <v>121</v>
      </c>
      <c r="B3" s="446"/>
      <c r="C3" s="447" t="s">
        <v>157</v>
      </c>
      <c r="D3" s="448"/>
      <c r="E3" s="448"/>
      <c r="F3" s="448"/>
      <c r="G3" s="448"/>
      <c r="H3" s="448"/>
      <c r="I3" s="448"/>
      <c r="J3" s="449"/>
      <c r="K3" s="450" t="s">
        <v>122</v>
      </c>
      <c r="L3" s="450"/>
      <c r="M3" s="451" t="s">
        <v>158</v>
      </c>
      <c r="N3" s="451"/>
      <c r="O3" s="451"/>
      <c r="P3" s="452"/>
    </row>
    <row r="4" spans="1:16" ht="18" customHeight="1" x14ac:dyDescent="0.25">
      <c r="A4" s="445" t="s">
        <v>123</v>
      </c>
      <c r="B4" s="446"/>
      <c r="C4" s="447" t="s">
        <v>34</v>
      </c>
      <c r="D4" s="448"/>
      <c r="E4" s="448"/>
      <c r="F4" s="448"/>
      <c r="G4" s="448"/>
      <c r="H4" s="448"/>
      <c r="I4" s="448"/>
      <c r="J4" s="449"/>
      <c r="K4" s="450" t="s">
        <v>124</v>
      </c>
      <c r="L4" s="450"/>
      <c r="M4" s="463" t="s">
        <v>159</v>
      </c>
      <c r="N4" s="451"/>
      <c r="O4" s="451"/>
      <c r="P4" s="452"/>
    </row>
    <row r="5" spans="1:16" ht="18" customHeight="1" x14ac:dyDescent="0.25">
      <c r="A5" s="445" t="s">
        <v>125</v>
      </c>
      <c r="B5" s="446"/>
      <c r="C5" s="447" t="s">
        <v>160</v>
      </c>
      <c r="D5" s="448"/>
      <c r="E5" s="448"/>
      <c r="F5" s="448"/>
      <c r="G5" s="448"/>
      <c r="H5" s="448"/>
      <c r="I5" s="448"/>
      <c r="J5" s="449"/>
      <c r="K5" s="450" t="s">
        <v>126</v>
      </c>
      <c r="L5" s="450"/>
      <c r="M5" s="463" t="s">
        <v>161</v>
      </c>
      <c r="N5" s="451"/>
      <c r="O5" s="451"/>
      <c r="P5" s="452"/>
    </row>
    <row r="6" spans="1:16" ht="18" customHeight="1" x14ac:dyDescent="0.25">
      <c r="A6" s="464" t="s">
        <v>127</v>
      </c>
      <c r="B6" s="465" t="s">
        <v>128</v>
      </c>
      <c r="C6" s="465" t="s">
        <v>129</v>
      </c>
      <c r="D6" s="466" t="s">
        <v>130</v>
      </c>
      <c r="E6" s="467"/>
      <c r="F6" s="467"/>
      <c r="G6" s="468"/>
      <c r="H6" s="465" t="s">
        <v>131</v>
      </c>
      <c r="I6" s="465"/>
      <c r="J6" s="465"/>
      <c r="K6" s="465" t="s">
        <v>132</v>
      </c>
      <c r="L6" s="465"/>
      <c r="M6" s="465"/>
      <c r="N6" s="472" t="s">
        <v>153</v>
      </c>
      <c r="O6" s="473"/>
      <c r="P6" s="476" t="s">
        <v>133</v>
      </c>
    </row>
    <row r="7" spans="1:16" ht="18" customHeight="1" x14ac:dyDescent="0.25">
      <c r="A7" s="464"/>
      <c r="B7" s="465"/>
      <c r="C7" s="465"/>
      <c r="D7" s="469"/>
      <c r="E7" s="470"/>
      <c r="F7" s="470"/>
      <c r="G7" s="471"/>
      <c r="H7" s="28" t="s">
        <v>135</v>
      </c>
      <c r="I7" s="28" t="s">
        <v>136</v>
      </c>
      <c r="J7" s="28" t="s">
        <v>137</v>
      </c>
      <c r="K7" s="28" t="s">
        <v>138</v>
      </c>
      <c r="L7" s="28" t="s">
        <v>139</v>
      </c>
      <c r="M7" s="28" t="s">
        <v>140</v>
      </c>
      <c r="N7" s="474"/>
      <c r="O7" s="475"/>
      <c r="P7" s="477"/>
    </row>
    <row r="8" spans="1:16" ht="18" customHeight="1" x14ac:dyDescent="0.25">
      <c r="A8" s="29"/>
      <c r="B8" s="15"/>
      <c r="C8" s="15"/>
      <c r="D8" s="478" t="s">
        <v>141</v>
      </c>
      <c r="E8" s="479"/>
      <c r="F8" s="479"/>
      <c r="G8" s="480"/>
      <c r="H8" s="5"/>
      <c r="I8" s="30"/>
      <c r="J8" s="31">
        <v>62.43</v>
      </c>
      <c r="K8" s="32"/>
      <c r="L8" s="31">
        <v>463577</v>
      </c>
      <c r="M8" s="7"/>
      <c r="N8" s="481"/>
      <c r="O8" s="481"/>
      <c r="P8" s="18"/>
    </row>
    <row r="9" spans="1:16" ht="18" customHeight="1" x14ac:dyDescent="0.25">
      <c r="A9" s="33">
        <v>46023</v>
      </c>
      <c r="B9" s="34"/>
      <c r="C9" s="34"/>
      <c r="D9" s="482" t="s">
        <v>162</v>
      </c>
      <c r="E9" s="483"/>
      <c r="F9" s="483"/>
      <c r="G9" s="484"/>
      <c r="H9" s="35">
        <f>C9</f>
        <v>0</v>
      </c>
      <c r="I9" s="36">
        <f>+M9/N9</f>
        <v>7.166666666666667</v>
      </c>
      <c r="J9" s="36">
        <f>+J8+H9-I9</f>
        <v>55.263333333333335</v>
      </c>
      <c r="K9" s="35">
        <f>+L8</f>
        <v>463577</v>
      </c>
      <c r="L9" s="34">
        <v>463620</v>
      </c>
      <c r="M9" s="37">
        <f>+L9-K9</f>
        <v>43</v>
      </c>
      <c r="N9" s="485">
        <v>6</v>
      </c>
      <c r="O9" s="485"/>
      <c r="P9" s="38"/>
    </row>
    <row r="10" spans="1:16" ht="18" customHeight="1" x14ac:dyDescent="0.25">
      <c r="A10" s="33">
        <v>46024</v>
      </c>
      <c r="B10" s="34"/>
      <c r="C10" s="34"/>
      <c r="D10" s="482" t="s">
        <v>162</v>
      </c>
      <c r="E10" s="483"/>
      <c r="F10" s="483"/>
      <c r="G10" s="484"/>
      <c r="H10" s="35">
        <f t="shared" ref="H10:H23" si="0">C10</f>
        <v>0</v>
      </c>
      <c r="I10" s="36">
        <f t="shared" ref="I10:I23" si="1">+M10/N10</f>
        <v>0</v>
      </c>
      <c r="J10" s="36">
        <f t="shared" ref="J10:J23" si="2">+J9+H10-I10</f>
        <v>55.263333333333335</v>
      </c>
      <c r="K10" s="35">
        <f>+L9</f>
        <v>463620</v>
      </c>
      <c r="L10" s="34">
        <v>463620</v>
      </c>
      <c r="M10" s="37">
        <f t="shared" ref="M10:M23" si="3">+L10-K10</f>
        <v>0</v>
      </c>
      <c r="N10" s="485">
        <v>6</v>
      </c>
      <c r="O10" s="485"/>
      <c r="P10" s="38"/>
    </row>
    <row r="11" spans="1:16" ht="18" customHeight="1" x14ac:dyDescent="0.25">
      <c r="A11" s="33">
        <v>46025</v>
      </c>
      <c r="B11" s="34"/>
      <c r="C11" s="34"/>
      <c r="D11" s="482" t="s">
        <v>162</v>
      </c>
      <c r="E11" s="483"/>
      <c r="F11" s="483"/>
      <c r="G11" s="484"/>
      <c r="H11" s="35">
        <f t="shared" si="0"/>
        <v>0</v>
      </c>
      <c r="I11" s="36">
        <f t="shared" si="1"/>
        <v>0</v>
      </c>
      <c r="J11" s="36">
        <f t="shared" si="2"/>
        <v>55.263333333333335</v>
      </c>
      <c r="K11" s="35">
        <f t="shared" ref="K11:K23" si="4">+L10</f>
        <v>463620</v>
      </c>
      <c r="L11" s="34">
        <v>463620</v>
      </c>
      <c r="M11" s="37">
        <f t="shared" si="3"/>
        <v>0</v>
      </c>
      <c r="N11" s="485">
        <v>6</v>
      </c>
      <c r="O11" s="485"/>
      <c r="P11" s="38"/>
    </row>
    <row r="12" spans="1:16" ht="18" customHeight="1" x14ac:dyDescent="0.25">
      <c r="A12" s="33">
        <v>46026</v>
      </c>
      <c r="B12" s="34"/>
      <c r="C12" s="34"/>
      <c r="D12" s="482" t="s">
        <v>162</v>
      </c>
      <c r="E12" s="483"/>
      <c r="F12" s="483"/>
      <c r="G12" s="484"/>
      <c r="H12" s="35">
        <f t="shared" si="0"/>
        <v>0</v>
      </c>
      <c r="I12" s="36">
        <f t="shared" si="1"/>
        <v>0</v>
      </c>
      <c r="J12" s="36">
        <f t="shared" si="2"/>
        <v>55.263333333333335</v>
      </c>
      <c r="K12" s="35">
        <f t="shared" si="4"/>
        <v>463620</v>
      </c>
      <c r="L12" s="34">
        <v>463620</v>
      </c>
      <c r="M12" s="37">
        <f t="shared" si="3"/>
        <v>0</v>
      </c>
      <c r="N12" s="485">
        <v>6</v>
      </c>
      <c r="O12" s="485"/>
      <c r="P12" s="38"/>
    </row>
    <row r="13" spans="1:16" ht="18" customHeight="1" x14ac:dyDescent="0.25">
      <c r="A13" s="33">
        <v>46027</v>
      </c>
      <c r="B13" s="34"/>
      <c r="C13" s="34"/>
      <c r="D13" s="482" t="s">
        <v>162</v>
      </c>
      <c r="E13" s="483"/>
      <c r="F13" s="483"/>
      <c r="G13" s="484"/>
      <c r="H13" s="35">
        <f t="shared" si="0"/>
        <v>0</v>
      </c>
      <c r="I13" s="36">
        <f t="shared" si="1"/>
        <v>0</v>
      </c>
      <c r="J13" s="36">
        <f t="shared" si="2"/>
        <v>55.263333333333335</v>
      </c>
      <c r="K13" s="35">
        <f t="shared" si="4"/>
        <v>463620</v>
      </c>
      <c r="L13" s="34">
        <v>463620</v>
      </c>
      <c r="M13" s="37">
        <f t="shared" si="3"/>
        <v>0</v>
      </c>
      <c r="N13" s="485">
        <v>6</v>
      </c>
      <c r="O13" s="485"/>
      <c r="P13" s="38"/>
    </row>
    <row r="14" spans="1:16" ht="18" customHeight="1" x14ac:dyDescent="0.25">
      <c r="A14" s="33">
        <v>46028</v>
      </c>
      <c r="B14" s="34"/>
      <c r="C14" s="34"/>
      <c r="D14" s="482" t="s">
        <v>162</v>
      </c>
      <c r="E14" s="483"/>
      <c r="F14" s="483"/>
      <c r="G14" s="484"/>
      <c r="H14" s="35">
        <f t="shared" si="0"/>
        <v>0</v>
      </c>
      <c r="I14" s="36">
        <f t="shared" si="1"/>
        <v>6.333333333333333</v>
      </c>
      <c r="J14" s="36">
        <f t="shared" si="2"/>
        <v>48.93</v>
      </c>
      <c r="K14" s="35">
        <f t="shared" si="4"/>
        <v>463620</v>
      </c>
      <c r="L14" s="34">
        <v>463658</v>
      </c>
      <c r="M14" s="37">
        <f t="shared" si="3"/>
        <v>38</v>
      </c>
      <c r="N14" s="486">
        <v>6</v>
      </c>
      <c r="O14" s="487"/>
      <c r="P14" s="38"/>
    </row>
    <row r="15" spans="1:16" ht="18" customHeight="1" x14ac:dyDescent="0.25">
      <c r="A15" s="33">
        <v>46029</v>
      </c>
      <c r="B15" s="34"/>
      <c r="C15" s="34"/>
      <c r="D15" s="482" t="s">
        <v>162</v>
      </c>
      <c r="E15" s="483"/>
      <c r="F15" s="483"/>
      <c r="G15" s="484"/>
      <c r="H15" s="35">
        <f t="shared" si="0"/>
        <v>0</v>
      </c>
      <c r="I15" s="36">
        <f t="shared" si="1"/>
        <v>3.8333333333333335</v>
      </c>
      <c r="J15" s="36">
        <f t="shared" si="2"/>
        <v>45.096666666666664</v>
      </c>
      <c r="K15" s="35">
        <f t="shared" si="4"/>
        <v>463658</v>
      </c>
      <c r="L15" s="34">
        <v>463681</v>
      </c>
      <c r="M15" s="37">
        <f t="shared" si="3"/>
        <v>23</v>
      </c>
      <c r="N15" s="486">
        <v>6</v>
      </c>
      <c r="O15" s="487"/>
      <c r="P15" s="38"/>
    </row>
    <row r="16" spans="1:16" ht="18" customHeight="1" x14ac:dyDescent="0.25">
      <c r="A16" s="33">
        <v>46030</v>
      </c>
      <c r="B16" s="34"/>
      <c r="C16" s="34"/>
      <c r="D16" s="482" t="s">
        <v>162</v>
      </c>
      <c r="E16" s="483"/>
      <c r="F16" s="483"/>
      <c r="G16" s="484"/>
      <c r="H16" s="35">
        <f t="shared" si="0"/>
        <v>0</v>
      </c>
      <c r="I16" s="36">
        <f t="shared" si="1"/>
        <v>7.333333333333333</v>
      </c>
      <c r="J16" s="36">
        <f t="shared" si="2"/>
        <v>37.763333333333328</v>
      </c>
      <c r="K16" s="35">
        <f t="shared" si="4"/>
        <v>463681</v>
      </c>
      <c r="L16" s="34">
        <v>463725</v>
      </c>
      <c r="M16" s="37">
        <f t="shared" si="3"/>
        <v>44</v>
      </c>
      <c r="N16" s="486">
        <v>6</v>
      </c>
      <c r="O16" s="487"/>
      <c r="P16" s="38"/>
    </row>
    <row r="17" spans="1:16" ht="18" customHeight="1" x14ac:dyDescent="0.25">
      <c r="A17" s="33">
        <v>46031</v>
      </c>
      <c r="B17" s="34">
        <v>20553</v>
      </c>
      <c r="C17" s="34">
        <v>30</v>
      </c>
      <c r="D17" s="482" t="s">
        <v>162</v>
      </c>
      <c r="E17" s="483"/>
      <c r="F17" s="483"/>
      <c r="G17" s="484"/>
      <c r="H17" s="35">
        <f t="shared" si="0"/>
        <v>30</v>
      </c>
      <c r="I17" s="36">
        <f t="shared" si="1"/>
        <v>7.833333333333333</v>
      </c>
      <c r="J17" s="36">
        <f t="shared" si="2"/>
        <v>59.929999999999986</v>
      </c>
      <c r="K17" s="35">
        <f t="shared" si="4"/>
        <v>463725</v>
      </c>
      <c r="L17" s="34">
        <v>463772</v>
      </c>
      <c r="M17" s="37">
        <f t="shared" si="3"/>
        <v>47</v>
      </c>
      <c r="N17" s="486">
        <v>6</v>
      </c>
      <c r="O17" s="487"/>
      <c r="P17" s="38"/>
    </row>
    <row r="18" spans="1:16" ht="18" customHeight="1" x14ac:dyDescent="0.25">
      <c r="A18" s="33">
        <v>46032</v>
      </c>
      <c r="B18" s="34"/>
      <c r="C18" s="39"/>
      <c r="D18" s="482" t="s">
        <v>162</v>
      </c>
      <c r="E18" s="483"/>
      <c r="F18" s="483"/>
      <c r="G18" s="484"/>
      <c r="H18" s="35">
        <f t="shared" si="0"/>
        <v>0</v>
      </c>
      <c r="I18" s="36">
        <f t="shared" si="1"/>
        <v>8</v>
      </c>
      <c r="J18" s="36">
        <f t="shared" si="2"/>
        <v>51.929999999999986</v>
      </c>
      <c r="K18" s="35">
        <f t="shared" si="4"/>
        <v>463772</v>
      </c>
      <c r="L18" s="34">
        <v>463820</v>
      </c>
      <c r="M18" s="37">
        <f t="shared" si="3"/>
        <v>48</v>
      </c>
      <c r="N18" s="486">
        <v>6</v>
      </c>
      <c r="O18" s="487"/>
      <c r="P18" s="38"/>
    </row>
    <row r="19" spans="1:16" ht="18" customHeight="1" x14ac:dyDescent="0.25">
      <c r="A19" s="33">
        <v>46033</v>
      </c>
      <c r="B19" s="34"/>
      <c r="C19" s="39"/>
      <c r="D19" s="482" t="s">
        <v>162</v>
      </c>
      <c r="E19" s="483"/>
      <c r="F19" s="483"/>
      <c r="G19" s="484"/>
      <c r="H19" s="35">
        <f t="shared" si="0"/>
        <v>0</v>
      </c>
      <c r="I19" s="36">
        <f t="shared" si="1"/>
        <v>8.1666666666666661</v>
      </c>
      <c r="J19" s="36">
        <f t="shared" si="2"/>
        <v>43.763333333333321</v>
      </c>
      <c r="K19" s="35">
        <f t="shared" si="4"/>
        <v>463820</v>
      </c>
      <c r="L19" s="34">
        <v>463869</v>
      </c>
      <c r="M19" s="37">
        <f t="shared" si="3"/>
        <v>49</v>
      </c>
      <c r="N19" s="486">
        <v>6</v>
      </c>
      <c r="O19" s="487"/>
      <c r="P19" s="38"/>
    </row>
    <row r="20" spans="1:16" ht="18" customHeight="1" x14ac:dyDescent="0.25">
      <c r="A20" s="33">
        <v>46034</v>
      </c>
      <c r="B20" s="34"/>
      <c r="C20" s="39"/>
      <c r="D20" s="482" t="s">
        <v>162</v>
      </c>
      <c r="E20" s="483"/>
      <c r="F20" s="483"/>
      <c r="G20" s="484"/>
      <c r="H20" s="35">
        <f t="shared" si="0"/>
        <v>0</v>
      </c>
      <c r="I20" s="36">
        <f t="shared" si="1"/>
        <v>0</v>
      </c>
      <c r="J20" s="36">
        <f t="shared" si="2"/>
        <v>43.763333333333321</v>
      </c>
      <c r="K20" s="35">
        <f t="shared" si="4"/>
        <v>463869</v>
      </c>
      <c r="L20" s="34">
        <v>463869</v>
      </c>
      <c r="M20" s="37">
        <f t="shared" si="3"/>
        <v>0</v>
      </c>
      <c r="N20" s="486">
        <v>6</v>
      </c>
      <c r="O20" s="487"/>
      <c r="P20" s="38"/>
    </row>
    <row r="21" spans="1:16" ht="18" customHeight="1" x14ac:dyDescent="0.25">
      <c r="A21" s="33">
        <v>46035</v>
      </c>
      <c r="B21" s="34"/>
      <c r="C21" s="39"/>
      <c r="D21" s="482" t="s">
        <v>162</v>
      </c>
      <c r="E21" s="483"/>
      <c r="F21" s="483"/>
      <c r="G21" s="484"/>
      <c r="H21" s="35">
        <f t="shared" si="0"/>
        <v>0</v>
      </c>
      <c r="I21" s="36">
        <f t="shared" si="1"/>
        <v>7.833333333333333</v>
      </c>
      <c r="J21" s="36">
        <f t="shared" si="2"/>
        <v>35.929999999999986</v>
      </c>
      <c r="K21" s="35">
        <f t="shared" si="4"/>
        <v>463869</v>
      </c>
      <c r="L21" s="34">
        <v>463916</v>
      </c>
      <c r="M21" s="37">
        <f t="shared" si="3"/>
        <v>47</v>
      </c>
      <c r="N21" s="486">
        <v>6</v>
      </c>
      <c r="O21" s="487"/>
      <c r="P21" s="38"/>
    </row>
    <row r="22" spans="1:16" ht="18" customHeight="1" x14ac:dyDescent="0.25">
      <c r="A22" s="33">
        <v>46036</v>
      </c>
      <c r="B22" s="34">
        <v>20554</v>
      </c>
      <c r="C22" s="39">
        <v>30</v>
      </c>
      <c r="D22" s="482" t="s">
        <v>162</v>
      </c>
      <c r="E22" s="483"/>
      <c r="F22" s="483"/>
      <c r="G22" s="484"/>
      <c r="H22" s="35">
        <f t="shared" si="0"/>
        <v>30</v>
      </c>
      <c r="I22" s="36">
        <f t="shared" si="1"/>
        <v>7.833333333333333</v>
      </c>
      <c r="J22" s="36">
        <f t="shared" si="2"/>
        <v>58.096666666666643</v>
      </c>
      <c r="K22" s="35">
        <f t="shared" si="4"/>
        <v>463916</v>
      </c>
      <c r="L22" s="34">
        <v>463963</v>
      </c>
      <c r="M22" s="37">
        <f t="shared" si="3"/>
        <v>47</v>
      </c>
      <c r="N22" s="486">
        <v>6</v>
      </c>
      <c r="O22" s="487"/>
      <c r="P22" s="38"/>
    </row>
    <row r="23" spans="1:16" ht="18" customHeight="1" x14ac:dyDescent="0.25">
      <c r="A23" s="33">
        <v>46037</v>
      </c>
      <c r="B23" s="34"/>
      <c r="C23" s="39"/>
      <c r="D23" s="482" t="s">
        <v>163</v>
      </c>
      <c r="E23" s="483"/>
      <c r="F23" s="483"/>
      <c r="G23" s="484"/>
      <c r="H23" s="35">
        <f t="shared" si="0"/>
        <v>0</v>
      </c>
      <c r="I23" s="36">
        <f t="shared" si="1"/>
        <v>25.333333333333332</v>
      </c>
      <c r="J23" s="36">
        <f t="shared" si="2"/>
        <v>32.763333333333307</v>
      </c>
      <c r="K23" s="35">
        <f t="shared" si="4"/>
        <v>463963</v>
      </c>
      <c r="L23" s="34">
        <v>464115</v>
      </c>
      <c r="M23" s="37">
        <f t="shared" si="3"/>
        <v>152</v>
      </c>
      <c r="N23" s="486">
        <v>6</v>
      </c>
      <c r="O23" s="487"/>
      <c r="P23" s="38"/>
    </row>
    <row r="24" spans="1:16" ht="18" customHeight="1" x14ac:dyDescent="0.25">
      <c r="A24" s="40"/>
      <c r="B24" s="34"/>
      <c r="C24" s="39"/>
      <c r="D24" s="482"/>
      <c r="E24" s="483"/>
      <c r="F24" s="483"/>
      <c r="G24" s="484"/>
      <c r="H24" s="35"/>
      <c r="I24" s="36"/>
      <c r="J24" s="36"/>
      <c r="K24" s="35"/>
      <c r="L24" s="34"/>
      <c r="M24" s="37"/>
      <c r="N24" s="41"/>
      <c r="O24" s="39"/>
      <c r="P24" s="38"/>
    </row>
    <row r="25" spans="1:16" ht="18" customHeight="1" x14ac:dyDescent="0.25">
      <c r="A25" s="27" t="s">
        <v>143</v>
      </c>
      <c r="I25" s="42"/>
      <c r="J25" s="42"/>
    </row>
    <row r="26" spans="1:16" ht="18" customHeight="1" x14ac:dyDescent="0.25">
      <c r="A26" s="488" t="s">
        <v>144</v>
      </c>
      <c r="B26" s="488"/>
      <c r="C26" s="488"/>
      <c r="D26" s="488"/>
      <c r="E26" s="43">
        <f>+K9</f>
        <v>463577</v>
      </c>
      <c r="G26" s="464" t="s">
        <v>145</v>
      </c>
      <c r="H26" s="464"/>
      <c r="I26" s="464" t="s">
        <v>146</v>
      </c>
      <c r="J26" s="464"/>
      <c r="K26" s="472" t="s">
        <v>147</v>
      </c>
      <c r="L26" s="473"/>
      <c r="M26" s="472" t="s">
        <v>148</v>
      </c>
      <c r="N26" s="473"/>
      <c r="O26" s="472" t="s">
        <v>149</v>
      </c>
      <c r="P26" s="473"/>
    </row>
    <row r="27" spans="1:16" ht="18" customHeight="1" x14ac:dyDescent="0.25">
      <c r="A27" s="488" t="s">
        <v>150</v>
      </c>
      <c r="B27" s="488"/>
      <c r="C27" s="488"/>
      <c r="D27" s="488"/>
      <c r="E27" s="43">
        <f>+L23</f>
        <v>464115</v>
      </c>
      <c r="G27" s="464"/>
      <c r="H27" s="464"/>
      <c r="I27" s="464"/>
      <c r="J27" s="464"/>
      <c r="K27" s="474"/>
      <c r="L27" s="475"/>
      <c r="M27" s="474"/>
      <c r="N27" s="475"/>
      <c r="O27" s="474"/>
      <c r="P27" s="475"/>
    </row>
    <row r="28" spans="1:16" ht="18" customHeight="1" x14ac:dyDescent="0.25">
      <c r="A28" s="488" t="s">
        <v>151</v>
      </c>
      <c r="B28" s="488"/>
      <c r="C28" s="488"/>
      <c r="D28" s="488"/>
      <c r="E28" s="43">
        <f>+E27-E26</f>
        <v>538</v>
      </c>
      <c r="G28" s="485"/>
      <c r="H28" s="485"/>
      <c r="I28" s="493"/>
      <c r="J28" s="493"/>
      <c r="K28" s="494"/>
      <c r="L28" s="495"/>
      <c r="M28" s="494"/>
      <c r="N28" s="495"/>
      <c r="O28" s="494"/>
      <c r="P28" s="495"/>
    </row>
    <row r="29" spans="1:16" ht="18" customHeight="1" x14ac:dyDescent="0.25">
      <c r="A29" s="488" t="s">
        <v>164</v>
      </c>
      <c r="B29" s="488"/>
      <c r="C29" s="488"/>
      <c r="D29" s="488"/>
      <c r="E29" s="44">
        <f>SUM(H9:H24)</f>
        <v>60</v>
      </c>
      <c r="G29" s="485"/>
      <c r="H29" s="485"/>
      <c r="I29" s="493"/>
      <c r="J29" s="493"/>
      <c r="K29" s="496"/>
      <c r="L29" s="497"/>
      <c r="M29" s="496"/>
      <c r="N29" s="497"/>
      <c r="O29" s="496"/>
      <c r="P29" s="497"/>
    </row>
    <row r="30" spans="1:16" ht="18" customHeight="1" x14ac:dyDescent="0.25">
      <c r="A30" s="488" t="s">
        <v>165</v>
      </c>
      <c r="B30" s="488"/>
      <c r="C30" s="488"/>
      <c r="D30" s="488"/>
      <c r="E30" s="44">
        <f>SUM(I9:I23)</f>
        <v>89.666666666666657</v>
      </c>
      <c r="G30" s="485"/>
      <c r="H30" s="485"/>
      <c r="I30" s="493"/>
      <c r="J30" s="493"/>
      <c r="K30" s="496"/>
      <c r="L30" s="497"/>
      <c r="M30" s="496"/>
      <c r="N30" s="497"/>
      <c r="O30" s="496"/>
      <c r="P30" s="497"/>
    </row>
    <row r="31" spans="1:16" ht="18" customHeight="1" x14ac:dyDescent="0.25">
      <c r="A31" s="488" t="s">
        <v>153</v>
      </c>
      <c r="B31" s="488"/>
      <c r="C31" s="488"/>
      <c r="D31" s="488"/>
      <c r="E31" s="36">
        <f>(SUM(N9:O23))/15</f>
        <v>6</v>
      </c>
      <c r="G31" s="485"/>
      <c r="H31" s="485"/>
      <c r="I31" s="493"/>
      <c r="J31" s="493"/>
      <c r="K31" s="496"/>
      <c r="L31" s="497"/>
      <c r="M31" s="496"/>
      <c r="N31" s="497"/>
      <c r="O31" s="496"/>
      <c r="P31" s="497"/>
    </row>
    <row r="32" spans="1:16" ht="18" customHeight="1" x14ac:dyDescent="0.25">
      <c r="A32" s="489" t="s">
        <v>154</v>
      </c>
      <c r="B32" s="489"/>
      <c r="C32" s="489"/>
      <c r="D32" s="489"/>
      <c r="E32" s="36">
        <f>+J23</f>
        <v>32.763333333333307</v>
      </c>
      <c r="G32" s="485"/>
      <c r="H32" s="485"/>
      <c r="I32" s="493"/>
      <c r="J32" s="493"/>
      <c r="K32" s="498"/>
      <c r="L32" s="499"/>
      <c r="M32" s="498"/>
      <c r="N32" s="499"/>
      <c r="O32" s="498"/>
      <c r="P32" s="499"/>
    </row>
    <row r="33" spans="1:16" ht="6.75" customHeight="1" x14ac:dyDescent="0.25">
      <c r="A33" s="490"/>
      <c r="B33" s="490"/>
      <c r="C33" s="490"/>
    </row>
    <row r="34" spans="1:16" ht="15" customHeight="1" x14ac:dyDescent="0.25">
      <c r="A34" s="491" t="s">
        <v>155</v>
      </c>
      <c r="B34" s="492"/>
      <c r="C34" s="45"/>
      <c r="D34" s="45"/>
      <c r="E34" s="45"/>
      <c r="F34" s="45"/>
      <c r="G34" s="45"/>
      <c r="H34" s="45"/>
      <c r="I34" s="45"/>
      <c r="J34" s="45"/>
      <c r="K34" s="45"/>
      <c r="L34" s="45"/>
      <c r="M34" s="45"/>
      <c r="N34" s="45"/>
      <c r="O34" s="45"/>
      <c r="P34" s="46"/>
    </row>
    <row r="35" spans="1:16" ht="15" customHeight="1" x14ac:dyDescent="0.25">
      <c r="A35" s="47"/>
      <c r="B35" s="48"/>
      <c r="C35" s="48"/>
      <c r="D35" s="48"/>
      <c r="E35" s="48"/>
      <c r="F35" s="48"/>
      <c r="G35" s="48"/>
      <c r="H35" s="48"/>
      <c r="I35" s="48"/>
      <c r="J35" s="48"/>
      <c r="K35" s="48"/>
      <c r="L35" s="48"/>
      <c r="M35" s="48"/>
      <c r="N35" s="48"/>
      <c r="O35" s="48"/>
      <c r="P35" s="49"/>
    </row>
    <row r="36" spans="1:16" ht="15" customHeight="1" x14ac:dyDescent="0.25">
      <c r="A36" s="50"/>
      <c r="B36" s="51"/>
      <c r="C36" s="51"/>
      <c r="D36" s="51"/>
      <c r="E36" s="51"/>
      <c r="F36" s="51"/>
      <c r="G36" s="51"/>
      <c r="H36" s="51"/>
      <c r="I36" s="51"/>
      <c r="J36" s="51"/>
      <c r="K36" s="51"/>
      <c r="L36" s="51"/>
      <c r="M36" s="51"/>
      <c r="N36" s="51"/>
      <c r="O36" s="51"/>
      <c r="P36" s="52"/>
    </row>
    <row r="37" spans="1:16" ht="4.5" customHeight="1" x14ac:dyDescent="0.25"/>
  </sheetData>
  <mergeCells count="77">
    <mergeCell ref="A31:D31"/>
    <mergeCell ref="A32:D32"/>
    <mergeCell ref="A33:C33"/>
    <mergeCell ref="A34:B34"/>
    <mergeCell ref="O26:P27"/>
    <mergeCell ref="A27:D27"/>
    <mergeCell ref="A28:D28"/>
    <mergeCell ref="G28:H32"/>
    <mergeCell ref="I28:J32"/>
    <mergeCell ref="K28:L32"/>
    <mergeCell ref="M28:N32"/>
    <mergeCell ref="O28:P32"/>
    <mergeCell ref="A29:D29"/>
    <mergeCell ref="A30:D30"/>
    <mergeCell ref="A26:D26"/>
    <mergeCell ref="G26:H27"/>
    <mergeCell ref="I26:J27"/>
    <mergeCell ref="K26:L27"/>
    <mergeCell ref="M26:N27"/>
    <mergeCell ref="D19:G19"/>
    <mergeCell ref="N19:O19"/>
    <mergeCell ref="D20:G20"/>
    <mergeCell ref="N20:O20"/>
    <mergeCell ref="D21:G21"/>
    <mergeCell ref="N21:O21"/>
    <mergeCell ref="D22:G22"/>
    <mergeCell ref="N22:O22"/>
    <mergeCell ref="D23:G23"/>
    <mergeCell ref="N23:O23"/>
    <mergeCell ref="D24:G24"/>
    <mergeCell ref="D16:G16"/>
    <mergeCell ref="N16:O16"/>
    <mergeCell ref="D17:G17"/>
    <mergeCell ref="N17:O17"/>
    <mergeCell ref="D18:G18"/>
    <mergeCell ref="N18:O18"/>
    <mergeCell ref="D13:G13"/>
    <mergeCell ref="N13:O13"/>
    <mergeCell ref="D14:G14"/>
    <mergeCell ref="N14:O14"/>
    <mergeCell ref="D15:G15"/>
    <mergeCell ref="N15:O15"/>
    <mergeCell ref="D10:G10"/>
    <mergeCell ref="N10:O10"/>
    <mergeCell ref="D11:G11"/>
    <mergeCell ref="N11:O11"/>
    <mergeCell ref="D12:G12"/>
    <mergeCell ref="N12:O12"/>
    <mergeCell ref="N6:O7"/>
    <mergeCell ref="P6:P7"/>
    <mergeCell ref="D8:G8"/>
    <mergeCell ref="N8:O8"/>
    <mergeCell ref="D9:G9"/>
    <mergeCell ref="N9:O9"/>
    <mergeCell ref="K6:M6"/>
    <mergeCell ref="A6:A7"/>
    <mergeCell ref="B6:B7"/>
    <mergeCell ref="C6:C7"/>
    <mergeCell ref="D6:G7"/>
    <mergeCell ref="H6:J6"/>
    <mergeCell ref="A4:B4"/>
    <mergeCell ref="C4:J4"/>
    <mergeCell ref="K4:L4"/>
    <mergeCell ref="M4:P4"/>
    <mergeCell ref="A5:B5"/>
    <mergeCell ref="C5:J5"/>
    <mergeCell ref="K5:L5"/>
    <mergeCell ref="M5:P5"/>
    <mergeCell ref="A3:B3"/>
    <mergeCell ref="C3:J3"/>
    <mergeCell ref="K3:L3"/>
    <mergeCell ref="M3:P3"/>
    <mergeCell ref="A1:P1"/>
    <mergeCell ref="A2:B2"/>
    <mergeCell ref="C2:J2"/>
    <mergeCell ref="K2:L2"/>
    <mergeCell ref="M2:P2"/>
  </mergeCells>
  <pageMargins left="0.19685039370078741" right="0.39370078740157483" top="0.39370078740157483" bottom="0.39370078740157483" header="0" footer="0"/>
  <pageSetup scale="9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36"/>
  <sheetViews>
    <sheetView zoomScaleNormal="100" workbookViewId="0">
      <selection activeCell="H29" sqref="H29:I32"/>
    </sheetView>
  </sheetViews>
  <sheetFormatPr baseColWidth="10" defaultRowHeight="15" x14ac:dyDescent="0.25"/>
  <cols>
    <col min="1" max="1" width="9" customWidth="1"/>
    <col min="2" max="2" width="8.140625" customWidth="1"/>
    <col min="3" max="3" width="7.42578125" customWidth="1"/>
    <col min="4" max="4" width="12.42578125" customWidth="1"/>
    <col min="5" max="5" width="16.140625" customWidth="1"/>
    <col min="6" max="6" width="11.140625" customWidth="1"/>
    <col min="7" max="7" width="8.85546875" customWidth="1"/>
    <col min="8" max="8" width="11.140625" customWidth="1"/>
    <col min="9" max="9" width="9.5703125" customWidth="1"/>
    <col min="10" max="10" width="9.28515625" customWidth="1"/>
    <col min="11" max="11" width="10.140625" customWidth="1"/>
    <col min="12" max="12" width="12.140625" customWidth="1"/>
    <col min="13" max="13" width="8.85546875" customWidth="1"/>
    <col min="14" max="14" width="4.5703125" customWidth="1"/>
    <col min="15" max="15" width="13" customWidth="1"/>
  </cols>
  <sheetData>
    <row r="1" spans="1:15" ht="10.5" customHeight="1" x14ac:dyDescent="0.25">
      <c r="A1" s="500" t="s">
        <v>118</v>
      </c>
      <c r="B1" s="502">
        <v>2026</v>
      </c>
      <c r="C1" s="503"/>
      <c r="D1" s="506" t="s">
        <v>119</v>
      </c>
      <c r="E1" s="507"/>
      <c r="F1" s="507"/>
      <c r="G1" s="507"/>
      <c r="H1" s="507"/>
      <c r="I1" s="507"/>
      <c r="J1" s="507"/>
      <c r="K1" s="508"/>
      <c r="L1" s="512" t="s">
        <v>120</v>
      </c>
      <c r="M1" s="513"/>
      <c r="N1" s="513"/>
      <c r="O1" s="514"/>
    </row>
    <row r="2" spans="1:15" ht="8.25" customHeight="1" x14ac:dyDescent="0.25">
      <c r="A2" s="501"/>
      <c r="B2" s="504"/>
      <c r="C2" s="505"/>
      <c r="D2" s="509"/>
      <c r="E2" s="510"/>
      <c r="F2" s="510"/>
      <c r="G2" s="510"/>
      <c r="H2" s="510"/>
      <c r="I2" s="510"/>
      <c r="J2" s="510"/>
      <c r="K2" s="511"/>
      <c r="L2" s="515"/>
      <c r="M2" s="516"/>
      <c r="N2" s="516"/>
      <c r="O2" s="517"/>
    </row>
    <row r="3" spans="1:15" ht="13.5" customHeight="1" x14ac:dyDescent="0.25">
      <c r="A3" s="518" t="s">
        <v>121</v>
      </c>
      <c r="B3" s="519"/>
      <c r="C3" s="518"/>
      <c r="D3" s="520"/>
      <c r="E3" s="520"/>
      <c r="F3" s="520"/>
      <c r="G3" s="520"/>
      <c r="H3" s="520"/>
      <c r="I3" s="519"/>
      <c r="J3" s="521" t="s">
        <v>122</v>
      </c>
      <c r="K3" s="521"/>
      <c r="L3" s="522"/>
      <c r="M3" s="522"/>
      <c r="N3" s="522"/>
      <c r="O3" s="523"/>
    </row>
    <row r="4" spans="1:15" ht="13.5" customHeight="1" x14ac:dyDescent="0.25">
      <c r="A4" s="518" t="s">
        <v>123</v>
      </c>
      <c r="B4" s="519"/>
      <c r="C4" s="518"/>
      <c r="D4" s="520"/>
      <c r="E4" s="520"/>
      <c r="F4" s="520"/>
      <c r="G4" s="520"/>
      <c r="H4" s="520"/>
      <c r="I4" s="519"/>
      <c r="J4" s="524" t="s">
        <v>124</v>
      </c>
      <c r="K4" s="524"/>
      <c r="L4" s="518"/>
      <c r="M4" s="520"/>
      <c r="N4" s="520"/>
      <c r="O4" s="519"/>
    </row>
    <row r="5" spans="1:15" ht="13.5" customHeight="1" x14ac:dyDescent="0.25">
      <c r="A5" s="518" t="s">
        <v>125</v>
      </c>
      <c r="B5" s="519"/>
      <c r="C5" s="518"/>
      <c r="D5" s="520"/>
      <c r="E5" s="520"/>
      <c r="F5" s="520"/>
      <c r="G5" s="520"/>
      <c r="H5" s="520"/>
      <c r="I5" s="519"/>
      <c r="J5" s="524" t="s">
        <v>126</v>
      </c>
      <c r="K5" s="524"/>
      <c r="L5" s="518"/>
      <c r="M5" s="520"/>
      <c r="N5" s="520"/>
      <c r="O5" s="519"/>
    </row>
    <row r="6" spans="1:15" ht="13.5" customHeight="1" x14ac:dyDescent="0.25">
      <c r="A6" s="525" t="s">
        <v>127</v>
      </c>
      <c r="B6" s="526" t="s">
        <v>128</v>
      </c>
      <c r="C6" s="526" t="s">
        <v>129</v>
      </c>
      <c r="D6" s="527" t="s">
        <v>130</v>
      </c>
      <c r="E6" s="528"/>
      <c r="F6" s="529"/>
      <c r="G6" s="533" t="s">
        <v>131</v>
      </c>
      <c r="H6" s="533"/>
      <c r="I6" s="533"/>
      <c r="J6" s="526" t="s">
        <v>132</v>
      </c>
      <c r="K6" s="526"/>
      <c r="L6" s="526"/>
      <c r="M6" s="534" t="s">
        <v>133</v>
      </c>
      <c r="N6" s="535"/>
      <c r="O6" s="500" t="s">
        <v>134</v>
      </c>
    </row>
    <row r="7" spans="1:15" ht="13.5" customHeight="1" x14ac:dyDescent="0.25">
      <c r="A7" s="525"/>
      <c r="B7" s="526"/>
      <c r="C7" s="526"/>
      <c r="D7" s="530"/>
      <c r="E7" s="531"/>
      <c r="F7" s="532"/>
      <c r="G7" s="1" t="s">
        <v>135</v>
      </c>
      <c r="H7" s="1" t="s">
        <v>136</v>
      </c>
      <c r="I7" s="1" t="s">
        <v>137</v>
      </c>
      <c r="J7" s="2" t="s">
        <v>138</v>
      </c>
      <c r="K7" s="2" t="s">
        <v>139</v>
      </c>
      <c r="L7" s="2" t="s">
        <v>140</v>
      </c>
      <c r="M7" s="536"/>
      <c r="N7" s="537"/>
      <c r="O7" s="501"/>
    </row>
    <row r="8" spans="1:15" ht="21" customHeight="1" x14ac:dyDescent="0.25">
      <c r="A8" s="3"/>
      <c r="B8" s="4"/>
      <c r="C8" s="4"/>
      <c r="D8" s="538" t="s">
        <v>141</v>
      </c>
      <c r="E8" s="539"/>
      <c r="F8" s="540"/>
      <c r="G8" s="5"/>
      <c r="H8" s="6"/>
      <c r="I8" s="7">
        <v>14.58</v>
      </c>
      <c r="J8" s="8"/>
      <c r="K8" s="9"/>
      <c r="L8" s="10"/>
      <c r="M8" s="541"/>
      <c r="N8" s="541"/>
      <c r="O8" s="11"/>
    </row>
    <row r="9" spans="1:15" ht="21.75" customHeight="1" x14ac:dyDescent="0.25">
      <c r="A9" s="3"/>
      <c r="B9" s="4"/>
      <c r="C9" s="4"/>
      <c r="D9" s="542"/>
      <c r="E9" s="543"/>
      <c r="F9" s="544"/>
      <c r="G9" s="12"/>
      <c r="H9" s="13" t="s">
        <v>177</v>
      </c>
      <c r="I9" s="13" t="e">
        <f>+I8+G9-H9</f>
        <v>#VALUE!</v>
      </c>
      <c r="J9" s="12"/>
      <c r="K9" s="12"/>
      <c r="L9" s="14"/>
      <c r="M9" s="541"/>
      <c r="N9" s="541"/>
      <c r="O9" s="11"/>
    </row>
    <row r="10" spans="1:15" ht="21.75" customHeight="1" x14ac:dyDescent="0.25">
      <c r="A10" s="3"/>
      <c r="B10" s="4"/>
      <c r="C10" s="15"/>
      <c r="D10" s="542"/>
      <c r="E10" s="543"/>
      <c r="F10" s="544"/>
      <c r="G10" s="12"/>
      <c r="H10" s="13"/>
      <c r="I10" s="13" t="e">
        <f t="shared" ref="I10:I22" si="0">+I9+G10-H10</f>
        <v>#VALUE!</v>
      </c>
      <c r="J10" s="12"/>
      <c r="K10" s="12"/>
      <c r="L10" s="14"/>
      <c r="M10" s="541"/>
      <c r="N10" s="541"/>
      <c r="O10" s="11"/>
    </row>
    <row r="11" spans="1:15" ht="21.75" customHeight="1" x14ac:dyDescent="0.25">
      <c r="A11" s="3"/>
      <c r="B11" s="15"/>
      <c r="C11" s="15"/>
      <c r="D11" s="542"/>
      <c r="E11" s="543"/>
      <c r="F11" s="544"/>
      <c r="G11" s="12"/>
      <c r="H11" s="13"/>
      <c r="I11" s="13" t="e">
        <f t="shared" si="0"/>
        <v>#VALUE!</v>
      </c>
      <c r="J11" s="12"/>
      <c r="K11" s="12"/>
      <c r="L11" s="14"/>
      <c r="M11" s="541"/>
      <c r="N11" s="541"/>
      <c r="O11" s="11"/>
    </row>
    <row r="12" spans="1:15" ht="21.75" customHeight="1" x14ac:dyDescent="0.25">
      <c r="A12" s="3"/>
      <c r="B12" s="4"/>
      <c r="C12" s="15"/>
      <c r="D12" s="542"/>
      <c r="E12" s="543"/>
      <c r="F12" s="544"/>
      <c r="G12" s="12"/>
      <c r="H12" s="13"/>
      <c r="I12" s="13" t="e">
        <f t="shared" si="0"/>
        <v>#VALUE!</v>
      </c>
      <c r="J12" s="12"/>
      <c r="K12" s="12"/>
      <c r="L12" s="14"/>
      <c r="M12" s="541"/>
      <c r="N12" s="541"/>
      <c r="O12" s="11"/>
    </row>
    <row r="13" spans="1:15" ht="21.75" customHeight="1" x14ac:dyDescent="0.25">
      <c r="A13" s="3"/>
      <c r="B13" s="4"/>
      <c r="C13" s="15"/>
      <c r="D13" s="542"/>
      <c r="E13" s="543"/>
      <c r="F13" s="544"/>
      <c r="G13" s="12"/>
      <c r="H13" s="13"/>
      <c r="I13" s="13" t="e">
        <f t="shared" si="0"/>
        <v>#VALUE!</v>
      </c>
      <c r="J13" s="12"/>
      <c r="K13" s="12"/>
      <c r="L13" s="14"/>
      <c r="M13" s="541"/>
      <c r="N13" s="541"/>
      <c r="O13" s="11"/>
    </row>
    <row r="14" spans="1:15" ht="21.75" customHeight="1" x14ac:dyDescent="0.25">
      <c r="A14" s="3"/>
      <c r="B14" s="4"/>
      <c r="C14" s="15"/>
      <c r="D14" s="542"/>
      <c r="E14" s="543"/>
      <c r="F14" s="544"/>
      <c r="G14" s="12"/>
      <c r="H14" s="13"/>
      <c r="I14" s="13" t="e">
        <f t="shared" si="0"/>
        <v>#VALUE!</v>
      </c>
      <c r="J14" s="12"/>
      <c r="K14" s="12"/>
      <c r="L14" s="14"/>
      <c r="M14" s="545"/>
      <c r="N14" s="546"/>
      <c r="O14" s="11"/>
    </row>
    <row r="15" spans="1:15" ht="21.75" customHeight="1" x14ac:dyDescent="0.25">
      <c r="A15" s="3"/>
      <c r="B15" s="12"/>
      <c r="C15" s="16"/>
      <c r="D15" s="542"/>
      <c r="E15" s="543"/>
      <c r="F15" s="544"/>
      <c r="G15" s="12"/>
      <c r="H15" s="13"/>
      <c r="I15" s="13" t="e">
        <f t="shared" si="0"/>
        <v>#VALUE!</v>
      </c>
      <c r="J15" s="12"/>
      <c r="K15" s="12"/>
      <c r="L15" s="14"/>
      <c r="M15" s="547"/>
      <c r="N15" s="548"/>
      <c r="O15" s="11"/>
    </row>
    <row r="16" spans="1:15" ht="21.75" customHeight="1" x14ac:dyDescent="0.25">
      <c r="A16" s="3"/>
      <c r="B16" s="17"/>
      <c r="C16" s="15"/>
      <c r="D16" s="542"/>
      <c r="E16" s="543"/>
      <c r="F16" s="544"/>
      <c r="G16" s="12"/>
      <c r="H16" s="13"/>
      <c r="I16" s="13" t="e">
        <f t="shared" si="0"/>
        <v>#VALUE!</v>
      </c>
      <c r="J16" s="12"/>
      <c r="K16" s="12"/>
      <c r="L16" s="14"/>
      <c r="M16" s="547"/>
      <c r="N16" s="548"/>
      <c r="O16" s="11"/>
    </row>
    <row r="17" spans="1:19" ht="21.75" customHeight="1" x14ac:dyDescent="0.25">
      <c r="A17" s="3"/>
      <c r="B17" s="15"/>
      <c r="C17" s="16"/>
      <c r="D17" s="542"/>
      <c r="E17" s="543"/>
      <c r="F17" s="544"/>
      <c r="G17" s="12"/>
      <c r="H17" s="13"/>
      <c r="I17" s="13" t="e">
        <f t="shared" si="0"/>
        <v>#VALUE!</v>
      </c>
      <c r="J17" s="12"/>
      <c r="K17" s="12"/>
      <c r="L17" s="14"/>
      <c r="M17" s="547"/>
      <c r="N17" s="548"/>
      <c r="O17" s="11"/>
    </row>
    <row r="18" spans="1:19" ht="21.75" customHeight="1" x14ac:dyDescent="0.25">
      <c r="A18" s="3"/>
      <c r="B18" s="15"/>
      <c r="C18" s="18"/>
      <c r="D18" s="542"/>
      <c r="E18" s="543"/>
      <c r="F18" s="544"/>
      <c r="G18" s="12"/>
      <c r="H18" s="13"/>
      <c r="I18" s="13" t="e">
        <f t="shared" si="0"/>
        <v>#VALUE!</v>
      </c>
      <c r="J18" s="12"/>
      <c r="K18" s="12"/>
      <c r="L18" s="14"/>
      <c r="M18" s="547"/>
      <c r="N18" s="548"/>
      <c r="O18" s="11"/>
    </row>
    <row r="19" spans="1:19" ht="21.75" customHeight="1" x14ac:dyDescent="0.25">
      <c r="A19" s="3"/>
      <c r="B19" s="17"/>
      <c r="C19" s="18"/>
      <c r="D19" s="542"/>
      <c r="E19" s="543"/>
      <c r="F19" s="544"/>
      <c r="G19" s="12"/>
      <c r="H19" s="13"/>
      <c r="I19" s="13" t="e">
        <f t="shared" si="0"/>
        <v>#VALUE!</v>
      </c>
      <c r="J19" s="12"/>
      <c r="K19" s="12"/>
      <c r="L19" s="14"/>
      <c r="M19" s="547"/>
      <c r="N19" s="548"/>
      <c r="O19" s="11"/>
    </row>
    <row r="20" spans="1:19" ht="21.75" customHeight="1" x14ac:dyDescent="0.25">
      <c r="A20" s="3"/>
      <c r="B20" s="4"/>
      <c r="C20" s="18"/>
      <c r="D20" s="542"/>
      <c r="E20" s="543"/>
      <c r="F20" s="544"/>
      <c r="G20" s="12"/>
      <c r="H20" s="13"/>
      <c r="I20" s="13" t="e">
        <f t="shared" si="0"/>
        <v>#VALUE!</v>
      </c>
      <c r="J20" s="12"/>
      <c r="K20" s="12"/>
      <c r="L20" s="14"/>
      <c r="M20" s="547"/>
      <c r="N20" s="548"/>
      <c r="O20" s="11"/>
      <c r="Q20" s="19"/>
    </row>
    <row r="21" spans="1:19" ht="21.75" customHeight="1" x14ac:dyDescent="0.25">
      <c r="A21" s="3"/>
      <c r="B21" s="15"/>
      <c r="C21" s="18"/>
      <c r="D21" s="542"/>
      <c r="E21" s="543"/>
      <c r="F21" s="544"/>
      <c r="G21" s="12"/>
      <c r="H21" s="13"/>
      <c r="I21" s="13" t="e">
        <f t="shared" si="0"/>
        <v>#VALUE!</v>
      </c>
      <c r="J21" s="12"/>
      <c r="K21" s="12"/>
      <c r="L21" s="14"/>
      <c r="M21" s="547"/>
      <c r="N21" s="548"/>
      <c r="O21" s="11"/>
      <c r="Q21" s="19">
        <f>H25+I25</f>
        <v>0</v>
      </c>
    </row>
    <row r="22" spans="1:19" ht="21.75" customHeight="1" x14ac:dyDescent="0.25">
      <c r="A22" s="3"/>
      <c r="B22" s="4"/>
      <c r="C22" s="18"/>
      <c r="D22" s="542"/>
      <c r="E22" s="543"/>
      <c r="F22" s="544"/>
      <c r="G22" s="12"/>
      <c r="H22" s="13"/>
      <c r="I22" s="13" t="e">
        <f t="shared" si="0"/>
        <v>#VALUE!</v>
      </c>
      <c r="J22" s="12"/>
      <c r="K22" s="12"/>
      <c r="L22" s="14"/>
      <c r="M22" s="547"/>
      <c r="N22" s="548"/>
      <c r="O22" s="11"/>
      <c r="S22" s="12"/>
    </row>
    <row r="23" spans="1:19" ht="21.75" customHeight="1" x14ac:dyDescent="0.25">
      <c r="A23" s="3"/>
      <c r="B23" s="4"/>
      <c r="C23" s="20"/>
      <c r="D23" s="542"/>
      <c r="E23" s="543"/>
      <c r="F23" s="544"/>
      <c r="G23" s="12"/>
      <c r="H23" s="13"/>
      <c r="I23" s="13"/>
      <c r="J23" s="12"/>
      <c r="K23" s="12"/>
      <c r="L23" s="14"/>
      <c r="M23" s="547"/>
      <c r="N23" s="548"/>
      <c r="O23" s="11"/>
    </row>
    <row r="24" spans="1:19" ht="21.75" customHeight="1" x14ac:dyDescent="0.25">
      <c r="A24" s="3"/>
      <c r="B24" s="4"/>
      <c r="C24" s="20"/>
      <c r="D24" s="542"/>
      <c r="E24" s="543"/>
      <c r="F24" s="544"/>
      <c r="G24" s="12"/>
      <c r="H24" s="13"/>
      <c r="I24" s="13"/>
      <c r="J24" s="12"/>
      <c r="K24" s="12"/>
      <c r="L24" s="14"/>
      <c r="M24" s="21"/>
      <c r="N24" s="22"/>
      <c r="O24" s="11"/>
    </row>
    <row r="25" spans="1:19" ht="21.75" customHeight="1" x14ac:dyDescent="0.25">
      <c r="A25" s="542" t="s">
        <v>142</v>
      </c>
      <c r="B25" s="543"/>
      <c r="C25" s="11"/>
      <c r="D25" s="547"/>
      <c r="E25" s="554"/>
      <c r="F25" s="548"/>
      <c r="G25" s="12"/>
      <c r="H25" s="13"/>
      <c r="I25" s="13"/>
      <c r="J25" s="12"/>
      <c r="K25" s="12"/>
      <c r="L25" s="23"/>
      <c r="M25" s="541"/>
      <c r="N25" s="541"/>
      <c r="O25" s="11"/>
    </row>
    <row r="26" spans="1:19" ht="14.25" customHeight="1" x14ac:dyDescent="0.25">
      <c r="A26" s="24" t="s">
        <v>143</v>
      </c>
      <c r="H26" s="19"/>
      <c r="I26" s="19"/>
    </row>
    <row r="27" spans="1:19" ht="18.75" customHeight="1" x14ac:dyDescent="0.25">
      <c r="A27" s="555" t="s">
        <v>144</v>
      </c>
      <c r="B27" s="556"/>
      <c r="C27" s="557"/>
      <c r="D27" s="4"/>
      <c r="F27" s="558" t="s">
        <v>145</v>
      </c>
      <c r="G27" s="558"/>
      <c r="H27" s="558" t="s">
        <v>146</v>
      </c>
      <c r="I27" s="558"/>
      <c r="J27" s="549" t="s">
        <v>147</v>
      </c>
      <c r="K27" s="550"/>
      <c r="L27" s="549" t="s">
        <v>148</v>
      </c>
      <c r="M27" s="550"/>
      <c r="N27" s="549" t="s">
        <v>149</v>
      </c>
      <c r="O27" s="550"/>
    </row>
    <row r="28" spans="1:19" ht="19.5" customHeight="1" x14ac:dyDescent="0.25">
      <c r="A28" s="553" t="s">
        <v>150</v>
      </c>
      <c r="B28" s="553"/>
      <c r="C28" s="553"/>
      <c r="D28" s="4"/>
      <c r="F28" s="558"/>
      <c r="G28" s="558"/>
      <c r="H28" s="558"/>
      <c r="I28" s="558"/>
      <c r="J28" s="551"/>
      <c r="K28" s="552"/>
      <c r="L28" s="551"/>
      <c r="M28" s="552"/>
      <c r="N28" s="551"/>
      <c r="O28" s="552"/>
    </row>
    <row r="29" spans="1:19" ht="19.5" customHeight="1" x14ac:dyDescent="0.25">
      <c r="A29" s="553" t="s">
        <v>151</v>
      </c>
      <c r="B29" s="553"/>
      <c r="C29" s="553"/>
      <c r="D29" s="4"/>
      <c r="F29" s="569"/>
      <c r="G29" s="569"/>
      <c r="H29" s="570"/>
      <c r="I29" s="570"/>
      <c r="J29" s="571"/>
      <c r="K29" s="572"/>
      <c r="L29" s="571"/>
      <c r="M29" s="572"/>
      <c r="N29" s="571"/>
      <c r="O29" s="572"/>
    </row>
    <row r="30" spans="1:19" ht="19.5" customHeight="1" x14ac:dyDescent="0.25">
      <c r="A30" s="553" t="s">
        <v>152</v>
      </c>
      <c r="B30" s="553"/>
      <c r="C30" s="553"/>
      <c r="D30" s="25"/>
      <c r="F30" s="569"/>
      <c r="G30" s="569"/>
      <c r="H30" s="570"/>
      <c r="I30" s="570"/>
      <c r="J30" s="573"/>
      <c r="K30" s="574"/>
      <c r="L30" s="573"/>
      <c r="M30" s="574"/>
      <c r="N30" s="573"/>
      <c r="O30" s="574"/>
    </row>
    <row r="31" spans="1:19" ht="19.5" customHeight="1" x14ac:dyDescent="0.25">
      <c r="A31" s="553" t="s">
        <v>153</v>
      </c>
      <c r="B31" s="553"/>
      <c r="C31" s="553"/>
      <c r="D31" s="4"/>
      <c r="F31" s="569"/>
      <c r="G31" s="569"/>
      <c r="H31" s="570"/>
      <c r="I31" s="570"/>
      <c r="J31" s="573"/>
      <c r="K31" s="574"/>
      <c r="L31" s="573"/>
      <c r="M31" s="574"/>
      <c r="N31" s="573"/>
      <c r="O31" s="574"/>
    </row>
    <row r="32" spans="1:19" ht="21.75" customHeight="1" x14ac:dyDescent="0.25">
      <c r="A32" s="577" t="s">
        <v>154</v>
      </c>
      <c r="B32" s="577"/>
      <c r="C32" s="577"/>
      <c r="D32" s="26"/>
      <c r="F32" s="569"/>
      <c r="G32" s="569"/>
      <c r="H32" s="570"/>
      <c r="I32" s="570"/>
      <c r="J32" s="575"/>
      <c r="K32" s="576"/>
      <c r="L32" s="575"/>
      <c r="M32" s="576"/>
      <c r="N32" s="575"/>
      <c r="O32" s="576"/>
    </row>
    <row r="33" spans="1:15" ht="9.75" customHeight="1" x14ac:dyDescent="0.25">
      <c r="A33" s="559"/>
      <c r="B33" s="559"/>
      <c r="C33" s="559"/>
    </row>
    <row r="34" spans="1:15" ht="15" customHeight="1" x14ac:dyDescent="0.25">
      <c r="A34" s="560" t="s">
        <v>155</v>
      </c>
      <c r="B34" s="561"/>
      <c r="C34" s="561"/>
      <c r="D34" s="561"/>
      <c r="E34" s="561"/>
      <c r="F34" s="561"/>
      <c r="G34" s="561"/>
      <c r="H34" s="561"/>
      <c r="I34" s="561"/>
      <c r="J34" s="561"/>
      <c r="K34" s="561"/>
      <c r="L34" s="561"/>
      <c r="M34" s="561"/>
      <c r="N34" s="561"/>
      <c r="O34" s="562"/>
    </row>
    <row r="35" spans="1:15" x14ac:dyDescent="0.25">
      <c r="A35" s="563"/>
      <c r="B35" s="564"/>
      <c r="C35" s="564"/>
      <c r="D35" s="564"/>
      <c r="E35" s="564"/>
      <c r="F35" s="564"/>
      <c r="G35" s="564"/>
      <c r="H35" s="564"/>
      <c r="I35" s="564"/>
      <c r="J35" s="564"/>
      <c r="K35" s="564"/>
      <c r="L35" s="564"/>
      <c r="M35" s="564"/>
      <c r="N35" s="564"/>
      <c r="O35" s="565"/>
    </row>
    <row r="36" spans="1:15" ht="10.5" customHeight="1" x14ac:dyDescent="0.25">
      <c r="A36" s="566"/>
      <c r="B36" s="567"/>
      <c r="C36" s="567"/>
      <c r="D36" s="567"/>
      <c r="E36" s="567"/>
      <c r="F36" s="567"/>
      <c r="G36" s="567"/>
      <c r="H36" s="567"/>
      <c r="I36" s="567"/>
      <c r="J36" s="567"/>
      <c r="K36" s="567"/>
      <c r="L36" s="567"/>
      <c r="M36" s="567"/>
      <c r="N36" s="567"/>
      <c r="O36" s="568"/>
    </row>
  </sheetData>
  <mergeCells count="78">
    <mergeCell ref="A33:C33"/>
    <mergeCell ref="A34:O36"/>
    <mergeCell ref="A29:C29"/>
    <mergeCell ref="F29:G32"/>
    <mergeCell ref="H29:I32"/>
    <mergeCell ref="J29:K32"/>
    <mergeCell ref="L29:M32"/>
    <mergeCell ref="N29:O32"/>
    <mergeCell ref="A30:C30"/>
    <mergeCell ref="A31:C31"/>
    <mergeCell ref="A32:C32"/>
    <mergeCell ref="N27:O28"/>
    <mergeCell ref="A28:C28"/>
    <mergeCell ref="D22:F22"/>
    <mergeCell ref="M22:N22"/>
    <mergeCell ref="D23:F23"/>
    <mergeCell ref="M23:N23"/>
    <mergeCell ref="D24:F24"/>
    <mergeCell ref="A25:B25"/>
    <mergeCell ref="D25:F25"/>
    <mergeCell ref="M25:N25"/>
    <mergeCell ref="A27:C27"/>
    <mergeCell ref="F27:G28"/>
    <mergeCell ref="H27:I28"/>
    <mergeCell ref="J27:K28"/>
    <mergeCell ref="L27:M28"/>
    <mergeCell ref="D19:F19"/>
    <mergeCell ref="M19:N19"/>
    <mergeCell ref="D20:F20"/>
    <mergeCell ref="M20:N20"/>
    <mergeCell ref="D21:F21"/>
    <mergeCell ref="M21:N21"/>
    <mergeCell ref="D16:F16"/>
    <mergeCell ref="M16:N16"/>
    <mergeCell ref="D17:F17"/>
    <mergeCell ref="M17:N17"/>
    <mergeCell ref="D18:F18"/>
    <mergeCell ref="M18:N18"/>
    <mergeCell ref="D13:F13"/>
    <mergeCell ref="M13:N13"/>
    <mergeCell ref="D14:F14"/>
    <mergeCell ref="M14:N14"/>
    <mergeCell ref="D15:F15"/>
    <mergeCell ref="M15:N15"/>
    <mergeCell ref="D10:F10"/>
    <mergeCell ref="M10:N10"/>
    <mergeCell ref="D11:F11"/>
    <mergeCell ref="M11:N11"/>
    <mergeCell ref="D12:F12"/>
    <mergeCell ref="M12:N12"/>
    <mergeCell ref="M6:N7"/>
    <mergeCell ref="O6:O7"/>
    <mergeCell ref="D8:F8"/>
    <mergeCell ref="M8:N8"/>
    <mergeCell ref="D9:F9"/>
    <mergeCell ref="M9:N9"/>
    <mergeCell ref="J6:L6"/>
    <mergeCell ref="A6:A7"/>
    <mergeCell ref="B6:B7"/>
    <mergeCell ref="C6:C7"/>
    <mergeCell ref="D6:F7"/>
    <mergeCell ref="G6:I6"/>
    <mergeCell ref="A4:B4"/>
    <mergeCell ref="C4:I4"/>
    <mergeCell ref="J4:K4"/>
    <mergeCell ref="L4:O4"/>
    <mergeCell ref="A5:B5"/>
    <mergeCell ref="C5:I5"/>
    <mergeCell ref="J5:K5"/>
    <mergeCell ref="L5:O5"/>
    <mergeCell ref="A1:A2"/>
    <mergeCell ref="B1:C2"/>
    <mergeCell ref="D1:K2"/>
    <mergeCell ref="L1:O2"/>
    <mergeCell ref="A3:B3"/>
    <mergeCell ref="C3:I3"/>
    <mergeCell ref="J3:K3"/>
    <mergeCell ref="L3:O3"/>
  </mergeCells>
  <printOptions horizontalCentered="1" verticalCentered="1"/>
  <pageMargins left="3.937007874015748E-2" right="3.937007874015748E-2" top="0.35433070866141736" bottom="0.35433070866141736" header="0.31496062992125984" footer="0.31496062992125984"/>
  <pageSetup scale="87"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A1:P37"/>
  <sheetViews>
    <sheetView zoomScaleNormal="100" workbookViewId="0">
      <selection activeCell="I9" sqref="I9"/>
    </sheetView>
  </sheetViews>
  <sheetFormatPr baseColWidth="10" defaultRowHeight="15" x14ac:dyDescent="0.25"/>
  <cols>
    <col min="1" max="1" width="10.140625" style="27" customWidth="1"/>
    <col min="2" max="2" width="7.42578125" style="27" customWidth="1"/>
    <col min="3" max="3" width="6" style="27" customWidth="1"/>
    <col min="4" max="4" width="11.85546875" style="27" customWidth="1"/>
    <col min="5" max="5" width="10.42578125" style="27" customWidth="1"/>
    <col min="6" max="6" width="4.28515625" style="27" customWidth="1"/>
    <col min="7" max="7" width="11.140625" style="27" customWidth="1"/>
    <col min="8" max="8" width="7.85546875" style="27" bestFit="1" customWidth="1"/>
    <col min="9" max="9" width="11.5703125" style="27" bestFit="1" customWidth="1"/>
    <col min="10" max="10" width="6.28515625" style="27" bestFit="1" customWidth="1"/>
    <col min="11" max="12" width="8.7109375" style="27" customWidth="1"/>
    <col min="13" max="13" width="10" style="27" bestFit="1" customWidth="1"/>
    <col min="14" max="15" width="5.7109375" style="27" customWidth="1"/>
    <col min="16" max="16" width="18.85546875" style="27" customWidth="1"/>
    <col min="17" max="17" width="0.5703125" style="27" customWidth="1"/>
    <col min="18" max="16384" width="11.42578125" style="27"/>
  </cols>
  <sheetData>
    <row r="1" spans="1:16" ht="17.25" customHeight="1" x14ac:dyDescent="0.25">
      <c r="A1" s="453" t="s">
        <v>119</v>
      </c>
      <c r="B1" s="453"/>
      <c r="C1" s="453"/>
      <c r="D1" s="453"/>
      <c r="E1" s="453"/>
      <c r="F1" s="453"/>
      <c r="G1" s="453"/>
      <c r="H1" s="453"/>
      <c r="I1" s="453"/>
      <c r="J1" s="453"/>
      <c r="K1" s="453"/>
      <c r="L1" s="453"/>
      <c r="M1" s="453"/>
      <c r="N1" s="453"/>
      <c r="O1" s="453"/>
      <c r="P1" s="453"/>
    </row>
    <row r="2" spans="1:16" ht="18" customHeight="1" x14ac:dyDescent="0.25">
      <c r="A2" s="454" t="s">
        <v>118</v>
      </c>
      <c r="B2" s="455"/>
      <c r="C2" s="456">
        <v>2026</v>
      </c>
      <c r="D2" s="457"/>
      <c r="E2" s="457"/>
      <c r="F2" s="457"/>
      <c r="G2" s="457"/>
      <c r="H2" s="457"/>
      <c r="I2" s="457"/>
      <c r="J2" s="458"/>
      <c r="K2" s="459" t="s">
        <v>120</v>
      </c>
      <c r="L2" s="460"/>
      <c r="M2" s="461" t="s">
        <v>156</v>
      </c>
      <c r="N2" s="461"/>
      <c r="O2" s="461"/>
      <c r="P2" s="462"/>
    </row>
    <row r="3" spans="1:16" ht="18" customHeight="1" x14ac:dyDescent="0.25">
      <c r="A3" s="445" t="s">
        <v>121</v>
      </c>
      <c r="B3" s="446"/>
      <c r="C3" s="447" t="s">
        <v>157</v>
      </c>
      <c r="D3" s="448"/>
      <c r="E3" s="448"/>
      <c r="F3" s="448"/>
      <c r="G3" s="448"/>
      <c r="H3" s="448"/>
      <c r="I3" s="448"/>
      <c r="J3" s="449"/>
      <c r="K3" s="450" t="s">
        <v>122</v>
      </c>
      <c r="L3" s="450"/>
      <c r="M3" s="451" t="s">
        <v>158</v>
      </c>
      <c r="N3" s="451"/>
      <c r="O3" s="451"/>
      <c r="P3" s="452"/>
    </row>
    <row r="4" spans="1:16" ht="18" customHeight="1" x14ac:dyDescent="0.25">
      <c r="A4" s="445" t="s">
        <v>123</v>
      </c>
      <c r="B4" s="446"/>
      <c r="C4" s="447" t="s">
        <v>34</v>
      </c>
      <c r="D4" s="448"/>
      <c r="E4" s="448"/>
      <c r="F4" s="448"/>
      <c r="G4" s="448"/>
      <c r="H4" s="448"/>
      <c r="I4" s="448"/>
      <c r="J4" s="449"/>
      <c r="K4" s="450" t="s">
        <v>124</v>
      </c>
      <c r="L4" s="450"/>
      <c r="M4" s="463" t="s">
        <v>159</v>
      </c>
      <c r="N4" s="451"/>
      <c r="O4" s="451"/>
      <c r="P4" s="452"/>
    </row>
    <row r="5" spans="1:16" ht="18" customHeight="1" x14ac:dyDescent="0.25">
      <c r="A5" s="445" t="s">
        <v>125</v>
      </c>
      <c r="B5" s="446"/>
      <c r="C5" s="447" t="s">
        <v>160</v>
      </c>
      <c r="D5" s="448"/>
      <c r="E5" s="448"/>
      <c r="F5" s="448"/>
      <c r="G5" s="448"/>
      <c r="H5" s="448"/>
      <c r="I5" s="448"/>
      <c r="J5" s="449"/>
      <c r="K5" s="450" t="s">
        <v>126</v>
      </c>
      <c r="L5" s="450"/>
      <c r="M5" s="463" t="s">
        <v>161</v>
      </c>
      <c r="N5" s="451"/>
      <c r="O5" s="451"/>
      <c r="P5" s="452"/>
    </row>
    <row r="6" spans="1:16" ht="18" customHeight="1" x14ac:dyDescent="0.25">
      <c r="A6" s="464" t="s">
        <v>127</v>
      </c>
      <c r="B6" s="465" t="s">
        <v>128</v>
      </c>
      <c r="C6" s="465" t="s">
        <v>129</v>
      </c>
      <c r="D6" s="466" t="s">
        <v>130</v>
      </c>
      <c r="E6" s="467"/>
      <c r="F6" s="467"/>
      <c r="G6" s="468"/>
      <c r="H6" s="465" t="s">
        <v>131</v>
      </c>
      <c r="I6" s="465"/>
      <c r="J6" s="465"/>
      <c r="K6" s="465" t="s">
        <v>132</v>
      </c>
      <c r="L6" s="465"/>
      <c r="M6" s="465"/>
      <c r="N6" s="472" t="s">
        <v>153</v>
      </c>
      <c r="O6" s="473"/>
      <c r="P6" s="476" t="s">
        <v>133</v>
      </c>
    </row>
    <row r="7" spans="1:16" ht="18" customHeight="1" x14ac:dyDescent="0.25">
      <c r="A7" s="464"/>
      <c r="B7" s="465"/>
      <c r="C7" s="465"/>
      <c r="D7" s="469"/>
      <c r="E7" s="470"/>
      <c r="F7" s="470"/>
      <c r="G7" s="471"/>
      <c r="H7" s="82" t="s">
        <v>135</v>
      </c>
      <c r="I7" s="82" t="s">
        <v>136</v>
      </c>
      <c r="J7" s="82" t="s">
        <v>137</v>
      </c>
      <c r="K7" s="82" t="s">
        <v>138</v>
      </c>
      <c r="L7" s="82" t="s">
        <v>139</v>
      </c>
      <c r="M7" s="82" t="s">
        <v>140</v>
      </c>
      <c r="N7" s="474"/>
      <c r="O7" s="475"/>
      <c r="P7" s="477"/>
    </row>
    <row r="8" spans="1:16" ht="18" customHeight="1" x14ac:dyDescent="0.25">
      <c r="A8" s="29"/>
      <c r="B8" s="81"/>
      <c r="C8" s="81"/>
      <c r="D8" s="478" t="s">
        <v>141</v>
      </c>
      <c r="E8" s="479"/>
      <c r="F8" s="479"/>
      <c r="G8" s="480"/>
      <c r="H8" s="5"/>
      <c r="I8" s="30"/>
      <c r="J8" s="31">
        <v>133.9</v>
      </c>
      <c r="K8" s="32"/>
      <c r="L8" s="31">
        <v>102100</v>
      </c>
      <c r="M8" s="7"/>
      <c r="N8" s="481"/>
      <c r="O8" s="481"/>
      <c r="P8" s="18"/>
    </row>
    <row r="9" spans="1:16" ht="18" customHeight="1" x14ac:dyDescent="0.25">
      <c r="A9" s="33">
        <v>46023</v>
      </c>
      <c r="B9" s="78"/>
      <c r="C9" s="78"/>
      <c r="D9" s="482" t="s">
        <v>162</v>
      </c>
      <c r="E9" s="483"/>
      <c r="F9" s="483"/>
      <c r="G9" s="484"/>
      <c r="H9" s="35">
        <f>C9</f>
        <v>0</v>
      </c>
      <c r="I9" s="36">
        <f>+M9/N9</f>
        <v>0</v>
      </c>
      <c r="J9" s="36">
        <f>+J8+H9-I9</f>
        <v>133.9</v>
      </c>
      <c r="K9" s="35">
        <f>+L8</f>
        <v>102100</v>
      </c>
      <c r="L9" s="78">
        <v>102100</v>
      </c>
      <c r="M9" s="37">
        <f>+L9-K9</f>
        <v>0</v>
      </c>
      <c r="N9" s="485">
        <v>5</v>
      </c>
      <c r="O9" s="485"/>
      <c r="P9" s="38"/>
    </row>
    <row r="10" spans="1:16" ht="18" customHeight="1" x14ac:dyDescent="0.25">
      <c r="A10" s="33">
        <v>46024</v>
      </c>
      <c r="B10" s="78"/>
      <c r="C10" s="78"/>
      <c r="D10" s="482" t="s">
        <v>162</v>
      </c>
      <c r="E10" s="483"/>
      <c r="F10" s="483"/>
      <c r="G10" s="484"/>
      <c r="H10" s="35">
        <f t="shared" ref="H10:H23" si="0">C10</f>
        <v>0</v>
      </c>
      <c r="I10" s="36">
        <f t="shared" ref="I10:I23" si="1">+M10/N10</f>
        <v>2</v>
      </c>
      <c r="J10" s="36">
        <f t="shared" ref="J10:J23" si="2">+J9+H10-I10</f>
        <v>131.9</v>
      </c>
      <c r="K10" s="35">
        <f>+L9</f>
        <v>102100</v>
      </c>
      <c r="L10" s="78">
        <v>102110</v>
      </c>
      <c r="M10" s="37">
        <f t="shared" ref="M10:M23" si="3">+L10-K10</f>
        <v>10</v>
      </c>
      <c r="N10" s="485">
        <v>5</v>
      </c>
      <c r="O10" s="485"/>
      <c r="P10" s="38"/>
    </row>
    <row r="11" spans="1:16" ht="18" customHeight="1" x14ac:dyDescent="0.25">
      <c r="A11" s="33">
        <v>46025</v>
      </c>
      <c r="B11" s="78"/>
      <c r="C11" s="78"/>
      <c r="D11" s="482" t="s">
        <v>162</v>
      </c>
      <c r="E11" s="483"/>
      <c r="F11" s="483"/>
      <c r="G11" s="484"/>
      <c r="H11" s="35">
        <f t="shared" si="0"/>
        <v>0</v>
      </c>
      <c r="I11" s="36">
        <f t="shared" si="1"/>
        <v>2</v>
      </c>
      <c r="J11" s="36">
        <f t="shared" si="2"/>
        <v>129.9</v>
      </c>
      <c r="K11" s="35">
        <f t="shared" ref="K11:K23" si="4">+L10</f>
        <v>102110</v>
      </c>
      <c r="L11" s="78">
        <v>102120</v>
      </c>
      <c r="M11" s="37">
        <f t="shared" si="3"/>
        <v>10</v>
      </c>
      <c r="N11" s="485">
        <v>5</v>
      </c>
      <c r="O11" s="485"/>
      <c r="P11" s="38"/>
    </row>
    <row r="12" spans="1:16" ht="18" customHeight="1" x14ac:dyDescent="0.25">
      <c r="A12" s="33">
        <v>46026</v>
      </c>
      <c r="B12" s="78"/>
      <c r="C12" s="78"/>
      <c r="D12" s="482" t="s">
        <v>162</v>
      </c>
      <c r="E12" s="483"/>
      <c r="F12" s="483"/>
      <c r="G12" s="484"/>
      <c r="H12" s="35">
        <f t="shared" si="0"/>
        <v>0</v>
      </c>
      <c r="I12" s="36">
        <f t="shared" si="1"/>
        <v>2</v>
      </c>
      <c r="J12" s="36">
        <f t="shared" si="2"/>
        <v>127.9</v>
      </c>
      <c r="K12" s="35">
        <f t="shared" si="4"/>
        <v>102120</v>
      </c>
      <c r="L12" s="78">
        <v>102130</v>
      </c>
      <c r="M12" s="37">
        <f t="shared" si="3"/>
        <v>10</v>
      </c>
      <c r="N12" s="485">
        <v>5</v>
      </c>
      <c r="O12" s="485"/>
      <c r="P12" s="38"/>
    </row>
    <row r="13" spans="1:16" ht="18" customHeight="1" x14ac:dyDescent="0.25">
      <c r="A13" s="33">
        <v>46027</v>
      </c>
      <c r="B13" s="78"/>
      <c r="C13" s="78"/>
      <c r="D13" s="482" t="s">
        <v>162</v>
      </c>
      <c r="E13" s="483"/>
      <c r="F13" s="483"/>
      <c r="G13" s="484"/>
      <c r="H13" s="35">
        <f t="shared" si="0"/>
        <v>0</v>
      </c>
      <c r="I13" s="36">
        <f t="shared" si="1"/>
        <v>2</v>
      </c>
      <c r="J13" s="36">
        <f t="shared" si="2"/>
        <v>125.9</v>
      </c>
      <c r="K13" s="35">
        <f t="shared" si="4"/>
        <v>102130</v>
      </c>
      <c r="L13" s="78">
        <v>102140</v>
      </c>
      <c r="M13" s="37">
        <f t="shared" si="3"/>
        <v>10</v>
      </c>
      <c r="N13" s="485">
        <v>5</v>
      </c>
      <c r="O13" s="485"/>
      <c r="P13" s="38"/>
    </row>
    <row r="14" spans="1:16" ht="18" customHeight="1" x14ac:dyDescent="0.25">
      <c r="A14" s="33">
        <v>46028</v>
      </c>
      <c r="B14" s="78"/>
      <c r="C14" s="78">
        <v>90</v>
      </c>
      <c r="D14" s="482" t="s">
        <v>162</v>
      </c>
      <c r="E14" s="483"/>
      <c r="F14" s="483"/>
      <c r="G14" s="484"/>
      <c r="H14" s="35">
        <f t="shared" si="0"/>
        <v>90</v>
      </c>
      <c r="I14" s="36">
        <f t="shared" si="1"/>
        <v>2</v>
      </c>
      <c r="J14" s="36">
        <f t="shared" si="2"/>
        <v>213.9</v>
      </c>
      <c r="K14" s="35">
        <f t="shared" si="4"/>
        <v>102140</v>
      </c>
      <c r="L14" s="78">
        <v>102150</v>
      </c>
      <c r="M14" s="37">
        <f t="shared" si="3"/>
        <v>10</v>
      </c>
      <c r="N14" s="485">
        <v>5</v>
      </c>
      <c r="O14" s="485"/>
      <c r="P14" s="38"/>
    </row>
    <row r="15" spans="1:16" ht="18" customHeight="1" x14ac:dyDescent="0.25">
      <c r="A15" s="33">
        <v>46029</v>
      </c>
      <c r="B15" s="78"/>
      <c r="C15" s="78"/>
      <c r="D15" s="482" t="s">
        <v>162</v>
      </c>
      <c r="E15" s="483"/>
      <c r="F15" s="483"/>
      <c r="G15" s="484"/>
      <c r="H15" s="35">
        <f t="shared" si="0"/>
        <v>0</v>
      </c>
      <c r="I15" s="36">
        <f t="shared" si="1"/>
        <v>0</v>
      </c>
      <c r="J15" s="36">
        <f t="shared" si="2"/>
        <v>213.9</v>
      </c>
      <c r="K15" s="35">
        <f t="shared" si="4"/>
        <v>102150</v>
      </c>
      <c r="L15" s="78">
        <v>102150</v>
      </c>
      <c r="M15" s="37">
        <f t="shared" si="3"/>
        <v>0</v>
      </c>
      <c r="N15" s="485">
        <v>5</v>
      </c>
      <c r="O15" s="485"/>
      <c r="P15" s="38"/>
    </row>
    <row r="16" spans="1:16" ht="18" customHeight="1" x14ac:dyDescent="0.25">
      <c r="A16" s="33">
        <v>46030</v>
      </c>
      <c r="B16" s="78"/>
      <c r="C16" s="78"/>
      <c r="D16" s="482" t="s">
        <v>162</v>
      </c>
      <c r="E16" s="483"/>
      <c r="F16" s="483"/>
      <c r="G16" s="484"/>
      <c r="H16" s="35">
        <f t="shared" si="0"/>
        <v>0</v>
      </c>
      <c r="I16" s="36">
        <f t="shared" si="1"/>
        <v>0</v>
      </c>
      <c r="J16" s="36">
        <f t="shared" si="2"/>
        <v>213.9</v>
      </c>
      <c r="K16" s="35">
        <f t="shared" si="4"/>
        <v>102150</v>
      </c>
      <c r="L16" s="78">
        <v>102150</v>
      </c>
      <c r="M16" s="37">
        <f t="shared" si="3"/>
        <v>0</v>
      </c>
      <c r="N16" s="485">
        <v>5</v>
      </c>
      <c r="O16" s="485"/>
      <c r="P16" s="38"/>
    </row>
    <row r="17" spans="1:16" ht="18" customHeight="1" x14ac:dyDescent="0.25">
      <c r="A17" s="33">
        <v>46031</v>
      </c>
      <c r="B17" s="78"/>
      <c r="C17" s="78"/>
      <c r="D17" s="482" t="s">
        <v>162</v>
      </c>
      <c r="E17" s="483"/>
      <c r="F17" s="483"/>
      <c r="G17" s="484"/>
      <c r="H17" s="35">
        <f t="shared" si="0"/>
        <v>0</v>
      </c>
      <c r="I17" s="36">
        <f t="shared" si="1"/>
        <v>2</v>
      </c>
      <c r="J17" s="36">
        <f t="shared" si="2"/>
        <v>211.9</v>
      </c>
      <c r="K17" s="35">
        <f t="shared" si="4"/>
        <v>102150</v>
      </c>
      <c r="L17" s="78">
        <v>102160</v>
      </c>
      <c r="M17" s="37">
        <f t="shared" si="3"/>
        <v>10</v>
      </c>
      <c r="N17" s="485">
        <v>5</v>
      </c>
      <c r="O17" s="485"/>
      <c r="P17" s="38"/>
    </row>
    <row r="18" spans="1:16" ht="18" customHeight="1" x14ac:dyDescent="0.25">
      <c r="A18" s="33">
        <v>46032</v>
      </c>
      <c r="B18" s="78"/>
      <c r="C18" s="80"/>
      <c r="D18" s="482" t="s">
        <v>162</v>
      </c>
      <c r="E18" s="483"/>
      <c r="F18" s="483"/>
      <c r="G18" s="484"/>
      <c r="H18" s="35">
        <f t="shared" si="0"/>
        <v>0</v>
      </c>
      <c r="I18" s="36">
        <f t="shared" si="1"/>
        <v>2</v>
      </c>
      <c r="J18" s="36">
        <f t="shared" si="2"/>
        <v>209.9</v>
      </c>
      <c r="K18" s="35">
        <f t="shared" si="4"/>
        <v>102160</v>
      </c>
      <c r="L18" s="78">
        <v>102170</v>
      </c>
      <c r="M18" s="37">
        <f t="shared" si="3"/>
        <v>10</v>
      </c>
      <c r="N18" s="485">
        <v>5</v>
      </c>
      <c r="O18" s="485"/>
      <c r="P18" s="38"/>
    </row>
    <row r="19" spans="1:16" ht="18" customHeight="1" x14ac:dyDescent="0.25">
      <c r="A19" s="33">
        <v>46033</v>
      </c>
      <c r="B19" s="78"/>
      <c r="C19" s="80"/>
      <c r="D19" s="482" t="s">
        <v>162</v>
      </c>
      <c r="E19" s="483"/>
      <c r="F19" s="483"/>
      <c r="G19" s="484"/>
      <c r="H19" s="35">
        <f t="shared" si="0"/>
        <v>0</v>
      </c>
      <c r="I19" s="36">
        <f t="shared" si="1"/>
        <v>0</v>
      </c>
      <c r="J19" s="36">
        <f t="shared" si="2"/>
        <v>209.9</v>
      </c>
      <c r="K19" s="35">
        <f t="shared" si="4"/>
        <v>102170</v>
      </c>
      <c r="L19" s="78">
        <v>102170</v>
      </c>
      <c r="M19" s="37">
        <f t="shared" si="3"/>
        <v>0</v>
      </c>
      <c r="N19" s="485">
        <v>5</v>
      </c>
      <c r="O19" s="485"/>
      <c r="P19" s="38"/>
    </row>
    <row r="20" spans="1:16" ht="18" customHeight="1" x14ac:dyDescent="0.25">
      <c r="A20" s="33">
        <v>46034</v>
      </c>
      <c r="B20" s="78"/>
      <c r="C20" s="80"/>
      <c r="D20" s="482" t="s">
        <v>162</v>
      </c>
      <c r="E20" s="483"/>
      <c r="F20" s="483"/>
      <c r="G20" s="484"/>
      <c r="H20" s="35">
        <f t="shared" si="0"/>
        <v>0</v>
      </c>
      <c r="I20" s="36">
        <f t="shared" si="1"/>
        <v>2</v>
      </c>
      <c r="J20" s="36">
        <f t="shared" si="2"/>
        <v>207.9</v>
      </c>
      <c r="K20" s="35">
        <f t="shared" si="4"/>
        <v>102170</v>
      </c>
      <c r="L20" s="78">
        <v>102180</v>
      </c>
      <c r="M20" s="37">
        <f t="shared" si="3"/>
        <v>10</v>
      </c>
      <c r="N20" s="485">
        <v>5</v>
      </c>
      <c r="O20" s="485"/>
      <c r="P20" s="38"/>
    </row>
    <row r="21" spans="1:16" ht="18" customHeight="1" x14ac:dyDescent="0.25">
      <c r="A21" s="33">
        <v>46035</v>
      </c>
      <c r="B21" s="78"/>
      <c r="C21" s="80"/>
      <c r="D21" s="482" t="s">
        <v>162</v>
      </c>
      <c r="E21" s="483"/>
      <c r="F21" s="483"/>
      <c r="G21" s="484"/>
      <c r="H21" s="35">
        <f t="shared" si="0"/>
        <v>0</v>
      </c>
      <c r="I21" s="36">
        <f t="shared" si="1"/>
        <v>2</v>
      </c>
      <c r="J21" s="36">
        <f t="shared" si="2"/>
        <v>205.9</v>
      </c>
      <c r="K21" s="35">
        <f t="shared" si="4"/>
        <v>102180</v>
      </c>
      <c r="L21" s="78">
        <v>102190</v>
      </c>
      <c r="M21" s="37">
        <f t="shared" si="3"/>
        <v>10</v>
      </c>
      <c r="N21" s="485">
        <v>5</v>
      </c>
      <c r="O21" s="485"/>
      <c r="P21" s="38"/>
    </row>
    <row r="22" spans="1:16" ht="18" customHeight="1" x14ac:dyDescent="0.25">
      <c r="A22" s="33">
        <v>46036</v>
      </c>
      <c r="B22" s="78"/>
      <c r="C22" s="80"/>
      <c r="D22" s="482" t="s">
        <v>162</v>
      </c>
      <c r="E22" s="483"/>
      <c r="F22" s="483"/>
      <c r="G22" s="484"/>
      <c r="H22" s="35">
        <f t="shared" si="0"/>
        <v>0</v>
      </c>
      <c r="I22" s="36">
        <f t="shared" si="1"/>
        <v>0</v>
      </c>
      <c r="J22" s="36">
        <f t="shared" si="2"/>
        <v>205.9</v>
      </c>
      <c r="K22" s="35">
        <f t="shared" si="4"/>
        <v>102190</v>
      </c>
      <c r="L22" s="78">
        <v>102190</v>
      </c>
      <c r="M22" s="37">
        <f t="shared" si="3"/>
        <v>0</v>
      </c>
      <c r="N22" s="485">
        <v>5</v>
      </c>
      <c r="O22" s="485"/>
      <c r="P22" s="38"/>
    </row>
    <row r="23" spans="1:16" ht="18" customHeight="1" x14ac:dyDescent="0.25">
      <c r="A23" s="33">
        <v>46037</v>
      </c>
      <c r="B23" s="78"/>
      <c r="C23" s="80"/>
      <c r="D23" s="482" t="s">
        <v>163</v>
      </c>
      <c r="E23" s="483"/>
      <c r="F23" s="483"/>
      <c r="G23" s="484"/>
      <c r="H23" s="35">
        <f t="shared" si="0"/>
        <v>0</v>
      </c>
      <c r="I23" s="36">
        <f t="shared" si="1"/>
        <v>0</v>
      </c>
      <c r="J23" s="36">
        <f t="shared" si="2"/>
        <v>205.9</v>
      </c>
      <c r="K23" s="35">
        <f t="shared" si="4"/>
        <v>102190</v>
      </c>
      <c r="L23" s="86">
        <v>102190</v>
      </c>
      <c r="M23" s="37">
        <f t="shared" si="3"/>
        <v>0</v>
      </c>
      <c r="N23" s="485">
        <v>5</v>
      </c>
      <c r="O23" s="485"/>
      <c r="P23" s="38"/>
    </row>
    <row r="24" spans="1:16" ht="18" customHeight="1" x14ac:dyDescent="0.25">
      <c r="A24" s="40"/>
      <c r="B24" s="78"/>
      <c r="C24" s="80"/>
      <c r="D24" s="482"/>
      <c r="E24" s="483"/>
      <c r="F24" s="483"/>
      <c r="G24" s="484"/>
      <c r="H24" s="35"/>
      <c r="I24" s="36"/>
      <c r="J24" s="36"/>
      <c r="K24" s="35"/>
      <c r="L24" s="78"/>
      <c r="M24" s="37"/>
      <c r="N24" s="79"/>
      <c r="O24" s="80"/>
      <c r="P24" s="38"/>
    </row>
    <row r="25" spans="1:16" ht="18" customHeight="1" x14ac:dyDescent="0.25">
      <c r="A25" s="27" t="s">
        <v>143</v>
      </c>
      <c r="I25" s="42"/>
      <c r="J25" s="42"/>
    </row>
    <row r="26" spans="1:16" ht="18" customHeight="1" x14ac:dyDescent="0.25">
      <c r="A26" s="488" t="s">
        <v>144</v>
      </c>
      <c r="B26" s="488"/>
      <c r="C26" s="488"/>
      <c r="D26" s="488"/>
      <c r="E26" s="43">
        <f>+K9</f>
        <v>102100</v>
      </c>
      <c r="G26" s="464" t="s">
        <v>145</v>
      </c>
      <c r="H26" s="464"/>
      <c r="I26" s="464" t="s">
        <v>146</v>
      </c>
      <c r="J26" s="464"/>
      <c r="K26" s="472" t="s">
        <v>147</v>
      </c>
      <c r="L26" s="473"/>
      <c r="M26" s="472" t="s">
        <v>148</v>
      </c>
      <c r="N26" s="473"/>
      <c r="O26" s="472" t="s">
        <v>149</v>
      </c>
      <c r="P26" s="473"/>
    </row>
    <row r="27" spans="1:16" ht="18" customHeight="1" x14ac:dyDescent="0.25">
      <c r="A27" s="488" t="s">
        <v>150</v>
      </c>
      <c r="B27" s="488"/>
      <c r="C27" s="488"/>
      <c r="D27" s="488"/>
      <c r="E27" s="43">
        <f>+L23</f>
        <v>102190</v>
      </c>
      <c r="G27" s="464"/>
      <c r="H27" s="464"/>
      <c r="I27" s="464"/>
      <c r="J27" s="464"/>
      <c r="K27" s="474"/>
      <c r="L27" s="475"/>
      <c r="M27" s="474"/>
      <c r="N27" s="475"/>
      <c r="O27" s="474"/>
      <c r="P27" s="475"/>
    </row>
    <row r="28" spans="1:16" ht="18" customHeight="1" x14ac:dyDescent="0.25">
      <c r="A28" s="488" t="s">
        <v>151</v>
      </c>
      <c r="B28" s="488"/>
      <c r="C28" s="488"/>
      <c r="D28" s="488"/>
      <c r="E28" s="43">
        <f>+E27-E26</f>
        <v>90</v>
      </c>
      <c r="G28" s="485"/>
      <c r="H28" s="485"/>
      <c r="I28" s="493"/>
      <c r="J28" s="493"/>
      <c r="K28" s="494"/>
      <c r="L28" s="495"/>
      <c r="M28" s="494"/>
      <c r="N28" s="495"/>
      <c r="O28" s="494"/>
      <c r="P28" s="495"/>
    </row>
    <row r="29" spans="1:16" ht="18" customHeight="1" x14ac:dyDescent="0.25">
      <c r="A29" s="488" t="s">
        <v>164</v>
      </c>
      <c r="B29" s="488"/>
      <c r="C29" s="488"/>
      <c r="D29" s="488"/>
      <c r="E29" s="44">
        <f>SUM(H9:H24)</f>
        <v>90</v>
      </c>
      <c r="G29" s="485"/>
      <c r="H29" s="485"/>
      <c r="I29" s="493"/>
      <c r="J29" s="493"/>
      <c r="K29" s="496"/>
      <c r="L29" s="497"/>
      <c r="M29" s="496"/>
      <c r="N29" s="497"/>
      <c r="O29" s="496"/>
      <c r="P29" s="497"/>
    </row>
    <row r="30" spans="1:16" ht="18" customHeight="1" x14ac:dyDescent="0.25">
      <c r="A30" s="488" t="s">
        <v>165</v>
      </c>
      <c r="B30" s="488"/>
      <c r="C30" s="488"/>
      <c r="D30" s="488"/>
      <c r="E30" s="44">
        <f>SUM(I9:I23)</f>
        <v>18</v>
      </c>
      <c r="G30" s="485"/>
      <c r="H30" s="485"/>
      <c r="I30" s="493"/>
      <c r="J30" s="493"/>
      <c r="K30" s="496"/>
      <c r="L30" s="497"/>
      <c r="M30" s="496"/>
      <c r="N30" s="497"/>
      <c r="O30" s="496"/>
      <c r="P30" s="497"/>
    </row>
    <row r="31" spans="1:16" ht="18" customHeight="1" x14ac:dyDescent="0.25">
      <c r="A31" s="488" t="s">
        <v>153</v>
      </c>
      <c r="B31" s="488"/>
      <c r="C31" s="488"/>
      <c r="D31" s="488"/>
      <c r="E31" s="36">
        <f>(SUM(N9:O23))/15</f>
        <v>5</v>
      </c>
      <c r="G31" s="485"/>
      <c r="H31" s="485"/>
      <c r="I31" s="493"/>
      <c r="J31" s="493"/>
      <c r="K31" s="496"/>
      <c r="L31" s="497"/>
      <c r="M31" s="496"/>
      <c r="N31" s="497"/>
      <c r="O31" s="496"/>
      <c r="P31" s="497"/>
    </row>
    <row r="32" spans="1:16" ht="18" customHeight="1" x14ac:dyDescent="0.25">
      <c r="A32" s="489" t="s">
        <v>154</v>
      </c>
      <c r="B32" s="489"/>
      <c r="C32" s="489"/>
      <c r="D32" s="489"/>
      <c r="E32" s="36">
        <f>+J23</f>
        <v>205.9</v>
      </c>
      <c r="G32" s="485"/>
      <c r="H32" s="485"/>
      <c r="I32" s="493"/>
      <c r="J32" s="493"/>
      <c r="K32" s="498"/>
      <c r="L32" s="499"/>
      <c r="M32" s="498"/>
      <c r="N32" s="499"/>
      <c r="O32" s="498"/>
      <c r="P32" s="499"/>
    </row>
    <row r="33" spans="1:16" ht="6.75" customHeight="1" x14ac:dyDescent="0.25">
      <c r="A33" s="490"/>
      <c r="B33" s="490"/>
      <c r="C33" s="490"/>
    </row>
    <row r="34" spans="1:16" ht="15" customHeight="1" x14ac:dyDescent="0.25">
      <c r="A34" s="491" t="s">
        <v>155</v>
      </c>
      <c r="B34" s="492"/>
      <c r="C34" s="45"/>
      <c r="D34" s="45"/>
      <c r="E34" s="45"/>
      <c r="F34" s="45"/>
      <c r="G34" s="45"/>
      <c r="H34" s="45"/>
      <c r="I34" s="45"/>
      <c r="J34" s="45"/>
      <c r="K34" s="45"/>
      <c r="L34" s="45"/>
      <c r="M34" s="45"/>
      <c r="N34" s="45"/>
      <c r="O34" s="45"/>
      <c r="P34" s="46"/>
    </row>
    <row r="35" spans="1:16" ht="15" customHeight="1" x14ac:dyDescent="0.25">
      <c r="A35" s="47"/>
      <c r="B35" s="48"/>
      <c r="C35" s="48"/>
      <c r="D35" s="48"/>
      <c r="E35" s="48"/>
      <c r="F35" s="48"/>
      <c r="G35" s="48"/>
      <c r="H35" s="48"/>
      <c r="I35" s="48"/>
      <c r="J35" s="48"/>
      <c r="K35" s="48"/>
      <c r="L35" s="48"/>
      <c r="M35" s="48"/>
      <c r="N35" s="48"/>
      <c r="O35" s="48"/>
      <c r="P35" s="49"/>
    </row>
    <row r="36" spans="1:16" ht="15" customHeight="1" x14ac:dyDescent="0.25">
      <c r="A36" s="50"/>
      <c r="B36" s="51"/>
      <c r="C36" s="51"/>
      <c r="D36" s="51"/>
      <c r="E36" s="51"/>
      <c r="F36" s="51"/>
      <c r="G36" s="51"/>
      <c r="H36" s="51"/>
      <c r="I36" s="51"/>
      <c r="J36" s="51"/>
      <c r="K36" s="51"/>
      <c r="L36" s="51"/>
      <c r="M36" s="51"/>
      <c r="N36" s="51"/>
      <c r="O36" s="51"/>
      <c r="P36" s="52"/>
    </row>
    <row r="37" spans="1:16" ht="4.5" customHeight="1" x14ac:dyDescent="0.25"/>
  </sheetData>
  <mergeCells count="77">
    <mergeCell ref="A31:D31"/>
    <mergeCell ref="A32:D32"/>
    <mergeCell ref="A33:C33"/>
    <mergeCell ref="A34:B34"/>
    <mergeCell ref="O26:P27"/>
    <mergeCell ref="A27:D27"/>
    <mergeCell ref="A28:D28"/>
    <mergeCell ref="G28:H32"/>
    <mergeCell ref="I28:J32"/>
    <mergeCell ref="K28:L32"/>
    <mergeCell ref="M28:N32"/>
    <mergeCell ref="O28:P32"/>
    <mergeCell ref="A29:D29"/>
    <mergeCell ref="A30:D30"/>
    <mergeCell ref="A26:D26"/>
    <mergeCell ref="G26:H27"/>
    <mergeCell ref="I26:J27"/>
    <mergeCell ref="K26:L27"/>
    <mergeCell ref="M26:N27"/>
    <mergeCell ref="D19:G19"/>
    <mergeCell ref="N19:O19"/>
    <mergeCell ref="D20:G20"/>
    <mergeCell ref="N20:O20"/>
    <mergeCell ref="D21:G21"/>
    <mergeCell ref="N21:O21"/>
    <mergeCell ref="D22:G22"/>
    <mergeCell ref="N22:O22"/>
    <mergeCell ref="D23:G23"/>
    <mergeCell ref="N23:O23"/>
    <mergeCell ref="D24:G24"/>
    <mergeCell ref="D16:G16"/>
    <mergeCell ref="N16:O16"/>
    <mergeCell ref="D17:G17"/>
    <mergeCell ref="N17:O17"/>
    <mergeCell ref="D18:G18"/>
    <mergeCell ref="N18:O18"/>
    <mergeCell ref="D13:G13"/>
    <mergeCell ref="N13:O13"/>
    <mergeCell ref="D14:G14"/>
    <mergeCell ref="N14:O14"/>
    <mergeCell ref="D15:G15"/>
    <mergeCell ref="N15:O15"/>
    <mergeCell ref="D10:G10"/>
    <mergeCell ref="N10:O10"/>
    <mergeCell ref="D11:G11"/>
    <mergeCell ref="N11:O11"/>
    <mergeCell ref="D12:G12"/>
    <mergeCell ref="N12:O12"/>
    <mergeCell ref="N6:O7"/>
    <mergeCell ref="P6:P7"/>
    <mergeCell ref="D8:G8"/>
    <mergeCell ref="N8:O8"/>
    <mergeCell ref="D9:G9"/>
    <mergeCell ref="N9:O9"/>
    <mergeCell ref="K6:M6"/>
    <mergeCell ref="A6:A7"/>
    <mergeCell ref="B6:B7"/>
    <mergeCell ref="C6:C7"/>
    <mergeCell ref="D6:G7"/>
    <mergeCell ref="H6:J6"/>
    <mergeCell ref="A4:B4"/>
    <mergeCell ref="C4:J4"/>
    <mergeCell ref="K4:L4"/>
    <mergeCell ref="M4:P4"/>
    <mergeCell ref="A5:B5"/>
    <mergeCell ref="C5:J5"/>
    <mergeCell ref="K5:L5"/>
    <mergeCell ref="M5:P5"/>
    <mergeCell ref="A3:B3"/>
    <mergeCell ref="C3:J3"/>
    <mergeCell ref="K3:L3"/>
    <mergeCell ref="M3:P3"/>
    <mergeCell ref="A1:P1"/>
    <mergeCell ref="A2:B2"/>
    <mergeCell ref="C2:J2"/>
    <mergeCell ref="K2:L2"/>
    <mergeCell ref="M2:P2"/>
  </mergeCells>
  <pageMargins left="0.19685039370078741" right="0.39370078740157483" top="0.39370078740157483" bottom="0.39370078740157483" header="0" footer="0"/>
  <pageSetup scale="9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sheetPr>
  <dimension ref="A1:P37"/>
  <sheetViews>
    <sheetView topLeftCell="A10" zoomScaleNormal="100" workbookViewId="0">
      <selection activeCell="N22" sqref="N22:O22"/>
    </sheetView>
  </sheetViews>
  <sheetFormatPr baseColWidth="10" defaultRowHeight="15" x14ac:dyDescent="0.25"/>
  <cols>
    <col min="1" max="1" width="11.85546875" style="27" customWidth="1"/>
    <col min="2" max="2" width="7.42578125" style="27" customWidth="1"/>
    <col min="3" max="3" width="6" style="27" customWidth="1"/>
    <col min="4" max="4" width="11.85546875" style="27" customWidth="1"/>
    <col min="5" max="5" width="10.42578125" style="27" customWidth="1"/>
    <col min="6" max="6" width="4.28515625" style="27" customWidth="1"/>
    <col min="7" max="7" width="11.140625" style="27" customWidth="1"/>
    <col min="8" max="8" width="7.85546875" style="27" bestFit="1" customWidth="1"/>
    <col min="9" max="9" width="11.5703125" style="27" bestFit="1" customWidth="1"/>
    <col min="10" max="10" width="6.28515625" style="27" bestFit="1" customWidth="1"/>
    <col min="11" max="12" width="8.7109375" style="27" customWidth="1"/>
    <col min="13" max="13" width="10" style="27" bestFit="1" customWidth="1"/>
    <col min="14" max="14" width="5.7109375" style="27" customWidth="1"/>
    <col min="15" max="15" width="6.42578125" style="27" customWidth="1"/>
    <col min="16" max="16" width="10.5703125" style="27" customWidth="1"/>
    <col min="17" max="17" width="0.5703125" style="27" customWidth="1"/>
    <col min="18" max="16384" width="11.42578125" style="27"/>
  </cols>
  <sheetData>
    <row r="1" spans="1:16" ht="17.25" customHeight="1" x14ac:dyDescent="0.25">
      <c r="A1" s="582" t="s">
        <v>119</v>
      </c>
      <c r="B1" s="582"/>
      <c r="C1" s="582"/>
      <c r="D1" s="582"/>
      <c r="E1" s="582"/>
      <c r="F1" s="582"/>
      <c r="G1" s="582"/>
      <c r="H1" s="582"/>
      <c r="I1" s="582"/>
      <c r="J1" s="582"/>
      <c r="K1" s="582"/>
      <c r="L1" s="582"/>
      <c r="M1" s="582"/>
      <c r="N1" s="582"/>
      <c r="O1" s="582"/>
      <c r="P1" s="582"/>
    </row>
    <row r="2" spans="1:16" ht="18" customHeight="1" x14ac:dyDescent="0.25">
      <c r="A2" s="583" t="s">
        <v>118</v>
      </c>
      <c r="B2" s="584"/>
      <c r="C2" s="583">
        <v>2025</v>
      </c>
      <c r="D2" s="585"/>
      <c r="E2" s="585"/>
      <c r="F2" s="585"/>
      <c r="G2" s="585"/>
      <c r="H2" s="585"/>
      <c r="I2" s="585"/>
      <c r="J2" s="584"/>
      <c r="K2" s="586" t="s">
        <v>120</v>
      </c>
      <c r="L2" s="426"/>
      <c r="M2" s="587" t="s">
        <v>205</v>
      </c>
      <c r="N2" s="587"/>
      <c r="O2" s="587"/>
      <c r="P2" s="588"/>
    </row>
    <row r="3" spans="1:16" ht="18" customHeight="1" x14ac:dyDescent="0.25">
      <c r="A3" s="578" t="s">
        <v>121</v>
      </c>
      <c r="B3" s="579"/>
      <c r="C3" s="578" t="s">
        <v>200</v>
      </c>
      <c r="D3" s="580"/>
      <c r="E3" s="580"/>
      <c r="F3" s="580"/>
      <c r="G3" s="580"/>
      <c r="H3" s="580"/>
      <c r="I3" s="580"/>
      <c r="J3" s="579"/>
      <c r="K3" s="581" t="s">
        <v>122</v>
      </c>
      <c r="L3" s="581"/>
      <c r="M3" s="426" t="s">
        <v>201</v>
      </c>
      <c r="N3" s="426"/>
      <c r="O3" s="426"/>
      <c r="P3" s="427"/>
    </row>
    <row r="4" spans="1:16" ht="18" customHeight="1" x14ac:dyDescent="0.25">
      <c r="A4" s="578" t="s">
        <v>123</v>
      </c>
      <c r="B4" s="579"/>
      <c r="C4" s="578" t="s">
        <v>209</v>
      </c>
      <c r="D4" s="580"/>
      <c r="E4" s="580"/>
      <c r="F4" s="580"/>
      <c r="G4" s="580"/>
      <c r="H4" s="580"/>
      <c r="I4" s="580"/>
      <c r="J4" s="579"/>
      <c r="K4" s="581" t="s">
        <v>124</v>
      </c>
      <c r="L4" s="581"/>
      <c r="M4" s="586" t="s">
        <v>202</v>
      </c>
      <c r="N4" s="426"/>
      <c r="O4" s="426"/>
      <c r="P4" s="427"/>
    </row>
    <row r="5" spans="1:16" ht="18" customHeight="1" x14ac:dyDescent="0.25">
      <c r="A5" s="578" t="s">
        <v>125</v>
      </c>
      <c r="B5" s="579"/>
      <c r="C5" s="578" t="s">
        <v>160</v>
      </c>
      <c r="D5" s="580"/>
      <c r="E5" s="580"/>
      <c r="F5" s="580"/>
      <c r="G5" s="580"/>
      <c r="H5" s="580"/>
      <c r="I5" s="580"/>
      <c r="J5" s="579"/>
      <c r="K5" s="581" t="s">
        <v>126</v>
      </c>
      <c r="L5" s="581"/>
      <c r="M5" s="586" t="s">
        <v>203</v>
      </c>
      <c r="N5" s="426"/>
      <c r="O5" s="426"/>
      <c r="P5" s="427"/>
    </row>
    <row r="6" spans="1:16" ht="18" customHeight="1" x14ac:dyDescent="0.25">
      <c r="A6" s="589" t="s">
        <v>127</v>
      </c>
      <c r="B6" s="590" t="s">
        <v>128</v>
      </c>
      <c r="C6" s="590" t="s">
        <v>129</v>
      </c>
      <c r="D6" s="591" t="s">
        <v>130</v>
      </c>
      <c r="E6" s="592"/>
      <c r="F6" s="592"/>
      <c r="G6" s="593"/>
      <c r="H6" s="590" t="s">
        <v>131</v>
      </c>
      <c r="I6" s="590"/>
      <c r="J6" s="590"/>
      <c r="K6" s="590" t="s">
        <v>132</v>
      </c>
      <c r="L6" s="590"/>
      <c r="M6" s="590"/>
      <c r="N6" s="597" t="s">
        <v>133</v>
      </c>
      <c r="O6" s="598"/>
      <c r="P6" s="601" t="s">
        <v>134</v>
      </c>
    </row>
    <row r="7" spans="1:16" ht="18" customHeight="1" x14ac:dyDescent="0.25">
      <c r="A7" s="589"/>
      <c r="B7" s="590"/>
      <c r="C7" s="590"/>
      <c r="D7" s="594"/>
      <c r="E7" s="595"/>
      <c r="F7" s="595"/>
      <c r="G7" s="596"/>
      <c r="H7" s="108" t="s">
        <v>135</v>
      </c>
      <c r="I7" s="108" t="s">
        <v>136</v>
      </c>
      <c r="J7" s="108" t="s">
        <v>137</v>
      </c>
      <c r="K7" s="108" t="s">
        <v>138</v>
      </c>
      <c r="L7" s="108" t="s">
        <v>139</v>
      </c>
      <c r="M7" s="108" t="s">
        <v>140</v>
      </c>
      <c r="N7" s="599"/>
      <c r="O7" s="600"/>
      <c r="P7" s="602"/>
    </row>
    <row r="8" spans="1:16" ht="18" customHeight="1" x14ac:dyDescent="0.25">
      <c r="A8" s="29"/>
      <c r="B8" s="93"/>
      <c r="C8" s="93"/>
      <c r="D8" s="603" t="s">
        <v>141</v>
      </c>
      <c r="E8" s="604"/>
      <c r="F8" s="604"/>
      <c r="G8" s="605"/>
      <c r="H8" s="105"/>
      <c r="I8" s="106"/>
      <c r="J8" s="98">
        <v>18</v>
      </c>
      <c r="K8" s="107"/>
      <c r="L8" s="98">
        <v>420221</v>
      </c>
      <c r="M8" s="7"/>
      <c r="N8" s="481"/>
      <c r="O8" s="481"/>
      <c r="P8" s="18"/>
    </row>
    <row r="9" spans="1:16" ht="18" customHeight="1" x14ac:dyDescent="0.25">
      <c r="A9" s="95">
        <v>45992</v>
      </c>
      <c r="B9" s="96"/>
      <c r="C9" s="96"/>
      <c r="D9" s="606" t="s">
        <v>162</v>
      </c>
      <c r="E9" s="607"/>
      <c r="F9" s="607"/>
      <c r="G9" s="608"/>
      <c r="H9" s="96">
        <f>C9</f>
        <v>0</v>
      </c>
      <c r="I9" s="97">
        <f>+M9/$E$31</f>
        <v>1.6</v>
      </c>
      <c r="J9" s="97">
        <f>+J8+H9-I9</f>
        <v>16.399999999999999</v>
      </c>
      <c r="K9" s="96">
        <f>+L8</f>
        <v>420221</v>
      </c>
      <c r="L9" s="96">
        <f>+L8+8</f>
        <v>420229</v>
      </c>
      <c r="M9" s="98">
        <f>+L9-K9</f>
        <v>8</v>
      </c>
      <c r="N9" s="609"/>
      <c r="O9" s="609"/>
      <c r="P9" s="100"/>
    </row>
    <row r="10" spans="1:16" ht="18" customHeight="1" x14ac:dyDescent="0.25">
      <c r="A10" s="95">
        <v>45993</v>
      </c>
      <c r="B10" s="96">
        <v>14727</v>
      </c>
      <c r="C10" s="96">
        <v>75</v>
      </c>
      <c r="D10" s="606" t="s">
        <v>162</v>
      </c>
      <c r="E10" s="607"/>
      <c r="F10" s="607"/>
      <c r="G10" s="608"/>
      <c r="H10" s="96">
        <f t="shared" ref="H10:H23" si="0">C10</f>
        <v>75</v>
      </c>
      <c r="I10" s="97">
        <f t="shared" ref="I10:I23" si="1">+M10/$E$31</f>
        <v>1.2</v>
      </c>
      <c r="J10" s="97">
        <f t="shared" ref="J10:J23" si="2">+J9+H10-I10</f>
        <v>90.2</v>
      </c>
      <c r="K10" s="96">
        <f>+L9</f>
        <v>420229</v>
      </c>
      <c r="L10" s="96">
        <f>+L9+6</f>
        <v>420235</v>
      </c>
      <c r="M10" s="98">
        <f t="shared" ref="M10:M23" si="3">+L10-K10</f>
        <v>6</v>
      </c>
      <c r="N10" s="609"/>
      <c r="O10" s="609"/>
      <c r="P10" s="100"/>
    </row>
    <row r="11" spans="1:16" ht="18" customHeight="1" x14ac:dyDescent="0.25">
      <c r="A11" s="95">
        <v>45994</v>
      </c>
      <c r="B11" s="96"/>
      <c r="C11" s="96"/>
      <c r="D11" s="606" t="s">
        <v>162</v>
      </c>
      <c r="E11" s="607"/>
      <c r="F11" s="607"/>
      <c r="G11" s="608"/>
      <c r="H11" s="96">
        <f t="shared" si="0"/>
        <v>0</v>
      </c>
      <c r="I11" s="97">
        <f t="shared" si="1"/>
        <v>8.4</v>
      </c>
      <c r="J11" s="97">
        <f t="shared" si="2"/>
        <v>81.8</v>
      </c>
      <c r="K11" s="96">
        <f t="shared" ref="K11:K23" si="4">+L10</f>
        <v>420235</v>
      </c>
      <c r="L11" s="96">
        <f>+L10+42</f>
        <v>420277</v>
      </c>
      <c r="M11" s="98">
        <f t="shared" si="3"/>
        <v>42</v>
      </c>
      <c r="N11" s="609"/>
      <c r="O11" s="609"/>
      <c r="P11" s="100"/>
    </row>
    <row r="12" spans="1:16" ht="18" customHeight="1" x14ac:dyDescent="0.25">
      <c r="A12" s="95">
        <v>45995</v>
      </c>
      <c r="B12" s="96"/>
      <c r="C12" s="96"/>
      <c r="D12" s="606" t="s">
        <v>162</v>
      </c>
      <c r="E12" s="607"/>
      <c r="F12" s="607"/>
      <c r="G12" s="608"/>
      <c r="H12" s="96">
        <f t="shared" si="0"/>
        <v>0</v>
      </c>
      <c r="I12" s="97">
        <f t="shared" si="1"/>
        <v>7.2</v>
      </c>
      <c r="J12" s="97">
        <f t="shared" si="2"/>
        <v>74.599999999999994</v>
      </c>
      <c r="K12" s="96">
        <f t="shared" si="4"/>
        <v>420277</v>
      </c>
      <c r="L12" s="96">
        <f>+L11+36</f>
        <v>420313</v>
      </c>
      <c r="M12" s="98">
        <f t="shared" si="3"/>
        <v>36</v>
      </c>
      <c r="N12" s="609"/>
      <c r="O12" s="609"/>
      <c r="P12" s="100"/>
    </row>
    <row r="13" spans="1:16" ht="18" customHeight="1" x14ac:dyDescent="0.25">
      <c r="A13" s="95">
        <v>45996</v>
      </c>
      <c r="B13" s="96"/>
      <c r="C13" s="96"/>
      <c r="D13" s="606" t="s">
        <v>162</v>
      </c>
      <c r="E13" s="607"/>
      <c r="F13" s="607"/>
      <c r="G13" s="608"/>
      <c r="H13" s="96">
        <f t="shared" si="0"/>
        <v>0</v>
      </c>
      <c r="I13" s="97">
        <f t="shared" si="1"/>
        <v>5</v>
      </c>
      <c r="J13" s="97">
        <f t="shared" si="2"/>
        <v>69.599999999999994</v>
      </c>
      <c r="K13" s="96">
        <f t="shared" si="4"/>
        <v>420313</v>
      </c>
      <c r="L13" s="96">
        <f>+L12+25</f>
        <v>420338</v>
      </c>
      <c r="M13" s="98">
        <f t="shared" si="3"/>
        <v>25</v>
      </c>
      <c r="N13" s="609"/>
      <c r="O13" s="609"/>
      <c r="P13" s="100"/>
    </row>
    <row r="14" spans="1:16" ht="18" customHeight="1" x14ac:dyDescent="0.25">
      <c r="A14" s="95">
        <v>45997</v>
      </c>
      <c r="B14" s="96"/>
      <c r="C14" s="96"/>
      <c r="D14" s="606" t="s">
        <v>162</v>
      </c>
      <c r="E14" s="607"/>
      <c r="F14" s="607"/>
      <c r="G14" s="608"/>
      <c r="H14" s="96">
        <f t="shared" si="0"/>
        <v>0</v>
      </c>
      <c r="I14" s="97">
        <f t="shared" si="1"/>
        <v>0</v>
      </c>
      <c r="J14" s="97">
        <f t="shared" si="2"/>
        <v>69.599999999999994</v>
      </c>
      <c r="K14" s="96">
        <f t="shared" si="4"/>
        <v>420338</v>
      </c>
      <c r="L14" s="96">
        <f>+L13+0</f>
        <v>420338</v>
      </c>
      <c r="M14" s="98">
        <f t="shared" si="3"/>
        <v>0</v>
      </c>
      <c r="N14" s="609"/>
      <c r="O14" s="609"/>
      <c r="P14" s="100"/>
    </row>
    <row r="15" spans="1:16" ht="18" customHeight="1" x14ac:dyDescent="0.25">
      <c r="A15" s="95">
        <v>45998</v>
      </c>
      <c r="B15" s="96"/>
      <c r="C15" s="96"/>
      <c r="D15" s="606" t="s">
        <v>162</v>
      </c>
      <c r="E15" s="607"/>
      <c r="F15" s="607"/>
      <c r="G15" s="608"/>
      <c r="H15" s="96">
        <f t="shared" si="0"/>
        <v>0</v>
      </c>
      <c r="I15" s="97">
        <f t="shared" si="1"/>
        <v>0</v>
      </c>
      <c r="J15" s="97">
        <f t="shared" si="2"/>
        <v>69.599999999999994</v>
      </c>
      <c r="K15" s="96">
        <f t="shared" si="4"/>
        <v>420338</v>
      </c>
      <c r="L15" s="96">
        <f>+L14+0</f>
        <v>420338</v>
      </c>
      <c r="M15" s="98">
        <f t="shared" si="3"/>
        <v>0</v>
      </c>
      <c r="N15" s="609"/>
      <c r="O15" s="609"/>
      <c r="P15" s="100"/>
    </row>
    <row r="16" spans="1:16" ht="18" customHeight="1" x14ac:dyDescent="0.25">
      <c r="A16" s="95">
        <v>45999</v>
      </c>
      <c r="B16" s="96"/>
      <c r="C16" s="96"/>
      <c r="D16" s="606" t="s">
        <v>162</v>
      </c>
      <c r="E16" s="607"/>
      <c r="F16" s="607"/>
      <c r="G16" s="608"/>
      <c r="H16" s="96">
        <f t="shared" si="0"/>
        <v>0</v>
      </c>
      <c r="I16" s="97">
        <f t="shared" si="1"/>
        <v>1.8</v>
      </c>
      <c r="J16" s="97">
        <f t="shared" si="2"/>
        <v>67.8</v>
      </c>
      <c r="K16" s="96">
        <f t="shared" si="4"/>
        <v>420338</v>
      </c>
      <c r="L16" s="96">
        <f>+L15+9</f>
        <v>420347</v>
      </c>
      <c r="M16" s="98">
        <f t="shared" si="3"/>
        <v>9</v>
      </c>
      <c r="N16" s="609"/>
      <c r="O16" s="609"/>
      <c r="P16" s="100"/>
    </row>
    <row r="17" spans="1:16" ht="18" customHeight="1" x14ac:dyDescent="0.25">
      <c r="A17" s="95">
        <v>46000</v>
      </c>
      <c r="B17" s="96"/>
      <c r="C17" s="96"/>
      <c r="D17" s="606" t="s">
        <v>162</v>
      </c>
      <c r="E17" s="607"/>
      <c r="F17" s="607"/>
      <c r="G17" s="608"/>
      <c r="H17" s="96">
        <f t="shared" si="0"/>
        <v>0</v>
      </c>
      <c r="I17" s="97">
        <f t="shared" si="1"/>
        <v>0</v>
      </c>
      <c r="J17" s="97">
        <f t="shared" si="2"/>
        <v>67.8</v>
      </c>
      <c r="K17" s="96">
        <f t="shared" si="4"/>
        <v>420347</v>
      </c>
      <c r="L17" s="96">
        <f>+L16+0</f>
        <v>420347</v>
      </c>
      <c r="M17" s="98">
        <f t="shared" si="3"/>
        <v>0</v>
      </c>
      <c r="N17" s="609"/>
      <c r="O17" s="609"/>
      <c r="P17" s="100"/>
    </row>
    <row r="18" spans="1:16" ht="18" customHeight="1" x14ac:dyDescent="0.25">
      <c r="A18" s="95">
        <v>46001</v>
      </c>
      <c r="B18" s="96"/>
      <c r="C18" s="101"/>
      <c r="D18" s="606" t="s">
        <v>162</v>
      </c>
      <c r="E18" s="607"/>
      <c r="F18" s="607"/>
      <c r="G18" s="608"/>
      <c r="H18" s="96">
        <f t="shared" si="0"/>
        <v>0</v>
      </c>
      <c r="I18" s="97">
        <f t="shared" si="1"/>
        <v>9.6</v>
      </c>
      <c r="J18" s="97">
        <f t="shared" si="2"/>
        <v>58.199999999999996</v>
      </c>
      <c r="K18" s="96">
        <f t="shared" si="4"/>
        <v>420347</v>
      </c>
      <c r="L18" s="96">
        <f>+L17+48</f>
        <v>420395</v>
      </c>
      <c r="M18" s="98">
        <f t="shared" si="3"/>
        <v>48</v>
      </c>
      <c r="N18" s="609"/>
      <c r="O18" s="609"/>
      <c r="P18" s="100"/>
    </row>
    <row r="19" spans="1:16" ht="18" customHeight="1" x14ac:dyDescent="0.25">
      <c r="A19" s="95">
        <v>46002</v>
      </c>
      <c r="B19" s="96" t="s">
        <v>207</v>
      </c>
      <c r="C19" s="96">
        <v>40</v>
      </c>
      <c r="D19" s="606" t="s">
        <v>162</v>
      </c>
      <c r="E19" s="607"/>
      <c r="F19" s="607"/>
      <c r="G19" s="608"/>
      <c r="H19" s="96">
        <f t="shared" si="0"/>
        <v>40</v>
      </c>
      <c r="I19" s="97">
        <f t="shared" si="1"/>
        <v>22</v>
      </c>
      <c r="J19" s="97">
        <f t="shared" si="2"/>
        <v>76.199999999999989</v>
      </c>
      <c r="K19" s="96">
        <f t="shared" si="4"/>
        <v>420395</v>
      </c>
      <c r="L19" s="96">
        <f>+L18+110</f>
        <v>420505</v>
      </c>
      <c r="M19" s="98">
        <f t="shared" si="3"/>
        <v>110</v>
      </c>
      <c r="N19" s="609"/>
      <c r="O19" s="609"/>
      <c r="P19" s="100"/>
    </row>
    <row r="20" spans="1:16" ht="18" customHeight="1" x14ac:dyDescent="0.25">
      <c r="A20" s="95">
        <v>46003</v>
      </c>
      <c r="B20" s="96"/>
      <c r="C20" s="101"/>
      <c r="D20" s="606" t="s">
        <v>162</v>
      </c>
      <c r="E20" s="607"/>
      <c r="F20" s="607"/>
      <c r="G20" s="608"/>
      <c r="H20" s="96">
        <f t="shared" si="0"/>
        <v>0</v>
      </c>
      <c r="I20" s="97">
        <f t="shared" si="1"/>
        <v>5.8</v>
      </c>
      <c r="J20" s="97">
        <f t="shared" si="2"/>
        <v>70.399999999999991</v>
      </c>
      <c r="K20" s="96">
        <f t="shared" si="4"/>
        <v>420505</v>
      </c>
      <c r="L20" s="96">
        <f>+L19+29</f>
        <v>420534</v>
      </c>
      <c r="M20" s="98">
        <f t="shared" si="3"/>
        <v>29</v>
      </c>
      <c r="N20" s="609"/>
      <c r="O20" s="609"/>
      <c r="P20" s="100"/>
    </row>
    <row r="21" spans="1:16" ht="18" customHeight="1" x14ac:dyDescent="0.25">
      <c r="A21" s="95">
        <v>46004</v>
      </c>
      <c r="B21" s="96"/>
      <c r="C21" s="101"/>
      <c r="D21" s="606" t="s">
        <v>162</v>
      </c>
      <c r="E21" s="607"/>
      <c r="F21" s="607"/>
      <c r="G21" s="608"/>
      <c r="H21" s="96">
        <f t="shared" si="0"/>
        <v>0</v>
      </c>
      <c r="I21" s="97">
        <f t="shared" si="1"/>
        <v>0</v>
      </c>
      <c r="J21" s="97">
        <f t="shared" si="2"/>
        <v>70.399999999999991</v>
      </c>
      <c r="K21" s="96">
        <f t="shared" si="4"/>
        <v>420534</v>
      </c>
      <c r="L21" s="96">
        <f>+L20+0</f>
        <v>420534</v>
      </c>
      <c r="M21" s="98">
        <f t="shared" si="3"/>
        <v>0</v>
      </c>
      <c r="N21" s="609"/>
      <c r="O21" s="609"/>
      <c r="P21" s="100"/>
    </row>
    <row r="22" spans="1:16" ht="18" customHeight="1" x14ac:dyDescent="0.25">
      <c r="A22" s="95">
        <v>46005</v>
      </c>
      <c r="B22" s="96"/>
      <c r="C22" s="101"/>
      <c r="D22" s="606" t="s">
        <v>162</v>
      </c>
      <c r="E22" s="607"/>
      <c r="F22" s="607"/>
      <c r="G22" s="608"/>
      <c r="H22" s="96">
        <f t="shared" si="0"/>
        <v>0</v>
      </c>
      <c r="I22" s="97">
        <f t="shared" si="1"/>
        <v>0</v>
      </c>
      <c r="J22" s="97">
        <f t="shared" si="2"/>
        <v>70.399999999999991</v>
      </c>
      <c r="K22" s="96">
        <f t="shared" si="4"/>
        <v>420534</v>
      </c>
      <c r="L22" s="96">
        <f>+L21+0</f>
        <v>420534</v>
      </c>
      <c r="M22" s="98">
        <f t="shared" si="3"/>
        <v>0</v>
      </c>
      <c r="N22" s="609"/>
      <c r="O22" s="609"/>
      <c r="P22" s="100"/>
    </row>
    <row r="23" spans="1:16" ht="18" customHeight="1" x14ac:dyDescent="0.25">
      <c r="A23" s="95">
        <v>46006</v>
      </c>
      <c r="B23" s="96"/>
      <c r="C23" s="101"/>
      <c r="D23" s="606" t="s">
        <v>162</v>
      </c>
      <c r="E23" s="607"/>
      <c r="F23" s="607"/>
      <c r="G23" s="608"/>
      <c r="H23" s="96">
        <f t="shared" si="0"/>
        <v>0</v>
      </c>
      <c r="I23" s="97">
        <f t="shared" si="1"/>
        <v>6.4</v>
      </c>
      <c r="J23" s="97">
        <f t="shared" si="2"/>
        <v>63.999999999999993</v>
      </c>
      <c r="K23" s="96">
        <f t="shared" si="4"/>
        <v>420534</v>
      </c>
      <c r="L23" s="96">
        <f>+L22+32</f>
        <v>420566</v>
      </c>
      <c r="M23" s="98">
        <f t="shared" si="3"/>
        <v>32</v>
      </c>
      <c r="N23" s="609"/>
      <c r="O23" s="609"/>
      <c r="P23" s="100"/>
    </row>
    <row r="24" spans="1:16" ht="18" customHeight="1" x14ac:dyDescent="0.25">
      <c r="A24" s="95"/>
      <c r="B24" s="96"/>
      <c r="C24" s="101"/>
      <c r="D24" s="606"/>
      <c r="E24" s="607"/>
      <c r="F24" s="607"/>
      <c r="G24" s="608"/>
      <c r="H24" s="96"/>
      <c r="I24" s="97"/>
      <c r="J24" s="97"/>
      <c r="K24" s="96"/>
      <c r="L24" s="96"/>
      <c r="M24" s="98"/>
      <c r="N24" s="102"/>
      <c r="O24" s="101"/>
      <c r="P24" s="100"/>
    </row>
    <row r="25" spans="1:16" ht="18" customHeight="1" x14ac:dyDescent="0.25">
      <c r="A25" s="27" t="s">
        <v>143</v>
      </c>
      <c r="I25" s="42"/>
      <c r="J25" s="42"/>
    </row>
    <row r="26" spans="1:16" ht="18" customHeight="1" x14ac:dyDescent="0.25">
      <c r="A26" s="610" t="s">
        <v>144</v>
      </c>
      <c r="B26" s="610"/>
      <c r="C26" s="610"/>
      <c r="D26" s="610"/>
      <c r="E26" s="103">
        <f>+K9</f>
        <v>420221</v>
      </c>
      <c r="G26" s="589" t="s">
        <v>145</v>
      </c>
      <c r="H26" s="589"/>
      <c r="I26" s="589" t="s">
        <v>146</v>
      </c>
      <c r="J26" s="589"/>
      <c r="K26" s="597" t="s">
        <v>147</v>
      </c>
      <c r="L26" s="598"/>
      <c r="M26" s="597" t="s">
        <v>148</v>
      </c>
      <c r="N26" s="598"/>
      <c r="O26" s="597" t="s">
        <v>149</v>
      </c>
      <c r="P26" s="598"/>
    </row>
    <row r="27" spans="1:16" ht="18" customHeight="1" x14ac:dyDescent="0.25">
      <c r="A27" s="610" t="s">
        <v>150</v>
      </c>
      <c r="B27" s="610"/>
      <c r="C27" s="610"/>
      <c r="D27" s="610"/>
      <c r="E27" s="103">
        <f>+L23</f>
        <v>420566</v>
      </c>
      <c r="G27" s="589"/>
      <c r="H27" s="589"/>
      <c r="I27" s="589"/>
      <c r="J27" s="589"/>
      <c r="K27" s="599"/>
      <c r="L27" s="600"/>
      <c r="M27" s="599"/>
      <c r="N27" s="600"/>
      <c r="O27" s="599"/>
      <c r="P27" s="600"/>
    </row>
    <row r="28" spans="1:16" ht="18" customHeight="1" x14ac:dyDescent="0.25">
      <c r="A28" s="610" t="s">
        <v>151</v>
      </c>
      <c r="B28" s="610"/>
      <c r="C28" s="610"/>
      <c r="D28" s="610"/>
      <c r="E28" s="103">
        <f>+E27-E26</f>
        <v>345</v>
      </c>
      <c r="G28" s="609"/>
      <c r="H28" s="609"/>
      <c r="I28" s="614"/>
      <c r="J28" s="614"/>
      <c r="K28" s="615"/>
      <c r="L28" s="616"/>
      <c r="M28" s="615"/>
      <c r="N28" s="616"/>
      <c r="O28" s="615"/>
      <c r="P28" s="616"/>
    </row>
    <row r="29" spans="1:16" ht="18" customHeight="1" x14ac:dyDescent="0.25">
      <c r="A29" s="610" t="s">
        <v>164</v>
      </c>
      <c r="B29" s="610"/>
      <c r="C29" s="610"/>
      <c r="D29" s="610"/>
      <c r="E29" s="104">
        <f>SUM(H9:H24)</f>
        <v>115</v>
      </c>
      <c r="G29" s="609"/>
      <c r="H29" s="609"/>
      <c r="I29" s="614"/>
      <c r="J29" s="614"/>
      <c r="K29" s="617"/>
      <c r="L29" s="618"/>
      <c r="M29" s="617"/>
      <c r="N29" s="618"/>
      <c r="O29" s="617"/>
      <c r="P29" s="618"/>
    </row>
    <row r="30" spans="1:16" ht="18" customHeight="1" x14ac:dyDescent="0.25">
      <c r="A30" s="610" t="s">
        <v>165</v>
      </c>
      <c r="B30" s="610"/>
      <c r="C30" s="610"/>
      <c r="D30" s="610"/>
      <c r="E30" s="104">
        <f>SUM(I9:I23)</f>
        <v>69</v>
      </c>
      <c r="G30" s="609"/>
      <c r="H30" s="609"/>
      <c r="I30" s="614"/>
      <c r="J30" s="614"/>
      <c r="K30" s="617"/>
      <c r="L30" s="618"/>
      <c r="M30" s="617"/>
      <c r="N30" s="618"/>
      <c r="O30" s="617"/>
      <c r="P30" s="618"/>
    </row>
    <row r="31" spans="1:16" ht="18" customHeight="1" x14ac:dyDescent="0.25">
      <c r="A31" s="610" t="s">
        <v>153</v>
      </c>
      <c r="B31" s="610"/>
      <c r="C31" s="610"/>
      <c r="D31" s="610"/>
      <c r="E31" s="97">
        <v>5</v>
      </c>
      <c r="G31" s="609"/>
      <c r="H31" s="609"/>
      <c r="I31" s="614"/>
      <c r="J31" s="614"/>
      <c r="K31" s="617"/>
      <c r="L31" s="618"/>
      <c r="M31" s="617"/>
      <c r="N31" s="618"/>
      <c r="O31" s="617"/>
      <c r="P31" s="618"/>
    </row>
    <row r="32" spans="1:16" ht="18" customHeight="1" x14ac:dyDescent="0.25">
      <c r="A32" s="611" t="s">
        <v>154</v>
      </c>
      <c r="B32" s="611"/>
      <c r="C32" s="611"/>
      <c r="D32" s="611"/>
      <c r="E32" s="97">
        <f>+J23</f>
        <v>63.999999999999993</v>
      </c>
      <c r="G32" s="609"/>
      <c r="H32" s="609"/>
      <c r="I32" s="614"/>
      <c r="J32" s="614"/>
      <c r="K32" s="619"/>
      <c r="L32" s="620"/>
      <c r="M32" s="619"/>
      <c r="N32" s="620"/>
      <c r="O32" s="619"/>
      <c r="P32" s="620"/>
    </row>
    <row r="33" spans="1:16" ht="6.75" customHeight="1" x14ac:dyDescent="0.25">
      <c r="A33" s="490"/>
      <c r="B33" s="490"/>
      <c r="C33" s="490"/>
    </row>
    <row r="34" spans="1:16" ht="15" customHeight="1" x14ac:dyDescent="0.25">
      <c r="A34" s="612" t="s">
        <v>155</v>
      </c>
      <c r="B34" s="613"/>
      <c r="C34" s="119" t="s">
        <v>208</v>
      </c>
      <c r="D34" s="111"/>
      <c r="E34" s="111"/>
      <c r="F34" s="111"/>
      <c r="G34" s="111"/>
      <c r="H34" s="111"/>
      <c r="I34" s="111"/>
      <c r="J34" s="111"/>
      <c r="K34" s="111"/>
      <c r="L34" s="111"/>
      <c r="M34" s="111"/>
      <c r="N34" s="111"/>
      <c r="O34" s="111"/>
      <c r="P34" s="112"/>
    </row>
    <row r="35" spans="1:16" ht="15" customHeight="1" x14ac:dyDescent="0.25">
      <c r="A35" s="113"/>
      <c r="B35" s="114"/>
      <c r="C35" s="114"/>
      <c r="D35" s="114"/>
      <c r="E35" s="114"/>
      <c r="F35" s="114"/>
      <c r="G35" s="114"/>
      <c r="H35" s="114"/>
      <c r="I35" s="114"/>
      <c r="J35" s="114"/>
      <c r="K35" s="114"/>
      <c r="L35" s="114"/>
      <c r="M35" s="114"/>
      <c r="N35" s="114"/>
      <c r="O35" s="114"/>
      <c r="P35" s="115"/>
    </row>
    <row r="36" spans="1:16" ht="15" customHeight="1" x14ac:dyDescent="0.25">
      <c r="A36" s="116"/>
      <c r="B36" s="117"/>
      <c r="C36" s="117"/>
      <c r="D36" s="117"/>
      <c r="E36" s="117"/>
      <c r="F36" s="117"/>
      <c r="G36" s="117"/>
      <c r="H36" s="117"/>
      <c r="I36" s="117"/>
      <c r="J36" s="117"/>
      <c r="K36" s="117"/>
      <c r="L36" s="117"/>
      <c r="M36" s="117"/>
      <c r="N36" s="117"/>
      <c r="O36" s="117"/>
      <c r="P36" s="118"/>
    </row>
    <row r="37" spans="1:16" ht="4.5" customHeight="1" x14ac:dyDescent="0.25"/>
  </sheetData>
  <mergeCells count="77">
    <mergeCell ref="A31:D31"/>
    <mergeCell ref="A32:D32"/>
    <mergeCell ref="A33:C33"/>
    <mergeCell ref="A34:B34"/>
    <mergeCell ref="O26:P27"/>
    <mergeCell ref="A27:D27"/>
    <mergeCell ref="A28:D28"/>
    <mergeCell ref="G28:H32"/>
    <mergeCell ref="I28:J32"/>
    <mergeCell ref="K28:L32"/>
    <mergeCell ref="M28:N32"/>
    <mergeCell ref="O28:P32"/>
    <mergeCell ref="A29:D29"/>
    <mergeCell ref="A30:D30"/>
    <mergeCell ref="A26:D26"/>
    <mergeCell ref="G26:H27"/>
    <mergeCell ref="I26:J27"/>
    <mergeCell ref="K26:L27"/>
    <mergeCell ref="M26:N27"/>
    <mergeCell ref="D19:G19"/>
    <mergeCell ref="N19:O19"/>
    <mergeCell ref="D20:G20"/>
    <mergeCell ref="N20:O20"/>
    <mergeCell ref="D21:G21"/>
    <mergeCell ref="N21:O21"/>
    <mergeCell ref="D22:G22"/>
    <mergeCell ref="N22:O22"/>
    <mergeCell ref="D23:G23"/>
    <mergeCell ref="N23:O23"/>
    <mergeCell ref="D24:G24"/>
    <mergeCell ref="D16:G16"/>
    <mergeCell ref="N16:O16"/>
    <mergeCell ref="D17:G17"/>
    <mergeCell ref="N17:O17"/>
    <mergeCell ref="D18:G18"/>
    <mergeCell ref="N18:O18"/>
    <mergeCell ref="D13:G13"/>
    <mergeCell ref="N13:O13"/>
    <mergeCell ref="D14:G14"/>
    <mergeCell ref="N14:O14"/>
    <mergeCell ref="D15:G15"/>
    <mergeCell ref="N15:O15"/>
    <mergeCell ref="D10:G10"/>
    <mergeCell ref="N10:O10"/>
    <mergeCell ref="D11:G11"/>
    <mergeCell ref="N11:O11"/>
    <mergeCell ref="D12:G12"/>
    <mergeCell ref="N12:O12"/>
    <mergeCell ref="N6:O7"/>
    <mergeCell ref="P6:P7"/>
    <mergeCell ref="D8:G8"/>
    <mergeCell ref="N8:O8"/>
    <mergeCell ref="D9:G9"/>
    <mergeCell ref="N9:O9"/>
    <mergeCell ref="K6:M6"/>
    <mergeCell ref="A6:A7"/>
    <mergeCell ref="B6:B7"/>
    <mergeCell ref="C6:C7"/>
    <mergeCell ref="D6:G7"/>
    <mergeCell ref="H6:J6"/>
    <mergeCell ref="A4:B4"/>
    <mergeCell ref="C4:J4"/>
    <mergeCell ref="K4:L4"/>
    <mergeCell ref="M4:P4"/>
    <mergeCell ref="A5:B5"/>
    <mergeCell ref="C5:J5"/>
    <mergeCell ref="K5:L5"/>
    <mergeCell ref="M5:P5"/>
    <mergeCell ref="A3:B3"/>
    <mergeCell ref="C3:J3"/>
    <mergeCell ref="K3:L3"/>
    <mergeCell ref="M3:P3"/>
    <mergeCell ref="A1:P1"/>
    <mergeCell ref="A2:B2"/>
    <mergeCell ref="C2:J2"/>
    <mergeCell ref="K2:L2"/>
    <mergeCell ref="M2:P2"/>
  </mergeCells>
  <pageMargins left="0.19685039370078741" right="0.39370078740157483" top="0.39370078740157483" bottom="0.39370078740157483" header="0" footer="0"/>
  <pageSetup scale="9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A1:P37"/>
  <sheetViews>
    <sheetView zoomScaleNormal="100" workbookViewId="0">
      <selection activeCell="C4" sqref="C4:J4"/>
    </sheetView>
  </sheetViews>
  <sheetFormatPr baseColWidth="10" defaultRowHeight="15" x14ac:dyDescent="0.25"/>
  <cols>
    <col min="1" max="1" width="11.85546875" style="27" customWidth="1"/>
    <col min="2" max="2" width="7.42578125" style="27" customWidth="1"/>
    <col min="3" max="3" width="6" style="27" customWidth="1"/>
    <col min="4" max="4" width="11.85546875" style="27" customWidth="1"/>
    <col min="5" max="5" width="10.42578125" style="27" customWidth="1"/>
    <col min="6" max="6" width="4.28515625" style="27" customWidth="1"/>
    <col min="7" max="7" width="11.140625" style="27" customWidth="1"/>
    <col min="8" max="8" width="7.85546875" style="27" bestFit="1" customWidth="1"/>
    <col min="9" max="9" width="11.5703125" style="27" bestFit="1" customWidth="1"/>
    <col min="10" max="10" width="6.28515625" style="27" bestFit="1" customWidth="1"/>
    <col min="11" max="12" width="8.7109375" style="27" customWidth="1"/>
    <col min="13" max="13" width="10" style="27" bestFit="1" customWidth="1"/>
    <col min="14" max="14" width="5.7109375" style="27" customWidth="1"/>
    <col min="15" max="15" width="6.42578125" style="27" customWidth="1"/>
    <col min="16" max="16" width="10.5703125" style="27" customWidth="1"/>
    <col min="17" max="17" width="0.5703125" style="27" customWidth="1"/>
    <col min="18" max="16384" width="11.42578125" style="27"/>
  </cols>
  <sheetData>
    <row r="1" spans="1:16" ht="17.25" customHeight="1" x14ac:dyDescent="0.25">
      <c r="A1" s="582" t="s">
        <v>119</v>
      </c>
      <c r="B1" s="582"/>
      <c r="C1" s="582"/>
      <c r="D1" s="582"/>
      <c r="E1" s="582"/>
      <c r="F1" s="582"/>
      <c r="G1" s="582"/>
      <c r="H1" s="582"/>
      <c r="I1" s="582"/>
      <c r="J1" s="582"/>
      <c r="K1" s="582"/>
      <c r="L1" s="582"/>
      <c r="M1" s="582"/>
      <c r="N1" s="582"/>
      <c r="O1" s="582"/>
      <c r="P1" s="582"/>
    </row>
    <row r="2" spans="1:16" ht="18" customHeight="1" x14ac:dyDescent="0.25">
      <c r="A2" s="583" t="s">
        <v>118</v>
      </c>
      <c r="B2" s="584"/>
      <c r="C2" s="583">
        <v>2025</v>
      </c>
      <c r="D2" s="585"/>
      <c r="E2" s="585"/>
      <c r="F2" s="585"/>
      <c r="G2" s="585"/>
      <c r="H2" s="585"/>
      <c r="I2" s="585"/>
      <c r="J2" s="584"/>
      <c r="K2" s="586" t="s">
        <v>120</v>
      </c>
      <c r="L2" s="426"/>
      <c r="M2" s="587" t="s">
        <v>205</v>
      </c>
      <c r="N2" s="587"/>
      <c r="O2" s="587"/>
      <c r="P2" s="588"/>
    </row>
    <row r="3" spans="1:16" ht="18" customHeight="1" x14ac:dyDescent="0.25">
      <c r="A3" s="578" t="s">
        <v>121</v>
      </c>
      <c r="B3" s="579"/>
      <c r="C3" s="578" t="s">
        <v>200</v>
      </c>
      <c r="D3" s="580"/>
      <c r="E3" s="580"/>
      <c r="F3" s="580"/>
      <c r="G3" s="580"/>
      <c r="H3" s="580"/>
      <c r="I3" s="580"/>
      <c r="J3" s="579"/>
      <c r="K3" s="581" t="s">
        <v>122</v>
      </c>
      <c r="L3" s="581"/>
      <c r="M3" s="426" t="s">
        <v>201</v>
      </c>
      <c r="N3" s="426"/>
      <c r="O3" s="426"/>
      <c r="P3" s="427"/>
    </row>
    <row r="4" spans="1:16" ht="18" customHeight="1" x14ac:dyDescent="0.25">
      <c r="A4" s="578" t="s">
        <v>123</v>
      </c>
      <c r="B4" s="579"/>
      <c r="C4" s="578" t="s">
        <v>209</v>
      </c>
      <c r="D4" s="580"/>
      <c r="E4" s="580"/>
      <c r="F4" s="580"/>
      <c r="G4" s="580"/>
      <c r="H4" s="580"/>
      <c r="I4" s="580"/>
      <c r="J4" s="579"/>
      <c r="K4" s="581" t="s">
        <v>124</v>
      </c>
      <c r="L4" s="581"/>
      <c r="M4" s="586" t="s">
        <v>202</v>
      </c>
      <c r="N4" s="426"/>
      <c r="O4" s="426"/>
      <c r="P4" s="427"/>
    </row>
    <row r="5" spans="1:16" ht="18" customHeight="1" x14ac:dyDescent="0.25">
      <c r="A5" s="578" t="s">
        <v>125</v>
      </c>
      <c r="B5" s="579"/>
      <c r="C5" s="578" t="s">
        <v>160</v>
      </c>
      <c r="D5" s="580"/>
      <c r="E5" s="580"/>
      <c r="F5" s="580"/>
      <c r="G5" s="580"/>
      <c r="H5" s="580"/>
      <c r="I5" s="580"/>
      <c r="J5" s="579"/>
      <c r="K5" s="581" t="s">
        <v>126</v>
      </c>
      <c r="L5" s="581"/>
      <c r="M5" s="586" t="s">
        <v>203</v>
      </c>
      <c r="N5" s="426"/>
      <c r="O5" s="426"/>
      <c r="P5" s="427"/>
    </row>
    <row r="6" spans="1:16" ht="18" customHeight="1" x14ac:dyDescent="0.25">
      <c r="A6" s="589" t="s">
        <v>127</v>
      </c>
      <c r="B6" s="590" t="s">
        <v>128</v>
      </c>
      <c r="C6" s="590" t="s">
        <v>129</v>
      </c>
      <c r="D6" s="591" t="s">
        <v>130</v>
      </c>
      <c r="E6" s="592"/>
      <c r="F6" s="592"/>
      <c r="G6" s="593"/>
      <c r="H6" s="590" t="s">
        <v>131</v>
      </c>
      <c r="I6" s="590"/>
      <c r="J6" s="590"/>
      <c r="K6" s="590" t="s">
        <v>132</v>
      </c>
      <c r="L6" s="590"/>
      <c r="M6" s="590"/>
      <c r="N6" s="597" t="s">
        <v>133</v>
      </c>
      <c r="O6" s="598"/>
      <c r="P6" s="601" t="s">
        <v>134</v>
      </c>
    </row>
    <row r="7" spans="1:16" ht="18" customHeight="1" x14ac:dyDescent="0.25">
      <c r="A7" s="589"/>
      <c r="B7" s="590"/>
      <c r="C7" s="590"/>
      <c r="D7" s="594"/>
      <c r="E7" s="595"/>
      <c r="F7" s="595"/>
      <c r="G7" s="596"/>
      <c r="H7" s="108" t="s">
        <v>135</v>
      </c>
      <c r="I7" s="108" t="s">
        <v>136</v>
      </c>
      <c r="J7" s="108" t="s">
        <v>137</v>
      </c>
      <c r="K7" s="108" t="s">
        <v>138</v>
      </c>
      <c r="L7" s="108" t="s">
        <v>139</v>
      </c>
      <c r="M7" s="108" t="s">
        <v>140</v>
      </c>
      <c r="N7" s="599"/>
      <c r="O7" s="600"/>
      <c r="P7" s="602"/>
    </row>
    <row r="8" spans="1:16" ht="18" customHeight="1" x14ac:dyDescent="0.25">
      <c r="A8" s="29"/>
      <c r="B8" s="93"/>
      <c r="C8" s="93"/>
      <c r="D8" s="603" t="s">
        <v>141</v>
      </c>
      <c r="E8" s="604"/>
      <c r="F8" s="604"/>
      <c r="G8" s="605"/>
      <c r="H8" s="105"/>
      <c r="I8" s="106"/>
      <c r="J8" s="110">
        <f>+'EJEMPLO JMCC (1)'!E32</f>
        <v>63.999999999999993</v>
      </c>
      <c r="K8" s="107"/>
      <c r="L8" s="109">
        <f>+'EJEMPLO JMCC (1)'!E27</f>
        <v>420566</v>
      </c>
      <c r="M8" s="7"/>
      <c r="N8" s="481"/>
      <c r="O8" s="481"/>
      <c r="P8" s="18"/>
    </row>
    <row r="9" spans="1:16" ht="18" customHeight="1" x14ac:dyDescent="0.25">
      <c r="A9" s="95">
        <v>46007</v>
      </c>
      <c r="B9" s="96"/>
      <c r="C9" s="96"/>
      <c r="D9" s="606" t="s">
        <v>162</v>
      </c>
      <c r="E9" s="607"/>
      <c r="F9" s="607"/>
      <c r="G9" s="608"/>
      <c r="H9" s="96">
        <f>C9</f>
        <v>0</v>
      </c>
      <c r="I9" s="97">
        <f>+M9/$E$31</f>
        <v>3.6</v>
      </c>
      <c r="J9" s="97">
        <f>+J8+H9-I9</f>
        <v>60.399999999999991</v>
      </c>
      <c r="K9" s="96">
        <f>+L8</f>
        <v>420566</v>
      </c>
      <c r="L9" s="103">
        <f>+L8+18</f>
        <v>420584</v>
      </c>
      <c r="M9" s="98">
        <f>+L9-K9</f>
        <v>18</v>
      </c>
      <c r="N9" s="609"/>
      <c r="O9" s="609"/>
      <c r="P9" s="100"/>
    </row>
    <row r="10" spans="1:16" ht="18" customHeight="1" x14ac:dyDescent="0.25">
      <c r="A10" s="95">
        <v>46008</v>
      </c>
      <c r="B10" s="96"/>
      <c r="C10" s="96"/>
      <c r="D10" s="606" t="s">
        <v>162</v>
      </c>
      <c r="E10" s="607"/>
      <c r="F10" s="607"/>
      <c r="G10" s="608"/>
      <c r="H10" s="96">
        <f t="shared" ref="H10:H24" si="0">C10</f>
        <v>0</v>
      </c>
      <c r="I10" s="97">
        <f t="shared" ref="I10:I24" si="1">+M10/$E$31</f>
        <v>7.2</v>
      </c>
      <c r="J10" s="97">
        <f t="shared" ref="J10:J24" si="2">+J9+H10-I10</f>
        <v>53.199999999999989</v>
      </c>
      <c r="K10" s="96">
        <f>+L9</f>
        <v>420584</v>
      </c>
      <c r="L10" s="103">
        <f>+L9+36</f>
        <v>420620</v>
      </c>
      <c r="M10" s="98">
        <f t="shared" ref="M10:M24" si="3">+L10-K10</f>
        <v>36</v>
      </c>
      <c r="N10" s="609"/>
      <c r="O10" s="609"/>
      <c r="P10" s="100"/>
    </row>
    <row r="11" spans="1:16" ht="18" customHeight="1" x14ac:dyDescent="0.25">
      <c r="A11" s="95">
        <v>46009</v>
      </c>
      <c r="B11" s="96"/>
      <c r="C11" s="96"/>
      <c r="D11" s="606" t="s">
        <v>162</v>
      </c>
      <c r="E11" s="607"/>
      <c r="F11" s="607"/>
      <c r="G11" s="608"/>
      <c r="H11" s="96">
        <f t="shared" si="0"/>
        <v>0</v>
      </c>
      <c r="I11" s="97">
        <f t="shared" si="1"/>
        <v>8.4</v>
      </c>
      <c r="J11" s="97">
        <f t="shared" si="2"/>
        <v>44.79999999999999</v>
      </c>
      <c r="K11" s="96">
        <f t="shared" ref="K11:K24" si="4">+L10</f>
        <v>420620</v>
      </c>
      <c r="L11" s="96">
        <f>+L10+42</f>
        <v>420662</v>
      </c>
      <c r="M11" s="98">
        <f t="shared" si="3"/>
        <v>42</v>
      </c>
      <c r="N11" s="609"/>
      <c r="O11" s="609"/>
      <c r="P11" s="100"/>
    </row>
    <row r="12" spans="1:16" ht="18" customHeight="1" x14ac:dyDescent="0.25">
      <c r="A12" s="95">
        <v>46010</v>
      </c>
      <c r="B12" s="96" t="s">
        <v>204</v>
      </c>
      <c r="C12" s="96">
        <v>20</v>
      </c>
      <c r="D12" s="606" t="s">
        <v>162</v>
      </c>
      <c r="E12" s="607"/>
      <c r="F12" s="607"/>
      <c r="G12" s="608"/>
      <c r="H12" s="96">
        <f t="shared" si="0"/>
        <v>20</v>
      </c>
      <c r="I12" s="97">
        <f t="shared" si="1"/>
        <v>27.2</v>
      </c>
      <c r="J12" s="97">
        <f t="shared" si="2"/>
        <v>37.59999999999998</v>
      </c>
      <c r="K12" s="96">
        <f t="shared" si="4"/>
        <v>420662</v>
      </c>
      <c r="L12" s="96">
        <f>+L11+136</f>
        <v>420798</v>
      </c>
      <c r="M12" s="98">
        <f t="shared" si="3"/>
        <v>136</v>
      </c>
      <c r="N12" s="609"/>
      <c r="O12" s="609"/>
      <c r="P12" s="100"/>
    </row>
    <row r="13" spans="1:16" ht="18" customHeight="1" x14ac:dyDescent="0.25">
      <c r="A13" s="95">
        <v>46011</v>
      </c>
      <c r="B13" s="96"/>
      <c r="C13" s="96"/>
      <c r="D13" s="606" t="s">
        <v>162</v>
      </c>
      <c r="E13" s="607"/>
      <c r="F13" s="607"/>
      <c r="G13" s="608"/>
      <c r="H13" s="96">
        <f t="shared" si="0"/>
        <v>0</v>
      </c>
      <c r="I13" s="97">
        <f t="shared" si="1"/>
        <v>0</v>
      </c>
      <c r="J13" s="97">
        <f t="shared" si="2"/>
        <v>37.59999999999998</v>
      </c>
      <c r="K13" s="96">
        <f t="shared" si="4"/>
        <v>420798</v>
      </c>
      <c r="L13" s="96">
        <f>+L12+0</f>
        <v>420798</v>
      </c>
      <c r="M13" s="98">
        <f t="shared" si="3"/>
        <v>0</v>
      </c>
      <c r="N13" s="609"/>
      <c r="O13" s="609"/>
      <c r="P13" s="100"/>
    </row>
    <row r="14" spans="1:16" ht="18" customHeight="1" x14ac:dyDescent="0.25">
      <c r="A14" s="95">
        <v>46012</v>
      </c>
      <c r="B14" s="96"/>
      <c r="C14" s="96"/>
      <c r="D14" s="606" t="s">
        <v>162</v>
      </c>
      <c r="E14" s="607"/>
      <c r="F14" s="607"/>
      <c r="G14" s="608"/>
      <c r="H14" s="96">
        <f t="shared" si="0"/>
        <v>0</v>
      </c>
      <c r="I14" s="97">
        <f t="shared" si="1"/>
        <v>0</v>
      </c>
      <c r="J14" s="97">
        <f t="shared" si="2"/>
        <v>37.59999999999998</v>
      </c>
      <c r="K14" s="96">
        <f t="shared" si="4"/>
        <v>420798</v>
      </c>
      <c r="L14" s="96">
        <f>+L13+0</f>
        <v>420798</v>
      </c>
      <c r="M14" s="98">
        <f t="shared" si="3"/>
        <v>0</v>
      </c>
      <c r="N14" s="609"/>
      <c r="O14" s="609"/>
      <c r="P14" s="100"/>
    </row>
    <row r="15" spans="1:16" ht="18" customHeight="1" x14ac:dyDescent="0.25">
      <c r="A15" s="95">
        <v>46013</v>
      </c>
      <c r="B15" s="96"/>
      <c r="C15" s="96"/>
      <c r="D15" s="606" t="s">
        <v>162</v>
      </c>
      <c r="E15" s="607"/>
      <c r="F15" s="607"/>
      <c r="G15" s="608"/>
      <c r="H15" s="96">
        <f t="shared" si="0"/>
        <v>0</v>
      </c>
      <c r="I15" s="97">
        <f t="shared" si="1"/>
        <v>0</v>
      </c>
      <c r="J15" s="97">
        <f t="shared" si="2"/>
        <v>37.59999999999998</v>
      </c>
      <c r="K15" s="96">
        <f t="shared" si="4"/>
        <v>420798</v>
      </c>
      <c r="L15" s="96">
        <f>+L14+0</f>
        <v>420798</v>
      </c>
      <c r="M15" s="98">
        <f t="shared" si="3"/>
        <v>0</v>
      </c>
      <c r="N15" s="609"/>
      <c r="O15" s="609"/>
      <c r="P15" s="100"/>
    </row>
    <row r="16" spans="1:16" ht="18" customHeight="1" x14ac:dyDescent="0.25">
      <c r="A16" s="95">
        <v>46014</v>
      </c>
      <c r="B16" s="96">
        <v>14728</v>
      </c>
      <c r="C16" s="96">
        <v>115</v>
      </c>
      <c r="D16" s="606" t="s">
        <v>162</v>
      </c>
      <c r="E16" s="607"/>
      <c r="F16" s="607"/>
      <c r="G16" s="608"/>
      <c r="H16" s="96">
        <f t="shared" si="0"/>
        <v>115</v>
      </c>
      <c r="I16" s="97">
        <f>+M16/$E$31</f>
        <v>23.8</v>
      </c>
      <c r="J16" s="97">
        <f t="shared" si="2"/>
        <v>128.79999999999995</v>
      </c>
      <c r="K16" s="96">
        <f t="shared" si="4"/>
        <v>420798</v>
      </c>
      <c r="L16" s="96">
        <f>+L15+119</f>
        <v>420917</v>
      </c>
      <c r="M16" s="98">
        <f t="shared" si="3"/>
        <v>119</v>
      </c>
      <c r="N16" s="609"/>
      <c r="O16" s="609"/>
      <c r="P16" s="100"/>
    </row>
    <row r="17" spans="1:16" ht="18" customHeight="1" x14ac:dyDescent="0.25">
      <c r="A17" s="95">
        <v>46015</v>
      </c>
      <c r="B17" s="96"/>
      <c r="C17" s="96"/>
      <c r="D17" s="606" t="s">
        <v>162</v>
      </c>
      <c r="E17" s="607"/>
      <c r="F17" s="607"/>
      <c r="G17" s="608"/>
      <c r="H17" s="96">
        <f t="shared" si="0"/>
        <v>0</v>
      </c>
      <c r="I17" s="97">
        <f t="shared" si="1"/>
        <v>5</v>
      </c>
      <c r="J17" s="97">
        <f t="shared" si="2"/>
        <v>123.79999999999995</v>
      </c>
      <c r="K17" s="96">
        <f t="shared" si="4"/>
        <v>420917</v>
      </c>
      <c r="L17" s="96">
        <f>+L16+25</f>
        <v>420942</v>
      </c>
      <c r="M17" s="98">
        <f t="shared" si="3"/>
        <v>25</v>
      </c>
      <c r="N17" s="609"/>
      <c r="O17" s="609"/>
      <c r="P17" s="100"/>
    </row>
    <row r="18" spans="1:16" ht="18" customHeight="1" x14ac:dyDescent="0.25">
      <c r="A18" s="95">
        <v>46016</v>
      </c>
      <c r="B18" s="96"/>
      <c r="C18" s="101"/>
      <c r="D18" s="606" t="s">
        <v>162</v>
      </c>
      <c r="E18" s="607"/>
      <c r="F18" s="607"/>
      <c r="G18" s="608"/>
      <c r="H18" s="96">
        <f t="shared" si="0"/>
        <v>0</v>
      </c>
      <c r="I18" s="97">
        <f t="shared" si="1"/>
        <v>0</v>
      </c>
      <c r="J18" s="97">
        <f t="shared" si="2"/>
        <v>123.79999999999995</v>
      </c>
      <c r="K18" s="96">
        <f t="shared" si="4"/>
        <v>420942</v>
      </c>
      <c r="L18" s="96">
        <f>+L17+0</f>
        <v>420942</v>
      </c>
      <c r="M18" s="98">
        <f t="shared" si="3"/>
        <v>0</v>
      </c>
      <c r="N18" s="609"/>
      <c r="O18" s="609"/>
      <c r="P18" s="100"/>
    </row>
    <row r="19" spans="1:16" ht="18" customHeight="1" x14ac:dyDescent="0.25">
      <c r="A19" s="95">
        <v>46017</v>
      </c>
      <c r="B19" s="96"/>
      <c r="C19" s="101"/>
      <c r="D19" s="606" t="s">
        <v>162</v>
      </c>
      <c r="E19" s="607"/>
      <c r="F19" s="607"/>
      <c r="G19" s="608"/>
      <c r="H19" s="96">
        <f t="shared" si="0"/>
        <v>0</v>
      </c>
      <c r="I19" s="97">
        <f t="shared" si="1"/>
        <v>37.4</v>
      </c>
      <c r="J19" s="97">
        <f t="shared" si="2"/>
        <v>86.399999999999949</v>
      </c>
      <c r="K19" s="96">
        <f t="shared" si="4"/>
        <v>420942</v>
      </c>
      <c r="L19" s="96">
        <f>+L18+187</f>
        <v>421129</v>
      </c>
      <c r="M19" s="98">
        <f t="shared" si="3"/>
        <v>187</v>
      </c>
      <c r="N19" s="609"/>
      <c r="O19" s="609"/>
      <c r="P19" s="100"/>
    </row>
    <row r="20" spans="1:16" ht="18" customHeight="1" x14ac:dyDescent="0.25">
      <c r="A20" s="95">
        <v>46018</v>
      </c>
      <c r="B20" s="96"/>
      <c r="C20" s="101"/>
      <c r="D20" s="606" t="s">
        <v>162</v>
      </c>
      <c r="E20" s="607"/>
      <c r="F20" s="607"/>
      <c r="G20" s="608"/>
      <c r="H20" s="96">
        <f t="shared" si="0"/>
        <v>0</v>
      </c>
      <c r="I20" s="97">
        <f t="shared" si="1"/>
        <v>0</v>
      </c>
      <c r="J20" s="97">
        <f t="shared" si="2"/>
        <v>86.399999999999949</v>
      </c>
      <c r="K20" s="96">
        <f t="shared" si="4"/>
        <v>421129</v>
      </c>
      <c r="L20" s="96">
        <f>+L19+0</f>
        <v>421129</v>
      </c>
      <c r="M20" s="98">
        <f t="shared" si="3"/>
        <v>0</v>
      </c>
      <c r="N20" s="609"/>
      <c r="O20" s="609"/>
      <c r="P20" s="100"/>
    </row>
    <row r="21" spans="1:16" ht="18" customHeight="1" x14ac:dyDescent="0.25">
      <c r="A21" s="95">
        <v>46019</v>
      </c>
      <c r="B21" s="96"/>
      <c r="C21" s="101"/>
      <c r="D21" s="606" t="s">
        <v>162</v>
      </c>
      <c r="E21" s="607"/>
      <c r="F21" s="607"/>
      <c r="G21" s="608"/>
      <c r="H21" s="96">
        <f t="shared" si="0"/>
        <v>0</v>
      </c>
      <c r="I21" s="97">
        <f t="shared" si="1"/>
        <v>0</v>
      </c>
      <c r="J21" s="97">
        <f t="shared" si="2"/>
        <v>86.399999999999949</v>
      </c>
      <c r="K21" s="96">
        <f t="shared" si="4"/>
        <v>421129</v>
      </c>
      <c r="L21" s="96">
        <f>+L20+0</f>
        <v>421129</v>
      </c>
      <c r="M21" s="98">
        <f t="shared" si="3"/>
        <v>0</v>
      </c>
      <c r="N21" s="609"/>
      <c r="O21" s="609"/>
      <c r="P21" s="100"/>
    </row>
    <row r="22" spans="1:16" ht="18" customHeight="1" x14ac:dyDescent="0.25">
      <c r="A22" s="95">
        <v>46020</v>
      </c>
      <c r="B22" s="96"/>
      <c r="C22" s="101"/>
      <c r="D22" s="606" t="s">
        <v>162</v>
      </c>
      <c r="E22" s="607"/>
      <c r="F22" s="607"/>
      <c r="G22" s="608"/>
      <c r="H22" s="96">
        <f t="shared" si="0"/>
        <v>0</v>
      </c>
      <c r="I22" s="97">
        <f t="shared" si="1"/>
        <v>18.600000000000001</v>
      </c>
      <c r="J22" s="97">
        <f t="shared" si="2"/>
        <v>67.799999999999955</v>
      </c>
      <c r="K22" s="96">
        <f t="shared" si="4"/>
        <v>421129</v>
      </c>
      <c r="L22" s="96">
        <f>+L21+93</f>
        <v>421222</v>
      </c>
      <c r="M22" s="98">
        <f t="shared" si="3"/>
        <v>93</v>
      </c>
      <c r="N22" s="609"/>
      <c r="O22" s="609"/>
      <c r="P22" s="100"/>
    </row>
    <row r="23" spans="1:16" ht="18" customHeight="1" x14ac:dyDescent="0.25">
      <c r="A23" s="95">
        <v>46021</v>
      </c>
      <c r="B23" s="96"/>
      <c r="C23" s="101"/>
      <c r="D23" s="606" t="s">
        <v>162</v>
      </c>
      <c r="E23" s="607"/>
      <c r="F23" s="607"/>
      <c r="G23" s="608"/>
      <c r="H23" s="96">
        <f t="shared" si="0"/>
        <v>0</v>
      </c>
      <c r="I23" s="97">
        <f t="shared" si="1"/>
        <v>6.4</v>
      </c>
      <c r="J23" s="97">
        <f t="shared" si="2"/>
        <v>61.399999999999956</v>
      </c>
      <c r="K23" s="96">
        <f t="shared" si="4"/>
        <v>421222</v>
      </c>
      <c r="L23" s="96">
        <f>+L22+32</f>
        <v>421254</v>
      </c>
      <c r="M23" s="98">
        <f t="shared" si="3"/>
        <v>32</v>
      </c>
      <c r="N23" s="609"/>
      <c r="O23" s="609"/>
      <c r="P23" s="100"/>
    </row>
    <row r="24" spans="1:16" ht="18" customHeight="1" x14ac:dyDescent="0.25">
      <c r="A24" s="95">
        <v>46022</v>
      </c>
      <c r="B24" s="96"/>
      <c r="C24" s="101"/>
      <c r="D24" s="606" t="s">
        <v>162</v>
      </c>
      <c r="E24" s="607"/>
      <c r="F24" s="607"/>
      <c r="G24" s="608"/>
      <c r="H24" s="96">
        <f t="shared" si="0"/>
        <v>0</v>
      </c>
      <c r="I24" s="97">
        <f t="shared" si="1"/>
        <v>5</v>
      </c>
      <c r="J24" s="97">
        <f t="shared" si="2"/>
        <v>56.399999999999956</v>
      </c>
      <c r="K24" s="96">
        <f t="shared" si="4"/>
        <v>421254</v>
      </c>
      <c r="L24" s="96">
        <f>+L23+25</f>
        <v>421279</v>
      </c>
      <c r="M24" s="98">
        <f t="shared" si="3"/>
        <v>25</v>
      </c>
      <c r="N24" s="102"/>
      <c r="O24" s="101"/>
      <c r="P24" s="100"/>
    </row>
    <row r="25" spans="1:16" ht="18" customHeight="1" x14ac:dyDescent="0.25">
      <c r="A25" s="27" t="s">
        <v>143</v>
      </c>
      <c r="I25" s="42"/>
      <c r="J25" s="42"/>
    </row>
    <row r="26" spans="1:16" ht="18" customHeight="1" x14ac:dyDescent="0.25">
      <c r="A26" s="610" t="s">
        <v>144</v>
      </c>
      <c r="B26" s="610"/>
      <c r="C26" s="610"/>
      <c r="D26" s="610"/>
      <c r="E26" s="103">
        <f>+K9</f>
        <v>420566</v>
      </c>
      <c r="G26" s="589" t="s">
        <v>145</v>
      </c>
      <c r="H26" s="589"/>
      <c r="I26" s="589" t="s">
        <v>146</v>
      </c>
      <c r="J26" s="589"/>
      <c r="K26" s="597" t="s">
        <v>147</v>
      </c>
      <c r="L26" s="598"/>
      <c r="M26" s="597" t="s">
        <v>148</v>
      </c>
      <c r="N26" s="598"/>
      <c r="O26" s="597" t="s">
        <v>149</v>
      </c>
      <c r="P26" s="598"/>
    </row>
    <row r="27" spans="1:16" ht="18" customHeight="1" x14ac:dyDescent="0.25">
      <c r="A27" s="610" t="s">
        <v>150</v>
      </c>
      <c r="B27" s="610"/>
      <c r="C27" s="610"/>
      <c r="D27" s="610"/>
      <c r="E27" s="103">
        <f>+L24</f>
        <v>421279</v>
      </c>
      <c r="G27" s="589"/>
      <c r="H27" s="589"/>
      <c r="I27" s="589"/>
      <c r="J27" s="589"/>
      <c r="K27" s="599"/>
      <c r="L27" s="600"/>
      <c r="M27" s="599"/>
      <c r="N27" s="600"/>
      <c r="O27" s="599"/>
      <c r="P27" s="600"/>
    </row>
    <row r="28" spans="1:16" ht="18" customHeight="1" x14ac:dyDescent="0.25">
      <c r="A28" s="610" t="s">
        <v>151</v>
      </c>
      <c r="B28" s="610"/>
      <c r="C28" s="610"/>
      <c r="D28" s="610"/>
      <c r="E28" s="103">
        <f>+E27-E26</f>
        <v>713</v>
      </c>
      <c r="G28" s="609"/>
      <c r="H28" s="609"/>
      <c r="I28" s="614"/>
      <c r="J28" s="614"/>
      <c r="K28" s="615"/>
      <c r="L28" s="616"/>
      <c r="M28" s="615"/>
      <c r="N28" s="616"/>
      <c r="O28" s="615"/>
      <c r="P28" s="616"/>
    </row>
    <row r="29" spans="1:16" ht="18" customHeight="1" x14ac:dyDescent="0.25">
      <c r="A29" s="610" t="s">
        <v>164</v>
      </c>
      <c r="B29" s="610"/>
      <c r="C29" s="610"/>
      <c r="D29" s="610"/>
      <c r="E29" s="104">
        <f>SUM(H9:H24)</f>
        <v>135</v>
      </c>
      <c r="G29" s="609"/>
      <c r="H29" s="609"/>
      <c r="I29" s="614"/>
      <c r="J29" s="614"/>
      <c r="K29" s="617"/>
      <c r="L29" s="618"/>
      <c r="M29" s="617"/>
      <c r="N29" s="618"/>
      <c r="O29" s="617"/>
      <c r="P29" s="618"/>
    </row>
    <row r="30" spans="1:16" ht="18" customHeight="1" x14ac:dyDescent="0.25">
      <c r="A30" s="610" t="s">
        <v>165</v>
      </c>
      <c r="B30" s="610"/>
      <c r="C30" s="610"/>
      <c r="D30" s="610"/>
      <c r="E30" s="104">
        <f>SUM(I9:I24)</f>
        <v>142.6</v>
      </c>
      <c r="G30" s="609"/>
      <c r="H30" s="609"/>
      <c r="I30" s="614"/>
      <c r="J30" s="614"/>
      <c r="K30" s="617"/>
      <c r="L30" s="618"/>
      <c r="M30" s="617"/>
      <c r="N30" s="618"/>
      <c r="O30" s="617"/>
      <c r="P30" s="618"/>
    </row>
    <row r="31" spans="1:16" ht="18" customHeight="1" x14ac:dyDescent="0.25">
      <c r="A31" s="610" t="s">
        <v>153</v>
      </c>
      <c r="B31" s="610"/>
      <c r="C31" s="610"/>
      <c r="D31" s="610"/>
      <c r="E31" s="97">
        <v>5</v>
      </c>
      <c r="G31" s="609"/>
      <c r="H31" s="609"/>
      <c r="I31" s="614"/>
      <c r="J31" s="614"/>
      <c r="K31" s="617"/>
      <c r="L31" s="618"/>
      <c r="M31" s="617"/>
      <c r="N31" s="618"/>
      <c r="O31" s="617"/>
      <c r="P31" s="618"/>
    </row>
    <row r="32" spans="1:16" ht="18" customHeight="1" x14ac:dyDescent="0.25">
      <c r="A32" s="611" t="s">
        <v>154</v>
      </c>
      <c r="B32" s="611"/>
      <c r="C32" s="611"/>
      <c r="D32" s="611"/>
      <c r="E32" s="97">
        <f>+J24</f>
        <v>56.399999999999956</v>
      </c>
      <c r="G32" s="609"/>
      <c r="H32" s="609"/>
      <c r="I32" s="614"/>
      <c r="J32" s="614"/>
      <c r="K32" s="619"/>
      <c r="L32" s="620"/>
      <c r="M32" s="619"/>
      <c r="N32" s="620"/>
      <c r="O32" s="619"/>
      <c r="P32" s="620"/>
    </row>
    <row r="33" spans="1:16" ht="6.75" customHeight="1" x14ac:dyDescent="0.25">
      <c r="A33" s="490"/>
      <c r="B33" s="490"/>
      <c r="C33" s="490"/>
    </row>
    <row r="34" spans="1:16" ht="15" customHeight="1" x14ac:dyDescent="0.25">
      <c r="A34" s="612" t="s">
        <v>155</v>
      </c>
      <c r="B34" s="613"/>
      <c r="C34" s="111"/>
      <c r="D34" s="111"/>
      <c r="E34" s="111"/>
      <c r="F34" s="111"/>
      <c r="G34" s="111"/>
      <c r="H34" s="111"/>
      <c r="I34" s="111"/>
      <c r="J34" s="111"/>
      <c r="K34" s="111"/>
      <c r="L34" s="111"/>
      <c r="M34" s="111"/>
      <c r="N34" s="111"/>
      <c r="O34" s="111"/>
      <c r="P34" s="112"/>
    </row>
    <row r="35" spans="1:16" ht="15" customHeight="1" x14ac:dyDescent="0.25">
      <c r="A35" s="113"/>
      <c r="B35" s="114"/>
      <c r="C35" s="114"/>
      <c r="D35" s="114"/>
      <c r="E35" s="114"/>
      <c r="F35" s="114"/>
      <c r="G35" s="114"/>
      <c r="H35" s="114"/>
      <c r="I35" s="114"/>
      <c r="J35" s="114"/>
      <c r="K35" s="114"/>
      <c r="L35" s="114"/>
      <c r="M35" s="114"/>
      <c r="N35" s="114"/>
      <c r="O35" s="114"/>
      <c r="P35" s="115"/>
    </row>
    <row r="36" spans="1:16" ht="15" customHeight="1" x14ac:dyDescent="0.25">
      <c r="A36" s="116"/>
      <c r="B36" s="117"/>
      <c r="C36" s="117"/>
      <c r="D36" s="117"/>
      <c r="E36" s="117"/>
      <c r="F36" s="117"/>
      <c r="G36" s="117"/>
      <c r="H36" s="117"/>
      <c r="I36" s="117"/>
      <c r="J36" s="117"/>
      <c r="K36" s="117"/>
      <c r="L36" s="117"/>
      <c r="M36" s="117"/>
      <c r="N36" s="117"/>
      <c r="O36" s="117"/>
      <c r="P36" s="118"/>
    </row>
    <row r="37" spans="1:16" ht="4.5" customHeight="1" x14ac:dyDescent="0.25"/>
  </sheetData>
  <mergeCells count="77">
    <mergeCell ref="A31:D31"/>
    <mergeCell ref="A32:D32"/>
    <mergeCell ref="A33:C33"/>
    <mergeCell ref="A34:B34"/>
    <mergeCell ref="O26:P27"/>
    <mergeCell ref="A27:D27"/>
    <mergeCell ref="A28:D28"/>
    <mergeCell ref="G28:H32"/>
    <mergeCell ref="I28:J32"/>
    <mergeCell ref="K28:L32"/>
    <mergeCell ref="M28:N32"/>
    <mergeCell ref="O28:P32"/>
    <mergeCell ref="A29:D29"/>
    <mergeCell ref="A30:D30"/>
    <mergeCell ref="A26:D26"/>
    <mergeCell ref="G26:H27"/>
    <mergeCell ref="I26:J27"/>
    <mergeCell ref="K26:L27"/>
    <mergeCell ref="M26:N27"/>
    <mergeCell ref="D19:G19"/>
    <mergeCell ref="N19:O19"/>
    <mergeCell ref="D20:G20"/>
    <mergeCell ref="N20:O20"/>
    <mergeCell ref="D21:G21"/>
    <mergeCell ref="N21:O21"/>
    <mergeCell ref="D22:G22"/>
    <mergeCell ref="N22:O22"/>
    <mergeCell ref="D23:G23"/>
    <mergeCell ref="N23:O23"/>
    <mergeCell ref="D24:G24"/>
    <mergeCell ref="D16:G16"/>
    <mergeCell ref="N16:O16"/>
    <mergeCell ref="D17:G17"/>
    <mergeCell ref="N17:O17"/>
    <mergeCell ref="D18:G18"/>
    <mergeCell ref="N18:O18"/>
    <mergeCell ref="D13:G13"/>
    <mergeCell ref="N13:O13"/>
    <mergeCell ref="D14:G14"/>
    <mergeCell ref="N14:O14"/>
    <mergeCell ref="D15:G15"/>
    <mergeCell ref="N15:O15"/>
    <mergeCell ref="D10:G10"/>
    <mergeCell ref="N10:O10"/>
    <mergeCell ref="D11:G11"/>
    <mergeCell ref="N11:O11"/>
    <mergeCell ref="D12:G12"/>
    <mergeCell ref="N12:O12"/>
    <mergeCell ref="N6:O7"/>
    <mergeCell ref="P6:P7"/>
    <mergeCell ref="D8:G8"/>
    <mergeCell ref="N8:O8"/>
    <mergeCell ref="D9:G9"/>
    <mergeCell ref="N9:O9"/>
    <mergeCell ref="K6:M6"/>
    <mergeCell ref="A6:A7"/>
    <mergeCell ref="B6:B7"/>
    <mergeCell ref="C6:C7"/>
    <mergeCell ref="D6:G7"/>
    <mergeCell ref="H6:J6"/>
    <mergeCell ref="A4:B4"/>
    <mergeCell ref="C4:J4"/>
    <mergeCell ref="K4:L4"/>
    <mergeCell ref="M4:P4"/>
    <mergeCell ref="A5:B5"/>
    <mergeCell ref="C5:J5"/>
    <mergeCell ref="K5:L5"/>
    <mergeCell ref="M5:P5"/>
    <mergeCell ref="A3:B3"/>
    <mergeCell ref="C3:J3"/>
    <mergeCell ref="K3:L3"/>
    <mergeCell ref="M3:P3"/>
    <mergeCell ref="A1:P1"/>
    <mergeCell ref="A2:B2"/>
    <mergeCell ref="C2:J2"/>
    <mergeCell ref="K2:L2"/>
    <mergeCell ref="M2:P2"/>
  </mergeCells>
  <pageMargins left="0.19685039370078741" right="0.39370078740157483" top="0.39370078740157483" bottom="0.39370078740157483" header="0" footer="0"/>
  <pageSetup scale="9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A1:P37"/>
  <sheetViews>
    <sheetView zoomScaleNormal="100" workbookViewId="0">
      <selection activeCell="C4" sqref="C4:J4"/>
    </sheetView>
  </sheetViews>
  <sheetFormatPr baseColWidth="10" defaultRowHeight="15" x14ac:dyDescent="0.25"/>
  <cols>
    <col min="1" max="1" width="11.85546875" style="27" customWidth="1"/>
    <col min="2" max="2" width="7.42578125" style="27" customWidth="1"/>
    <col min="3" max="3" width="6" style="27" customWidth="1"/>
    <col min="4" max="4" width="11.85546875" style="27" customWidth="1"/>
    <col min="5" max="5" width="10.42578125" style="27" customWidth="1"/>
    <col min="6" max="6" width="4.28515625" style="27" customWidth="1"/>
    <col min="7" max="7" width="11.140625" style="27" customWidth="1"/>
    <col min="8" max="8" width="7.85546875" style="27" bestFit="1" customWidth="1"/>
    <col min="9" max="9" width="11.5703125" style="27" bestFit="1" customWidth="1"/>
    <col min="10" max="10" width="6.28515625" style="27" bestFit="1" customWidth="1"/>
    <col min="11" max="12" width="8.7109375" style="27" customWidth="1"/>
    <col min="13" max="13" width="10" style="27" bestFit="1" customWidth="1"/>
    <col min="14" max="14" width="5.7109375" style="27" customWidth="1"/>
    <col min="15" max="15" width="6.42578125" style="27" customWidth="1"/>
    <col min="16" max="16" width="10.5703125" style="27" customWidth="1"/>
    <col min="17" max="17" width="0.5703125" style="27" customWidth="1"/>
    <col min="18" max="16384" width="11.42578125" style="27"/>
  </cols>
  <sheetData>
    <row r="1" spans="1:16" ht="17.25" customHeight="1" x14ac:dyDescent="0.25">
      <c r="A1" s="582" t="s">
        <v>119</v>
      </c>
      <c r="B1" s="582"/>
      <c r="C1" s="582"/>
      <c r="D1" s="582"/>
      <c r="E1" s="582"/>
      <c r="F1" s="582"/>
      <c r="G1" s="582"/>
      <c r="H1" s="582"/>
      <c r="I1" s="582"/>
      <c r="J1" s="582"/>
      <c r="K1" s="582"/>
      <c r="L1" s="582"/>
      <c r="M1" s="582"/>
      <c r="N1" s="582"/>
      <c r="O1" s="582"/>
      <c r="P1" s="582"/>
    </row>
    <row r="2" spans="1:16" ht="18" customHeight="1" x14ac:dyDescent="0.25">
      <c r="A2" s="583" t="s">
        <v>118</v>
      </c>
      <c r="B2" s="584"/>
      <c r="C2" s="583">
        <v>2026</v>
      </c>
      <c r="D2" s="585"/>
      <c r="E2" s="585"/>
      <c r="F2" s="585"/>
      <c r="G2" s="585"/>
      <c r="H2" s="585"/>
      <c r="I2" s="585"/>
      <c r="J2" s="584"/>
      <c r="K2" s="586" t="s">
        <v>120</v>
      </c>
      <c r="L2" s="426"/>
      <c r="M2" s="587" t="s">
        <v>205</v>
      </c>
      <c r="N2" s="587"/>
      <c r="O2" s="587"/>
      <c r="P2" s="588"/>
    </row>
    <row r="3" spans="1:16" ht="18" customHeight="1" x14ac:dyDescent="0.25">
      <c r="A3" s="578" t="s">
        <v>121</v>
      </c>
      <c r="B3" s="579"/>
      <c r="C3" s="578" t="s">
        <v>157</v>
      </c>
      <c r="D3" s="580"/>
      <c r="E3" s="580"/>
      <c r="F3" s="580"/>
      <c r="G3" s="580"/>
      <c r="H3" s="580"/>
      <c r="I3" s="580"/>
      <c r="J3" s="579"/>
      <c r="K3" s="581" t="s">
        <v>122</v>
      </c>
      <c r="L3" s="581"/>
      <c r="M3" s="426" t="s">
        <v>201</v>
      </c>
      <c r="N3" s="426"/>
      <c r="O3" s="426"/>
      <c r="P3" s="427"/>
    </row>
    <row r="4" spans="1:16" ht="18" customHeight="1" x14ac:dyDescent="0.25">
      <c r="A4" s="578" t="s">
        <v>123</v>
      </c>
      <c r="B4" s="579"/>
      <c r="C4" s="578" t="s">
        <v>209</v>
      </c>
      <c r="D4" s="580"/>
      <c r="E4" s="580"/>
      <c r="F4" s="580"/>
      <c r="G4" s="580"/>
      <c r="H4" s="580"/>
      <c r="I4" s="580"/>
      <c r="J4" s="579"/>
      <c r="K4" s="581" t="s">
        <v>124</v>
      </c>
      <c r="L4" s="581"/>
      <c r="M4" s="586" t="s">
        <v>202</v>
      </c>
      <c r="N4" s="426"/>
      <c r="O4" s="426"/>
      <c r="P4" s="427"/>
    </row>
    <row r="5" spans="1:16" ht="18" customHeight="1" x14ac:dyDescent="0.25">
      <c r="A5" s="578" t="s">
        <v>125</v>
      </c>
      <c r="B5" s="579"/>
      <c r="C5" s="578" t="s">
        <v>160</v>
      </c>
      <c r="D5" s="580"/>
      <c r="E5" s="580"/>
      <c r="F5" s="580"/>
      <c r="G5" s="580"/>
      <c r="H5" s="580"/>
      <c r="I5" s="580"/>
      <c r="J5" s="579"/>
      <c r="K5" s="581" t="s">
        <v>126</v>
      </c>
      <c r="L5" s="581"/>
      <c r="M5" s="586" t="s">
        <v>203</v>
      </c>
      <c r="N5" s="426"/>
      <c r="O5" s="426"/>
      <c r="P5" s="427"/>
    </row>
    <row r="6" spans="1:16" ht="18" customHeight="1" x14ac:dyDescent="0.25">
      <c r="A6" s="589" t="s">
        <v>127</v>
      </c>
      <c r="B6" s="590" t="s">
        <v>128</v>
      </c>
      <c r="C6" s="590" t="s">
        <v>129</v>
      </c>
      <c r="D6" s="591" t="s">
        <v>130</v>
      </c>
      <c r="E6" s="592"/>
      <c r="F6" s="592"/>
      <c r="G6" s="593"/>
      <c r="H6" s="590" t="s">
        <v>131</v>
      </c>
      <c r="I6" s="590"/>
      <c r="J6" s="590"/>
      <c r="K6" s="590" t="s">
        <v>132</v>
      </c>
      <c r="L6" s="590"/>
      <c r="M6" s="590"/>
      <c r="N6" s="597" t="s">
        <v>133</v>
      </c>
      <c r="O6" s="598"/>
      <c r="P6" s="601" t="s">
        <v>134</v>
      </c>
    </row>
    <row r="7" spans="1:16" ht="18" customHeight="1" x14ac:dyDescent="0.25">
      <c r="A7" s="589"/>
      <c r="B7" s="590"/>
      <c r="C7" s="590"/>
      <c r="D7" s="594"/>
      <c r="E7" s="595"/>
      <c r="F7" s="595"/>
      <c r="G7" s="596"/>
      <c r="H7" s="108" t="s">
        <v>135</v>
      </c>
      <c r="I7" s="108" t="s">
        <v>136</v>
      </c>
      <c r="J7" s="108" t="s">
        <v>137</v>
      </c>
      <c r="K7" s="108" t="s">
        <v>138</v>
      </c>
      <c r="L7" s="108" t="s">
        <v>139</v>
      </c>
      <c r="M7" s="108" t="s">
        <v>140</v>
      </c>
      <c r="N7" s="599"/>
      <c r="O7" s="600"/>
      <c r="P7" s="602"/>
    </row>
    <row r="8" spans="1:16" ht="18" customHeight="1" x14ac:dyDescent="0.25">
      <c r="A8" s="29"/>
      <c r="B8" s="93"/>
      <c r="C8" s="93"/>
      <c r="D8" s="603" t="s">
        <v>141</v>
      </c>
      <c r="E8" s="604"/>
      <c r="F8" s="604"/>
      <c r="G8" s="605"/>
      <c r="H8" s="105"/>
      <c r="I8" s="106"/>
      <c r="J8" s="110">
        <f>+'EJEMPLO JMCC (2)'!E32</f>
        <v>56.399999999999956</v>
      </c>
      <c r="K8" s="107"/>
      <c r="L8" s="109">
        <f>+'EJEMPLO JMCC (2)'!E27</f>
        <v>421279</v>
      </c>
      <c r="M8" s="7"/>
      <c r="N8" s="481"/>
      <c r="O8" s="481"/>
      <c r="P8" s="18"/>
    </row>
    <row r="9" spans="1:16" ht="18" customHeight="1" x14ac:dyDescent="0.25">
      <c r="A9" s="95">
        <v>46023</v>
      </c>
      <c r="B9" s="96"/>
      <c r="C9" s="96"/>
      <c r="D9" s="606" t="s">
        <v>162</v>
      </c>
      <c r="E9" s="607"/>
      <c r="F9" s="607"/>
      <c r="G9" s="608"/>
      <c r="H9" s="96">
        <f>C9</f>
        <v>0</v>
      </c>
      <c r="I9" s="97">
        <f>+M9/$E$31</f>
        <v>0</v>
      </c>
      <c r="J9" s="97">
        <f>+J8+H9-I9</f>
        <v>56.399999999999956</v>
      </c>
      <c r="K9" s="96">
        <f>+L8</f>
        <v>421279</v>
      </c>
      <c r="L9" s="103">
        <f>+L8+0</f>
        <v>421279</v>
      </c>
      <c r="M9" s="98">
        <f>+L9-K9</f>
        <v>0</v>
      </c>
      <c r="N9" s="609"/>
      <c r="O9" s="609"/>
      <c r="P9" s="100"/>
    </row>
    <row r="10" spans="1:16" ht="18" customHeight="1" x14ac:dyDescent="0.25">
      <c r="A10" s="95">
        <v>46024</v>
      </c>
      <c r="B10" s="96"/>
      <c r="C10" s="96"/>
      <c r="D10" s="606" t="s">
        <v>162</v>
      </c>
      <c r="E10" s="607"/>
      <c r="F10" s="607"/>
      <c r="G10" s="608"/>
      <c r="H10" s="96">
        <f t="shared" ref="H10:H23" si="0">C10</f>
        <v>0</v>
      </c>
      <c r="I10" s="97">
        <f t="shared" ref="I10:I23" si="1">+M10/$E$31</f>
        <v>1</v>
      </c>
      <c r="J10" s="97">
        <f t="shared" ref="J10:J23" si="2">+J9+H10-I10</f>
        <v>55.399999999999956</v>
      </c>
      <c r="K10" s="96">
        <f>+L9</f>
        <v>421279</v>
      </c>
      <c r="L10" s="103">
        <f>+L9+5</f>
        <v>421284</v>
      </c>
      <c r="M10" s="98">
        <f t="shared" ref="M10:M23" si="3">+L10-K10</f>
        <v>5</v>
      </c>
      <c r="N10" s="609"/>
      <c r="O10" s="609"/>
      <c r="P10" s="100"/>
    </row>
    <row r="11" spans="1:16" ht="18" customHeight="1" x14ac:dyDescent="0.25">
      <c r="A11" s="95">
        <v>46025</v>
      </c>
      <c r="B11" s="96"/>
      <c r="C11" s="96"/>
      <c r="D11" s="606" t="s">
        <v>162</v>
      </c>
      <c r="E11" s="607"/>
      <c r="F11" s="607"/>
      <c r="G11" s="608"/>
      <c r="H11" s="96">
        <f t="shared" si="0"/>
        <v>0</v>
      </c>
      <c r="I11" s="97">
        <f t="shared" si="1"/>
        <v>0</v>
      </c>
      <c r="J11" s="97">
        <f t="shared" si="2"/>
        <v>55.399999999999956</v>
      </c>
      <c r="K11" s="96">
        <f t="shared" ref="K11:K23" si="4">+L10</f>
        <v>421284</v>
      </c>
      <c r="L11" s="103">
        <f>+L10+0</f>
        <v>421284</v>
      </c>
      <c r="M11" s="98">
        <f t="shared" si="3"/>
        <v>0</v>
      </c>
      <c r="N11" s="609"/>
      <c r="O11" s="609"/>
      <c r="P11" s="100"/>
    </row>
    <row r="12" spans="1:16" ht="18" customHeight="1" x14ac:dyDescent="0.25">
      <c r="A12" s="95">
        <v>46026</v>
      </c>
      <c r="B12" s="96"/>
      <c r="C12" s="96"/>
      <c r="D12" s="606" t="s">
        <v>162</v>
      </c>
      <c r="E12" s="607"/>
      <c r="F12" s="607"/>
      <c r="G12" s="608"/>
      <c r="H12" s="96">
        <f t="shared" si="0"/>
        <v>0</v>
      </c>
      <c r="I12" s="97">
        <f t="shared" si="1"/>
        <v>0</v>
      </c>
      <c r="J12" s="97">
        <f t="shared" si="2"/>
        <v>55.399999999999956</v>
      </c>
      <c r="K12" s="96">
        <f t="shared" si="4"/>
        <v>421284</v>
      </c>
      <c r="L12" s="103">
        <f>+L11+0</f>
        <v>421284</v>
      </c>
      <c r="M12" s="98">
        <f t="shared" si="3"/>
        <v>0</v>
      </c>
      <c r="N12" s="609"/>
      <c r="O12" s="609"/>
      <c r="P12" s="100"/>
    </row>
    <row r="13" spans="1:16" ht="18" customHeight="1" x14ac:dyDescent="0.25">
      <c r="A13" s="95">
        <v>46027</v>
      </c>
      <c r="B13" s="96"/>
      <c r="C13" s="96"/>
      <c r="D13" s="606" t="s">
        <v>162</v>
      </c>
      <c r="E13" s="607"/>
      <c r="F13" s="607"/>
      <c r="G13" s="608"/>
      <c r="H13" s="96">
        <f t="shared" si="0"/>
        <v>0</v>
      </c>
      <c r="I13" s="97">
        <f t="shared" si="1"/>
        <v>0.6</v>
      </c>
      <c r="J13" s="97">
        <f t="shared" si="2"/>
        <v>54.799999999999955</v>
      </c>
      <c r="K13" s="96">
        <f t="shared" si="4"/>
        <v>421284</v>
      </c>
      <c r="L13" s="103">
        <f>+L12+3</f>
        <v>421287</v>
      </c>
      <c r="M13" s="98">
        <f t="shared" si="3"/>
        <v>3</v>
      </c>
      <c r="N13" s="609"/>
      <c r="O13" s="609"/>
      <c r="P13" s="100"/>
    </row>
    <row r="14" spans="1:16" ht="18" customHeight="1" x14ac:dyDescent="0.25">
      <c r="A14" s="95">
        <v>46028</v>
      </c>
      <c r="B14" s="96"/>
      <c r="C14" s="96"/>
      <c r="D14" s="606" t="s">
        <v>162</v>
      </c>
      <c r="E14" s="607"/>
      <c r="F14" s="607"/>
      <c r="G14" s="608"/>
      <c r="H14" s="96">
        <f t="shared" si="0"/>
        <v>0</v>
      </c>
      <c r="I14" s="97">
        <f t="shared" si="1"/>
        <v>0.6</v>
      </c>
      <c r="J14" s="97">
        <f t="shared" si="2"/>
        <v>54.199999999999953</v>
      </c>
      <c r="K14" s="96">
        <f t="shared" si="4"/>
        <v>421287</v>
      </c>
      <c r="L14" s="103">
        <f>+L13+3</f>
        <v>421290</v>
      </c>
      <c r="M14" s="98">
        <f t="shared" si="3"/>
        <v>3</v>
      </c>
      <c r="N14" s="609"/>
      <c r="O14" s="609"/>
      <c r="P14" s="100"/>
    </row>
    <row r="15" spans="1:16" ht="18" customHeight="1" x14ac:dyDescent="0.25">
      <c r="A15" s="95">
        <v>46029</v>
      </c>
      <c r="B15" s="96"/>
      <c r="C15" s="96"/>
      <c r="D15" s="606" t="s">
        <v>162</v>
      </c>
      <c r="E15" s="607"/>
      <c r="F15" s="607"/>
      <c r="G15" s="608"/>
      <c r="H15" s="96">
        <f t="shared" si="0"/>
        <v>0</v>
      </c>
      <c r="I15" s="97">
        <f t="shared" si="1"/>
        <v>1</v>
      </c>
      <c r="J15" s="97">
        <f t="shared" si="2"/>
        <v>53.199999999999953</v>
      </c>
      <c r="K15" s="96">
        <f t="shared" si="4"/>
        <v>421290</v>
      </c>
      <c r="L15" s="103">
        <f>+L14+5</f>
        <v>421295</v>
      </c>
      <c r="M15" s="98">
        <f t="shared" si="3"/>
        <v>5</v>
      </c>
      <c r="N15" s="609"/>
      <c r="O15" s="609"/>
      <c r="P15" s="100"/>
    </row>
    <row r="16" spans="1:16" ht="18" customHeight="1" x14ac:dyDescent="0.25">
      <c r="A16" s="95">
        <v>46030</v>
      </c>
      <c r="B16" s="96"/>
      <c r="C16" s="96"/>
      <c r="D16" s="606" t="s">
        <v>162</v>
      </c>
      <c r="E16" s="607"/>
      <c r="F16" s="607"/>
      <c r="G16" s="608"/>
      <c r="H16" s="96">
        <f t="shared" si="0"/>
        <v>0</v>
      </c>
      <c r="I16" s="97">
        <f t="shared" si="1"/>
        <v>0.6</v>
      </c>
      <c r="J16" s="97">
        <f t="shared" si="2"/>
        <v>52.599999999999952</v>
      </c>
      <c r="K16" s="96">
        <f t="shared" si="4"/>
        <v>421295</v>
      </c>
      <c r="L16" s="103">
        <f>+L15+3</f>
        <v>421298</v>
      </c>
      <c r="M16" s="98">
        <f t="shared" si="3"/>
        <v>3</v>
      </c>
      <c r="N16" s="609"/>
      <c r="O16" s="609"/>
      <c r="P16" s="100"/>
    </row>
    <row r="17" spans="1:16" ht="18" customHeight="1" x14ac:dyDescent="0.25">
      <c r="A17" s="95">
        <v>46031</v>
      </c>
      <c r="B17" s="96"/>
      <c r="C17" s="96"/>
      <c r="D17" s="606" t="s">
        <v>162</v>
      </c>
      <c r="E17" s="607"/>
      <c r="F17" s="607"/>
      <c r="G17" s="608"/>
      <c r="H17" s="96">
        <f t="shared" si="0"/>
        <v>0</v>
      </c>
      <c r="I17" s="97">
        <f t="shared" si="1"/>
        <v>0</v>
      </c>
      <c r="J17" s="97">
        <f t="shared" si="2"/>
        <v>52.599999999999952</v>
      </c>
      <c r="K17" s="96">
        <f t="shared" si="4"/>
        <v>421298</v>
      </c>
      <c r="L17" s="103">
        <f>+L16+0</f>
        <v>421298</v>
      </c>
      <c r="M17" s="98">
        <f t="shared" si="3"/>
        <v>0</v>
      </c>
      <c r="N17" s="609"/>
      <c r="O17" s="609"/>
      <c r="P17" s="100"/>
    </row>
    <row r="18" spans="1:16" ht="18" customHeight="1" x14ac:dyDescent="0.25">
      <c r="A18" s="95">
        <v>46032</v>
      </c>
      <c r="B18" s="96"/>
      <c r="C18" s="101"/>
      <c r="D18" s="606" t="s">
        <v>162</v>
      </c>
      <c r="E18" s="607"/>
      <c r="F18" s="607"/>
      <c r="G18" s="608"/>
      <c r="H18" s="96">
        <f t="shared" si="0"/>
        <v>0</v>
      </c>
      <c r="I18" s="97">
        <f t="shared" si="1"/>
        <v>0</v>
      </c>
      <c r="J18" s="97">
        <f t="shared" si="2"/>
        <v>52.599999999999952</v>
      </c>
      <c r="K18" s="96">
        <f t="shared" si="4"/>
        <v>421298</v>
      </c>
      <c r="L18" s="103">
        <f>+L17+0</f>
        <v>421298</v>
      </c>
      <c r="M18" s="98">
        <f t="shared" si="3"/>
        <v>0</v>
      </c>
      <c r="N18" s="609"/>
      <c r="O18" s="609"/>
      <c r="P18" s="100"/>
    </row>
    <row r="19" spans="1:16" ht="18" customHeight="1" x14ac:dyDescent="0.25">
      <c r="A19" s="95">
        <v>46033</v>
      </c>
      <c r="B19" s="96"/>
      <c r="C19" s="101"/>
      <c r="D19" s="606" t="s">
        <v>162</v>
      </c>
      <c r="E19" s="607"/>
      <c r="F19" s="607"/>
      <c r="G19" s="608"/>
      <c r="H19" s="96">
        <f t="shared" si="0"/>
        <v>0</v>
      </c>
      <c r="I19" s="97">
        <f t="shared" si="1"/>
        <v>0</v>
      </c>
      <c r="J19" s="97">
        <f t="shared" si="2"/>
        <v>52.599999999999952</v>
      </c>
      <c r="K19" s="96">
        <f t="shared" si="4"/>
        <v>421298</v>
      </c>
      <c r="L19" s="103">
        <f>+L18+0</f>
        <v>421298</v>
      </c>
      <c r="M19" s="98">
        <f t="shared" si="3"/>
        <v>0</v>
      </c>
      <c r="N19" s="609"/>
      <c r="O19" s="609"/>
      <c r="P19" s="100"/>
    </row>
    <row r="20" spans="1:16" ht="18" customHeight="1" x14ac:dyDescent="0.25">
      <c r="A20" s="95">
        <v>46034</v>
      </c>
      <c r="B20" s="96"/>
      <c r="C20" s="101"/>
      <c r="D20" s="606" t="s">
        <v>162</v>
      </c>
      <c r="E20" s="607"/>
      <c r="F20" s="607"/>
      <c r="G20" s="608"/>
      <c r="H20" s="96">
        <f t="shared" si="0"/>
        <v>0</v>
      </c>
      <c r="I20" s="97">
        <f t="shared" si="1"/>
        <v>1.2</v>
      </c>
      <c r="J20" s="97">
        <f t="shared" si="2"/>
        <v>51.399999999999949</v>
      </c>
      <c r="K20" s="96">
        <f t="shared" si="4"/>
        <v>421298</v>
      </c>
      <c r="L20" s="103">
        <f>+L19+6</f>
        <v>421304</v>
      </c>
      <c r="M20" s="98">
        <f t="shared" si="3"/>
        <v>6</v>
      </c>
      <c r="N20" s="609"/>
      <c r="O20" s="609"/>
      <c r="P20" s="100"/>
    </row>
    <row r="21" spans="1:16" ht="18" customHeight="1" x14ac:dyDescent="0.25">
      <c r="A21" s="95">
        <v>46035</v>
      </c>
      <c r="B21" s="96">
        <v>14729</v>
      </c>
      <c r="C21" s="101">
        <v>40</v>
      </c>
      <c r="D21" s="606" t="s">
        <v>162</v>
      </c>
      <c r="E21" s="607"/>
      <c r="F21" s="607"/>
      <c r="G21" s="608"/>
      <c r="H21" s="96">
        <f t="shared" si="0"/>
        <v>40</v>
      </c>
      <c r="I21" s="97">
        <f t="shared" si="1"/>
        <v>2</v>
      </c>
      <c r="J21" s="97">
        <f t="shared" si="2"/>
        <v>89.399999999999949</v>
      </c>
      <c r="K21" s="96">
        <f t="shared" si="4"/>
        <v>421304</v>
      </c>
      <c r="L21" s="103">
        <f>+L20+10</f>
        <v>421314</v>
      </c>
      <c r="M21" s="98">
        <f t="shared" si="3"/>
        <v>10</v>
      </c>
      <c r="N21" s="609"/>
      <c r="O21" s="609"/>
      <c r="P21" s="100"/>
    </row>
    <row r="22" spans="1:16" ht="18" customHeight="1" x14ac:dyDescent="0.25">
      <c r="A22" s="95">
        <v>46036</v>
      </c>
      <c r="B22" s="96"/>
      <c r="C22" s="101"/>
      <c r="D22" s="606" t="s">
        <v>162</v>
      </c>
      <c r="E22" s="607"/>
      <c r="F22" s="607"/>
      <c r="G22" s="608"/>
      <c r="H22" s="96">
        <f t="shared" si="0"/>
        <v>0</v>
      </c>
      <c r="I22" s="97">
        <f t="shared" si="1"/>
        <v>1</v>
      </c>
      <c r="J22" s="97">
        <f t="shared" si="2"/>
        <v>88.399999999999949</v>
      </c>
      <c r="K22" s="96">
        <f t="shared" si="4"/>
        <v>421314</v>
      </c>
      <c r="L22" s="103">
        <f>+L21+5</f>
        <v>421319</v>
      </c>
      <c r="M22" s="98">
        <f t="shared" si="3"/>
        <v>5</v>
      </c>
      <c r="N22" s="609"/>
      <c r="O22" s="609"/>
      <c r="P22" s="100"/>
    </row>
    <row r="23" spans="1:16" ht="18" customHeight="1" x14ac:dyDescent="0.25">
      <c r="A23" s="95">
        <v>46037</v>
      </c>
      <c r="B23" s="96"/>
      <c r="C23" s="101"/>
      <c r="D23" s="606" t="s">
        <v>162</v>
      </c>
      <c r="E23" s="607"/>
      <c r="F23" s="607"/>
      <c r="G23" s="608"/>
      <c r="H23" s="96">
        <f t="shared" si="0"/>
        <v>0</v>
      </c>
      <c r="I23" s="97">
        <f t="shared" si="1"/>
        <v>4.4000000000000004</v>
      </c>
      <c r="J23" s="97">
        <f t="shared" si="2"/>
        <v>83.999999999999943</v>
      </c>
      <c r="K23" s="96">
        <f t="shared" si="4"/>
        <v>421319</v>
      </c>
      <c r="L23" s="103">
        <f>+L22+22</f>
        <v>421341</v>
      </c>
      <c r="M23" s="98">
        <f t="shared" si="3"/>
        <v>22</v>
      </c>
      <c r="N23" s="609"/>
      <c r="O23" s="609"/>
      <c r="P23" s="100"/>
    </row>
    <row r="24" spans="1:16" ht="18" customHeight="1" x14ac:dyDescent="0.25">
      <c r="A24" s="95"/>
      <c r="B24" s="96"/>
      <c r="C24" s="101"/>
      <c r="D24" s="606"/>
      <c r="E24" s="607"/>
      <c r="F24" s="607"/>
      <c r="G24" s="608"/>
      <c r="H24" s="96"/>
      <c r="I24" s="97"/>
      <c r="J24" s="97"/>
      <c r="K24" s="96"/>
      <c r="L24" s="96"/>
      <c r="M24" s="98"/>
      <c r="N24" s="102"/>
      <c r="O24" s="101"/>
      <c r="P24" s="100"/>
    </row>
    <row r="25" spans="1:16" ht="18" customHeight="1" x14ac:dyDescent="0.25">
      <c r="A25" s="27" t="s">
        <v>143</v>
      </c>
      <c r="I25" s="42"/>
      <c r="J25" s="42"/>
    </row>
    <row r="26" spans="1:16" ht="18" customHeight="1" x14ac:dyDescent="0.25">
      <c r="A26" s="610" t="s">
        <v>144</v>
      </c>
      <c r="B26" s="610"/>
      <c r="C26" s="610"/>
      <c r="D26" s="610"/>
      <c r="E26" s="103">
        <f>+K9</f>
        <v>421279</v>
      </c>
      <c r="G26" s="589" t="s">
        <v>145</v>
      </c>
      <c r="H26" s="589"/>
      <c r="I26" s="589" t="s">
        <v>146</v>
      </c>
      <c r="J26" s="589"/>
      <c r="K26" s="597" t="s">
        <v>147</v>
      </c>
      <c r="L26" s="598"/>
      <c r="M26" s="597" t="s">
        <v>148</v>
      </c>
      <c r="N26" s="598"/>
      <c r="O26" s="597" t="s">
        <v>149</v>
      </c>
      <c r="P26" s="598"/>
    </row>
    <row r="27" spans="1:16" ht="18" customHeight="1" x14ac:dyDescent="0.25">
      <c r="A27" s="610" t="s">
        <v>150</v>
      </c>
      <c r="B27" s="610"/>
      <c r="C27" s="610"/>
      <c r="D27" s="610"/>
      <c r="E27" s="103">
        <f>+L23</f>
        <v>421341</v>
      </c>
      <c r="G27" s="589"/>
      <c r="H27" s="589"/>
      <c r="I27" s="589"/>
      <c r="J27" s="589"/>
      <c r="K27" s="599"/>
      <c r="L27" s="600"/>
      <c r="M27" s="599"/>
      <c r="N27" s="600"/>
      <c r="O27" s="599"/>
      <c r="P27" s="600"/>
    </row>
    <row r="28" spans="1:16" ht="18" customHeight="1" x14ac:dyDescent="0.25">
      <c r="A28" s="610" t="s">
        <v>151</v>
      </c>
      <c r="B28" s="610"/>
      <c r="C28" s="610"/>
      <c r="D28" s="610"/>
      <c r="E28" s="103">
        <f>+E27-E26</f>
        <v>62</v>
      </c>
      <c r="G28" s="609"/>
      <c r="H28" s="609"/>
      <c r="I28" s="614"/>
      <c r="J28" s="614"/>
      <c r="K28" s="615"/>
      <c r="L28" s="616"/>
      <c r="M28" s="615"/>
      <c r="N28" s="616"/>
      <c r="O28" s="615"/>
      <c r="P28" s="616"/>
    </row>
    <row r="29" spans="1:16" ht="18" customHeight="1" x14ac:dyDescent="0.25">
      <c r="A29" s="610" t="s">
        <v>164</v>
      </c>
      <c r="B29" s="610"/>
      <c r="C29" s="610"/>
      <c r="D29" s="610"/>
      <c r="E29" s="104">
        <f>SUM(H9:H24)</f>
        <v>40</v>
      </c>
      <c r="G29" s="609"/>
      <c r="H29" s="609"/>
      <c r="I29" s="614"/>
      <c r="J29" s="614"/>
      <c r="K29" s="617"/>
      <c r="L29" s="618"/>
      <c r="M29" s="617"/>
      <c r="N29" s="618"/>
      <c r="O29" s="617"/>
      <c r="P29" s="618"/>
    </row>
    <row r="30" spans="1:16" ht="18" customHeight="1" x14ac:dyDescent="0.25">
      <c r="A30" s="610" t="s">
        <v>165</v>
      </c>
      <c r="B30" s="610"/>
      <c r="C30" s="610"/>
      <c r="D30" s="610"/>
      <c r="E30" s="104">
        <f>SUM(I9:I23)</f>
        <v>12.4</v>
      </c>
      <c r="G30" s="609"/>
      <c r="H30" s="609"/>
      <c r="I30" s="614"/>
      <c r="J30" s="614"/>
      <c r="K30" s="617"/>
      <c r="L30" s="618"/>
      <c r="M30" s="617"/>
      <c r="N30" s="618"/>
      <c r="O30" s="617"/>
      <c r="P30" s="618"/>
    </row>
    <row r="31" spans="1:16" ht="18" customHeight="1" x14ac:dyDescent="0.25">
      <c r="A31" s="610" t="s">
        <v>153</v>
      </c>
      <c r="B31" s="610"/>
      <c r="C31" s="610"/>
      <c r="D31" s="610"/>
      <c r="E31" s="97">
        <v>5</v>
      </c>
      <c r="G31" s="609"/>
      <c r="H31" s="609"/>
      <c r="I31" s="614"/>
      <c r="J31" s="614"/>
      <c r="K31" s="617"/>
      <c r="L31" s="618"/>
      <c r="M31" s="617"/>
      <c r="N31" s="618"/>
      <c r="O31" s="617"/>
      <c r="P31" s="618"/>
    </row>
    <row r="32" spans="1:16" ht="18" customHeight="1" x14ac:dyDescent="0.25">
      <c r="A32" s="611" t="s">
        <v>154</v>
      </c>
      <c r="B32" s="611"/>
      <c r="C32" s="611"/>
      <c r="D32" s="611"/>
      <c r="E32" s="97">
        <f>+J23</f>
        <v>83.999999999999943</v>
      </c>
      <c r="G32" s="609"/>
      <c r="H32" s="609"/>
      <c r="I32" s="614"/>
      <c r="J32" s="614"/>
      <c r="K32" s="619"/>
      <c r="L32" s="620"/>
      <c r="M32" s="619"/>
      <c r="N32" s="620"/>
      <c r="O32" s="619"/>
      <c r="P32" s="620"/>
    </row>
    <row r="33" spans="1:16" ht="6.75" customHeight="1" x14ac:dyDescent="0.25">
      <c r="A33" s="490"/>
      <c r="B33" s="490"/>
      <c r="C33" s="490"/>
    </row>
    <row r="34" spans="1:16" ht="15" customHeight="1" x14ac:dyDescent="0.25">
      <c r="A34" s="612" t="s">
        <v>155</v>
      </c>
      <c r="B34" s="613"/>
      <c r="C34" s="111"/>
      <c r="D34" s="111"/>
      <c r="E34" s="111"/>
      <c r="F34" s="111"/>
      <c r="G34" s="111"/>
      <c r="H34" s="111"/>
      <c r="I34" s="111"/>
      <c r="J34" s="111"/>
      <c r="K34" s="111"/>
      <c r="L34" s="111"/>
      <c r="M34" s="111"/>
      <c r="N34" s="111"/>
      <c r="O34" s="111"/>
      <c r="P34" s="112"/>
    </row>
    <row r="35" spans="1:16" ht="15" customHeight="1" x14ac:dyDescent="0.25">
      <c r="A35" s="113"/>
      <c r="B35" s="114"/>
      <c r="C35" s="114"/>
      <c r="D35" s="114"/>
      <c r="E35" s="114"/>
      <c r="F35" s="114"/>
      <c r="G35" s="114"/>
      <c r="H35" s="114"/>
      <c r="I35" s="114"/>
      <c r="J35" s="114"/>
      <c r="K35" s="114"/>
      <c r="L35" s="114"/>
      <c r="M35" s="114"/>
      <c r="N35" s="114"/>
      <c r="O35" s="114"/>
      <c r="P35" s="115"/>
    </row>
    <row r="36" spans="1:16" ht="15" customHeight="1" x14ac:dyDescent="0.25">
      <c r="A36" s="116"/>
      <c r="B36" s="117"/>
      <c r="C36" s="117"/>
      <c r="D36" s="117"/>
      <c r="E36" s="117"/>
      <c r="F36" s="117"/>
      <c r="G36" s="117"/>
      <c r="H36" s="117"/>
      <c r="I36" s="117"/>
      <c r="J36" s="117"/>
      <c r="K36" s="117"/>
      <c r="L36" s="117"/>
      <c r="M36" s="117"/>
      <c r="N36" s="117"/>
      <c r="O36" s="117"/>
      <c r="P36" s="118"/>
    </row>
    <row r="37" spans="1:16" ht="4.5" customHeight="1" x14ac:dyDescent="0.25"/>
  </sheetData>
  <mergeCells count="77">
    <mergeCell ref="A31:D31"/>
    <mergeCell ref="A32:D32"/>
    <mergeCell ref="A33:C33"/>
    <mergeCell ref="A34:B34"/>
    <mergeCell ref="O26:P27"/>
    <mergeCell ref="A27:D27"/>
    <mergeCell ref="A28:D28"/>
    <mergeCell ref="G28:H32"/>
    <mergeCell ref="I28:J32"/>
    <mergeCell ref="K28:L32"/>
    <mergeCell ref="M28:N32"/>
    <mergeCell ref="O28:P32"/>
    <mergeCell ref="A29:D29"/>
    <mergeCell ref="A30:D30"/>
    <mergeCell ref="A26:D26"/>
    <mergeCell ref="G26:H27"/>
    <mergeCell ref="I26:J27"/>
    <mergeCell ref="K26:L27"/>
    <mergeCell ref="M26:N27"/>
    <mergeCell ref="D19:G19"/>
    <mergeCell ref="N19:O19"/>
    <mergeCell ref="D20:G20"/>
    <mergeCell ref="N20:O20"/>
    <mergeCell ref="D21:G21"/>
    <mergeCell ref="N21:O21"/>
    <mergeCell ref="D22:G22"/>
    <mergeCell ref="N22:O22"/>
    <mergeCell ref="D23:G23"/>
    <mergeCell ref="N23:O23"/>
    <mergeCell ref="D24:G24"/>
    <mergeCell ref="D16:G16"/>
    <mergeCell ref="N16:O16"/>
    <mergeCell ref="D17:G17"/>
    <mergeCell ref="N17:O17"/>
    <mergeCell ref="D18:G18"/>
    <mergeCell ref="N18:O18"/>
    <mergeCell ref="D13:G13"/>
    <mergeCell ref="N13:O13"/>
    <mergeCell ref="D14:G14"/>
    <mergeCell ref="N14:O14"/>
    <mergeCell ref="D15:G15"/>
    <mergeCell ref="N15:O15"/>
    <mergeCell ref="D10:G10"/>
    <mergeCell ref="N10:O10"/>
    <mergeCell ref="D11:G11"/>
    <mergeCell ref="N11:O11"/>
    <mergeCell ref="D12:G12"/>
    <mergeCell ref="N12:O12"/>
    <mergeCell ref="N6:O7"/>
    <mergeCell ref="P6:P7"/>
    <mergeCell ref="D8:G8"/>
    <mergeCell ref="N8:O8"/>
    <mergeCell ref="D9:G9"/>
    <mergeCell ref="N9:O9"/>
    <mergeCell ref="K6:M6"/>
    <mergeCell ref="A6:A7"/>
    <mergeCell ref="B6:B7"/>
    <mergeCell ref="C6:C7"/>
    <mergeCell ref="D6:G7"/>
    <mergeCell ref="H6:J6"/>
    <mergeCell ref="A4:B4"/>
    <mergeCell ref="C4:J4"/>
    <mergeCell ref="K4:L4"/>
    <mergeCell ref="M4:P4"/>
    <mergeCell ref="A5:B5"/>
    <mergeCell ref="C5:J5"/>
    <mergeCell ref="K5:L5"/>
    <mergeCell ref="M5:P5"/>
    <mergeCell ref="A3:B3"/>
    <mergeCell ref="C3:J3"/>
    <mergeCell ref="K3:L3"/>
    <mergeCell ref="M3:P3"/>
    <mergeCell ref="A1:P1"/>
    <mergeCell ref="A2:B2"/>
    <mergeCell ref="C2:J2"/>
    <mergeCell ref="K2:L2"/>
    <mergeCell ref="M2:P2"/>
  </mergeCells>
  <pageMargins left="0.19685039370078741" right="0.39370078740157483" top="0.39370078740157483" bottom="0.39370078740157483" header="0" footer="0"/>
  <pageSetup scale="9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sheetPr>
  <dimension ref="A1:P37"/>
  <sheetViews>
    <sheetView zoomScaleNormal="100" workbookViewId="0">
      <selection activeCell="C4" sqref="C4:J4"/>
    </sheetView>
  </sheetViews>
  <sheetFormatPr baseColWidth="10" defaultRowHeight="15" x14ac:dyDescent="0.25"/>
  <cols>
    <col min="1" max="1" width="11.85546875" style="27" customWidth="1"/>
    <col min="2" max="2" width="7.42578125" style="27" customWidth="1"/>
    <col min="3" max="3" width="6" style="27" customWidth="1"/>
    <col min="4" max="4" width="11.85546875" style="27" customWidth="1"/>
    <col min="5" max="5" width="10.42578125" style="27" customWidth="1"/>
    <col min="6" max="6" width="4.28515625" style="27" customWidth="1"/>
    <col min="7" max="7" width="11.140625" style="27" customWidth="1"/>
    <col min="8" max="8" width="7.85546875" style="27" bestFit="1" customWidth="1"/>
    <col min="9" max="9" width="11.5703125" style="27" bestFit="1" customWidth="1"/>
    <col min="10" max="10" width="6.28515625" style="27" bestFit="1" customWidth="1"/>
    <col min="11" max="12" width="8.7109375" style="27" customWidth="1"/>
    <col min="13" max="13" width="10" style="27" bestFit="1" customWidth="1"/>
    <col min="14" max="14" width="5.7109375" style="27" customWidth="1"/>
    <col min="15" max="15" width="6.42578125" style="27" customWidth="1"/>
    <col min="16" max="16" width="10.5703125" style="27" customWidth="1"/>
    <col min="17" max="17" width="0.5703125" style="27" customWidth="1"/>
    <col min="18" max="16384" width="11.42578125" style="27"/>
  </cols>
  <sheetData>
    <row r="1" spans="1:16" ht="17.25" customHeight="1" x14ac:dyDescent="0.25">
      <c r="A1" s="582" t="s">
        <v>119</v>
      </c>
      <c r="B1" s="582"/>
      <c r="C1" s="582"/>
      <c r="D1" s="582"/>
      <c r="E1" s="582"/>
      <c r="F1" s="582"/>
      <c r="G1" s="582"/>
      <c r="H1" s="582"/>
      <c r="I1" s="582"/>
      <c r="J1" s="582"/>
      <c r="K1" s="582"/>
      <c r="L1" s="582"/>
      <c r="M1" s="582"/>
      <c r="N1" s="582"/>
      <c r="O1" s="582"/>
      <c r="P1" s="582"/>
    </row>
    <row r="2" spans="1:16" ht="18" customHeight="1" x14ac:dyDescent="0.25">
      <c r="A2" s="583" t="s">
        <v>118</v>
      </c>
      <c r="B2" s="584"/>
      <c r="C2" s="583">
        <v>2026</v>
      </c>
      <c r="D2" s="585"/>
      <c r="E2" s="585"/>
      <c r="F2" s="585"/>
      <c r="G2" s="585"/>
      <c r="H2" s="585"/>
      <c r="I2" s="585"/>
      <c r="J2" s="584"/>
      <c r="K2" s="586" t="s">
        <v>120</v>
      </c>
      <c r="L2" s="426"/>
      <c r="M2" s="587" t="s">
        <v>205</v>
      </c>
      <c r="N2" s="587"/>
      <c r="O2" s="587"/>
      <c r="P2" s="588"/>
    </row>
    <row r="3" spans="1:16" ht="18" customHeight="1" x14ac:dyDescent="0.25">
      <c r="A3" s="578" t="s">
        <v>121</v>
      </c>
      <c r="B3" s="579"/>
      <c r="C3" s="578" t="s">
        <v>157</v>
      </c>
      <c r="D3" s="580"/>
      <c r="E3" s="580"/>
      <c r="F3" s="580"/>
      <c r="G3" s="580"/>
      <c r="H3" s="580"/>
      <c r="I3" s="580"/>
      <c r="J3" s="579"/>
      <c r="K3" s="581" t="s">
        <v>122</v>
      </c>
      <c r="L3" s="581"/>
      <c r="M3" s="426" t="s">
        <v>201</v>
      </c>
      <c r="N3" s="426"/>
      <c r="O3" s="426"/>
      <c r="P3" s="427"/>
    </row>
    <row r="4" spans="1:16" ht="18" customHeight="1" x14ac:dyDescent="0.25">
      <c r="A4" s="578" t="s">
        <v>123</v>
      </c>
      <c r="B4" s="579"/>
      <c r="C4" s="578" t="s">
        <v>209</v>
      </c>
      <c r="D4" s="580"/>
      <c r="E4" s="580"/>
      <c r="F4" s="580"/>
      <c r="G4" s="580"/>
      <c r="H4" s="580"/>
      <c r="I4" s="580"/>
      <c r="J4" s="579"/>
      <c r="K4" s="581" t="s">
        <v>124</v>
      </c>
      <c r="L4" s="581"/>
      <c r="M4" s="586" t="s">
        <v>202</v>
      </c>
      <c r="N4" s="426"/>
      <c r="O4" s="426"/>
      <c r="P4" s="427"/>
    </row>
    <row r="5" spans="1:16" ht="18" customHeight="1" x14ac:dyDescent="0.25">
      <c r="A5" s="578" t="s">
        <v>125</v>
      </c>
      <c r="B5" s="579"/>
      <c r="C5" s="578" t="s">
        <v>160</v>
      </c>
      <c r="D5" s="580"/>
      <c r="E5" s="580"/>
      <c r="F5" s="580"/>
      <c r="G5" s="580"/>
      <c r="H5" s="580"/>
      <c r="I5" s="580"/>
      <c r="J5" s="579"/>
      <c r="K5" s="581" t="s">
        <v>126</v>
      </c>
      <c r="L5" s="581"/>
      <c r="M5" s="586" t="s">
        <v>203</v>
      </c>
      <c r="N5" s="426"/>
      <c r="O5" s="426"/>
      <c r="P5" s="427"/>
    </row>
    <row r="6" spans="1:16" ht="18" customHeight="1" x14ac:dyDescent="0.25">
      <c r="A6" s="589" t="s">
        <v>127</v>
      </c>
      <c r="B6" s="590" t="s">
        <v>128</v>
      </c>
      <c r="C6" s="590" t="s">
        <v>129</v>
      </c>
      <c r="D6" s="591" t="s">
        <v>130</v>
      </c>
      <c r="E6" s="592"/>
      <c r="F6" s="592"/>
      <c r="G6" s="593"/>
      <c r="H6" s="590" t="s">
        <v>131</v>
      </c>
      <c r="I6" s="590"/>
      <c r="J6" s="590"/>
      <c r="K6" s="590" t="s">
        <v>132</v>
      </c>
      <c r="L6" s="590"/>
      <c r="M6" s="590"/>
      <c r="N6" s="597" t="s">
        <v>133</v>
      </c>
      <c r="O6" s="598"/>
      <c r="P6" s="601" t="s">
        <v>134</v>
      </c>
    </row>
    <row r="7" spans="1:16" ht="18" customHeight="1" x14ac:dyDescent="0.25">
      <c r="A7" s="589"/>
      <c r="B7" s="590"/>
      <c r="C7" s="590"/>
      <c r="D7" s="594"/>
      <c r="E7" s="595"/>
      <c r="F7" s="595"/>
      <c r="G7" s="596"/>
      <c r="H7" s="108" t="s">
        <v>135</v>
      </c>
      <c r="I7" s="108" t="s">
        <v>136</v>
      </c>
      <c r="J7" s="108" t="s">
        <v>137</v>
      </c>
      <c r="K7" s="108" t="s">
        <v>138</v>
      </c>
      <c r="L7" s="108" t="s">
        <v>139</v>
      </c>
      <c r="M7" s="108" t="s">
        <v>140</v>
      </c>
      <c r="N7" s="599"/>
      <c r="O7" s="600"/>
      <c r="P7" s="602"/>
    </row>
    <row r="8" spans="1:16" ht="18" customHeight="1" x14ac:dyDescent="0.25">
      <c r="A8" s="29"/>
      <c r="B8" s="93"/>
      <c r="C8" s="93"/>
      <c r="D8" s="603" t="s">
        <v>141</v>
      </c>
      <c r="E8" s="604"/>
      <c r="F8" s="604"/>
      <c r="G8" s="605"/>
      <c r="H8" s="105"/>
      <c r="I8" s="106"/>
      <c r="J8" s="110">
        <f>+'EJEMPLO JMCC (3)'!E32</f>
        <v>83.999999999999943</v>
      </c>
      <c r="K8" s="107"/>
      <c r="L8" s="109">
        <f>+'EJEMPLO JMCC (3)'!E27</f>
        <v>421341</v>
      </c>
      <c r="M8" s="7"/>
      <c r="N8" s="481"/>
      <c r="O8" s="481"/>
      <c r="P8" s="18"/>
    </row>
    <row r="9" spans="1:16" ht="18" customHeight="1" x14ac:dyDescent="0.25">
      <c r="A9" s="95">
        <v>46038</v>
      </c>
      <c r="B9" s="96">
        <v>14730</v>
      </c>
      <c r="C9" s="96">
        <v>60</v>
      </c>
      <c r="D9" s="606" t="s">
        <v>162</v>
      </c>
      <c r="E9" s="607"/>
      <c r="F9" s="607"/>
      <c r="G9" s="608"/>
      <c r="H9" s="96">
        <f>C9</f>
        <v>60</v>
      </c>
      <c r="I9" s="97">
        <f>+M9/$E$31</f>
        <v>38</v>
      </c>
      <c r="J9" s="97">
        <f>+J8+H9-I9</f>
        <v>105.99999999999994</v>
      </c>
      <c r="K9" s="96">
        <f>+L8</f>
        <v>421341</v>
      </c>
      <c r="L9" s="103">
        <f>+L8+190</f>
        <v>421531</v>
      </c>
      <c r="M9" s="98">
        <f>+L9-K9</f>
        <v>190</v>
      </c>
      <c r="N9" s="609"/>
      <c r="O9" s="609"/>
      <c r="P9" s="100"/>
    </row>
    <row r="10" spans="1:16" ht="18" customHeight="1" x14ac:dyDescent="0.25">
      <c r="A10" s="95">
        <f>+A9+1</f>
        <v>46039</v>
      </c>
      <c r="B10" s="96"/>
      <c r="C10" s="96"/>
      <c r="D10" s="606" t="s">
        <v>162</v>
      </c>
      <c r="E10" s="607"/>
      <c r="F10" s="607"/>
      <c r="G10" s="608"/>
      <c r="H10" s="96">
        <f t="shared" ref="H10:H24" si="0">C10</f>
        <v>0</v>
      </c>
      <c r="I10" s="97">
        <f t="shared" ref="I10:I24" si="1">+M10/$E$31</f>
        <v>0</v>
      </c>
      <c r="J10" s="97">
        <f t="shared" ref="J10:J24" si="2">+J9+H10-I10</f>
        <v>105.99999999999994</v>
      </c>
      <c r="K10" s="96">
        <f>+L9</f>
        <v>421531</v>
      </c>
      <c r="L10" s="103">
        <f>+L9+0</f>
        <v>421531</v>
      </c>
      <c r="M10" s="98">
        <f t="shared" ref="M10:M24" si="3">+L10-K10</f>
        <v>0</v>
      </c>
      <c r="N10" s="609"/>
      <c r="O10" s="609"/>
      <c r="P10" s="100"/>
    </row>
    <row r="11" spans="1:16" ht="18" customHeight="1" x14ac:dyDescent="0.25">
      <c r="A11" s="95">
        <f t="shared" ref="A11:A24" si="4">+A10+1</f>
        <v>46040</v>
      </c>
      <c r="B11" s="96"/>
      <c r="C11" s="96"/>
      <c r="D11" s="606" t="s">
        <v>162</v>
      </c>
      <c r="E11" s="607"/>
      <c r="F11" s="607"/>
      <c r="G11" s="608"/>
      <c r="H11" s="96">
        <f t="shared" si="0"/>
        <v>0</v>
      </c>
      <c r="I11" s="97">
        <f t="shared" si="1"/>
        <v>0</v>
      </c>
      <c r="J11" s="97">
        <f t="shared" si="2"/>
        <v>105.99999999999994</v>
      </c>
      <c r="K11" s="96">
        <f t="shared" ref="K11:K24" si="5">+L10</f>
        <v>421531</v>
      </c>
      <c r="L11" s="103">
        <f>+L10+0</f>
        <v>421531</v>
      </c>
      <c r="M11" s="98">
        <f t="shared" si="3"/>
        <v>0</v>
      </c>
      <c r="N11" s="609"/>
      <c r="O11" s="609"/>
      <c r="P11" s="100"/>
    </row>
    <row r="12" spans="1:16" ht="18" customHeight="1" x14ac:dyDescent="0.25">
      <c r="A12" s="95">
        <f t="shared" si="4"/>
        <v>46041</v>
      </c>
      <c r="B12" s="96"/>
      <c r="C12" s="96"/>
      <c r="D12" s="606" t="s">
        <v>162</v>
      </c>
      <c r="E12" s="607"/>
      <c r="F12" s="607"/>
      <c r="G12" s="608"/>
      <c r="H12" s="96">
        <f t="shared" si="0"/>
        <v>0</v>
      </c>
      <c r="I12" s="97">
        <f t="shared" si="1"/>
        <v>11</v>
      </c>
      <c r="J12" s="97">
        <f t="shared" si="2"/>
        <v>94.999999999999943</v>
      </c>
      <c r="K12" s="96">
        <f t="shared" si="5"/>
        <v>421531</v>
      </c>
      <c r="L12" s="103">
        <f>+L11+55</f>
        <v>421586</v>
      </c>
      <c r="M12" s="98">
        <f t="shared" si="3"/>
        <v>55</v>
      </c>
      <c r="N12" s="609"/>
      <c r="O12" s="609"/>
      <c r="P12" s="100"/>
    </row>
    <row r="13" spans="1:16" ht="18" customHeight="1" x14ac:dyDescent="0.25">
      <c r="A13" s="95">
        <f t="shared" si="4"/>
        <v>46042</v>
      </c>
      <c r="B13" s="96">
        <v>14734</v>
      </c>
      <c r="C13" s="96">
        <v>60</v>
      </c>
      <c r="D13" s="606" t="s">
        <v>162</v>
      </c>
      <c r="E13" s="607"/>
      <c r="F13" s="607"/>
      <c r="G13" s="608"/>
      <c r="H13" s="96">
        <f t="shared" si="0"/>
        <v>60</v>
      </c>
      <c r="I13" s="97">
        <f t="shared" si="1"/>
        <v>50</v>
      </c>
      <c r="J13" s="97">
        <f t="shared" si="2"/>
        <v>104.99999999999994</v>
      </c>
      <c r="K13" s="96">
        <f t="shared" si="5"/>
        <v>421586</v>
      </c>
      <c r="L13" s="103">
        <f>+L12+250</f>
        <v>421836</v>
      </c>
      <c r="M13" s="98">
        <f t="shared" si="3"/>
        <v>250</v>
      </c>
      <c r="N13" s="609"/>
      <c r="O13" s="609"/>
      <c r="P13" s="100"/>
    </row>
    <row r="14" spans="1:16" ht="18" customHeight="1" x14ac:dyDescent="0.25">
      <c r="A14" s="95">
        <f t="shared" si="4"/>
        <v>46043</v>
      </c>
      <c r="B14" s="96">
        <v>14731</v>
      </c>
      <c r="C14" s="96">
        <v>96</v>
      </c>
      <c r="D14" s="606" t="s">
        <v>162</v>
      </c>
      <c r="E14" s="607"/>
      <c r="F14" s="607"/>
      <c r="G14" s="608"/>
      <c r="H14" s="96">
        <f t="shared" si="0"/>
        <v>96</v>
      </c>
      <c r="I14" s="97">
        <f t="shared" si="1"/>
        <v>28</v>
      </c>
      <c r="J14" s="97">
        <f t="shared" si="2"/>
        <v>172.99999999999994</v>
      </c>
      <c r="K14" s="96">
        <f t="shared" si="5"/>
        <v>421836</v>
      </c>
      <c r="L14" s="103">
        <f>+L13+140</f>
        <v>421976</v>
      </c>
      <c r="M14" s="98">
        <f t="shared" si="3"/>
        <v>140</v>
      </c>
      <c r="N14" s="609"/>
      <c r="O14" s="609"/>
      <c r="P14" s="100"/>
    </row>
    <row r="15" spans="1:16" ht="18" customHeight="1" x14ac:dyDescent="0.25">
      <c r="A15" s="95">
        <f t="shared" si="4"/>
        <v>46044</v>
      </c>
      <c r="B15" s="96"/>
      <c r="C15" s="96"/>
      <c r="D15" s="606" t="s">
        <v>162</v>
      </c>
      <c r="E15" s="607"/>
      <c r="F15" s="607"/>
      <c r="G15" s="608"/>
      <c r="H15" s="96">
        <f t="shared" si="0"/>
        <v>0</v>
      </c>
      <c r="I15" s="97">
        <f t="shared" si="1"/>
        <v>7.4</v>
      </c>
      <c r="J15" s="97">
        <f t="shared" si="2"/>
        <v>165.59999999999994</v>
      </c>
      <c r="K15" s="96">
        <f t="shared" si="5"/>
        <v>421976</v>
      </c>
      <c r="L15" s="103">
        <f>+L14+37</f>
        <v>422013</v>
      </c>
      <c r="M15" s="98">
        <f t="shared" si="3"/>
        <v>37</v>
      </c>
      <c r="N15" s="609"/>
      <c r="O15" s="609"/>
      <c r="P15" s="100"/>
    </row>
    <row r="16" spans="1:16" ht="18" customHeight="1" x14ac:dyDescent="0.25">
      <c r="A16" s="95">
        <f t="shared" si="4"/>
        <v>46045</v>
      </c>
      <c r="B16" s="96"/>
      <c r="C16" s="96"/>
      <c r="D16" s="606" t="s">
        <v>162</v>
      </c>
      <c r="E16" s="607"/>
      <c r="F16" s="607"/>
      <c r="G16" s="608"/>
      <c r="H16" s="96">
        <f t="shared" si="0"/>
        <v>0</v>
      </c>
      <c r="I16" s="97">
        <f>+M16/$E$31</f>
        <v>23.8</v>
      </c>
      <c r="J16" s="97">
        <f t="shared" si="2"/>
        <v>141.79999999999993</v>
      </c>
      <c r="K16" s="96">
        <f t="shared" si="5"/>
        <v>422013</v>
      </c>
      <c r="L16" s="103">
        <f>+L15+119</f>
        <v>422132</v>
      </c>
      <c r="M16" s="98">
        <f t="shared" si="3"/>
        <v>119</v>
      </c>
      <c r="N16" s="609"/>
      <c r="O16" s="609"/>
      <c r="P16" s="100"/>
    </row>
    <row r="17" spans="1:16" ht="18" customHeight="1" x14ac:dyDescent="0.25">
      <c r="A17" s="95">
        <f t="shared" si="4"/>
        <v>46046</v>
      </c>
      <c r="B17" s="96"/>
      <c r="C17" s="96"/>
      <c r="D17" s="606" t="s">
        <v>162</v>
      </c>
      <c r="E17" s="607"/>
      <c r="F17" s="607"/>
      <c r="G17" s="608"/>
      <c r="H17" s="96">
        <f t="shared" si="0"/>
        <v>0</v>
      </c>
      <c r="I17" s="97">
        <f t="shared" si="1"/>
        <v>0</v>
      </c>
      <c r="J17" s="97">
        <f t="shared" si="2"/>
        <v>141.79999999999993</v>
      </c>
      <c r="K17" s="96">
        <f t="shared" si="5"/>
        <v>422132</v>
      </c>
      <c r="L17" s="103">
        <f>+L16+0</f>
        <v>422132</v>
      </c>
      <c r="M17" s="98">
        <f t="shared" si="3"/>
        <v>0</v>
      </c>
      <c r="N17" s="609"/>
      <c r="O17" s="609"/>
      <c r="P17" s="100"/>
    </row>
    <row r="18" spans="1:16" ht="18" customHeight="1" x14ac:dyDescent="0.25">
      <c r="A18" s="95">
        <f t="shared" si="4"/>
        <v>46047</v>
      </c>
      <c r="B18" s="96"/>
      <c r="C18" s="101"/>
      <c r="D18" s="606" t="s">
        <v>162</v>
      </c>
      <c r="E18" s="607"/>
      <c r="F18" s="607"/>
      <c r="G18" s="608"/>
      <c r="H18" s="96">
        <f t="shared" si="0"/>
        <v>0</v>
      </c>
      <c r="I18" s="97">
        <f t="shared" si="1"/>
        <v>0</v>
      </c>
      <c r="J18" s="97">
        <f t="shared" si="2"/>
        <v>141.79999999999993</v>
      </c>
      <c r="K18" s="96">
        <f t="shared" si="5"/>
        <v>422132</v>
      </c>
      <c r="L18" s="103">
        <f>+L17+0</f>
        <v>422132</v>
      </c>
      <c r="M18" s="98">
        <f t="shared" si="3"/>
        <v>0</v>
      </c>
      <c r="N18" s="609"/>
      <c r="O18" s="609"/>
      <c r="P18" s="100"/>
    </row>
    <row r="19" spans="1:16" ht="18" customHeight="1" x14ac:dyDescent="0.25">
      <c r="A19" s="95">
        <f t="shared" si="4"/>
        <v>46048</v>
      </c>
      <c r="B19" s="96"/>
      <c r="C19" s="101"/>
      <c r="D19" s="606" t="s">
        <v>162</v>
      </c>
      <c r="E19" s="607"/>
      <c r="F19" s="607"/>
      <c r="G19" s="608"/>
      <c r="H19" s="96">
        <f t="shared" si="0"/>
        <v>0</v>
      </c>
      <c r="I19" s="97">
        <f t="shared" si="1"/>
        <v>68.2</v>
      </c>
      <c r="J19" s="97">
        <f t="shared" si="2"/>
        <v>73.599999999999923</v>
      </c>
      <c r="K19" s="96">
        <f t="shared" si="5"/>
        <v>422132</v>
      </c>
      <c r="L19" s="103">
        <f>+L18+341</f>
        <v>422473</v>
      </c>
      <c r="M19" s="98">
        <f t="shared" si="3"/>
        <v>341</v>
      </c>
      <c r="N19" s="609"/>
      <c r="O19" s="609"/>
      <c r="P19" s="100"/>
    </row>
    <row r="20" spans="1:16" ht="18" customHeight="1" x14ac:dyDescent="0.25">
      <c r="A20" s="95">
        <f t="shared" si="4"/>
        <v>46049</v>
      </c>
      <c r="B20" s="96"/>
      <c r="C20" s="101"/>
      <c r="D20" s="606" t="s">
        <v>162</v>
      </c>
      <c r="E20" s="607"/>
      <c r="F20" s="607"/>
      <c r="G20" s="608"/>
      <c r="H20" s="96">
        <f t="shared" si="0"/>
        <v>0</v>
      </c>
      <c r="I20" s="97">
        <f t="shared" si="1"/>
        <v>0</v>
      </c>
      <c r="J20" s="97">
        <f t="shared" si="2"/>
        <v>73.599999999999923</v>
      </c>
      <c r="K20" s="96">
        <f t="shared" si="5"/>
        <v>422473</v>
      </c>
      <c r="L20" s="96">
        <f>+L19+0</f>
        <v>422473</v>
      </c>
      <c r="M20" s="98">
        <f t="shared" si="3"/>
        <v>0</v>
      </c>
      <c r="N20" s="609"/>
      <c r="O20" s="609"/>
      <c r="P20" s="100"/>
    </row>
    <row r="21" spans="1:16" ht="18" customHeight="1" x14ac:dyDescent="0.25">
      <c r="A21" s="95">
        <f t="shared" si="4"/>
        <v>46050</v>
      </c>
      <c r="B21" s="96">
        <v>14733</v>
      </c>
      <c r="C21" s="101">
        <v>150.19999999999999</v>
      </c>
      <c r="D21" s="606" t="s">
        <v>162</v>
      </c>
      <c r="E21" s="607"/>
      <c r="F21" s="607"/>
      <c r="G21" s="608"/>
      <c r="H21" s="96">
        <f t="shared" si="0"/>
        <v>150.19999999999999</v>
      </c>
      <c r="I21" s="97">
        <f t="shared" si="1"/>
        <v>0</v>
      </c>
      <c r="J21" s="97">
        <f t="shared" si="2"/>
        <v>223.7999999999999</v>
      </c>
      <c r="K21" s="96">
        <f t="shared" si="5"/>
        <v>422473</v>
      </c>
      <c r="L21" s="96">
        <f>+L20+0</f>
        <v>422473</v>
      </c>
      <c r="M21" s="98">
        <f t="shared" si="3"/>
        <v>0</v>
      </c>
      <c r="N21" s="609"/>
      <c r="O21" s="609"/>
      <c r="P21" s="100"/>
    </row>
    <row r="22" spans="1:16" ht="18" customHeight="1" x14ac:dyDescent="0.25">
      <c r="A22" s="95">
        <f t="shared" si="4"/>
        <v>46051</v>
      </c>
      <c r="B22" s="96"/>
      <c r="C22" s="101"/>
      <c r="D22" s="606" t="s">
        <v>162</v>
      </c>
      <c r="E22" s="607"/>
      <c r="F22" s="607"/>
      <c r="G22" s="608"/>
      <c r="H22" s="96">
        <f t="shared" si="0"/>
        <v>0</v>
      </c>
      <c r="I22" s="97">
        <f t="shared" si="1"/>
        <v>68.8</v>
      </c>
      <c r="J22" s="97">
        <f t="shared" si="2"/>
        <v>154.99999999999989</v>
      </c>
      <c r="K22" s="96">
        <f t="shared" si="5"/>
        <v>422473</v>
      </c>
      <c r="L22" s="96">
        <f>+L21+344</f>
        <v>422817</v>
      </c>
      <c r="M22" s="98">
        <f t="shared" si="3"/>
        <v>344</v>
      </c>
      <c r="N22" s="609"/>
      <c r="O22" s="609"/>
      <c r="P22" s="100"/>
    </row>
    <row r="23" spans="1:16" ht="18" customHeight="1" x14ac:dyDescent="0.25">
      <c r="A23" s="95">
        <f t="shared" si="4"/>
        <v>46052</v>
      </c>
      <c r="B23" s="96"/>
      <c r="C23" s="101"/>
      <c r="D23" s="606" t="s">
        <v>162</v>
      </c>
      <c r="E23" s="607"/>
      <c r="F23" s="607"/>
      <c r="G23" s="608"/>
      <c r="H23" s="96">
        <f t="shared" si="0"/>
        <v>0</v>
      </c>
      <c r="I23" s="97">
        <f t="shared" si="1"/>
        <v>52.6</v>
      </c>
      <c r="J23" s="97">
        <f t="shared" si="2"/>
        <v>102.39999999999989</v>
      </c>
      <c r="K23" s="96">
        <f t="shared" si="5"/>
        <v>422817</v>
      </c>
      <c r="L23" s="96">
        <f>+L22+263</f>
        <v>423080</v>
      </c>
      <c r="M23" s="98">
        <f t="shared" si="3"/>
        <v>263</v>
      </c>
      <c r="N23" s="609"/>
      <c r="O23" s="609"/>
      <c r="P23" s="100"/>
    </row>
    <row r="24" spans="1:16" ht="18" customHeight="1" x14ac:dyDescent="0.25">
      <c r="A24" s="95">
        <f t="shared" si="4"/>
        <v>46053</v>
      </c>
      <c r="B24" s="96"/>
      <c r="C24" s="101"/>
      <c r="D24" s="606" t="s">
        <v>162</v>
      </c>
      <c r="E24" s="607"/>
      <c r="F24" s="607"/>
      <c r="G24" s="608"/>
      <c r="H24" s="96">
        <f t="shared" si="0"/>
        <v>0</v>
      </c>
      <c r="I24" s="97">
        <f t="shared" si="1"/>
        <v>24</v>
      </c>
      <c r="J24" s="97">
        <f t="shared" si="2"/>
        <v>78.399999999999892</v>
      </c>
      <c r="K24" s="96">
        <f t="shared" si="5"/>
        <v>423080</v>
      </c>
      <c r="L24" s="96">
        <f>+L23+120</f>
        <v>423200</v>
      </c>
      <c r="M24" s="98">
        <f t="shared" si="3"/>
        <v>120</v>
      </c>
      <c r="N24" s="102"/>
      <c r="O24" s="101"/>
      <c r="P24" s="100"/>
    </row>
    <row r="25" spans="1:16" ht="18" customHeight="1" x14ac:dyDescent="0.25">
      <c r="A25" s="27" t="s">
        <v>143</v>
      </c>
      <c r="I25" s="42"/>
      <c r="J25" s="42"/>
    </row>
    <row r="26" spans="1:16" ht="18" customHeight="1" x14ac:dyDescent="0.25">
      <c r="A26" s="610" t="s">
        <v>144</v>
      </c>
      <c r="B26" s="610"/>
      <c r="C26" s="610"/>
      <c r="D26" s="610"/>
      <c r="E26" s="103">
        <f>+K9</f>
        <v>421341</v>
      </c>
      <c r="G26" s="589" t="s">
        <v>145</v>
      </c>
      <c r="H26" s="589"/>
      <c r="I26" s="589" t="s">
        <v>146</v>
      </c>
      <c r="J26" s="589"/>
      <c r="K26" s="597" t="s">
        <v>147</v>
      </c>
      <c r="L26" s="598"/>
      <c r="M26" s="597" t="s">
        <v>148</v>
      </c>
      <c r="N26" s="598"/>
      <c r="O26" s="597" t="s">
        <v>149</v>
      </c>
      <c r="P26" s="598"/>
    </row>
    <row r="27" spans="1:16" ht="18" customHeight="1" x14ac:dyDescent="0.25">
      <c r="A27" s="610" t="s">
        <v>150</v>
      </c>
      <c r="B27" s="610"/>
      <c r="C27" s="610"/>
      <c r="D27" s="610"/>
      <c r="E27" s="103">
        <f>+L24</f>
        <v>423200</v>
      </c>
      <c r="G27" s="589"/>
      <c r="H27" s="589"/>
      <c r="I27" s="589"/>
      <c r="J27" s="589"/>
      <c r="K27" s="599"/>
      <c r="L27" s="600"/>
      <c r="M27" s="599"/>
      <c r="N27" s="600"/>
      <c r="O27" s="599"/>
      <c r="P27" s="600"/>
    </row>
    <row r="28" spans="1:16" ht="18" customHeight="1" x14ac:dyDescent="0.25">
      <c r="A28" s="610" t="s">
        <v>151</v>
      </c>
      <c r="B28" s="610"/>
      <c r="C28" s="610"/>
      <c r="D28" s="610"/>
      <c r="E28" s="103">
        <f>+E27-E26</f>
        <v>1859</v>
      </c>
      <c r="G28" s="609"/>
      <c r="H28" s="609"/>
      <c r="I28" s="614"/>
      <c r="J28" s="614"/>
      <c r="K28" s="615"/>
      <c r="L28" s="616"/>
      <c r="M28" s="615"/>
      <c r="N28" s="616"/>
      <c r="O28" s="615"/>
      <c r="P28" s="616"/>
    </row>
    <row r="29" spans="1:16" ht="18" customHeight="1" x14ac:dyDescent="0.25">
      <c r="A29" s="610" t="s">
        <v>164</v>
      </c>
      <c r="B29" s="610"/>
      <c r="C29" s="610"/>
      <c r="D29" s="610"/>
      <c r="E29" s="104">
        <f>SUM(H9:H24)</f>
        <v>366.2</v>
      </c>
      <c r="G29" s="609"/>
      <c r="H29" s="609"/>
      <c r="I29" s="614"/>
      <c r="J29" s="614"/>
      <c r="K29" s="617"/>
      <c r="L29" s="618"/>
      <c r="M29" s="617"/>
      <c r="N29" s="618"/>
      <c r="O29" s="617"/>
      <c r="P29" s="618"/>
    </row>
    <row r="30" spans="1:16" ht="18" customHeight="1" x14ac:dyDescent="0.25">
      <c r="A30" s="610" t="s">
        <v>165</v>
      </c>
      <c r="B30" s="610"/>
      <c r="C30" s="610"/>
      <c r="D30" s="610"/>
      <c r="E30" s="104">
        <f>SUM(I9:I24)</f>
        <v>371.80000000000007</v>
      </c>
      <c r="G30" s="609"/>
      <c r="H30" s="609"/>
      <c r="I30" s="614"/>
      <c r="J30" s="614"/>
      <c r="K30" s="617"/>
      <c r="L30" s="618"/>
      <c r="M30" s="617"/>
      <c r="N30" s="618"/>
      <c r="O30" s="617"/>
      <c r="P30" s="618"/>
    </row>
    <row r="31" spans="1:16" ht="18" customHeight="1" x14ac:dyDescent="0.25">
      <c r="A31" s="610" t="s">
        <v>153</v>
      </c>
      <c r="B31" s="610"/>
      <c r="C31" s="610"/>
      <c r="D31" s="610"/>
      <c r="E31" s="97">
        <v>5</v>
      </c>
      <c r="G31" s="609"/>
      <c r="H31" s="609"/>
      <c r="I31" s="614"/>
      <c r="J31" s="614"/>
      <c r="K31" s="617"/>
      <c r="L31" s="618"/>
      <c r="M31" s="617"/>
      <c r="N31" s="618"/>
      <c r="O31" s="617"/>
      <c r="P31" s="618"/>
    </row>
    <row r="32" spans="1:16" ht="18" customHeight="1" x14ac:dyDescent="0.25">
      <c r="A32" s="611" t="s">
        <v>154</v>
      </c>
      <c r="B32" s="611"/>
      <c r="C32" s="611"/>
      <c r="D32" s="611"/>
      <c r="E32" s="97">
        <f>+J24</f>
        <v>78.399999999999892</v>
      </c>
      <c r="G32" s="609"/>
      <c r="H32" s="609"/>
      <c r="I32" s="614"/>
      <c r="J32" s="614"/>
      <c r="K32" s="619"/>
      <c r="L32" s="620"/>
      <c r="M32" s="619"/>
      <c r="N32" s="620"/>
      <c r="O32" s="619"/>
      <c r="P32" s="620"/>
    </row>
    <row r="33" spans="1:16" ht="6.75" customHeight="1" x14ac:dyDescent="0.25">
      <c r="A33" s="490"/>
      <c r="B33" s="490"/>
      <c r="C33" s="490"/>
    </row>
    <row r="34" spans="1:16" ht="15" customHeight="1" x14ac:dyDescent="0.25">
      <c r="A34" s="612" t="s">
        <v>155</v>
      </c>
      <c r="B34" s="613"/>
      <c r="C34" s="111"/>
      <c r="D34" s="111"/>
      <c r="E34" s="111"/>
      <c r="F34" s="111"/>
      <c r="G34" s="111"/>
      <c r="H34" s="111"/>
      <c r="I34" s="111"/>
      <c r="J34" s="111"/>
      <c r="K34" s="111"/>
      <c r="L34" s="111"/>
      <c r="M34" s="111"/>
      <c r="N34" s="111"/>
      <c r="O34" s="111"/>
      <c r="P34" s="112"/>
    </row>
    <row r="35" spans="1:16" ht="15" customHeight="1" x14ac:dyDescent="0.25">
      <c r="A35" s="113"/>
      <c r="B35" s="114"/>
      <c r="C35" s="114"/>
      <c r="D35" s="114"/>
      <c r="E35" s="114"/>
      <c r="F35" s="114"/>
      <c r="G35" s="114"/>
      <c r="H35" s="114"/>
      <c r="I35" s="114"/>
      <c r="J35" s="114"/>
      <c r="K35" s="114"/>
      <c r="L35" s="114"/>
      <c r="M35" s="114"/>
      <c r="N35" s="114"/>
      <c r="O35" s="114"/>
      <c r="P35" s="115"/>
    </row>
    <row r="36" spans="1:16" ht="15" customHeight="1" x14ac:dyDescent="0.25">
      <c r="A36" s="116"/>
      <c r="B36" s="117"/>
      <c r="C36" s="117"/>
      <c r="D36" s="117"/>
      <c r="E36" s="117"/>
      <c r="F36" s="117"/>
      <c r="G36" s="117"/>
      <c r="H36" s="117"/>
      <c r="I36" s="117"/>
      <c r="J36" s="117"/>
      <c r="K36" s="117"/>
      <c r="L36" s="117"/>
      <c r="M36" s="117"/>
      <c r="N36" s="117"/>
      <c r="O36" s="117"/>
      <c r="P36" s="118"/>
    </row>
    <row r="37" spans="1:16" ht="4.5" customHeight="1" x14ac:dyDescent="0.25"/>
  </sheetData>
  <mergeCells count="77">
    <mergeCell ref="A31:D31"/>
    <mergeCell ref="A32:D32"/>
    <mergeCell ref="A33:C33"/>
    <mergeCell ref="A34:B34"/>
    <mergeCell ref="O26:P27"/>
    <mergeCell ref="A27:D27"/>
    <mergeCell ref="A28:D28"/>
    <mergeCell ref="G28:H32"/>
    <mergeCell ref="I28:J32"/>
    <mergeCell ref="K28:L32"/>
    <mergeCell ref="M28:N32"/>
    <mergeCell ref="O28:P32"/>
    <mergeCell ref="A29:D29"/>
    <mergeCell ref="A30:D30"/>
    <mergeCell ref="A26:D26"/>
    <mergeCell ref="G26:H27"/>
    <mergeCell ref="I26:J27"/>
    <mergeCell ref="K26:L27"/>
    <mergeCell ref="M26:N27"/>
    <mergeCell ref="D19:G19"/>
    <mergeCell ref="N19:O19"/>
    <mergeCell ref="D20:G20"/>
    <mergeCell ref="N20:O20"/>
    <mergeCell ref="D21:G21"/>
    <mergeCell ref="N21:O21"/>
    <mergeCell ref="D22:G22"/>
    <mergeCell ref="N22:O22"/>
    <mergeCell ref="D23:G23"/>
    <mergeCell ref="N23:O23"/>
    <mergeCell ref="D24:G24"/>
    <mergeCell ref="D16:G16"/>
    <mergeCell ref="N16:O16"/>
    <mergeCell ref="D17:G17"/>
    <mergeCell ref="N17:O17"/>
    <mergeCell ref="D18:G18"/>
    <mergeCell ref="N18:O18"/>
    <mergeCell ref="D13:G13"/>
    <mergeCell ref="N13:O13"/>
    <mergeCell ref="D14:G14"/>
    <mergeCell ref="N14:O14"/>
    <mergeCell ref="D15:G15"/>
    <mergeCell ref="N15:O15"/>
    <mergeCell ref="D10:G10"/>
    <mergeCell ref="N10:O10"/>
    <mergeCell ref="D11:G11"/>
    <mergeCell ref="N11:O11"/>
    <mergeCell ref="D12:G12"/>
    <mergeCell ref="N12:O12"/>
    <mergeCell ref="N6:O7"/>
    <mergeCell ref="P6:P7"/>
    <mergeCell ref="D8:G8"/>
    <mergeCell ref="N8:O8"/>
    <mergeCell ref="D9:G9"/>
    <mergeCell ref="N9:O9"/>
    <mergeCell ref="K6:M6"/>
    <mergeCell ref="A6:A7"/>
    <mergeCell ref="B6:B7"/>
    <mergeCell ref="C6:C7"/>
    <mergeCell ref="D6:G7"/>
    <mergeCell ref="H6:J6"/>
    <mergeCell ref="A4:B4"/>
    <mergeCell ref="C4:J4"/>
    <mergeCell ref="K4:L4"/>
    <mergeCell ref="M4:P4"/>
    <mergeCell ref="A5:B5"/>
    <mergeCell ref="C5:J5"/>
    <mergeCell ref="K5:L5"/>
    <mergeCell ref="M5:P5"/>
    <mergeCell ref="A3:B3"/>
    <mergeCell ref="C3:J3"/>
    <mergeCell ref="K3:L3"/>
    <mergeCell ref="M3:P3"/>
    <mergeCell ref="A1:P1"/>
    <mergeCell ref="A2:B2"/>
    <mergeCell ref="C2:J2"/>
    <mergeCell ref="K2:L2"/>
    <mergeCell ref="M2:P2"/>
  </mergeCells>
  <pageMargins left="0.19685039370078741" right="0.39370078740157483" top="0.39370078740157483" bottom="0.39370078740157483" header="0" footer="0"/>
  <pageSetup scale="9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FF00"/>
  </sheetPr>
  <dimension ref="A1:P37"/>
  <sheetViews>
    <sheetView zoomScaleNormal="100" workbookViewId="0">
      <selection activeCell="C4" sqref="C4:J4"/>
    </sheetView>
  </sheetViews>
  <sheetFormatPr baseColWidth="10" defaultRowHeight="15" x14ac:dyDescent="0.25"/>
  <cols>
    <col min="1" max="1" width="11.85546875" style="27" customWidth="1"/>
    <col min="2" max="2" width="7.42578125" style="27" customWidth="1"/>
    <col min="3" max="3" width="6" style="27" customWidth="1"/>
    <col min="4" max="4" width="11.85546875" style="27" customWidth="1"/>
    <col min="5" max="5" width="10.42578125" style="27" customWidth="1"/>
    <col min="6" max="6" width="4.28515625" style="27" customWidth="1"/>
    <col min="7" max="7" width="11.140625" style="27" customWidth="1"/>
    <col min="8" max="8" width="7.85546875" style="27" bestFit="1" customWidth="1"/>
    <col min="9" max="9" width="11.5703125" style="27" bestFit="1" customWidth="1"/>
    <col min="10" max="10" width="6.28515625" style="27" bestFit="1" customWidth="1"/>
    <col min="11" max="12" width="8.7109375" style="27" customWidth="1"/>
    <col min="13" max="13" width="10" style="27" bestFit="1" customWidth="1"/>
    <col min="14" max="14" width="5.7109375" style="27" customWidth="1"/>
    <col min="15" max="15" width="6.42578125" style="27" customWidth="1"/>
    <col min="16" max="16" width="10.5703125" style="27" customWidth="1"/>
    <col min="17" max="17" width="0.5703125" style="27" customWidth="1"/>
    <col min="18" max="16384" width="11.42578125" style="27"/>
  </cols>
  <sheetData>
    <row r="1" spans="1:16" ht="17.25" customHeight="1" x14ac:dyDescent="0.25">
      <c r="A1" s="582" t="s">
        <v>119</v>
      </c>
      <c r="B1" s="582"/>
      <c r="C1" s="582"/>
      <c r="D1" s="582"/>
      <c r="E1" s="582"/>
      <c r="F1" s="582"/>
      <c r="G1" s="582"/>
      <c r="H1" s="582"/>
      <c r="I1" s="582"/>
      <c r="J1" s="582"/>
      <c r="K1" s="582"/>
      <c r="L1" s="582"/>
      <c r="M1" s="582"/>
      <c r="N1" s="582"/>
      <c r="O1" s="582"/>
      <c r="P1" s="582"/>
    </row>
    <row r="2" spans="1:16" ht="18" customHeight="1" x14ac:dyDescent="0.25">
      <c r="A2" s="583" t="s">
        <v>118</v>
      </c>
      <c r="B2" s="584"/>
      <c r="C2" s="583">
        <v>2026</v>
      </c>
      <c r="D2" s="585"/>
      <c r="E2" s="585"/>
      <c r="F2" s="585"/>
      <c r="G2" s="585"/>
      <c r="H2" s="585"/>
      <c r="I2" s="585"/>
      <c r="J2" s="584"/>
      <c r="K2" s="586" t="s">
        <v>120</v>
      </c>
      <c r="L2" s="426"/>
      <c r="M2" s="587" t="s">
        <v>205</v>
      </c>
      <c r="N2" s="587"/>
      <c r="O2" s="587"/>
      <c r="P2" s="588"/>
    </row>
    <row r="3" spans="1:16" ht="18" customHeight="1" x14ac:dyDescent="0.25">
      <c r="A3" s="578" t="s">
        <v>121</v>
      </c>
      <c r="B3" s="579"/>
      <c r="C3" s="578" t="s">
        <v>206</v>
      </c>
      <c r="D3" s="580"/>
      <c r="E3" s="580"/>
      <c r="F3" s="580"/>
      <c r="G3" s="580"/>
      <c r="H3" s="580"/>
      <c r="I3" s="580"/>
      <c r="J3" s="579"/>
      <c r="K3" s="581" t="s">
        <v>122</v>
      </c>
      <c r="L3" s="581"/>
      <c r="M3" s="426" t="s">
        <v>201</v>
      </c>
      <c r="N3" s="426"/>
      <c r="O3" s="426"/>
      <c r="P3" s="427"/>
    </row>
    <row r="4" spans="1:16" ht="18" customHeight="1" x14ac:dyDescent="0.25">
      <c r="A4" s="578" t="s">
        <v>123</v>
      </c>
      <c r="B4" s="579"/>
      <c r="C4" s="578" t="s">
        <v>209</v>
      </c>
      <c r="D4" s="580"/>
      <c r="E4" s="580"/>
      <c r="F4" s="580"/>
      <c r="G4" s="580"/>
      <c r="H4" s="580"/>
      <c r="I4" s="580"/>
      <c r="J4" s="579"/>
      <c r="K4" s="581" t="s">
        <v>124</v>
      </c>
      <c r="L4" s="581"/>
      <c r="M4" s="586" t="s">
        <v>202</v>
      </c>
      <c r="N4" s="426"/>
      <c r="O4" s="426"/>
      <c r="P4" s="427"/>
    </row>
    <row r="5" spans="1:16" ht="18" customHeight="1" x14ac:dyDescent="0.25">
      <c r="A5" s="578" t="s">
        <v>125</v>
      </c>
      <c r="B5" s="579"/>
      <c r="C5" s="578" t="s">
        <v>160</v>
      </c>
      <c r="D5" s="580"/>
      <c r="E5" s="580"/>
      <c r="F5" s="580"/>
      <c r="G5" s="580"/>
      <c r="H5" s="580"/>
      <c r="I5" s="580"/>
      <c r="J5" s="579"/>
      <c r="K5" s="581" t="s">
        <v>126</v>
      </c>
      <c r="L5" s="581"/>
      <c r="M5" s="586" t="s">
        <v>203</v>
      </c>
      <c r="N5" s="426"/>
      <c r="O5" s="426"/>
      <c r="P5" s="427"/>
    </row>
    <row r="6" spans="1:16" ht="18" customHeight="1" x14ac:dyDescent="0.25">
      <c r="A6" s="589" t="s">
        <v>127</v>
      </c>
      <c r="B6" s="590" t="s">
        <v>128</v>
      </c>
      <c r="C6" s="590" t="s">
        <v>129</v>
      </c>
      <c r="D6" s="591" t="s">
        <v>130</v>
      </c>
      <c r="E6" s="592"/>
      <c r="F6" s="592"/>
      <c r="G6" s="593"/>
      <c r="H6" s="590" t="s">
        <v>131</v>
      </c>
      <c r="I6" s="590"/>
      <c r="J6" s="590"/>
      <c r="K6" s="590" t="s">
        <v>132</v>
      </c>
      <c r="L6" s="590"/>
      <c r="M6" s="590"/>
      <c r="N6" s="597" t="s">
        <v>133</v>
      </c>
      <c r="O6" s="598"/>
      <c r="P6" s="601" t="s">
        <v>134</v>
      </c>
    </row>
    <row r="7" spans="1:16" ht="18" customHeight="1" x14ac:dyDescent="0.25">
      <c r="A7" s="589"/>
      <c r="B7" s="590"/>
      <c r="C7" s="590"/>
      <c r="D7" s="594"/>
      <c r="E7" s="595"/>
      <c r="F7" s="595"/>
      <c r="G7" s="596"/>
      <c r="H7" s="108" t="s">
        <v>135</v>
      </c>
      <c r="I7" s="108" t="s">
        <v>136</v>
      </c>
      <c r="J7" s="108" t="s">
        <v>137</v>
      </c>
      <c r="K7" s="108" t="s">
        <v>138</v>
      </c>
      <c r="L7" s="108" t="s">
        <v>139</v>
      </c>
      <c r="M7" s="108" t="s">
        <v>140</v>
      </c>
      <c r="N7" s="599"/>
      <c r="O7" s="600"/>
      <c r="P7" s="602"/>
    </row>
    <row r="8" spans="1:16" ht="18" customHeight="1" x14ac:dyDescent="0.25">
      <c r="A8" s="29"/>
      <c r="B8" s="93"/>
      <c r="C8" s="93"/>
      <c r="D8" s="603" t="s">
        <v>141</v>
      </c>
      <c r="E8" s="604"/>
      <c r="F8" s="604"/>
      <c r="G8" s="605"/>
      <c r="H8" s="105"/>
      <c r="I8" s="106"/>
      <c r="J8" s="110">
        <f>+'EJEMPLO JMCC (4)'!E32</f>
        <v>78.399999999999892</v>
      </c>
      <c r="K8" s="107"/>
      <c r="L8" s="109">
        <f>+'EJEMPLO JMCC (4)'!E27</f>
        <v>423200</v>
      </c>
      <c r="M8" s="7"/>
      <c r="N8" s="481"/>
      <c r="O8" s="481"/>
      <c r="P8" s="18"/>
    </row>
    <row r="9" spans="1:16" ht="18" customHeight="1" x14ac:dyDescent="0.25">
      <c r="A9" s="95">
        <v>46054</v>
      </c>
      <c r="B9" s="96"/>
      <c r="C9" s="96"/>
      <c r="D9" s="606" t="s">
        <v>162</v>
      </c>
      <c r="E9" s="607"/>
      <c r="F9" s="607"/>
      <c r="G9" s="608"/>
      <c r="H9" s="96">
        <f>C9</f>
        <v>0</v>
      </c>
      <c r="I9" s="97">
        <f>+M9/$E$31</f>
        <v>0</v>
      </c>
      <c r="J9" s="97">
        <f>+J8+H9-I9</f>
        <v>78.399999999999892</v>
      </c>
      <c r="K9" s="96">
        <f>+L8</f>
        <v>423200</v>
      </c>
      <c r="L9" s="103">
        <f>+L8+0</f>
        <v>423200</v>
      </c>
      <c r="M9" s="98">
        <f>+L9-K9</f>
        <v>0</v>
      </c>
      <c r="N9" s="609"/>
      <c r="O9" s="609"/>
      <c r="P9" s="100"/>
    </row>
    <row r="10" spans="1:16" ht="18" customHeight="1" x14ac:dyDescent="0.25">
      <c r="A10" s="95">
        <f>+A9+1</f>
        <v>46055</v>
      </c>
      <c r="B10" s="96">
        <v>14732</v>
      </c>
      <c r="C10" s="96">
        <v>79.760000000000005</v>
      </c>
      <c r="D10" s="606" t="s">
        <v>162</v>
      </c>
      <c r="E10" s="607"/>
      <c r="F10" s="607"/>
      <c r="G10" s="608"/>
      <c r="H10" s="96">
        <f t="shared" ref="H10:H23" si="0">C10</f>
        <v>79.760000000000005</v>
      </c>
      <c r="I10" s="97">
        <f t="shared" ref="I10:I23" si="1">+M10/$E$31</f>
        <v>11</v>
      </c>
      <c r="J10" s="97">
        <f t="shared" ref="J10:J23" si="2">+J9+H10-I10</f>
        <v>147.15999999999991</v>
      </c>
      <c r="K10" s="96">
        <f>+L9</f>
        <v>423200</v>
      </c>
      <c r="L10" s="103">
        <f>+L9+55</f>
        <v>423255</v>
      </c>
      <c r="M10" s="98">
        <f t="shared" ref="M10:M23" si="3">+L10-K10</f>
        <v>55</v>
      </c>
      <c r="N10" s="609"/>
      <c r="O10" s="609"/>
      <c r="P10" s="100"/>
    </row>
    <row r="11" spans="1:16" ht="18" customHeight="1" x14ac:dyDescent="0.25">
      <c r="A11" s="95">
        <f t="shared" ref="A11:A23" si="4">+A10+1</f>
        <v>46056</v>
      </c>
      <c r="B11" s="96"/>
      <c r="C11" s="96"/>
      <c r="D11" s="606" t="s">
        <v>162</v>
      </c>
      <c r="E11" s="607"/>
      <c r="F11" s="607"/>
      <c r="G11" s="608"/>
      <c r="H11" s="96">
        <f t="shared" si="0"/>
        <v>0</v>
      </c>
      <c r="I11" s="97">
        <f t="shared" si="1"/>
        <v>2.4</v>
      </c>
      <c r="J11" s="97">
        <f t="shared" si="2"/>
        <v>144.75999999999991</v>
      </c>
      <c r="K11" s="96">
        <f t="shared" ref="K11:K23" si="5">+L10</f>
        <v>423255</v>
      </c>
      <c r="L11" s="103">
        <f>+L10+12</f>
        <v>423267</v>
      </c>
      <c r="M11" s="98">
        <f t="shared" si="3"/>
        <v>12</v>
      </c>
      <c r="N11" s="609"/>
      <c r="O11" s="609"/>
      <c r="P11" s="100"/>
    </row>
    <row r="12" spans="1:16" ht="18" customHeight="1" x14ac:dyDescent="0.25">
      <c r="A12" s="95">
        <f t="shared" si="4"/>
        <v>46057</v>
      </c>
      <c r="B12" s="96"/>
      <c r="C12" s="96"/>
      <c r="D12" s="606" t="s">
        <v>162</v>
      </c>
      <c r="E12" s="607"/>
      <c r="F12" s="607"/>
      <c r="G12" s="608"/>
      <c r="H12" s="96">
        <f t="shared" si="0"/>
        <v>0</v>
      </c>
      <c r="I12" s="97">
        <f t="shared" si="1"/>
        <v>5</v>
      </c>
      <c r="J12" s="97">
        <f t="shared" si="2"/>
        <v>139.75999999999991</v>
      </c>
      <c r="K12" s="96">
        <f t="shared" si="5"/>
        <v>423267</v>
      </c>
      <c r="L12" s="103">
        <f>+L11+25</f>
        <v>423292</v>
      </c>
      <c r="M12" s="98">
        <f t="shared" si="3"/>
        <v>25</v>
      </c>
      <c r="N12" s="609"/>
      <c r="O12" s="609"/>
      <c r="P12" s="100"/>
    </row>
    <row r="13" spans="1:16" ht="18" customHeight="1" x14ac:dyDescent="0.25">
      <c r="A13" s="95">
        <f t="shared" si="4"/>
        <v>46058</v>
      </c>
      <c r="B13" s="96"/>
      <c r="C13" s="96"/>
      <c r="D13" s="606" t="s">
        <v>162</v>
      </c>
      <c r="E13" s="607"/>
      <c r="F13" s="607"/>
      <c r="G13" s="608"/>
      <c r="H13" s="96">
        <f t="shared" si="0"/>
        <v>0</v>
      </c>
      <c r="I13" s="97">
        <f t="shared" si="1"/>
        <v>5</v>
      </c>
      <c r="J13" s="97">
        <f t="shared" si="2"/>
        <v>134.75999999999991</v>
      </c>
      <c r="K13" s="96">
        <f t="shared" si="5"/>
        <v>423292</v>
      </c>
      <c r="L13" s="103">
        <f>+L12+25</f>
        <v>423317</v>
      </c>
      <c r="M13" s="98">
        <f t="shared" si="3"/>
        <v>25</v>
      </c>
      <c r="N13" s="609"/>
      <c r="O13" s="609"/>
      <c r="P13" s="100"/>
    </row>
    <row r="14" spans="1:16" ht="18" customHeight="1" x14ac:dyDescent="0.25">
      <c r="A14" s="95">
        <f t="shared" si="4"/>
        <v>46059</v>
      </c>
      <c r="B14" s="96"/>
      <c r="C14" s="96"/>
      <c r="D14" s="606" t="s">
        <v>162</v>
      </c>
      <c r="E14" s="607"/>
      <c r="F14" s="607"/>
      <c r="G14" s="608"/>
      <c r="H14" s="96">
        <f t="shared" si="0"/>
        <v>0</v>
      </c>
      <c r="I14" s="97">
        <f t="shared" si="1"/>
        <v>19</v>
      </c>
      <c r="J14" s="97">
        <f t="shared" si="2"/>
        <v>115.75999999999991</v>
      </c>
      <c r="K14" s="96">
        <f t="shared" si="5"/>
        <v>423317</v>
      </c>
      <c r="L14" s="103">
        <f>+L13+95</f>
        <v>423412</v>
      </c>
      <c r="M14" s="98">
        <f t="shared" si="3"/>
        <v>95</v>
      </c>
      <c r="N14" s="609"/>
      <c r="O14" s="609"/>
      <c r="P14" s="100"/>
    </row>
    <row r="15" spans="1:16" ht="18" customHeight="1" x14ac:dyDescent="0.25">
      <c r="A15" s="95">
        <f t="shared" si="4"/>
        <v>46060</v>
      </c>
      <c r="B15" s="96"/>
      <c r="C15" s="96"/>
      <c r="D15" s="606" t="s">
        <v>162</v>
      </c>
      <c r="E15" s="607"/>
      <c r="F15" s="607"/>
      <c r="G15" s="608"/>
      <c r="H15" s="96">
        <f t="shared" si="0"/>
        <v>0</v>
      </c>
      <c r="I15" s="97">
        <f t="shared" si="1"/>
        <v>0</v>
      </c>
      <c r="J15" s="97">
        <f t="shared" si="2"/>
        <v>115.75999999999991</v>
      </c>
      <c r="K15" s="96">
        <f t="shared" si="5"/>
        <v>423412</v>
      </c>
      <c r="L15" s="103">
        <f>+L14+0</f>
        <v>423412</v>
      </c>
      <c r="M15" s="98">
        <f t="shared" si="3"/>
        <v>0</v>
      </c>
      <c r="N15" s="609"/>
      <c r="O15" s="609"/>
      <c r="P15" s="100"/>
    </row>
    <row r="16" spans="1:16" ht="18" customHeight="1" x14ac:dyDescent="0.25">
      <c r="A16" s="95">
        <f t="shared" si="4"/>
        <v>46061</v>
      </c>
      <c r="B16" s="96"/>
      <c r="C16" s="96"/>
      <c r="D16" s="606" t="s">
        <v>162</v>
      </c>
      <c r="E16" s="607"/>
      <c r="F16" s="607"/>
      <c r="G16" s="608"/>
      <c r="H16" s="96">
        <f t="shared" si="0"/>
        <v>0</v>
      </c>
      <c r="I16" s="97">
        <f>+M16/$E$31</f>
        <v>0</v>
      </c>
      <c r="J16" s="97">
        <f t="shared" si="2"/>
        <v>115.75999999999991</v>
      </c>
      <c r="K16" s="96">
        <f t="shared" si="5"/>
        <v>423412</v>
      </c>
      <c r="L16" s="103">
        <f>+L15+0</f>
        <v>423412</v>
      </c>
      <c r="M16" s="98">
        <f t="shared" si="3"/>
        <v>0</v>
      </c>
      <c r="N16" s="609"/>
      <c r="O16" s="609"/>
      <c r="P16" s="100"/>
    </row>
    <row r="17" spans="1:16" ht="18" customHeight="1" x14ac:dyDescent="0.25">
      <c r="A17" s="95">
        <f t="shared" si="4"/>
        <v>46062</v>
      </c>
      <c r="B17" s="96"/>
      <c r="C17" s="96"/>
      <c r="D17" s="606" t="s">
        <v>162</v>
      </c>
      <c r="E17" s="607"/>
      <c r="F17" s="607"/>
      <c r="G17" s="608"/>
      <c r="H17" s="96">
        <f t="shared" si="0"/>
        <v>0</v>
      </c>
      <c r="I17" s="97">
        <f t="shared" si="1"/>
        <v>3</v>
      </c>
      <c r="J17" s="97">
        <f t="shared" si="2"/>
        <v>112.75999999999991</v>
      </c>
      <c r="K17" s="96">
        <f t="shared" si="5"/>
        <v>423412</v>
      </c>
      <c r="L17" s="103">
        <f>+L16+15</f>
        <v>423427</v>
      </c>
      <c r="M17" s="98">
        <f t="shared" si="3"/>
        <v>15</v>
      </c>
      <c r="N17" s="609"/>
      <c r="O17" s="609"/>
      <c r="P17" s="100"/>
    </row>
    <row r="18" spans="1:16" ht="18" customHeight="1" x14ac:dyDescent="0.25">
      <c r="A18" s="95">
        <f t="shared" si="4"/>
        <v>46063</v>
      </c>
      <c r="B18" s="96"/>
      <c r="C18" s="101"/>
      <c r="D18" s="606" t="s">
        <v>162</v>
      </c>
      <c r="E18" s="607"/>
      <c r="F18" s="607"/>
      <c r="G18" s="608"/>
      <c r="H18" s="96">
        <f t="shared" si="0"/>
        <v>0</v>
      </c>
      <c r="I18" s="97">
        <f t="shared" si="1"/>
        <v>22.8</v>
      </c>
      <c r="J18" s="97">
        <f t="shared" si="2"/>
        <v>89.959999999999908</v>
      </c>
      <c r="K18" s="96">
        <f t="shared" si="5"/>
        <v>423427</v>
      </c>
      <c r="L18" s="103">
        <f>+L17+114</f>
        <v>423541</v>
      </c>
      <c r="M18" s="98">
        <f t="shared" si="3"/>
        <v>114</v>
      </c>
      <c r="N18" s="609"/>
      <c r="O18" s="609"/>
      <c r="P18" s="100"/>
    </row>
    <row r="19" spans="1:16" ht="18" customHeight="1" x14ac:dyDescent="0.25">
      <c r="A19" s="95">
        <f t="shared" si="4"/>
        <v>46064</v>
      </c>
      <c r="B19" s="96"/>
      <c r="C19" s="101"/>
      <c r="D19" s="606" t="s">
        <v>162</v>
      </c>
      <c r="E19" s="607"/>
      <c r="F19" s="607"/>
      <c r="G19" s="608"/>
      <c r="H19" s="96">
        <f t="shared" si="0"/>
        <v>0</v>
      </c>
      <c r="I19" s="97">
        <f t="shared" si="1"/>
        <v>0.4</v>
      </c>
      <c r="J19" s="97">
        <f t="shared" si="2"/>
        <v>89.559999999999903</v>
      </c>
      <c r="K19" s="96">
        <f t="shared" si="5"/>
        <v>423541</v>
      </c>
      <c r="L19" s="103">
        <f>+L18+2</f>
        <v>423543</v>
      </c>
      <c r="M19" s="98">
        <f t="shared" si="3"/>
        <v>2</v>
      </c>
      <c r="N19" s="609"/>
      <c r="O19" s="609"/>
      <c r="P19" s="100"/>
    </row>
    <row r="20" spans="1:16" ht="18" customHeight="1" x14ac:dyDescent="0.25">
      <c r="A20" s="95">
        <f t="shared" si="4"/>
        <v>46065</v>
      </c>
      <c r="B20" s="96"/>
      <c r="C20" s="101"/>
      <c r="D20" s="606" t="s">
        <v>162</v>
      </c>
      <c r="E20" s="607"/>
      <c r="F20" s="607"/>
      <c r="G20" s="608"/>
      <c r="H20" s="96">
        <f t="shared" si="0"/>
        <v>0</v>
      </c>
      <c r="I20" s="97">
        <f t="shared" si="1"/>
        <v>0.8</v>
      </c>
      <c r="J20" s="97">
        <f t="shared" si="2"/>
        <v>88.759999999999906</v>
      </c>
      <c r="K20" s="96">
        <f t="shared" si="5"/>
        <v>423543</v>
      </c>
      <c r="L20" s="103">
        <f>+L19+4</f>
        <v>423547</v>
      </c>
      <c r="M20" s="98">
        <f t="shared" si="3"/>
        <v>4</v>
      </c>
      <c r="N20" s="609"/>
      <c r="O20" s="609"/>
      <c r="P20" s="100"/>
    </row>
    <row r="21" spans="1:16" ht="18" customHeight="1" x14ac:dyDescent="0.25">
      <c r="A21" s="95">
        <f t="shared" si="4"/>
        <v>46066</v>
      </c>
      <c r="B21" s="96"/>
      <c r="C21" s="101"/>
      <c r="D21" s="606" t="s">
        <v>162</v>
      </c>
      <c r="E21" s="607"/>
      <c r="F21" s="607"/>
      <c r="G21" s="608"/>
      <c r="H21" s="96">
        <f t="shared" si="0"/>
        <v>0</v>
      </c>
      <c r="I21" s="97">
        <f t="shared" si="1"/>
        <v>23</v>
      </c>
      <c r="J21" s="97">
        <f t="shared" si="2"/>
        <v>65.759999999999906</v>
      </c>
      <c r="K21" s="96">
        <f t="shared" si="5"/>
        <v>423547</v>
      </c>
      <c r="L21" s="103">
        <f>+L20+115</f>
        <v>423662</v>
      </c>
      <c r="M21" s="98">
        <f t="shared" si="3"/>
        <v>115</v>
      </c>
      <c r="N21" s="609"/>
      <c r="O21" s="609"/>
      <c r="P21" s="100"/>
    </row>
    <row r="22" spans="1:16" ht="18" customHeight="1" x14ac:dyDescent="0.25">
      <c r="A22" s="95">
        <f t="shared" si="4"/>
        <v>46067</v>
      </c>
      <c r="B22" s="96"/>
      <c r="C22" s="101"/>
      <c r="D22" s="606" t="s">
        <v>162</v>
      </c>
      <c r="E22" s="607"/>
      <c r="F22" s="607"/>
      <c r="G22" s="608"/>
      <c r="H22" s="96">
        <f t="shared" si="0"/>
        <v>0</v>
      </c>
      <c r="I22" s="97">
        <f t="shared" si="1"/>
        <v>0</v>
      </c>
      <c r="J22" s="97">
        <f t="shared" si="2"/>
        <v>65.759999999999906</v>
      </c>
      <c r="K22" s="96">
        <f t="shared" si="5"/>
        <v>423662</v>
      </c>
      <c r="L22" s="103">
        <f>+L21+0</f>
        <v>423662</v>
      </c>
      <c r="M22" s="98">
        <f t="shared" si="3"/>
        <v>0</v>
      </c>
      <c r="N22" s="609"/>
      <c r="O22" s="609"/>
      <c r="P22" s="100"/>
    </row>
    <row r="23" spans="1:16" ht="18" customHeight="1" x14ac:dyDescent="0.25">
      <c r="A23" s="95">
        <f t="shared" si="4"/>
        <v>46068</v>
      </c>
      <c r="B23" s="96"/>
      <c r="C23" s="101"/>
      <c r="D23" s="606" t="s">
        <v>162</v>
      </c>
      <c r="E23" s="607"/>
      <c r="F23" s="607"/>
      <c r="G23" s="608"/>
      <c r="H23" s="96">
        <f t="shared" si="0"/>
        <v>0</v>
      </c>
      <c r="I23" s="97">
        <f t="shared" si="1"/>
        <v>0</v>
      </c>
      <c r="J23" s="97">
        <f t="shared" si="2"/>
        <v>65.759999999999906</v>
      </c>
      <c r="K23" s="96">
        <f t="shared" si="5"/>
        <v>423662</v>
      </c>
      <c r="L23" s="103">
        <f>+L22+0</f>
        <v>423662</v>
      </c>
      <c r="M23" s="98">
        <f t="shared" si="3"/>
        <v>0</v>
      </c>
      <c r="N23" s="609"/>
      <c r="O23" s="609"/>
      <c r="P23" s="100"/>
    </row>
    <row r="24" spans="1:16" ht="18" customHeight="1" x14ac:dyDescent="0.25">
      <c r="A24" s="95"/>
      <c r="B24" s="96"/>
      <c r="C24" s="101"/>
      <c r="D24" s="606"/>
      <c r="E24" s="607"/>
      <c r="F24" s="607"/>
      <c r="G24" s="608"/>
      <c r="H24" s="96"/>
      <c r="I24" s="97"/>
      <c r="J24" s="97"/>
      <c r="K24" s="96"/>
      <c r="L24" s="103"/>
      <c r="M24" s="98"/>
      <c r="N24" s="102"/>
      <c r="O24" s="101"/>
      <c r="P24" s="100"/>
    </row>
    <row r="25" spans="1:16" ht="18" customHeight="1" x14ac:dyDescent="0.25">
      <c r="A25" s="27" t="s">
        <v>143</v>
      </c>
      <c r="I25" s="42"/>
      <c r="J25" s="42"/>
    </row>
    <row r="26" spans="1:16" ht="18" customHeight="1" x14ac:dyDescent="0.25">
      <c r="A26" s="610" t="s">
        <v>144</v>
      </c>
      <c r="B26" s="610"/>
      <c r="C26" s="610"/>
      <c r="D26" s="610"/>
      <c r="E26" s="103">
        <f>+K9</f>
        <v>423200</v>
      </c>
      <c r="G26" s="589" t="s">
        <v>145</v>
      </c>
      <c r="H26" s="589"/>
      <c r="I26" s="589" t="s">
        <v>146</v>
      </c>
      <c r="J26" s="589"/>
      <c r="K26" s="597" t="s">
        <v>147</v>
      </c>
      <c r="L26" s="598"/>
      <c r="M26" s="597" t="s">
        <v>148</v>
      </c>
      <c r="N26" s="598"/>
      <c r="O26" s="597" t="s">
        <v>149</v>
      </c>
      <c r="P26" s="598"/>
    </row>
    <row r="27" spans="1:16" ht="18" customHeight="1" x14ac:dyDescent="0.25">
      <c r="A27" s="610" t="s">
        <v>150</v>
      </c>
      <c r="B27" s="610"/>
      <c r="C27" s="610"/>
      <c r="D27" s="610"/>
      <c r="E27" s="103">
        <f>+L23</f>
        <v>423662</v>
      </c>
      <c r="G27" s="589"/>
      <c r="H27" s="589"/>
      <c r="I27" s="589"/>
      <c r="J27" s="589"/>
      <c r="K27" s="599"/>
      <c r="L27" s="600"/>
      <c r="M27" s="599"/>
      <c r="N27" s="600"/>
      <c r="O27" s="599"/>
      <c r="P27" s="600"/>
    </row>
    <row r="28" spans="1:16" ht="18" customHeight="1" x14ac:dyDescent="0.25">
      <c r="A28" s="610" t="s">
        <v>151</v>
      </c>
      <c r="B28" s="610"/>
      <c r="C28" s="610"/>
      <c r="D28" s="610"/>
      <c r="E28" s="103">
        <f>+E27-E26</f>
        <v>462</v>
      </c>
      <c r="G28" s="609"/>
      <c r="H28" s="609"/>
      <c r="I28" s="614"/>
      <c r="J28" s="614"/>
      <c r="K28" s="615"/>
      <c r="L28" s="616"/>
      <c r="M28" s="615"/>
      <c r="N28" s="616"/>
      <c r="O28" s="615"/>
      <c r="P28" s="616"/>
    </row>
    <row r="29" spans="1:16" ht="18" customHeight="1" x14ac:dyDescent="0.25">
      <c r="A29" s="610" t="s">
        <v>164</v>
      </c>
      <c r="B29" s="610"/>
      <c r="C29" s="610"/>
      <c r="D29" s="610"/>
      <c r="E29" s="104">
        <f>SUM(H9:H24)</f>
        <v>79.760000000000005</v>
      </c>
      <c r="G29" s="609"/>
      <c r="H29" s="609"/>
      <c r="I29" s="614"/>
      <c r="J29" s="614"/>
      <c r="K29" s="617"/>
      <c r="L29" s="618"/>
      <c r="M29" s="617"/>
      <c r="N29" s="618"/>
      <c r="O29" s="617"/>
      <c r="P29" s="618"/>
    </row>
    <row r="30" spans="1:16" ht="18" customHeight="1" x14ac:dyDescent="0.25">
      <c r="A30" s="610" t="s">
        <v>165</v>
      </c>
      <c r="B30" s="610"/>
      <c r="C30" s="610"/>
      <c r="D30" s="610"/>
      <c r="E30" s="104">
        <f>SUM(I9:I24)</f>
        <v>92.4</v>
      </c>
      <c r="G30" s="609"/>
      <c r="H30" s="609"/>
      <c r="I30" s="614"/>
      <c r="J30" s="614"/>
      <c r="K30" s="617"/>
      <c r="L30" s="618"/>
      <c r="M30" s="617"/>
      <c r="N30" s="618"/>
      <c r="O30" s="617"/>
      <c r="P30" s="618"/>
    </row>
    <row r="31" spans="1:16" ht="18" customHeight="1" x14ac:dyDescent="0.25">
      <c r="A31" s="610" t="s">
        <v>153</v>
      </c>
      <c r="B31" s="610"/>
      <c r="C31" s="610"/>
      <c r="D31" s="610"/>
      <c r="E31" s="97">
        <v>5</v>
      </c>
      <c r="G31" s="609"/>
      <c r="H31" s="609"/>
      <c r="I31" s="614"/>
      <c r="J31" s="614"/>
      <c r="K31" s="617"/>
      <c r="L31" s="618"/>
      <c r="M31" s="617"/>
      <c r="N31" s="618"/>
      <c r="O31" s="617"/>
      <c r="P31" s="618"/>
    </row>
    <row r="32" spans="1:16" ht="18" customHeight="1" x14ac:dyDescent="0.25">
      <c r="A32" s="611" t="s">
        <v>154</v>
      </c>
      <c r="B32" s="611"/>
      <c r="C32" s="611"/>
      <c r="D32" s="611"/>
      <c r="E32" s="97">
        <f>+J23</f>
        <v>65.759999999999906</v>
      </c>
      <c r="G32" s="609"/>
      <c r="H32" s="609"/>
      <c r="I32" s="614"/>
      <c r="J32" s="614"/>
      <c r="K32" s="619"/>
      <c r="L32" s="620"/>
      <c r="M32" s="619"/>
      <c r="N32" s="620"/>
      <c r="O32" s="619"/>
      <c r="P32" s="620"/>
    </row>
    <row r="33" spans="1:16" ht="6.75" customHeight="1" x14ac:dyDescent="0.25">
      <c r="A33" s="490"/>
      <c r="B33" s="490"/>
      <c r="C33" s="490"/>
    </row>
    <row r="34" spans="1:16" ht="15" customHeight="1" x14ac:dyDescent="0.25">
      <c r="A34" s="612" t="s">
        <v>155</v>
      </c>
      <c r="B34" s="613"/>
      <c r="C34" s="111"/>
      <c r="D34" s="111"/>
      <c r="E34" s="111"/>
      <c r="F34" s="111"/>
      <c r="G34" s="111"/>
      <c r="H34" s="111"/>
      <c r="I34" s="111"/>
      <c r="J34" s="111"/>
      <c r="K34" s="111"/>
      <c r="L34" s="111"/>
      <c r="M34" s="111"/>
      <c r="N34" s="111"/>
      <c r="O34" s="111"/>
      <c r="P34" s="112"/>
    </row>
    <row r="35" spans="1:16" ht="15" customHeight="1" x14ac:dyDescent="0.25">
      <c r="A35" s="113"/>
      <c r="B35" s="114"/>
      <c r="C35" s="114"/>
      <c r="D35" s="114"/>
      <c r="E35" s="114"/>
      <c r="F35" s="114"/>
      <c r="G35" s="114"/>
      <c r="H35" s="114"/>
      <c r="I35" s="114"/>
      <c r="J35" s="114"/>
      <c r="K35" s="114"/>
      <c r="L35" s="114"/>
      <c r="M35" s="114"/>
      <c r="N35" s="114"/>
      <c r="O35" s="114"/>
      <c r="P35" s="115"/>
    </row>
    <row r="36" spans="1:16" ht="15" customHeight="1" x14ac:dyDescent="0.25">
      <c r="A36" s="116"/>
      <c r="B36" s="117"/>
      <c r="C36" s="117"/>
      <c r="D36" s="117"/>
      <c r="E36" s="117"/>
      <c r="F36" s="117"/>
      <c r="G36" s="117"/>
      <c r="H36" s="117"/>
      <c r="I36" s="117"/>
      <c r="J36" s="117"/>
      <c r="K36" s="117"/>
      <c r="L36" s="117"/>
      <c r="M36" s="117"/>
      <c r="N36" s="117"/>
      <c r="O36" s="117"/>
      <c r="P36" s="118"/>
    </row>
    <row r="37" spans="1:16" ht="4.5" customHeight="1" x14ac:dyDescent="0.25"/>
  </sheetData>
  <mergeCells count="77">
    <mergeCell ref="A31:D31"/>
    <mergeCell ref="A32:D32"/>
    <mergeCell ref="A33:C33"/>
    <mergeCell ref="A34:B34"/>
    <mergeCell ref="O26:P27"/>
    <mergeCell ref="A27:D27"/>
    <mergeCell ref="A28:D28"/>
    <mergeCell ref="G28:H32"/>
    <mergeCell ref="I28:J32"/>
    <mergeCell ref="K28:L32"/>
    <mergeCell ref="M28:N32"/>
    <mergeCell ref="O28:P32"/>
    <mergeCell ref="A29:D29"/>
    <mergeCell ref="A30:D30"/>
    <mergeCell ref="A26:D26"/>
    <mergeCell ref="G26:H27"/>
    <mergeCell ref="I26:J27"/>
    <mergeCell ref="K26:L27"/>
    <mergeCell ref="M26:N27"/>
    <mergeCell ref="D19:G19"/>
    <mergeCell ref="N19:O19"/>
    <mergeCell ref="D20:G20"/>
    <mergeCell ref="N20:O20"/>
    <mergeCell ref="D21:G21"/>
    <mergeCell ref="N21:O21"/>
    <mergeCell ref="D22:G22"/>
    <mergeCell ref="N22:O22"/>
    <mergeCell ref="D23:G23"/>
    <mergeCell ref="N23:O23"/>
    <mergeCell ref="D24:G24"/>
    <mergeCell ref="D16:G16"/>
    <mergeCell ref="N16:O16"/>
    <mergeCell ref="D17:G17"/>
    <mergeCell ref="N17:O17"/>
    <mergeCell ref="D18:G18"/>
    <mergeCell ref="N18:O18"/>
    <mergeCell ref="D13:G13"/>
    <mergeCell ref="N13:O13"/>
    <mergeCell ref="D14:G14"/>
    <mergeCell ref="N14:O14"/>
    <mergeCell ref="D15:G15"/>
    <mergeCell ref="N15:O15"/>
    <mergeCell ref="D10:G10"/>
    <mergeCell ref="N10:O10"/>
    <mergeCell ref="D11:G11"/>
    <mergeCell ref="N11:O11"/>
    <mergeCell ref="D12:G12"/>
    <mergeCell ref="N12:O12"/>
    <mergeCell ref="N6:O7"/>
    <mergeCell ref="P6:P7"/>
    <mergeCell ref="D8:G8"/>
    <mergeCell ref="N8:O8"/>
    <mergeCell ref="D9:G9"/>
    <mergeCell ref="N9:O9"/>
    <mergeCell ref="K6:M6"/>
    <mergeCell ref="A6:A7"/>
    <mergeCell ref="B6:B7"/>
    <mergeCell ref="C6:C7"/>
    <mergeCell ref="D6:G7"/>
    <mergeCell ref="H6:J6"/>
    <mergeCell ref="A4:B4"/>
    <mergeCell ref="C4:J4"/>
    <mergeCell ref="K4:L4"/>
    <mergeCell ref="M4:P4"/>
    <mergeCell ref="A5:B5"/>
    <mergeCell ref="C5:J5"/>
    <mergeCell ref="K5:L5"/>
    <mergeCell ref="M5:P5"/>
    <mergeCell ref="A3:B3"/>
    <mergeCell ref="C3:J3"/>
    <mergeCell ref="K3:L3"/>
    <mergeCell ref="M3:P3"/>
    <mergeCell ref="A1:P1"/>
    <mergeCell ref="A2:B2"/>
    <mergeCell ref="C2:J2"/>
    <mergeCell ref="K2:L2"/>
    <mergeCell ref="M2:P2"/>
  </mergeCells>
  <pageMargins left="0.19685039370078741" right="0.39370078740157483" top="0.39370078740157483" bottom="0.39370078740157483" header="0" footer="0"/>
  <pageSetup scale="9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sheetPr>
  <dimension ref="A1:P37"/>
  <sheetViews>
    <sheetView zoomScaleNormal="100" workbookViewId="0">
      <selection activeCell="C4" sqref="C4:J4"/>
    </sheetView>
  </sheetViews>
  <sheetFormatPr baseColWidth="10" defaultRowHeight="15" x14ac:dyDescent="0.25"/>
  <cols>
    <col min="1" max="1" width="11.85546875" style="27" customWidth="1"/>
    <col min="2" max="2" width="7.42578125" style="27" customWidth="1"/>
    <col min="3" max="3" width="6" style="27" customWidth="1"/>
    <col min="4" max="4" width="11.85546875" style="27" customWidth="1"/>
    <col min="5" max="5" width="10.42578125" style="27" customWidth="1"/>
    <col min="6" max="6" width="4.28515625" style="27" customWidth="1"/>
    <col min="7" max="7" width="11.140625" style="27" customWidth="1"/>
    <col min="8" max="8" width="7.85546875" style="27" bestFit="1" customWidth="1"/>
    <col min="9" max="9" width="11.5703125" style="27" bestFit="1" customWidth="1"/>
    <col min="10" max="10" width="6.28515625" style="27" bestFit="1" customWidth="1"/>
    <col min="11" max="12" width="8.7109375" style="27" customWidth="1"/>
    <col min="13" max="13" width="10" style="27" bestFit="1" customWidth="1"/>
    <col min="14" max="14" width="5.7109375" style="27" customWidth="1"/>
    <col min="15" max="15" width="6.42578125" style="27" customWidth="1"/>
    <col min="16" max="16" width="10.5703125" style="27" customWidth="1"/>
    <col min="17" max="17" width="0.5703125" style="27" customWidth="1"/>
    <col min="18" max="16384" width="11.42578125" style="27"/>
  </cols>
  <sheetData>
    <row r="1" spans="1:16" ht="17.25" customHeight="1" x14ac:dyDescent="0.25">
      <c r="A1" s="582" t="s">
        <v>119</v>
      </c>
      <c r="B1" s="582"/>
      <c r="C1" s="582"/>
      <c r="D1" s="582"/>
      <c r="E1" s="582"/>
      <c r="F1" s="582"/>
      <c r="G1" s="582"/>
      <c r="H1" s="582"/>
      <c r="I1" s="582"/>
      <c r="J1" s="582"/>
      <c r="K1" s="582"/>
      <c r="L1" s="582"/>
      <c r="M1" s="582"/>
      <c r="N1" s="582"/>
      <c r="O1" s="582"/>
      <c r="P1" s="582"/>
    </row>
    <row r="2" spans="1:16" ht="18" customHeight="1" x14ac:dyDescent="0.25">
      <c r="A2" s="583" t="s">
        <v>118</v>
      </c>
      <c r="B2" s="584"/>
      <c r="C2" s="583">
        <v>2026</v>
      </c>
      <c r="D2" s="585"/>
      <c r="E2" s="585"/>
      <c r="F2" s="585"/>
      <c r="G2" s="585"/>
      <c r="H2" s="585"/>
      <c r="I2" s="585"/>
      <c r="J2" s="584"/>
      <c r="K2" s="586" t="s">
        <v>120</v>
      </c>
      <c r="L2" s="426"/>
      <c r="M2" s="587" t="s">
        <v>205</v>
      </c>
      <c r="N2" s="587"/>
      <c r="O2" s="587"/>
      <c r="P2" s="588"/>
    </row>
    <row r="3" spans="1:16" ht="18" customHeight="1" x14ac:dyDescent="0.25">
      <c r="A3" s="578" t="s">
        <v>121</v>
      </c>
      <c r="B3" s="579"/>
      <c r="C3" s="578" t="s">
        <v>206</v>
      </c>
      <c r="D3" s="580"/>
      <c r="E3" s="580"/>
      <c r="F3" s="580"/>
      <c r="G3" s="580"/>
      <c r="H3" s="580"/>
      <c r="I3" s="580"/>
      <c r="J3" s="579"/>
      <c r="K3" s="581" t="s">
        <v>122</v>
      </c>
      <c r="L3" s="581"/>
      <c r="M3" s="426" t="s">
        <v>201</v>
      </c>
      <c r="N3" s="426"/>
      <c r="O3" s="426"/>
      <c r="P3" s="427"/>
    </row>
    <row r="4" spans="1:16" ht="18" customHeight="1" x14ac:dyDescent="0.25">
      <c r="A4" s="578" t="s">
        <v>123</v>
      </c>
      <c r="B4" s="579"/>
      <c r="C4" s="578" t="s">
        <v>209</v>
      </c>
      <c r="D4" s="580"/>
      <c r="E4" s="580"/>
      <c r="F4" s="580"/>
      <c r="G4" s="580"/>
      <c r="H4" s="580"/>
      <c r="I4" s="580"/>
      <c r="J4" s="579"/>
      <c r="K4" s="581" t="s">
        <v>124</v>
      </c>
      <c r="L4" s="581"/>
      <c r="M4" s="586" t="s">
        <v>202</v>
      </c>
      <c r="N4" s="426"/>
      <c r="O4" s="426"/>
      <c r="P4" s="427"/>
    </row>
    <row r="5" spans="1:16" ht="18" customHeight="1" x14ac:dyDescent="0.25">
      <c r="A5" s="578" t="s">
        <v>125</v>
      </c>
      <c r="B5" s="579"/>
      <c r="C5" s="578" t="s">
        <v>160</v>
      </c>
      <c r="D5" s="580"/>
      <c r="E5" s="580"/>
      <c r="F5" s="580"/>
      <c r="G5" s="580"/>
      <c r="H5" s="580"/>
      <c r="I5" s="580"/>
      <c r="J5" s="579"/>
      <c r="K5" s="581" t="s">
        <v>126</v>
      </c>
      <c r="L5" s="581"/>
      <c r="M5" s="586" t="s">
        <v>203</v>
      </c>
      <c r="N5" s="426"/>
      <c r="O5" s="426"/>
      <c r="P5" s="427"/>
    </row>
    <row r="6" spans="1:16" ht="18" customHeight="1" x14ac:dyDescent="0.25">
      <c r="A6" s="589" t="s">
        <v>127</v>
      </c>
      <c r="B6" s="590" t="s">
        <v>128</v>
      </c>
      <c r="C6" s="590" t="s">
        <v>129</v>
      </c>
      <c r="D6" s="591" t="s">
        <v>130</v>
      </c>
      <c r="E6" s="592"/>
      <c r="F6" s="592"/>
      <c r="G6" s="593"/>
      <c r="H6" s="590" t="s">
        <v>131</v>
      </c>
      <c r="I6" s="590"/>
      <c r="J6" s="590"/>
      <c r="K6" s="590" t="s">
        <v>132</v>
      </c>
      <c r="L6" s="590"/>
      <c r="M6" s="590"/>
      <c r="N6" s="597" t="s">
        <v>133</v>
      </c>
      <c r="O6" s="598"/>
      <c r="P6" s="601" t="s">
        <v>134</v>
      </c>
    </row>
    <row r="7" spans="1:16" ht="18" customHeight="1" x14ac:dyDescent="0.25">
      <c r="A7" s="589"/>
      <c r="B7" s="590"/>
      <c r="C7" s="590"/>
      <c r="D7" s="594"/>
      <c r="E7" s="595"/>
      <c r="F7" s="595"/>
      <c r="G7" s="596"/>
      <c r="H7" s="108" t="s">
        <v>135</v>
      </c>
      <c r="I7" s="108" t="s">
        <v>136</v>
      </c>
      <c r="J7" s="108" t="s">
        <v>137</v>
      </c>
      <c r="K7" s="108" t="s">
        <v>138</v>
      </c>
      <c r="L7" s="108" t="s">
        <v>139</v>
      </c>
      <c r="M7" s="108" t="s">
        <v>140</v>
      </c>
      <c r="N7" s="599"/>
      <c r="O7" s="600"/>
      <c r="P7" s="602"/>
    </row>
    <row r="8" spans="1:16" ht="18" customHeight="1" x14ac:dyDescent="0.25">
      <c r="A8" s="29"/>
      <c r="B8" s="93"/>
      <c r="C8" s="93"/>
      <c r="D8" s="603" t="s">
        <v>141</v>
      </c>
      <c r="E8" s="604"/>
      <c r="F8" s="604"/>
      <c r="G8" s="605"/>
      <c r="H8" s="105"/>
      <c r="I8" s="106"/>
      <c r="J8" s="110">
        <f>+'EJEMPLO JMCC (5)'!E32</f>
        <v>65.759999999999906</v>
      </c>
      <c r="K8" s="107"/>
      <c r="L8" s="109">
        <f>+'EJEMPLO JMCC (5)'!E27</f>
        <v>423662</v>
      </c>
      <c r="M8" s="7"/>
      <c r="N8" s="481"/>
      <c r="O8" s="481"/>
      <c r="P8" s="18"/>
    </row>
    <row r="9" spans="1:16" ht="18" customHeight="1" x14ac:dyDescent="0.25">
      <c r="A9" s="95">
        <v>46069</v>
      </c>
      <c r="B9" s="96"/>
      <c r="C9" s="96"/>
      <c r="D9" s="606" t="s">
        <v>162</v>
      </c>
      <c r="E9" s="607"/>
      <c r="F9" s="607"/>
      <c r="G9" s="608"/>
      <c r="H9" s="96">
        <f>C9</f>
        <v>0</v>
      </c>
      <c r="I9" s="97">
        <f>+M9/$E$31</f>
        <v>15.4</v>
      </c>
      <c r="J9" s="97">
        <f>+J8+H9-I9</f>
        <v>50.359999999999907</v>
      </c>
      <c r="K9" s="96">
        <f>+L8</f>
        <v>423662</v>
      </c>
      <c r="L9" s="103">
        <f>+L8+77</f>
        <v>423739</v>
      </c>
      <c r="M9" s="98">
        <f>+L9-K9</f>
        <v>77</v>
      </c>
      <c r="N9" s="609"/>
      <c r="O9" s="609"/>
      <c r="P9" s="100"/>
    </row>
    <row r="10" spans="1:16" ht="18" customHeight="1" x14ac:dyDescent="0.25">
      <c r="A10" s="95">
        <f>+A9+1</f>
        <v>46070</v>
      </c>
      <c r="B10" s="96"/>
      <c r="C10" s="96"/>
      <c r="D10" s="606" t="s">
        <v>162</v>
      </c>
      <c r="E10" s="607"/>
      <c r="F10" s="607"/>
      <c r="G10" s="608"/>
      <c r="H10" s="96">
        <f t="shared" ref="H10:H21" si="0">C10</f>
        <v>0</v>
      </c>
      <c r="I10" s="97">
        <f t="shared" ref="I10:I21" si="1">+M10/$E$31</f>
        <v>1</v>
      </c>
      <c r="J10" s="97">
        <f t="shared" ref="J10:J21" si="2">+J9+H10-I10</f>
        <v>49.359999999999907</v>
      </c>
      <c r="K10" s="96">
        <f>+L9</f>
        <v>423739</v>
      </c>
      <c r="L10" s="103">
        <f>+L9+5</f>
        <v>423744</v>
      </c>
      <c r="M10" s="98">
        <f t="shared" ref="M10:M21" si="3">+L10-K10</f>
        <v>5</v>
      </c>
      <c r="N10" s="609"/>
      <c r="O10" s="609"/>
      <c r="P10" s="100"/>
    </row>
    <row r="11" spans="1:16" ht="18" customHeight="1" x14ac:dyDescent="0.25">
      <c r="A11" s="95">
        <f t="shared" ref="A11:A21" si="4">+A10+1</f>
        <v>46071</v>
      </c>
      <c r="B11" s="96"/>
      <c r="C11" s="96"/>
      <c r="D11" s="606" t="s">
        <v>162</v>
      </c>
      <c r="E11" s="607"/>
      <c r="F11" s="607"/>
      <c r="G11" s="608"/>
      <c r="H11" s="96">
        <f t="shared" si="0"/>
        <v>0</v>
      </c>
      <c r="I11" s="97">
        <f t="shared" si="1"/>
        <v>4</v>
      </c>
      <c r="J11" s="97">
        <f t="shared" si="2"/>
        <v>45.359999999999907</v>
      </c>
      <c r="K11" s="96">
        <f t="shared" ref="K11:K21" si="5">+L10</f>
        <v>423744</v>
      </c>
      <c r="L11" s="103">
        <f>+L10+20</f>
        <v>423764</v>
      </c>
      <c r="M11" s="98">
        <f t="shared" si="3"/>
        <v>20</v>
      </c>
      <c r="N11" s="609"/>
      <c r="O11" s="609"/>
      <c r="P11" s="100"/>
    </row>
    <row r="12" spans="1:16" ht="18" customHeight="1" x14ac:dyDescent="0.25">
      <c r="A12" s="95">
        <f t="shared" si="4"/>
        <v>46072</v>
      </c>
      <c r="B12" s="96">
        <v>14735</v>
      </c>
      <c r="C12" s="96">
        <v>106</v>
      </c>
      <c r="D12" s="606" t="s">
        <v>162</v>
      </c>
      <c r="E12" s="607"/>
      <c r="F12" s="607"/>
      <c r="G12" s="608"/>
      <c r="H12" s="96">
        <f t="shared" si="0"/>
        <v>106</v>
      </c>
      <c r="I12" s="97">
        <f t="shared" si="1"/>
        <v>43</v>
      </c>
      <c r="J12" s="97">
        <f t="shared" si="2"/>
        <v>108.3599999999999</v>
      </c>
      <c r="K12" s="96">
        <f t="shared" si="5"/>
        <v>423764</v>
      </c>
      <c r="L12" s="103">
        <f>+L11+215</f>
        <v>423979</v>
      </c>
      <c r="M12" s="98">
        <f t="shared" si="3"/>
        <v>215</v>
      </c>
      <c r="N12" s="609"/>
      <c r="O12" s="609"/>
      <c r="P12" s="100"/>
    </row>
    <row r="13" spans="1:16" ht="18" customHeight="1" x14ac:dyDescent="0.25">
      <c r="A13" s="95">
        <f t="shared" si="4"/>
        <v>46073</v>
      </c>
      <c r="B13" s="96"/>
      <c r="C13" s="96"/>
      <c r="D13" s="606" t="s">
        <v>162</v>
      </c>
      <c r="E13" s="607"/>
      <c r="F13" s="607"/>
      <c r="G13" s="608"/>
      <c r="H13" s="96">
        <f t="shared" si="0"/>
        <v>0</v>
      </c>
      <c r="I13" s="97">
        <f t="shared" si="1"/>
        <v>22</v>
      </c>
      <c r="J13" s="97">
        <f t="shared" si="2"/>
        <v>86.3599999999999</v>
      </c>
      <c r="K13" s="96">
        <f t="shared" si="5"/>
        <v>423979</v>
      </c>
      <c r="L13" s="103">
        <f>+L12+110</f>
        <v>424089</v>
      </c>
      <c r="M13" s="98">
        <f t="shared" si="3"/>
        <v>110</v>
      </c>
      <c r="N13" s="609"/>
      <c r="O13" s="609"/>
      <c r="P13" s="100"/>
    </row>
    <row r="14" spans="1:16" ht="18" customHeight="1" x14ac:dyDescent="0.25">
      <c r="A14" s="95">
        <f t="shared" si="4"/>
        <v>46074</v>
      </c>
      <c r="B14" s="96"/>
      <c r="C14" s="96"/>
      <c r="D14" s="606" t="s">
        <v>162</v>
      </c>
      <c r="E14" s="607"/>
      <c r="F14" s="607"/>
      <c r="G14" s="608"/>
      <c r="H14" s="96">
        <f t="shared" si="0"/>
        <v>0</v>
      </c>
      <c r="I14" s="97">
        <f t="shared" si="1"/>
        <v>0</v>
      </c>
      <c r="J14" s="97">
        <f t="shared" si="2"/>
        <v>86.3599999999999</v>
      </c>
      <c r="K14" s="96">
        <f t="shared" si="5"/>
        <v>424089</v>
      </c>
      <c r="L14" s="103">
        <f>+L13+0</f>
        <v>424089</v>
      </c>
      <c r="M14" s="98">
        <f t="shared" si="3"/>
        <v>0</v>
      </c>
      <c r="N14" s="609"/>
      <c r="O14" s="609"/>
      <c r="P14" s="100"/>
    </row>
    <row r="15" spans="1:16" ht="18" customHeight="1" x14ac:dyDescent="0.25">
      <c r="A15" s="95">
        <f t="shared" si="4"/>
        <v>46075</v>
      </c>
      <c r="B15" s="96"/>
      <c r="C15" s="96"/>
      <c r="D15" s="606" t="s">
        <v>162</v>
      </c>
      <c r="E15" s="607"/>
      <c r="F15" s="607"/>
      <c r="G15" s="608"/>
      <c r="H15" s="96">
        <f t="shared" si="0"/>
        <v>0</v>
      </c>
      <c r="I15" s="97">
        <f t="shared" si="1"/>
        <v>0</v>
      </c>
      <c r="J15" s="97">
        <f t="shared" si="2"/>
        <v>86.3599999999999</v>
      </c>
      <c r="K15" s="96">
        <f t="shared" si="5"/>
        <v>424089</v>
      </c>
      <c r="L15" s="103">
        <f>+L14+0</f>
        <v>424089</v>
      </c>
      <c r="M15" s="98">
        <f t="shared" si="3"/>
        <v>0</v>
      </c>
      <c r="N15" s="609"/>
      <c r="O15" s="609"/>
      <c r="P15" s="100"/>
    </row>
    <row r="16" spans="1:16" ht="18" customHeight="1" x14ac:dyDescent="0.25">
      <c r="A16" s="95">
        <f t="shared" si="4"/>
        <v>46076</v>
      </c>
      <c r="B16" s="96"/>
      <c r="C16" s="96"/>
      <c r="D16" s="606" t="s">
        <v>162</v>
      </c>
      <c r="E16" s="607"/>
      <c r="F16" s="607"/>
      <c r="G16" s="608"/>
      <c r="H16" s="96">
        <f t="shared" si="0"/>
        <v>0</v>
      </c>
      <c r="I16" s="97">
        <f>+M16/$E$31</f>
        <v>2</v>
      </c>
      <c r="J16" s="97">
        <f t="shared" si="2"/>
        <v>84.3599999999999</v>
      </c>
      <c r="K16" s="96">
        <f t="shared" si="5"/>
        <v>424089</v>
      </c>
      <c r="L16" s="103">
        <f>+L15+10</f>
        <v>424099</v>
      </c>
      <c r="M16" s="98">
        <f t="shared" si="3"/>
        <v>10</v>
      </c>
      <c r="N16" s="609"/>
      <c r="O16" s="609"/>
      <c r="P16" s="100"/>
    </row>
    <row r="17" spans="1:16" ht="18" customHeight="1" x14ac:dyDescent="0.25">
      <c r="A17" s="95">
        <f t="shared" si="4"/>
        <v>46077</v>
      </c>
      <c r="B17" s="96"/>
      <c r="C17" s="96"/>
      <c r="D17" s="606" t="s">
        <v>162</v>
      </c>
      <c r="E17" s="607"/>
      <c r="F17" s="607"/>
      <c r="G17" s="608"/>
      <c r="H17" s="96">
        <f t="shared" si="0"/>
        <v>0</v>
      </c>
      <c r="I17" s="97">
        <f t="shared" si="1"/>
        <v>23</v>
      </c>
      <c r="J17" s="97">
        <f t="shared" si="2"/>
        <v>61.3599999999999</v>
      </c>
      <c r="K17" s="96">
        <f t="shared" si="5"/>
        <v>424099</v>
      </c>
      <c r="L17" s="103">
        <f>+L16+115</f>
        <v>424214</v>
      </c>
      <c r="M17" s="98">
        <f t="shared" si="3"/>
        <v>115</v>
      </c>
      <c r="N17" s="609"/>
      <c r="O17" s="609"/>
      <c r="P17" s="100"/>
    </row>
    <row r="18" spans="1:16" ht="18" customHeight="1" x14ac:dyDescent="0.25">
      <c r="A18" s="95">
        <f t="shared" si="4"/>
        <v>46078</v>
      </c>
      <c r="B18" s="96"/>
      <c r="C18" s="101"/>
      <c r="D18" s="606" t="s">
        <v>162</v>
      </c>
      <c r="E18" s="607"/>
      <c r="F18" s="607"/>
      <c r="G18" s="608"/>
      <c r="H18" s="96">
        <f t="shared" si="0"/>
        <v>0</v>
      </c>
      <c r="I18" s="97">
        <f t="shared" si="1"/>
        <v>22.8</v>
      </c>
      <c r="J18" s="97">
        <f t="shared" si="2"/>
        <v>38.559999999999903</v>
      </c>
      <c r="K18" s="96">
        <f t="shared" si="5"/>
        <v>424214</v>
      </c>
      <c r="L18" s="103">
        <f>+L17+114</f>
        <v>424328</v>
      </c>
      <c r="M18" s="98">
        <f t="shared" si="3"/>
        <v>114</v>
      </c>
      <c r="N18" s="609"/>
      <c r="O18" s="609"/>
      <c r="P18" s="100"/>
    </row>
    <row r="19" spans="1:16" ht="18" customHeight="1" x14ac:dyDescent="0.25">
      <c r="A19" s="95">
        <f t="shared" si="4"/>
        <v>46079</v>
      </c>
      <c r="B19" s="96"/>
      <c r="C19" s="101"/>
      <c r="D19" s="606" t="s">
        <v>162</v>
      </c>
      <c r="E19" s="607"/>
      <c r="F19" s="607"/>
      <c r="G19" s="608"/>
      <c r="H19" s="96">
        <f t="shared" si="0"/>
        <v>0</v>
      </c>
      <c r="I19" s="97">
        <f t="shared" si="1"/>
        <v>17</v>
      </c>
      <c r="J19" s="97">
        <f t="shared" si="2"/>
        <v>21.559999999999903</v>
      </c>
      <c r="K19" s="96">
        <f t="shared" si="5"/>
        <v>424328</v>
      </c>
      <c r="L19" s="103">
        <f>+L18+85</f>
        <v>424413</v>
      </c>
      <c r="M19" s="98">
        <f t="shared" si="3"/>
        <v>85</v>
      </c>
      <c r="N19" s="609"/>
      <c r="O19" s="609"/>
      <c r="P19" s="100"/>
    </row>
    <row r="20" spans="1:16" ht="18" customHeight="1" x14ac:dyDescent="0.25">
      <c r="A20" s="95">
        <f t="shared" si="4"/>
        <v>46080</v>
      </c>
      <c r="B20" s="96"/>
      <c r="C20" s="101"/>
      <c r="D20" s="606" t="s">
        <v>162</v>
      </c>
      <c r="E20" s="607"/>
      <c r="F20" s="607"/>
      <c r="G20" s="608"/>
      <c r="H20" s="96">
        <f t="shared" si="0"/>
        <v>0</v>
      </c>
      <c r="I20" s="97">
        <f t="shared" si="1"/>
        <v>3.6</v>
      </c>
      <c r="J20" s="97">
        <f t="shared" si="2"/>
        <v>17.959999999999901</v>
      </c>
      <c r="K20" s="96">
        <f t="shared" si="5"/>
        <v>424413</v>
      </c>
      <c r="L20" s="103">
        <f>+L19+18</f>
        <v>424431</v>
      </c>
      <c r="M20" s="98">
        <f t="shared" si="3"/>
        <v>18</v>
      </c>
      <c r="N20" s="609"/>
      <c r="O20" s="609"/>
      <c r="P20" s="100"/>
    </row>
    <row r="21" spans="1:16" ht="18" customHeight="1" x14ac:dyDescent="0.25">
      <c r="A21" s="95">
        <f t="shared" si="4"/>
        <v>46081</v>
      </c>
      <c r="B21" s="96"/>
      <c r="C21" s="101"/>
      <c r="D21" s="606" t="s">
        <v>162</v>
      </c>
      <c r="E21" s="607"/>
      <c r="F21" s="607"/>
      <c r="G21" s="608"/>
      <c r="H21" s="96">
        <f t="shared" si="0"/>
        <v>0</v>
      </c>
      <c r="I21" s="97">
        <f t="shared" si="1"/>
        <v>0</v>
      </c>
      <c r="J21" s="97">
        <f t="shared" si="2"/>
        <v>17.959999999999901</v>
      </c>
      <c r="K21" s="96">
        <f t="shared" si="5"/>
        <v>424431</v>
      </c>
      <c r="L21" s="103">
        <f>+L20+0</f>
        <v>424431</v>
      </c>
      <c r="M21" s="98">
        <f t="shared" si="3"/>
        <v>0</v>
      </c>
      <c r="N21" s="609"/>
      <c r="O21" s="609"/>
      <c r="P21" s="100"/>
    </row>
    <row r="22" spans="1:16" ht="18" customHeight="1" x14ac:dyDescent="0.25">
      <c r="A22" s="95"/>
      <c r="B22" s="96"/>
      <c r="C22" s="101"/>
      <c r="D22" s="606"/>
      <c r="E22" s="607"/>
      <c r="F22" s="607"/>
      <c r="G22" s="608"/>
      <c r="H22" s="96"/>
      <c r="I22" s="97"/>
      <c r="J22" s="97"/>
      <c r="K22" s="96"/>
      <c r="L22" s="103"/>
      <c r="M22" s="98"/>
      <c r="N22" s="609"/>
      <c r="O22" s="609"/>
      <c r="P22" s="100"/>
    </row>
    <row r="23" spans="1:16" ht="18" customHeight="1" x14ac:dyDescent="0.25">
      <c r="A23" s="95"/>
      <c r="B23" s="96"/>
      <c r="C23" s="101"/>
      <c r="D23" s="606"/>
      <c r="E23" s="607"/>
      <c r="F23" s="607"/>
      <c r="G23" s="608"/>
      <c r="H23" s="96"/>
      <c r="I23" s="97"/>
      <c r="J23" s="97"/>
      <c r="K23" s="96"/>
      <c r="L23" s="103"/>
      <c r="M23" s="98"/>
      <c r="N23" s="609"/>
      <c r="O23" s="609"/>
      <c r="P23" s="100"/>
    </row>
    <row r="24" spans="1:16" ht="18" customHeight="1" x14ac:dyDescent="0.25">
      <c r="A24" s="95"/>
      <c r="B24" s="96"/>
      <c r="C24" s="101"/>
      <c r="D24" s="606"/>
      <c r="E24" s="607"/>
      <c r="F24" s="607"/>
      <c r="G24" s="608"/>
      <c r="H24" s="96"/>
      <c r="I24" s="97"/>
      <c r="J24" s="97"/>
      <c r="K24" s="96"/>
      <c r="L24" s="103"/>
      <c r="M24" s="98"/>
      <c r="N24" s="102"/>
      <c r="O24" s="101"/>
      <c r="P24" s="100"/>
    </row>
    <row r="25" spans="1:16" ht="18" customHeight="1" x14ac:dyDescent="0.25">
      <c r="A25" s="27" t="s">
        <v>143</v>
      </c>
      <c r="I25" s="42"/>
      <c r="J25" s="42"/>
    </row>
    <row r="26" spans="1:16" ht="18" customHeight="1" x14ac:dyDescent="0.25">
      <c r="A26" s="610" t="s">
        <v>144</v>
      </c>
      <c r="B26" s="610"/>
      <c r="C26" s="610"/>
      <c r="D26" s="610"/>
      <c r="E26" s="103">
        <f>+K9</f>
        <v>423662</v>
      </c>
      <c r="G26" s="589" t="s">
        <v>145</v>
      </c>
      <c r="H26" s="589"/>
      <c r="I26" s="589" t="s">
        <v>146</v>
      </c>
      <c r="J26" s="589"/>
      <c r="K26" s="597" t="s">
        <v>147</v>
      </c>
      <c r="L26" s="598"/>
      <c r="M26" s="597" t="s">
        <v>148</v>
      </c>
      <c r="N26" s="598"/>
      <c r="O26" s="597" t="s">
        <v>149</v>
      </c>
      <c r="P26" s="598"/>
    </row>
    <row r="27" spans="1:16" ht="18" customHeight="1" x14ac:dyDescent="0.25">
      <c r="A27" s="610" t="s">
        <v>150</v>
      </c>
      <c r="B27" s="610"/>
      <c r="C27" s="610"/>
      <c r="D27" s="610"/>
      <c r="E27" s="103">
        <f>+L21</f>
        <v>424431</v>
      </c>
      <c r="G27" s="589"/>
      <c r="H27" s="589"/>
      <c r="I27" s="589"/>
      <c r="J27" s="589"/>
      <c r="K27" s="599"/>
      <c r="L27" s="600"/>
      <c r="M27" s="599"/>
      <c r="N27" s="600"/>
      <c r="O27" s="599"/>
      <c r="P27" s="600"/>
    </row>
    <row r="28" spans="1:16" ht="18" customHeight="1" x14ac:dyDescent="0.25">
      <c r="A28" s="610" t="s">
        <v>151</v>
      </c>
      <c r="B28" s="610"/>
      <c r="C28" s="610"/>
      <c r="D28" s="610"/>
      <c r="E28" s="103">
        <f>+E27-E26</f>
        <v>769</v>
      </c>
      <c r="G28" s="609"/>
      <c r="H28" s="609"/>
      <c r="I28" s="614"/>
      <c r="J28" s="614"/>
      <c r="K28" s="615"/>
      <c r="L28" s="616"/>
      <c r="M28" s="615"/>
      <c r="N28" s="616"/>
      <c r="O28" s="615"/>
      <c r="P28" s="616"/>
    </row>
    <row r="29" spans="1:16" ht="18" customHeight="1" x14ac:dyDescent="0.25">
      <c r="A29" s="610" t="s">
        <v>164</v>
      </c>
      <c r="B29" s="610"/>
      <c r="C29" s="610"/>
      <c r="D29" s="610"/>
      <c r="E29" s="104">
        <f>SUM(H9:H24)</f>
        <v>106</v>
      </c>
      <c r="G29" s="609"/>
      <c r="H29" s="609"/>
      <c r="I29" s="614"/>
      <c r="J29" s="614"/>
      <c r="K29" s="617"/>
      <c r="L29" s="618"/>
      <c r="M29" s="617"/>
      <c r="N29" s="618"/>
      <c r="O29" s="617"/>
      <c r="P29" s="618"/>
    </row>
    <row r="30" spans="1:16" ht="18" customHeight="1" x14ac:dyDescent="0.25">
      <c r="A30" s="610" t="s">
        <v>165</v>
      </c>
      <c r="B30" s="610"/>
      <c r="C30" s="610"/>
      <c r="D30" s="610"/>
      <c r="E30" s="104">
        <f>SUM(I9:I24)</f>
        <v>153.80000000000001</v>
      </c>
      <c r="G30" s="609"/>
      <c r="H30" s="609"/>
      <c r="I30" s="614"/>
      <c r="J30" s="614"/>
      <c r="K30" s="617"/>
      <c r="L30" s="618"/>
      <c r="M30" s="617"/>
      <c r="N30" s="618"/>
      <c r="O30" s="617"/>
      <c r="P30" s="618"/>
    </row>
    <row r="31" spans="1:16" ht="18" customHeight="1" x14ac:dyDescent="0.25">
      <c r="A31" s="610" t="s">
        <v>153</v>
      </c>
      <c r="B31" s="610"/>
      <c r="C31" s="610"/>
      <c r="D31" s="610"/>
      <c r="E31" s="97">
        <v>5</v>
      </c>
      <c r="G31" s="609"/>
      <c r="H31" s="609"/>
      <c r="I31" s="614"/>
      <c r="J31" s="614"/>
      <c r="K31" s="617"/>
      <c r="L31" s="618"/>
      <c r="M31" s="617"/>
      <c r="N31" s="618"/>
      <c r="O31" s="617"/>
      <c r="P31" s="618"/>
    </row>
    <row r="32" spans="1:16" ht="18" customHeight="1" x14ac:dyDescent="0.25">
      <c r="A32" s="611" t="s">
        <v>154</v>
      </c>
      <c r="B32" s="611"/>
      <c r="C32" s="611"/>
      <c r="D32" s="611"/>
      <c r="E32" s="97">
        <f>+J21</f>
        <v>17.959999999999901</v>
      </c>
      <c r="G32" s="609"/>
      <c r="H32" s="609"/>
      <c r="I32" s="614"/>
      <c r="J32" s="614"/>
      <c r="K32" s="619"/>
      <c r="L32" s="620"/>
      <c r="M32" s="619"/>
      <c r="N32" s="620"/>
      <c r="O32" s="619"/>
      <c r="P32" s="620"/>
    </row>
    <row r="33" spans="1:16" ht="6.75" customHeight="1" x14ac:dyDescent="0.25">
      <c r="A33" s="490"/>
      <c r="B33" s="490"/>
      <c r="C33" s="490"/>
    </row>
    <row r="34" spans="1:16" ht="15" customHeight="1" x14ac:dyDescent="0.25">
      <c r="A34" s="612" t="s">
        <v>155</v>
      </c>
      <c r="B34" s="613"/>
      <c r="C34" s="111"/>
      <c r="D34" s="111"/>
      <c r="E34" s="111"/>
      <c r="F34" s="111"/>
      <c r="G34" s="111"/>
      <c r="H34" s="111"/>
      <c r="I34" s="111"/>
      <c r="J34" s="111"/>
      <c r="K34" s="111"/>
      <c r="L34" s="111"/>
      <c r="M34" s="111"/>
      <c r="N34" s="111"/>
      <c r="O34" s="111"/>
      <c r="P34" s="112"/>
    </row>
    <row r="35" spans="1:16" ht="15" customHeight="1" x14ac:dyDescent="0.25">
      <c r="A35" s="113"/>
      <c r="B35" s="114"/>
      <c r="C35" s="114"/>
      <c r="D35" s="114"/>
      <c r="E35" s="114"/>
      <c r="F35" s="114"/>
      <c r="G35" s="114"/>
      <c r="H35" s="114"/>
      <c r="I35" s="114"/>
      <c r="J35" s="114"/>
      <c r="K35" s="114"/>
      <c r="L35" s="114"/>
      <c r="M35" s="114"/>
      <c r="N35" s="114"/>
      <c r="O35" s="114"/>
      <c r="P35" s="115"/>
    </row>
    <row r="36" spans="1:16" ht="15" customHeight="1" x14ac:dyDescent="0.25">
      <c r="A36" s="116"/>
      <c r="B36" s="117"/>
      <c r="C36" s="117"/>
      <c r="D36" s="117"/>
      <c r="E36" s="117"/>
      <c r="F36" s="117"/>
      <c r="G36" s="117"/>
      <c r="H36" s="117"/>
      <c r="I36" s="117"/>
      <c r="J36" s="117"/>
      <c r="K36" s="117"/>
      <c r="L36" s="117"/>
      <c r="M36" s="117"/>
      <c r="N36" s="117"/>
      <c r="O36" s="117"/>
      <c r="P36" s="118"/>
    </row>
    <row r="37" spans="1:16" ht="4.5" customHeight="1" x14ac:dyDescent="0.25"/>
  </sheetData>
  <mergeCells count="77">
    <mergeCell ref="A31:D31"/>
    <mergeCell ref="A32:D32"/>
    <mergeCell ref="A33:C33"/>
    <mergeCell ref="A34:B34"/>
    <mergeCell ref="O26:P27"/>
    <mergeCell ref="A27:D27"/>
    <mergeCell ref="A28:D28"/>
    <mergeCell ref="G28:H32"/>
    <mergeCell ref="I28:J32"/>
    <mergeCell ref="K28:L32"/>
    <mergeCell ref="M28:N32"/>
    <mergeCell ref="O28:P32"/>
    <mergeCell ref="A29:D29"/>
    <mergeCell ref="A30:D30"/>
    <mergeCell ref="A26:D26"/>
    <mergeCell ref="G26:H27"/>
    <mergeCell ref="I26:J27"/>
    <mergeCell ref="K26:L27"/>
    <mergeCell ref="M26:N27"/>
    <mergeCell ref="D19:G19"/>
    <mergeCell ref="N19:O19"/>
    <mergeCell ref="D20:G20"/>
    <mergeCell ref="N20:O20"/>
    <mergeCell ref="D21:G21"/>
    <mergeCell ref="N21:O21"/>
    <mergeCell ref="D22:G22"/>
    <mergeCell ref="N22:O22"/>
    <mergeCell ref="D23:G23"/>
    <mergeCell ref="N23:O23"/>
    <mergeCell ref="D24:G24"/>
    <mergeCell ref="D16:G16"/>
    <mergeCell ref="N16:O16"/>
    <mergeCell ref="D17:G17"/>
    <mergeCell ref="N17:O17"/>
    <mergeCell ref="D18:G18"/>
    <mergeCell ref="N18:O18"/>
    <mergeCell ref="D13:G13"/>
    <mergeCell ref="N13:O13"/>
    <mergeCell ref="D14:G14"/>
    <mergeCell ref="N14:O14"/>
    <mergeCell ref="D15:G15"/>
    <mergeCell ref="N15:O15"/>
    <mergeCell ref="D10:G10"/>
    <mergeCell ref="N10:O10"/>
    <mergeCell ref="D11:G11"/>
    <mergeCell ref="N11:O11"/>
    <mergeCell ref="D12:G12"/>
    <mergeCell ref="N12:O12"/>
    <mergeCell ref="N6:O7"/>
    <mergeCell ref="P6:P7"/>
    <mergeCell ref="D8:G8"/>
    <mergeCell ref="N8:O8"/>
    <mergeCell ref="D9:G9"/>
    <mergeCell ref="N9:O9"/>
    <mergeCell ref="K6:M6"/>
    <mergeCell ref="A6:A7"/>
    <mergeCell ref="B6:B7"/>
    <mergeCell ref="C6:C7"/>
    <mergeCell ref="D6:G7"/>
    <mergeCell ref="H6:J6"/>
    <mergeCell ref="A4:B4"/>
    <mergeCell ref="C4:J4"/>
    <mergeCell ref="K4:L4"/>
    <mergeCell ref="M4:P4"/>
    <mergeCell ref="A5:B5"/>
    <mergeCell ref="C5:J5"/>
    <mergeCell ref="K5:L5"/>
    <mergeCell ref="M5:P5"/>
    <mergeCell ref="A3:B3"/>
    <mergeCell ref="C3:J3"/>
    <mergeCell ref="K3:L3"/>
    <mergeCell ref="M3:P3"/>
    <mergeCell ref="A1:P1"/>
    <mergeCell ref="A2:B2"/>
    <mergeCell ref="C2:J2"/>
    <mergeCell ref="K2:L2"/>
    <mergeCell ref="M2:P2"/>
  </mergeCells>
  <pageMargins left="0.19685039370078741" right="0.39370078740157483" top="0.39370078740157483" bottom="0.39370078740157483" header="0" footer="0"/>
  <pageSetup scale="9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FF00"/>
  </sheetPr>
  <dimension ref="A1:S37"/>
  <sheetViews>
    <sheetView zoomScaleNormal="100" workbookViewId="0">
      <selection activeCell="T19" sqref="T19"/>
    </sheetView>
  </sheetViews>
  <sheetFormatPr baseColWidth="10" defaultRowHeight="15" x14ac:dyDescent="0.25"/>
  <cols>
    <col min="1" max="1" width="11.85546875" style="27" customWidth="1"/>
    <col min="2" max="2" width="7.42578125" style="27" customWidth="1"/>
    <col min="3" max="3" width="6" style="27" customWidth="1"/>
    <col min="4" max="4" width="11.85546875" style="27" customWidth="1"/>
    <col min="5" max="5" width="10.42578125" style="27" customWidth="1"/>
    <col min="6" max="6" width="4.28515625" style="27" customWidth="1"/>
    <col min="7" max="7" width="11.140625" style="27" customWidth="1"/>
    <col min="8" max="8" width="7.85546875" style="27" bestFit="1" customWidth="1"/>
    <col min="9" max="9" width="11.5703125" style="27" bestFit="1" customWidth="1"/>
    <col min="10" max="10" width="6.5703125" style="27" bestFit="1" customWidth="1"/>
    <col min="11" max="12" width="8.7109375" style="27" customWidth="1"/>
    <col min="13" max="13" width="10" style="27" bestFit="1" customWidth="1"/>
    <col min="14" max="14" width="5.7109375" style="27" customWidth="1"/>
    <col min="15" max="15" width="6.42578125" style="27" customWidth="1"/>
    <col min="16" max="16" width="10.5703125" style="27" customWidth="1"/>
    <col min="17" max="17" width="0.5703125" style="27" customWidth="1"/>
    <col min="18" max="16384" width="11.42578125" style="27"/>
  </cols>
  <sheetData>
    <row r="1" spans="1:16" ht="17.25" customHeight="1" x14ac:dyDescent="0.25">
      <c r="A1" s="582" t="s">
        <v>119</v>
      </c>
      <c r="B1" s="582"/>
      <c r="C1" s="582"/>
      <c r="D1" s="582"/>
      <c r="E1" s="582"/>
      <c r="F1" s="582"/>
      <c r="G1" s="582"/>
      <c r="H1" s="582"/>
      <c r="I1" s="582"/>
      <c r="J1" s="582"/>
      <c r="K1" s="582"/>
      <c r="L1" s="582"/>
      <c r="M1" s="582"/>
      <c r="N1" s="582"/>
      <c r="O1" s="582"/>
      <c r="P1" s="582"/>
    </row>
    <row r="2" spans="1:16" ht="18" customHeight="1" x14ac:dyDescent="0.25">
      <c r="A2" s="583" t="s">
        <v>118</v>
      </c>
      <c r="B2" s="584"/>
      <c r="C2" s="583">
        <v>2026</v>
      </c>
      <c r="D2" s="585"/>
      <c r="E2" s="585"/>
      <c r="F2" s="585"/>
      <c r="G2" s="585"/>
      <c r="H2" s="585"/>
      <c r="I2" s="585"/>
      <c r="J2" s="584"/>
      <c r="K2" s="586" t="s">
        <v>120</v>
      </c>
      <c r="L2" s="426"/>
      <c r="M2" s="587" t="s">
        <v>205</v>
      </c>
      <c r="N2" s="587"/>
      <c r="O2" s="587"/>
      <c r="P2" s="588"/>
    </row>
    <row r="3" spans="1:16" ht="18" customHeight="1" x14ac:dyDescent="0.25">
      <c r="A3" s="578" t="s">
        <v>121</v>
      </c>
      <c r="B3" s="579"/>
      <c r="C3" s="578" t="s">
        <v>210</v>
      </c>
      <c r="D3" s="580"/>
      <c r="E3" s="580"/>
      <c r="F3" s="580"/>
      <c r="G3" s="580"/>
      <c r="H3" s="580"/>
      <c r="I3" s="580"/>
      <c r="J3" s="579"/>
      <c r="K3" s="581" t="s">
        <v>122</v>
      </c>
      <c r="L3" s="581"/>
      <c r="M3" s="426" t="s">
        <v>201</v>
      </c>
      <c r="N3" s="426"/>
      <c r="O3" s="426"/>
      <c r="P3" s="427"/>
    </row>
    <row r="4" spans="1:16" ht="18" customHeight="1" x14ac:dyDescent="0.25">
      <c r="A4" s="578" t="s">
        <v>123</v>
      </c>
      <c r="B4" s="579"/>
      <c r="C4" s="578" t="s">
        <v>209</v>
      </c>
      <c r="D4" s="580"/>
      <c r="E4" s="580"/>
      <c r="F4" s="580"/>
      <c r="G4" s="580"/>
      <c r="H4" s="580"/>
      <c r="I4" s="580"/>
      <c r="J4" s="579"/>
      <c r="K4" s="581" t="s">
        <v>124</v>
      </c>
      <c r="L4" s="581"/>
      <c r="M4" s="586" t="s">
        <v>202</v>
      </c>
      <c r="N4" s="426"/>
      <c r="O4" s="426"/>
      <c r="P4" s="427"/>
    </row>
    <row r="5" spans="1:16" ht="18" customHeight="1" x14ac:dyDescent="0.25">
      <c r="A5" s="578" t="s">
        <v>125</v>
      </c>
      <c r="B5" s="579"/>
      <c r="C5" s="578" t="s">
        <v>160</v>
      </c>
      <c r="D5" s="580"/>
      <c r="E5" s="580"/>
      <c r="F5" s="580"/>
      <c r="G5" s="580"/>
      <c r="H5" s="580"/>
      <c r="I5" s="580"/>
      <c r="J5" s="579"/>
      <c r="K5" s="581" t="s">
        <v>126</v>
      </c>
      <c r="L5" s="581"/>
      <c r="M5" s="586" t="s">
        <v>203</v>
      </c>
      <c r="N5" s="426"/>
      <c r="O5" s="426"/>
      <c r="P5" s="427"/>
    </row>
    <row r="6" spans="1:16" ht="18" customHeight="1" x14ac:dyDescent="0.25">
      <c r="A6" s="589" t="s">
        <v>127</v>
      </c>
      <c r="B6" s="590" t="s">
        <v>128</v>
      </c>
      <c r="C6" s="590" t="s">
        <v>129</v>
      </c>
      <c r="D6" s="591" t="s">
        <v>130</v>
      </c>
      <c r="E6" s="592"/>
      <c r="F6" s="592"/>
      <c r="G6" s="593"/>
      <c r="H6" s="590" t="s">
        <v>131</v>
      </c>
      <c r="I6" s="590"/>
      <c r="J6" s="590"/>
      <c r="K6" s="590" t="s">
        <v>132</v>
      </c>
      <c r="L6" s="590"/>
      <c r="M6" s="590"/>
      <c r="N6" s="597" t="s">
        <v>133</v>
      </c>
      <c r="O6" s="598"/>
      <c r="P6" s="601" t="s">
        <v>134</v>
      </c>
    </row>
    <row r="7" spans="1:16" ht="18" customHeight="1" x14ac:dyDescent="0.25">
      <c r="A7" s="589"/>
      <c r="B7" s="590"/>
      <c r="C7" s="590"/>
      <c r="D7" s="594"/>
      <c r="E7" s="595"/>
      <c r="F7" s="595"/>
      <c r="G7" s="596"/>
      <c r="H7" s="108" t="s">
        <v>135</v>
      </c>
      <c r="I7" s="108" t="s">
        <v>136</v>
      </c>
      <c r="J7" s="108" t="s">
        <v>137</v>
      </c>
      <c r="K7" s="108" t="s">
        <v>138</v>
      </c>
      <c r="L7" s="108" t="s">
        <v>139</v>
      </c>
      <c r="M7" s="108" t="s">
        <v>140</v>
      </c>
      <c r="N7" s="599"/>
      <c r="O7" s="600"/>
      <c r="P7" s="602"/>
    </row>
    <row r="8" spans="1:16" ht="18" customHeight="1" x14ac:dyDescent="0.25">
      <c r="A8" s="29"/>
      <c r="B8" s="94"/>
      <c r="C8" s="94"/>
      <c r="D8" s="603" t="s">
        <v>141</v>
      </c>
      <c r="E8" s="604"/>
      <c r="F8" s="604"/>
      <c r="G8" s="605"/>
      <c r="H8" s="105"/>
      <c r="I8" s="106"/>
      <c r="J8" s="110">
        <f>+'EJEMPLO JMCC (5)'!E32</f>
        <v>65.759999999999906</v>
      </c>
      <c r="K8" s="107"/>
      <c r="L8" s="109">
        <f>+'EJEMPLO JMCC (6)'!E27</f>
        <v>424431</v>
      </c>
      <c r="M8" s="7"/>
      <c r="N8" s="481"/>
      <c r="O8" s="481"/>
      <c r="P8" s="18"/>
    </row>
    <row r="9" spans="1:16" ht="18" customHeight="1" x14ac:dyDescent="0.25">
      <c r="A9" s="95">
        <v>46082</v>
      </c>
      <c r="B9" s="99"/>
      <c r="C9" s="99"/>
      <c r="D9" s="606" t="s">
        <v>162</v>
      </c>
      <c r="E9" s="607"/>
      <c r="F9" s="607"/>
      <c r="G9" s="608"/>
      <c r="H9" s="99">
        <f>C9</f>
        <v>0</v>
      </c>
      <c r="I9" s="97">
        <f>+M9/$E$31</f>
        <v>0</v>
      </c>
      <c r="J9" s="97">
        <f>+J8+H9-I9</f>
        <v>65.759999999999906</v>
      </c>
      <c r="K9" s="99">
        <f>+L8</f>
        <v>424431</v>
      </c>
      <c r="L9" s="103">
        <f>+L8+0</f>
        <v>424431</v>
      </c>
      <c r="M9" s="98">
        <f>+L9-K9</f>
        <v>0</v>
      </c>
      <c r="N9" s="609"/>
      <c r="O9" s="609"/>
      <c r="P9" s="100"/>
    </row>
    <row r="10" spans="1:16" ht="18" customHeight="1" x14ac:dyDescent="0.25">
      <c r="A10" s="95">
        <f>+A9+1</f>
        <v>46083</v>
      </c>
      <c r="B10" s="99">
        <v>14736</v>
      </c>
      <c r="C10" s="99">
        <v>105</v>
      </c>
      <c r="D10" s="606" t="s">
        <v>162</v>
      </c>
      <c r="E10" s="607"/>
      <c r="F10" s="607"/>
      <c r="G10" s="608"/>
      <c r="H10" s="99">
        <f t="shared" ref="H10:H21" si="0">C10</f>
        <v>105</v>
      </c>
      <c r="I10" s="97">
        <f t="shared" ref="I10:I21" si="1">+M10/$E$31</f>
        <v>15.8</v>
      </c>
      <c r="J10" s="97">
        <f t="shared" ref="J10:J23" si="2">+J9+H10-I10</f>
        <v>154.95999999999989</v>
      </c>
      <c r="K10" s="99">
        <f>+L9</f>
        <v>424431</v>
      </c>
      <c r="L10" s="103">
        <f>+L9+79</f>
        <v>424510</v>
      </c>
      <c r="M10" s="98">
        <f t="shared" ref="M10:M21" si="3">+L10-K10</f>
        <v>79</v>
      </c>
      <c r="N10" s="609"/>
      <c r="O10" s="609"/>
      <c r="P10" s="100"/>
    </row>
    <row r="11" spans="1:16" ht="18" customHeight="1" x14ac:dyDescent="0.25">
      <c r="A11" s="95">
        <f t="shared" ref="A11:A23" si="4">+A10+1</f>
        <v>46084</v>
      </c>
      <c r="B11" s="99"/>
      <c r="C11" s="99"/>
      <c r="D11" s="606" t="s">
        <v>162</v>
      </c>
      <c r="E11" s="607"/>
      <c r="F11" s="607"/>
      <c r="G11" s="608"/>
      <c r="H11" s="99">
        <f t="shared" si="0"/>
        <v>0</v>
      </c>
      <c r="I11" s="97">
        <f t="shared" si="1"/>
        <v>29</v>
      </c>
      <c r="J11" s="97">
        <f t="shared" si="2"/>
        <v>125.95999999999989</v>
      </c>
      <c r="K11" s="99">
        <f t="shared" ref="K11:K21" si="5">+L10</f>
        <v>424510</v>
      </c>
      <c r="L11" s="103">
        <f>+L10+145</f>
        <v>424655</v>
      </c>
      <c r="M11" s="98">
        <f t="shared" si="3"/>
        <v>145</v>
      </c>
      <c r="N11" s="609"/>
      <c r="O11" s="609"/>
      <c r="P11" s="100"/>
    </row>
    <row r="12" spans="1:16" ht="18" customHeight="1" x14ac:dyDescent="0.25">
      <c r="A12" s="95">
        <f t="shared" si="4"/>
        <v>46085</v>
      </c>
      <c r="B12" s="99"/>
      <c r="C12" s="99"/>
      <c r="D12" s="606" t="s">
        <v>162</v>
      </c>
      <c r="E12" s="607"/>
      <c r="F12" s="607"/>
      <c r="G12" s="608"/>
      <c r="H12" s="99">
        <f t="shared" si="0"/>
        <v>0</v>
      </c>
      <c r="I12" s="97">
        <f t="shared" si="1"/>
        <v>12.4</v>
      </c>
      <c r="J12" s="97">
        <f t="shared" si="2"/>
        <v>113.55999999999989</v>
      </c>
      <c r="K12" s="99">
        <f t="shared" si="5"/>
        <v>424655</v>
      </c>
      <c r="L12" s="103">
        <f>+L11+62</f>
        <v>424717</v>
      </c>
      <c r="M12" s="98">
        <f t="shared" si="3"/>
        <v>62</v>
      </c>
      <c r="N12" s="609"/>
      <c r="O12" s="609"/>
      <c r="P12" s="100"/>
    </row>
    <row r="13" spans="1:16" ht="18" customHeight="1" x14ac:dyDescent="0.25">
      <c r="A13" s="95">
        <f t="shared" si="4"/>
        <v>46086</v>
      </c>
      <c r="B13" s="99"/>
      <c r="C13" s="99"/>
      <c r="D13" s="606" t="s">
        <v>162</v>
      </c>
      <c r="E13" s="607"/>
      <c r="F13" s="607"/>
      <c r="G13" s="608"/>
      <c r="H13" s="99">
        <f t="shared" si="0"/>
        <v>0</v>
      </c>
      <c r="I13" s="97">
        <f t="shared" si="1"/>
        <v>8.8000000000000007</v>
      </c>
      <c r="J13" s="97">
        <f t="shared" si="2"/>
        <v>104.75999999999989</v>
      </c>
      <c r="K13" s="99">
        <f t="shared" si="5"/>
        <v>424717</v>
      </c>
      <c r="L13" s="103">
        <f>+L12+44</f>
        <v>424761</v>
      </c>
      <c r="M13" s="98">
        <f t="shared" si="3"/>
        <v>44</v>
      </c>
      <c r="N13" s="609"/>
      <c r="O13" s="609"/>
      <c r="P13" s="100"/>
    </row>
    <row r="14" spans="1:16" ht="18" customHeight="1" x14ac:dyDescent="0.25">
      <c r="A14" s="95">
        <f t="shared" si="4"/>
        <v>46087</v>
      </c>
      <c r="B14" s="99"/>
      <c r="C14" s="99"/>
      <c r="D14" s="606" t="s">
        <v>162</v>
      </c>
      <c r="E14" s="607"/>
      <c r="F14" s="607"/>
      <c r="G14" s="608"/>
      <c r="H14" s="99">
        <f t="shared" si="0"/>
        <v>0</v>
      </c>
      <c r="I14" s="97">
        <f t="shared" si="1"/>
        <v>27.2</v>
      </c>
      <c r="J14" s="97">
        <f t="shared" si="2"/>
        <v>77.559999999999889</v>
      </c>
      <c r="K14" s="99">
        <f t="shared" si="5"/>
        <v>424761</v>
      </c>
      <c r="L14" s="103">
        <f>+L13+136</f>
        <v>424897</v>
      </c>
      <c r="M14" s="98">
        <f t="shared" si="3"/>
        <v>136</v>
      </c>
      <c r="N14" s="609"/>
      <c r="O14" s="609"/>
      <c r="P14" s="100"/>
    </row>
    <row r="15" spans="1:16" ht="18" customHeight="1" x14ac:dyDescent="0.25">
      <c r="A15" s="95">
        <f t="shared" si="4"/>
        <v>46088</v>
      </c>
      <c r="B15" s="99"/>
      <c r="C15" s="99"/>
      <c r="D15" s="606" t="s">
        <v>162</v>
      </c>
      <c r="E15" s="607"/>
      <c r="F15" s="607"/>
      <c r="G15" s="608"/>
      <c r="H15" s="99">
        <f t="shared" si="0"/>
        <v>0</v>
      </c>
      <c r="I15" s="97">
        <f t="shared" si="1"/>
        <v>0</v>
      </c>
      <c r="J15" s="97">
        <f t="shared" si="2"/>
        <v>77.559999999999889</v>
      </c>
      <c r="K15" s="99">
        <f t="shared" si="5"/>
        <v>424897</v>
      </c>
      <c r="L15" s="103">
        <f t="shared" ref="L15:L16" si="6">+L14+0</f>
        <v>424897</v>
      </c>
      <c r="M15" s="98">
        <f t="shared" si="3"/>
        <v>0</v>
      </c>
      <c r="N15" s="609"/>
      <c r="O15" s="609"/>
      <c r="P15" s="100"/>
    </row>
    <row r="16" spans="1:16" ht="18" customHeight="1" x14ac:dyDescent="0.25">
      <c r="A16" s="95">
        <f t="shared" si="4"/>
        <v>46089</v>
      </c>
      <c r="B16" s="99"/>
      <c r="C16" s="99"/>
      <c r="D16" s="606" t="s">
        <v>162</v>
      </c>
      <c r="E16" s="607"/>
      <c r="F16" s="607"/>
      <c r="G16" s="608"/>
      <c r="H16" s="99">
        <f t="shared" si="0"/>
        <v>0</v>
      </c>
      <c r="I16" s="97">
        <f>+M16/$E$31</f>
        <v>0</v>
      </c>
      <c r="J16" s="97">
        <f t="shared" si="2"/>
        <v>77.559999999999889</v>
      </c>
      <c r="K16" s="99">
        <f t="shared" si="5"/>
        <v>424897</v>
      </c>
      <c r="L16" s="103">
        <f t="shared" si="6"/>
        <v>424897</v>
      </c>
      <c r="M16" s="98">
        <f t="shared" si="3"/>
        <v>0</v>
      </c>
      <c r="N16" s="609"/>
      <c r="O16" s="609"/>
      <c r="P16" s="100"/>
    </row>
    <row r="17" spans="1:19" ht="18" customHeight="1" x14ac:dyDescent="0.25">
      <c r="A17" s="95">
        <f t="shared" si="4"/>
        <v>46090</v>
      </c>
      <c r="B17" s="99"/>
      <c r="C17" s="99"/>
      <c r="D17" s="606" t="s">
        <v>162</v>
      </c>
      <c r="E17" s="607"/>
      <c r="F17" s="607"/>
      <c r="G17" s="608"/>
      <c r="H17" s="99">
        <f t="shared" si="0"/>
        <v>0</v>
      </c>
      <c r="I17" s="97">
        <f t="shared" si="1"/>
        <v>37</v>
      </c>
      <c r="J17" s="97">
        <f t="shared" si="2"/>
        <v>40.559999999999889</v>
      </c>
      <c r="K17" s="99">
        <f t="shared" si="5"/>
        <v>424897</v>
      </c>
      <c r="L17" s="103">
        <f>+L16+185</f>
        <v>425082</v>
      </c>
      <c r="M17" s="98">
        <f t="shared" si="3"/>
        <v>185</v>
      </c>
      <c r="N17" s="609"/>
      <c r="O17" s="609"/>
      <c r="P17" s="100"/>
    </row>
    <row r="18" spans="1:19" ht="18" customHeight="1" x14ac:dyDescent="0.25">
      <c r="A18" s="95">
        <f t="shared" si="4"/>
        <v>46091</v>
      </c>
      <c r="B18" s="99">
        <v>14737</v>
      </c>
      <c r="C18" s="101">
        <v>107</v>
      </c>
      <c r="D18" s="606" t="s">
        <v>162</v>
      </c>
      <c r="E18" s="607"/>
      <c r="F18" s="607"/>
      <c r="G18" s="608"/>
      <c r="H18" s="99">
        <f t="shared" si="0"/>
        <v>107</v>
      </c>
      <c r="I18" s="97">
        <f t="shared" si="1"/>
        <v>4.4000000000000004</v>
      </c>
      <c r="J18" s="97">
        <f t="shared" si="2"/>
        <v>143.15999999999988</v>
      </c>
      <c r="K18" s="99">
        <f t="shared" si="5"/>
        <v>425082</v>
      </c>
      <c r="L18" s="103">
        <f>+L17+22</f>
        <v>425104</v>
      </c>
      <c r="M18" s="98">
        <f t="shared" si="3"/>
        <v>22</v>
      </c>
      <c r="N18" s="609"/>
      <c r="O18" s="609"/>
      <c r="P18" s="100"/>
    </row>
    <row r="19" spans="1:19" ht="18" customHeight="1" x14ac:dyDescent="0.25">
      <c r="A19" s="95">
        <f t="shared" si="4"/>
        <v>46092</v>
      </c>
      <c r="B19" s="99"/>
      <c r="C19" s="101"/>
      <c r="D19" s="606" t="s">
        <v>162</v>
      </c>
      <c r="E19" s="607"/>
      <c r="F19" s="607"/>
      <c r="G19" s="608"/>
      <c r="H19" s="99">
        <f t="shared" si="0"/>
        <v>0</v>
      </c>
      <c r="I19" s="97">
        <f t="shared" si="1"/>
        <v>9.8000000000000007</v>
      </c>
      <c r="J19" s="97">
        <f t="shared" si="2"/>
        <v>133.35999999999987</v>
      </c>
      <c r="K19" s="99">
        <f t="shared" si="5"/>
        <v>425104</v>
      </c>
      <c r="L19" s="103">
        <f>+L18+49</f>
        <v>425153</v>
      </c>
      <c r="M19" s="98">
        <f t="shared" si="3"/>
        <v>49</v>
      </c>
      <c r="N19" s="609"/>
      <c r="O19" s="609"/>
      <c r="P19" s="100"/>
    </row>
    <row r="20" spans="1:19" ht="18" customHeight="1" x14ac:dyDescent="0.25">
      <c r="A20" s="95">
        <f t="shared" si="4"/>
        <v>46093</v>
      </c>
      <c r="B20" s="99"/>
      <c r="C20" s="101"/>
      <c r="D20" s="606" t="s">
        <v>162</v>
      </c>
      <c r="E20" s="607"/>
      <c r="F20" s="607"/>
      <c r="G20" s="608"/>
      <c r="H20" s="99">
        <f t="shared" si="0"/>
        <v>0</v>
      </c>
      <c r="I20" s="97">
        <f t="shared" si="1"/>
        <v>25.4</v>
      </c>
      <c r="J20" s="97">
        <f t="shared" si="2"/>
        <v>107.95999999999987</v>
      </c>
      <c r="K20" s="99">
        <f t="shared" si="5"/>
        <v>425153</v>
      </c>
      <c r="L20" s="103">
        <f>+L19+127</f>
        <v>425280</v>
      </c>
      <c r="M20" s="98">
        <f t="shared" si="3"/>
        <v>127</v>
      </c>
      <c r="N20" s="609"/>
      <c r="O20" s="609"/>
      <c r="P20" s="100"/>
    </row>
    <row r="21" spans="1:19" ht="18" customHeight="1" x14ac:dyDescent="0.25">
      <c r="A21" s="95">
        <f t="shared" si="4"/>
        <v>46094</v>
      </c>
      <c r="B21" s="99"/>
      <c r="C21" s="101"/>
      <c r="D21" s="606" t="s">
        <v>162</v>
      </c>
      <c r="E21" s="607"/>
      <c r="F21" s="607"/>
      <c r="G21" s="608"/>
      <c r="H21" s="99">
        <f t="shared" si="0"/>
        <v>0</v>
      </c>
      <c r="I21" s="97">
        <f t="shared" si="1"/>
        <v>4.2</v>
      </c>
      <c r="J21" s="97">
        <f t="shared" si="2"/>
        <v>103.75999999999986</v>
      </c>
      <c r="K21" s="99">
        <f t="shared" si="5"/>
        <v>425280</v>
      </c>
      <c r="L21" s="103">
        <f>+L20+21</f>
        <v>425301</v>
      </c>
      <c r="M21" s="98">
        <f t="shared" si="3"/>
        <v>21</v>
      </c>
      <c r="N21" s="609"/>
      <c r="O21" s="609"/>
      <c r="P21" s="100"/>
    </row>
    <row r="22" spans="1:19" ht="18" customHeight="1" x14ac:dyDescent="0.25">
      <c r="A22" s="95">
        <f t="shared" si="4"/>
        <v>46095</v>
      </c>
      <c r="B22" s="99"/>
      <c r="C22" s="101"/>
      <c r="D22" s="606" t="s">
        <v>162</v>
      </c>
      <c r="E22" s="607"/>
      <c r="F22" s="607"/>
      <c r="G22" s="608"/>
      <c r="H22" s="99">
        <f t="shared" ref="H22:H23" si="7">C22</f>
        <v>0</v>
      </c>
      <c r="I22" s="97">
        <f t="shared" ref="I22:I24" si="8">+M22/$E$31</f>
        <v>0</v>
      </c>
      <c r="J22" s="97">
        <f t="shared" si="2"/>
        <v>103.75999999999986</v>
      </c>
      <c r="K22" s="99">
        <f t="shared" ref="K22:K23" si="9">+L21</f>
        <v>425301</v>
      </c>
      <c r="L22" s="103">
        <f>+L21+0</f>
        <v>425301</v>
      </c>
      <c r="M22" s="98">
        <f t="shared" ref="M22:M23" si="10">+L22-K22</f>
        <v>0</v>
      </c>
      <c r="N22" s="609"/>
      <c r="O22" s="609"/>
      <c r="P22" s="100"/>
    </row>
    <row r="23" spans="1:19" ht="18" customHeight="1" thickBot="1" x14ac:dyDescent="0.3">
      <c r="A23" s="141">
        <f t="shared" si="4"/>
        <v>46096</v>
      </c>
      <c r="B23" s="142"/>
      <c r="C23" s="143"/>
      <c r="D23" s="621" t="s">
        <v>162</v>
      </c>
      <c r="E23" s="622"/>
      <c r="F23" s="622"/>
      <c r="G23" s="623"/>
      <c r="H23" s="142">
        <f t="shared" si="7"/>
        <v>0</v>
      </c>
      <c r="I23" s="144">
        <f t="shared" si="8"/>
        <v>0</v>
      </c>
      <c r="J23" s="144">
        <f t="shared" si="2"/>
        <v>103.75999999999986</v>
      </c>
      <c r="K23" s="142">
        <f t="shared" si="9"/>
        <v>425301</v>
      </c>
      <c r="L23" s="145">
        <f>+L22+0</f>
        <v>425301</v>
      </c>
      <c r="M23" s="146">
        <f t="shared" si="10"/>
        <v>0</v>
      </c>
      <c r="N23" s="624"/>
      <c r="O23" s="624"/>
      <c r="P23" s="147"/>
      <c r="R23" s="27">
        <v>425001</v>
      </c>
      <c r="S23" s="132">
        <f>+L23-R23</f>
        <v>300</v>
      </c>
    </row>
    <row r="24" spans="1:19" ht="18" customHeight="1" thickTop="1" x14ac:dyDescent="0.25">
      <c r="A24" s="133"/>
      <c r="B24" s="134"/>
      <c r="C24" s="135"/>
      <c r="D24" s="625"/>
      <c r="E24" s="626"/>
      <c r="F24" s="626"/>
      <c r="G24" s="627"/>
      <c r="H24" s="134"/>
      <c r="I24" s="136">
        <f t="shared" si="8"/>
        <v>174</v>
      </c>
      <c r="J24" s="136"/>
      <c r="K24" s="134"/>
      <c r="L24" s="137"/>
      <c r="M24" s="138">
        <f>SUM(M9:M23)</f>
        <v>870</v>
      </c>
      <c r="N24" s="139"/>
      <c r="O24" s="135"/>
      <c r="P24" s="140"/>
    </row>
    <row r="25" spans="1:19" ht="18" customHeight="1" x14ac:dyDescent="0.25">
      <c r="A25" s="27" t="s">
        <v>143</v>
      </c>
      <c r="I25" s="42"/>
      <c r="J25" s="42"/>
    </row>
    <row r="26" spans="1:19" ht="18" customHeight="1" x14ac:dyDescent="0.25">
      <c r="A26" s="610" t="s">
        <v>144</v>
      </c>
      <c r="B26" s="610"/>
      <c r="C26" s="610"/>
      <c r="D26" s="610"/>
      <c r="E26" s="103">
        <f>+K9</f>
        <v>424431</v>
      </c>
      <c r="G26" s="589" t="s">
        <v>145</v>
      </c>
      <c r="H26" s="589"/>
      <c r="I26" s="589" t="s">
        <v>146</v>
      </c>
      <c r="J26" s="589"/>
      <c r="K26" s="597" t="s">
        <v>147</v>
      </c>
      <c r="L26" s="598"/>
      <c r="M26" s="597" t="s">
        <v>148</v>
      </c>
      <c r="N26" s="598"/>
      <c r="O26" s="597" t="s">
        <v>149</v>
      </c>
      <c r="P26" s="598"/>
    </row>
    <row r="27" spans="1:19" ht="18" customHeight="1" x14ac:dyDescent="0.25">
      <c r="A27" s="610" t="s">
        <v>150</v>
      </c>
      <c r="B27" s="610"/>
      <c r="C27" s="610"/>
      <c r="D27" s="610"/>
      <c r="E27" s="103">
        <f>+L23</f>
        <v>425301</v>
      </c>
      <c r="G27" s="589"/>
      <c r="H27" s="589"/>
      <c r="I27" s="589"/>
      <c r="J27" s="589"/>
      <c r="K27" s="599"/>
      <c r="L27" s="600"/>
      <c r="M27" s="599"/>
      <c r="N27" s="600"/>
      <c r="O27" s="599"/>
      <c r="P27" s="600"/>
    </row>
    <row r="28" spans="1:19" ht="18" customHeight="1" x14ac:dyDescent="0.25">
      <c r="A28" s="610" t="s">
        <v>151</v>
      </c>
      <c r="B28" s="610"/>
      <c r="C28" s="610"/>
      <c r="D28" s="610"/>
      <c r="E28" s="103">
        <f>+E27-E26</f>
        <v>870</v>
      </c>
      <c r="G28" s="609"/>
      <c r="H28" s="609"/>
      <c r="I28" s="614"/>
      <c r="J28" s="614"/>
      <c r="K28" s="615"/>
      <c r="L28" s="616"/>
      <c r="M28" s="615"/>
      <c r="N28" s="616"/>
      <c r="O28" s="615"/>
      <c r="P28" s="616"/>
    </row>
    <row r="29" spans="1:19" ht="18" customHeight="1" x14ac:dyDescent="0.25">
      <c r="A29" s="610" t="s">
        <v>164</v>
      </c>
      <c r="B29" s="610"/>
      <c r="C29" s="610"/>
      <c r="D29" s="610"/>
      <c r="E29" s="104">
        <f>SUM(H9:H24)</f>
        <v>212</v>
      </c>
      <c r="G29" s="609"/>
      <c r="H29" s="609"/>
      <c r="I29" s="614"/>
      <c r="J29" s="614"/>
      <c r="K29" s="617"/>
      <c r="L29" s="618"/>
      <c r="M29" s="617"/>
      <c r="N29" s="618"/>
      <c r="O29" s="617"/>
      <c r="P29" s="618"/>
    </row>
    <row r="30" spans="1:19" ht="18" customHeight="1" x14ac:dyDescent="0.25">
      <c r="A30" s="610" t="s">
        <v>165</v>
      </c>
      <c r="B30" s="610"/>
      <c r="C30" s="610"/>
      <c r="D30" s="610"/>
      <c r="E30" s="104">
        <f>SUM(I9:I24)</f>
        <v>348</v>
      </c>
      <c r="G30" s="609"/>
      <c r="H30" s="609"/>
      <c r="I30" s="614"/>
      <c r="J30" s="614"/>
      <c r="K30" s="617"/>
      <c r="L30" s="618"/>
      <c r="M30" s="617"/>
      <c r="N30" s="618"/>
      <c r="O30" s="617"/>
      <c r="P30" s="618"/>
    </row>
    <row r="31" spans="1:19" ht="18" customHeight="1" x14ac:dyDescent="0.25">
      <c r="A31" s="610" t="s">
        <v>153</v>
      </c>
      <c r="B31" s="610"/>
      <c r="C31" s="610"/>
      <c r="D31" s="610"/>
      <c r="E31" s="97">
        <v>5</v>
      </c>
      <c r="G31" s="609"/>
      <c r="H31" s="609"/>
      <c r="I31" s="614"/>
      <c r="J31" s="614"/>
      <c r="K31" s="617"/>
      <c r="L31" s="618"/>
      <c r="M31" s="617"/>
      <c r="N31" s="618"/>
      <c r="O31" s="617"/>
      <c r="P31" s="618"/>
    </row>
    <row r="32" spans="1:19" ht="18" customHeight="1" x14ac:dyDescent="0.25">
      <c r="A32" s="611" t="s">
        <v>154</v>
      </c>
      <c r="B32" s="611"/>
      <c r="C32" s="611"/>
      <c r="D32" s="611"/>
      <c r="E32" s="97">
        <f>+J23</f>
        <v>103.75999999999986</v>
      </c>
      <c r="G32" s="609"/>
      <c r="H32" s="609"/>
      <c r="I32" s="614"/>
      <c r="J32" s="614"/>
      <c r="K32" s="619"/>
      <c r="L32" s="620"/>
      <c r="M32" s="619"/>
      <c r="N32" s="620"/>
      <c r="O32" s="619"/>
      <c r="P32" s="620"/>
    </row>
    <row r="33" spans="1:16" ht="6.75" customHeight="1" x14ac:dyDescent="0.25">
      <c r="A33" s="490"/>
      <c r="B33" s="490"/>
      <c r="C33" s="490"/>
    </row>
    <row r="34" spans="1:16" ht="15" customHeight="1" x14ac:dyDescent="0.25">
      <c r="A34" s="612" t="s">
        <v>155</v>
      </c>
      <c r="B34" s="613"/>
      <c r="C34" s="111"/>
      <c r="D34" s="111"/>
      <c r="E34" s="111"/>
      <c r="F34" s="111"/>
      <c r="G34" s="111"/>
      <c r="H34" s="111"/>
      <c r="I34" s="111"/>
      <c r="J34" s="111"/>
      <c r="K34" s="111"/>
      <c r="L34" s="111"/>
      <c r="M34" s="111"/>
      <c r="N34" s="111"/>
      <c r="O34" s="111"/>
      <c r="P34" s="112"/>
    </row>
    <row r="35" spans="1:16" ht="15" customHeight="1" x14ac:dyDescent="0.25">
      <c r="A35" s="113"/>
      <c r="B35" s="114"/>
      <c r="C35" s="114"/>
      <c r="D35" s="114"/>
      <c r="E35" s="114"/>
      <c r="F35" s="114"/>
      <c r="G35" s="114"/>
      <c r="H35" s="114"/>
      <c r="I35" s="114"/>
      <c r="J35" s="114"/>
      <c r="K35" s="114"/>
      <c r="L35" s="114"/>
      <c r="M35" s="114"/>
      <c r="N35" s="114"/>
      <c r="O35" s="114"/>
      <c r="P35" s="115"/>
    </row>
    <row r="36" spans="1:16" ht="15" customHeight="1" x14ac:dyDescent="0.25">
      <c r="A36" s="116"/>
      <c r="B36" s="117"/>
      <c r="C36" s="117"/>
      <c r="D36" s="117"/>
      <c r="E36" s="117"/>
      <c r="F36" s="117"/>
      <c r="G36" s="117"/>
      <c r="H36" s="117"/>
      <c r="I36" s="117"/>
      <c r="J36" s="117"/>
      <c r="K36" s="117"/>
      <c r="L36" s="117"/>
      <c r="M36" s="117"/>
      <c r="N36" s="117"/>
      <c r="O36" s="117"/>
      <c r="P36" s="118"/>
    </row>
    <row r="37" spans="1:16" ht="4.5" customHeight="1" x14ac:dyDescent="0.25"/>
  </sheetData>
  <mergeCells count="77">
    <mergeCell ref="A3:B3"/>
    <mergeCell ref="C3:J3"/>
    <mergeCell ref="K3:L3"/>
    <mergeCell ref="M3:P3"/>
    <mergeCell ref="A1:P1"/>
    <mergeCell ref="A2:B2"/>
    <mergeCell ref="C2:J2"/>
    <mergeCell ref="K2:L2"/>
    <mergeCell ref="M2:P2"/>
    <mergeCell ref="A4:B4"/>
    <mergeCell ref="C4:J4"/>
    <mergeCell ref="K4:L4"/>
    <mergeCell ref="M4:P4"/>
    <mergeCell ref="A5:B5"/>
    <mergeCell ref="C5:J5"/>
    <mergeCell ref="K5:L5"/>
    <mergeCell ref="M5:P5"/>
    <mergeCell ref="A6:A7"/>
    <mergeCell ref="B6:B7"/>
    <mergeCell ref="C6:C7"/>
    <mergeCell ref="D6:G7"/>
    <mergeCell ref="H6:J6"/>
    <mergeCell ref="N6:O7"/>
    <mergeCell ref="P6:P7"/>
    <mergeCell ref="D8:G8"/>
    <mergeCell ref="N8:O8"/>
    <mergeCell ref="D9:G9"/>
    <mergeCell ref="N9:O9"/>
    <mergeCell ref="K6:M6"/>
    <mergeCell ref="D10:G10"/>
    <mergeCell ref="N10:O10"/>
    <mergeCell ref="D11:G11"/>
    <mergeCell ref="N11:O11"/>
    <mergeCell ref="D12:G12"/>
    <mergeCell ref="N12:O12"/>
    <mergeCell ref="D13:G13"/>
    <mergeCell ref="N13:O13"/>
    <mergeCell ref="D14:G14"/>
    <mergeCell ref="N14:O14"/>
    <mergeCell ref="D15:G15"/>
    <mergeCell ref="N15:O15"/>
    <mergeCell ref="D16:G16"/>
    <mergeCell ref="N16:O16"/>
    <mergeCell ref="D17:G17"/>
    <mergeCell ref="N17:O17"/>
    <mergeCell ref="D18:G18"/>
    <mergeCell ref="N18:O18"/>
    <mergeCell ref="I26:J27"/>
    <mergeCell ref="K26:L27"/>
    <mergeCell ref="M26:N27"/>
    <mergeCell ref="D19:G19"/>
    <mergeCell ref="N19:O19"/>
    <mergeCell ref="D20:G20"/>
    <mergeCell ref="N20:O20"/>
    <mergeCell ref="D21:G21"/>
    <mergeCell ref="N21:O21"/>
    <mergeCell ref="D22:G22"/>
    <mergeCell ref="N22:O22"/>
    <mergeCell ref="D23:G23"/>
    <mergeCell ref="N23:O23"/>
    <mergeCell ref="D24:G24"/>
    <mergeCell ref="A31:D31"/>
    <mergeCell ref="A32:D32"/>
    <mergeCell ref="A33:C33"/>
    <mergeCell ref="A34:B34"/>
    <mergeCell ref="O26:P27"/>
    <mergeCell ref="A27:D27"/>
    <mergeCell ref="A28:D28"/>
    <mergeCell ref="G28:H32"/>
    <mergeCell ref="I28:J32"/>
    <mergeCell ref="K28:L32"/>
    <mergeCell ref="M28:N32"/>
    <mergeCell ref="O28:P32"/>
    <mergeCell ref="A29:D29"/>
    <mergeCell ref="A30:D30"/>
    <mergeCell ref="A26:D26"/>
    <mergeCell ref="G26:H27"/>
  </mergeCells>
  <pageMargins left="0.19685039370078741" right="0.39370078740157483" top="0.39370078740157483" bottom="0.39370078740157483" header="0" footer="0"/>
  <pageSetup scale="9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00"/>
  </sheetPr>
  <dimension ref="A1:S38"/>
  <sheetViews>
    <sheetView topLeftCell="A7" zoomScaleNormal="100" workbookViewId="0">
      <selection activeCell="D40" sqref="D40"/>
    </sheetView>
  </sheetViews>
  <sheetFormatPr baseColWidth="10" defaultRowHeight="15" x14ac:dyDescent="0.25"/>
  <cols>
    <col min="1" max="1" width="11.85546875" style="27" customWidth="1"/>
    <col min="2" max="2" width="7.42578125" style="27" customWidth="1"/>
    <col min="3" max="3" width="6" style="27" customWidth="1"/>
    <col min="4" max="4" width="11.85546875" style="27" customWidth="1"/>
    <col min="5" max="5" width="10.42578125" style="27" customWidth="1"/>
    <col min="6" max="6" width="4.28515625" style="27" customWidth="1"/>
    <col min="7" max="7" width="11.140625" style="27" customWidth="1"/>
    <col min="8" max="8" width="7.85546875" style="27" bestFit="1" customWidth="1"/>
    <col min="9" max="9" width="11.5703125" style="27" bestFit="1" customWidth="1"/>
    <col min="10" max="10" width="6.5703125" style="27" bestFit="1" customWidth="1"/>
    <col min="11" max="12" width="8.7109375" style="27" customWidth="1"/>
    <col min="13" max="13" width="10" style="27" bestFit="1" customWidth="1"/>
    <col min="14" max="14" width="5.7109375" style="27" customWidth="1"/>
    <col min="15" max="15" width="6.42578125" style="27" customWidth="1"/>
    <col min="16" max="16" width="10.5703125" style="27" customWidth="1"/>
    <col min="17" max="17" width="0.5703125" style="27" customWidth="1"/>
    <col min="18" max="16384" width="11.42578125" style="27"/>
  </cols>
  <sheetData>
    <row r="1" spans="1:16" ht="17.25" customHeight="1" x14ac:dyDescent="0.25">
      <c r="A1" s="582" t="s">
        <v>119</v>
      </c>
      <c r="B1" s="582"/>
      <c r="C1" s="582"/>
      <c r="D1" s="582"/>
      <c r="E1" s="582"/>
      <c r="F1" s="582"/>
      <c r="G1" s="582"/>
      <c r="H1" s="582"/>
      <c r="I1" s="582"/>
      <c r="J1" s="582"/>
      <c r="K1" s="582"/>
      <c r="L1" s="582"/>
      <c r="M1" s="582"/>
      <c r="N1" s="582"/>
      <c r="O1" s="582"/>
      <c r="P1" s="582"/>
    </row>
    <row r="2" spans="1:16" ht="18" customHeight="1" x14ac:dyDescent="0.25">
      <c r="A2" s="583" t="s">
        <v>118</v>
      </c>
      <c r="B2" s="584"/>
      <c r="C2" s="583">
        <v>2026</v>
      </c>
      <c r="D2" s="585"/>
      <c r="E2" s="585"/>
      <c r="F2" s="585"/>
      <c r="G2" s="585"/>
      <c r="H2" s="585"/>
      <c r="I2" s="585"/>
      <c r="J2" s="584"/>
      <c r="K2" s="586" t="s">
        <v>120</v>
      </c>
      <c r="L2" s="426"/>
      <c r="M2" s="587" t="s">
        <v>205</v>
      </c>
      <c r="N2" s="587"/>
      <c r="O2" s="587"/>
      <c r="P2" s="588"/>
    </row>
    <row r="3" spans="1:16" ht="18" customHeight="1" x14ac:dyDescent="0.25">
      <c r="A3" s="578" t="s">
        <v>121</v>
      </c>
      <c r="B3" s="579"/>
      <c r="C3" s="578" t="s">
        <v>210</v>
      </c>
      <c r="D3" s="580"/>
      <c r="E3" s="580"/>
      <c r="F3" s="580"/>
      <c r="G3" s="580"/>
      <c r="H3" s="580"/>
      <c r="I3" s="580"/>
      <c r="J3" s="579"/>
      <c r="K3" s="581" t="s">
        <v>122</v>
      </c>
      <c r="L3" s="581"/>
      <c r="M3" s="426" t="s">
        <v>201</v>
      </c>
      <c r="N3" s="426"/>
      <c r="O3" s="426"/>
      <c r="P3" s="427"/>
    </row>
    <row r="4" spans="1:16" ht="18" customHeight="1" x14ac:dyDescent="0.25">
      <c r="A4" s="578" t="s">
        <v>123</v>
      </c>
      <c r="B4" s="579"/>
      <c r="C4" s="578" t="s">
        <v>209</v>
      </c>
      <c r="D4" s="580"/>
      <c r="E4" s="580"/>
      <c r="F4" s="580"/>
      <c r="G4" s="580"/>
      <c r="H4" s="580"/>
      <c r="I4" s="580"/>
      <c r="J4" s="579"/>
      <c r="K4" s="581" t="s">
        <v>124</v>
      </c>
      <c r="L4" s="581"/>
      <c r="M4" s="586" t="s">
        <v>202</v>
      </c>
      <c r="N4" s="426"/>
      <c r="O4" s="426"/>
      <c r="P4" s="427"/>
    </row>
    <row r="5" spans="1:16" ht="18" customHeight="1" x14ac:dyDescent="0.25">
      <c r="A5" s="578" t="s">
        <v>125</v>
      </c>
      <c r="B5" s="579"/>
      <c r="C5" s="578" t="s">
        <v>160</v>
      </c>
      <c r="D5" s="580"/>
      <c r="E5" s="580"/>
      <c r="F5" s="580"/>
      <c r="G5" s="580"/>
      <c r="H5" s="580"/>
      <c r="I5" s="580"/>
      <c r="J5" s="579"/>
      <c r="K5" s="581" t="s">
        <v>126</v>
      </c>
      <c r="L5" s="581"/>
      <c r="M5" s="586" t="s">
        <v>203</v>
      </c>
      <c r="N5" s="426"/>
      <c r="O5" s="426"/>
      <c r="P5" s="427"/>
    </row>
    <row r="6" spans="1:16" ht="14.25" customHeight="1" x14ac:dyDescent="0.25">
      <c r="A6" s="589" t="s">
        <v>127</v>
      </c>
      <c r="B6" s="590" t="s">
        <v>128</v>
      </c>
      <c r="C6" s="590" t="s">
        <v>129</v>
      </c>
      <c r="D6" s="591" t="s">
        <v>130</v>
      </c>
      <c r="E6" s="592"/>
      <c r="F6" s="592"/>
      <c r="G6" s="593"/>
      <c r="H6" s="590" t="s">
        <v>131</v>
      </c>
      <c r="I6" s="590"/>
      <c r="J6" s="590"/>
      <c r="K6" s="590" t="s">
        <v>132</v>
      </c>
      <c r="L6" s="590"/>
      <c r="M6" s="590"/>
      <c r="N6" s="597" t="s">
        <v>133</v>
      </c>
      <c r="O6" s="598"/>
      <c r="P6" s="601" t="s">
        <v>134</v>
      </c>
    </row>
    <row r="7" spans="1:16" ht="14.25" customHeight="1" x14ac:dyDescent="0.25">
      <c r="A7" s="589"/>
      <c r="B7" s="590"/>
      <c r="C7" s="590"/>
      <c r="D7" s="594"/>
      <c r="E7" s="595"/>
      <c r="F7" s="595"/>
      <c r="G7" s="596"/>
      <c r="H7" s="131" t="s">
        <v>135</v>
      </c>
      <c r="I7" s="131" t="s">
        <v>136</v>
      </c>
      <c r="J7" s="131" t="s">
        <v>137</v>
      </c>
      <c r="K7" s="131" t="s">
        <v>138</v>
      </c>
      <c r="L7" s="131" t="s">
        <v>139</v>
      </c>
      <c r="M7" s="131" t="s">
        <v>140</v>
      </c>
      <c r="N7" s="599"/>
      <c r="O7" s="600"/>
      <c r="P7" s="602"/>
    </row>
    <row r="8" spans="1:16" ht="14.25" customHeight="1" x14ac:dyDescent="0.25">
      <c r="A8" s="29"/>
      <c r="B8" s="129"/>
      <c r="C8" s="129"/>
      <c r="D8" s="603" t="s">
        <v>141</v>
      </c>
      <c r="E8" s="604"/>
      <c r="F8" s="604"/>
      <c r="G8" s="605"/>
      <c r="H8" s="105"/>
      <c r="I8" s="106"/>
      <c r="J8" s="110">
        <f>+'EJEMPLO JMCC (7)'!E32</f>
        <v>103.75999999999986</v>
      </c>
      <c r="K8" s="107"/>
      <c r="L8" s="109">
        <f>+'EJEMPLO JMCC (7)'!L23</f>
        <v>425301</v>
      </c>
      <c r="M8" s="7"/>
      <c r="N8" s="481"/>
      <c r="O8" s="481"/>
      <c r="P8" s="18"/>
    </row>
    <row r="9" spans="1:16" ht="18" customHeight="1" x14ac:dyDescent="0.25">
      <c r="A9" s="95">
        <v>46097</v>
      </c>
      <c r="B9" s="130"/>
      <c r="C9" s="130"/>
      <c r="D9" s="606" t="s">
        <v>162</v>
      </c>
      <c r="E9" s="607"/>
      <c r="F9" s="607"/>
      <c r="G9" s="608"/>
      <c r="H9" s="130">
        <f>C9</f>
        <v>0</v>
      </c>
      <c r="I9" s="97">
        <f t="shared" ref="I9:I22" si="0">+M9/$E$32</f>
        <v>2</v>
      </c>
      <c r="J9" s="97">
        <f>+J8+H9-I9</f>
        <v>101.75999999999986</v>
      </c>
      <c r="K9" s="130">
        <f>+L8</f>
        <v>425301</v>
      </c>
      <c r="L9" s="103">
        <f>+L8+10</f>
        <v>425311</v>
      </c>
      <c r="M9" s="98">
        <f>+L9-K9</f>
        <v>10</v>
      </c>
      <c r="N9" s="609"/>
      <c r="O9" s="609"/>
      <c r="P9" s="100"/>
    </row>
    <row r="10" spans="1:16" ht="18" customHeight="1" x14ac:dyDescent="0.25">
      <c r="A10" s="95">
        <f>+A9+1</f>
        <v>46098</v>
      </c>
      <c r="B10" s="130"/>
      <c r="C10" s="130"/>
      <c r="D10" s="606" t="s">
        <v>162</v>
      </c>
      <c r="E10" s="607"/>
      <c r="F10" s="607"/>
      <c r="G10" s="608"/>
      <c r="H10" s="130">
        <f t="shared" ref="H10:H22" si="1">C10</f>
        <v>0</v>
      </c>
      <c r="I10" s="97">
        <f t="shared" si="0"/>
        <v>7.8</v>
      </c>
      <c r="J10" s="97">
        <f t="shared" ref="J10:J22" si="2">+J9+H10-I10</f>
        <v>93.959999999999866</v>
      </c>
      <c r="K10" s="130">
        <f>+L9</f>
        <v>425311</v>
      </c>
      <c r="L10" s="103">
        <f>+L9+39</f>
        <v>425350</v>
      </c>
      <c r="M10" s="98">
        <f t="shared" ref="M10:M22" si="3">+L10-K10</f>
        <v>39</v>
      </c>
      <c r="N10" s="609"/>
      <c r="O10" s="609"/>
      <c r="P10" s="100"/>
    </row>
    <row r="11" spans="1:16" ht="18" customHeight="1" x14ac:dyDescent="0.25">
      <c r="A11" s="95">
        <f t="shared" ref="A11:A24" si="4">+A10+1</f>
        <v>46099</v>
      </c>
      <c r="B11" s="130"/>
      <c r="C11" s="130"/>
      <c r="D11" s="606" t="s">
        <v>162</v>
      </c>
      <c r="E11" s="607"/>
      <c r="F11" s="607"/>
      <c r="G11" s="608"/>
      <c r="H11" s="130">
        <f t="shared" si="1"/>
        <v>0</v>
      </c>
      <c r="I11" s="97">
        <f t="shared" si="0"/>
        <v>9</v>
      </c>
      <c r="J11" s="97">
        <f t="shared" si="2"/>
        <v>84.959999999999866</v>
      </c>
      <c r="K11" s="130">
        <f t="shared" ref="K11:K22" si="5">+L10</f>
        <v>425350</v>
      </c>
      <c r="L11" s="103">
        <f>+L10+45</f>
        <v>425395</v>
      </c>
      <c r="M11" s="98">
        <f t="shared" si="3"/>
        <v>45</v>
      </c>
      <c r="N11" s="609"/>
      <c r="O11" s="609"/>
      <c r="P11" s="100"/>
    </row>
    <row r="12" spans="1:16" ht="18" customHeight="1" x14ac:dyDescent="0.25">
      <c r="A12" s="95">
        <f t="shared" si="4"/>
        <v>46100</v>
      </c>
      <c r="B12" s="130"/>
      <c r="C12" s="130"/>
      <c r="D12" s="606" t="s">
        <v>162</v>
      </c>
      <c r="E12" s="607"/>
      <c r="F12" s="607"/>
      <c r="G12" s="608"/>
      <c r="H12" s="130">
        <f t="shared" si="1"/>
        <v>0</v>
      </c>
      <c r="I12" s="97">
        <f t="shared" si="0"/>
        <v>8.6</v>
      </c>
      <c r="J12" s="97">
        <f t="shared" si="2"/>
        <v>76.359999999999872</v>
      </c>
      <c r="K12" s="130">
        <f t="shared" si="5"/>
        <v>425395</v>
      </c>
      <c r="L12" s="103">
        <f>+L11+43</f>
        <v>425438</v>
      </c>
      <c r="M12" s="98">
        <f t="shared" si="3"/>
        <v>43</v>
      </c>
      <c r="N12" s="609"/>
      <c r="O12" s="609"/>
      <c r="P12" s="100"/>
    </row>
    <row r="13" spans="1:16" ht="18" customHeight="1" x14ac:dyDescent="0.25">
      <c r="A13" s="95">
        <f t="shared" si="4"/>
        <v>46101</v>
      </c>
      <c r="B13" s="130"/>
      <c r="C13" s="130"/>
      <c r="D13" s="606" t="s">
        <v>162</v>
      </c>
      <c r="E13" s="607"/>
      <c r="F13" s="607"/>
      <c r="G13" s="608"/>
      <c r="H13" s="130">
        <f t="shared" si="1"/>
        <v>0</v>
      </c>
      <c r="I13" s="97">
        <f t="shared" si="0"/>
        <v>8.8000000000000007</v>
      </c>
      <c r="J13" s="97">
        <f t="shared" si="2"/>
        <v>67.559999999999874</v>
      </c>
      <c r="K13" s="130">
        <f t="shared" si="5"/>
        <v>425438</v>
      </c>
      <c r="L13" s="103">
        <f>+L12+44</f>
        <v>425482</v>
      </c>
      <c r="M13" s="98">
        <f t="shared" si="3"/>
        <v>44</v>
      </c>
      <c r="N13" s="609"/>
      <c r="O13" s="609"/>
      <c r="P13" s="100"/>
    </row>
    <row r="14" spans="1:16" ht="18" customHeight="1" x14ac:dyDescent="0.25">
      <c r="A14" s="95">
        <f t="shared" si="4"/>
        <v>46102</v>
      </c>
      <c r="B14" s="130"/>
      <c r="C14" s="130"/>
      <c r="D14" s="606" t="s">
        <v>162</v>
      </c>
      <c r="E14" s="607"/>
      <c r="F14" s="607"/>
      <c r="G14" s="608"/>
      <c r="H14" s="130">
        <f t="shared" si="1"/>
        <v>0</v>
      </c>
      <c r="I14" s="97">
        <f t="shared" si="0"/>
        <v>0</v>
      </c>
      <c r="J14" s="97">
        <f t="shared" si="2"/>
        <v>67.559999999999874</v>
      </c>
      <c r="K14" s="130">
        <f t="shared" si="5"/>
        <v>425482</v>
      </c>
      <c r="L14" s="103">
        <f>+L13+0</f>
        <v>425482</v>
      </c>
      <c r="M14" s="98">
        <f t="shared" si="3"/>
        <v>0</v>
      </c>
      <c r="N14" s="609"/>
      <c r="O14" s="609"/>
      <c r="P14" s="100"/>
    </row>
    <row r="15" spans="1:16" ht="18" customHeight="1" x14ac:dyDescent="0.25">
      <c r="A15" s="95">
        <f t="shared" si="4"/>
        <v>46103</v>
      </c>
      <c r="B15" s="130"/>
      <c r="C15" s="130"/>
      <c r="D15" s="606" t="s">
        <v>162</v>
      </c>
      <c r="E15" s="607"/>
      <c r="F15" s="607"/>
      <c r="G15" s="608"/>
      <c r="H15" s="130">
        <f t="shared" si="1"/>
        <v>0</v>
      </c>
      <c r="I15" s="97">
        <f t="shared" si="0"/>
        <v>0</v>
      </c>
      <c r="J15" s="97">
        <f t="shared" si="2"/>
        <v>67.559999999999874</v>
      </c>
      <c r="K15" s="130">
        <f t="shared" si="5"/>
        <v>425482</v>
      </c>
      <c r="L15" s="103">
        <f>+L14+0</f>
        <v>425482</v>
      </c>
      <c r="M15" s="98">
        <f t="shared" si="3"/>
        <v>0</v>
      </c>
      <c r="N15" s="609"/>
      <c r="O15" s="609"/>
      <c r="P15" s="100"/>
    </row>
    <row r="16" spans="1:16" ht="18" customHeight="1" x14ac:dyDescent="0.25">
      <c r="A16" s="95">
        <f t="shared" si="4"/>
        <v>46104</v>
      </c>
      <c r="B16" s="130"/>
      <c r="C16" s="130"/>
      <c r="D16" s="606" t="s">
        <v>162</v>
      </c>
      <c r="E16" s="607"/>
      <c r="F16" s="607"/>
      <c r="G16" s="608"/>
      <c r="H16" s="130">
        <f t="shared" si="1"/>
        <v>0</v>
      </c>
      <c r="I16" s="97">
        <f t="shared" si="0"/>
        <v>3.8</v>
      </c>
      <c r="J16" s="97">
        <f t="shared" si="2"/>
        <v>63.759999999999877</v>
      </c>
      <c r="K16" s="130">
        <f t="shared" si="5"/>
        <v>425482</v>
      </c>
      <c r="L16" s="103">
        <f>+L15+19</f>
        <v>425501</v>
      </c>
      <c r="M16" s="98">
        <f t="shared" si="3"/>
        <v>19</v>
      </c>
      <c r="N16" s="609"/>
      <c r="O16" s="609"/>
      <c r="P16" s="100"/>
    </row>
    <row r="17" spans="1:19" ht="18" customHeight="1" x14ac:dyDescent="0.25">
      <c r="A17" s="95">
        <f t="shared" si="4"/>
        <v>46105</v>
      </c>
      <c r="B17" s="130"/>
      <c r="C17" s="130"/>
      <c r="D17" s="606" t="s">
        <v>162</v>
      </c>
      <c r="E17" s="607"/>
      <c r="F17" s="607"/>
      <c r="G17" s="608"/>
      <c r="H17" s="130">
        <f t="shared" si="1"/>
        <v>0</v>
      </c>
      <c r="I17" s="97">
        <f t="shared" si="0"/>
        <v>3.6</v>
      </c>
      <c r="J17" s="97">
        <f t="shared" si="2"/>
        <v>60.159999999999876</v>
      </c>
      <c r="K17" s="130">
        <f t="shared" si="5"/>
        <v>425501</v>
      </c>
      <c r="L17" s="103">
        <f>+L16+18</f>
        <v>425519</v>
      </c>
      <c r="M17" s="98">
        <f t="shared" si="3"/>
        <v>18</v>
      </c>
      <c r="N17" s="609"/>
      <c r="O17" s="609"/>
      <c r="P17" s="100"/>
    </row>
    <row r="18" spans="1:19" ht="18" customHeight="1" x14ac:dyDescent="0.25">
      <c r="A18" s="95">
        <f t="shared" si="4"/>
        <v>46106</v>
      </c>
      <c r="B18" s="130"/>
      <c r="C18" s="101"/>
      <c r="D18" s="606" t="s">
        <v>162</v>
      </c>
      <c r="E18" s="607"/>
      <c r="F18" s="607"/>
      <c r="G18" s="608"/>
      <c r="H18" s="130">
        <f t="shared" si="1"/>
        <v>0</v>
      </c>
      <c r="I18" s="97">
        <f t="shared" si="0"/>
        <v>4.4000000000000004</v>
      </c>
      <c r="J18" s="97">
        <f t="shared" si="2"/>
        <v>55.759999999999877</v>
      </c>
      <c r="K18" s="130">
        <f t="shared" si="5"/>
        <v>425519</v>
      </c>
      <c r="L18" s="103">
        <f>+L17+22</f>
        <v>425541</v>
      </c>
      <c r="M18" s="98">
        <f t="shared" si="3"/>
        <v>22</v>
      </c>
      <c r="N18" s="609"/>
      <c r="O18" s="609"/>
      <c r="P18" s="100"/>
    </row>
    <row r="19" spans="1:19" ht="18" customHeight="1" x14ac:dyDescent="0.25">
      <c r="A19" s="95">
        <f t="shared" si="4"/>
        <v>46107</v>
      </c>
      <c r="B19" s="130"/>
      <c r="C19" s="101"/>
      <c r="D19" s="606" t="s">
        <v>162</v>
      </c>
      <c r="E19" s="607"/>
      <c r="F19" s="607"/>
      <c r="G19" s="608"/>
      <c r="H19" s="130">
        <f t="shared" si="1"/>
        <v>0</v>
      </c>
      <c r="I19" s="97">
        <f t="shared" si="0"/>
        <v>9.8000000000000007</v>
      </c>
      <c r="J19" s="97">
        <f t="shared" si="2"/>
        <v>45.95999999999988</v>
      </c>
      <c r="K19" s="130">
        <f t="shared" si="5"/>
        <v>425541</v>
      </c>
      <c r="L19" s="103">
        <f>+L18+49</f>
        <v>425590</v>
      </c>
      <c r="M19" s="98">
        <f t="shared" si="3"/>
        <v>49</v>
      </c>
      <c r="N19" s="609"/>
      <c r="O19" s="609"/>
      <c r="P19" s="100"/>
    </row>
    <row r="20" spans="1:19" ht="18" customHeight="1" x14ac:dyDescent="0.25">
      <c r="A20" s="95">
        <f t="shared" si="4"/>
        <v>46108</v>
      </c>
      <c r="B20" s="130"/>
      <c r="C20" s="101"/>
      <c r="D20" s="606" t="s">
        <v>162</v>
      </c>
      <c r="E20" s="607"/>
      <c r="F20" s="607"/>
      <c r="G20" s="608"/>
      <c r="H20" s="130">
        <f t="shared" si="1"/>
        <v>0</v>
      </c>
      <c r="I20" s="97">
        <f t="shared" si="0"/>
        <v>2.4</v>
      </c>
      <c r="J20" s="97">
        <f t="shared" si="2"/>
        <v>43.559999999999881</v>
      </c>
      <c r="K20" s="130">
        <f t="shared" si="5"/>
        <v>425590</v>
      </c>
      <c r="L20" s="103">
        <f>+L19+12</f>
        <v>425602</v>
      </c>
      <c r="M20" s="98">
        <f t="shared" si="3"/>
        <v>12</v>
      </c>
      <c r="N20" s="609"/>
      <c r="O20" s="609"/>
      <c r="P20" s="100"/>
    </row>
    <row r="21" spans="1:19" ht="18" customHeight="1" x14ac:dyDescent="0.25">
      <c r="A21" s="95">
        <f t="shared" si="4"/>
        <v>46109</v>
      </c>
      <c r="B21" s="130"/>
      <c r="C21" s="101"/>
      <c r="D21" s="606" t="s">
        <v>162</v>
      </c>
      <c r="E21" s="607"/>
      <c r="F21" s="607"/>
      <c r="G21" s="608"/>
      <c r="H21" s="130">
        <f t="shared" si="1"/>
        <v>0</v>
      </c>
      <c r="I21" s="97">
        <f t="shared" si="0"/>
        <v>0</v>
      </c>
      <c r="J21" s="97">
        <f t="shared" si="2"/>
        <v>43.559999999999881</v>
      </c>
      <c r="K21" s="130">
        <f t="shared" si="5"/>
        <v>425602</v>
      </c>
      <c r="L21" s="103">
        <f>+L20+0</f>
        <v>425602</v>
      </c>
      <c r="M21" s="98">
        <f t="shared" si="3"/>
        <v>0</v>
      </c>
      <c r="N21" s="609"/>
      <c r="O21" s="609"/>
      <c r="P21" s="100"/>
    </row>
    <row r="22" spans="1:19" ht="18" customHeight="1" x14ac:dyDescent="0.25">
      <c r="A22" s="95">
        <f t="shared" si="4"/>
        <v>46110</v>
      </c>
      <c r="B22" s="130"/>
      <c r="C22" s="101"/>
      <c r="D22" s="606" t="s">
        <v>162</v>
      </c>
      <c r="E22" s="607"/>
      <c r="F22" s="607"/>
      <c r="G22" s="608"/>
      <c r="H22" s="130">
        <f t="shared" si="1"/>
        <v>0</v>
      </c>
      <c r="I22" s="97">
        <f t="shared" si="0"/>
        <v>0</v>
      </c>
      <c r="J22" s="97">
        <f t="shared" si="2"/>
        <v>43.559999999999881</v>
      </c>
      <c r="K22" s="130">
        <f t="shared" si="5"/>
        <v>425602</v>
      </c>
      <c r="L22" s="103">
        <f>+L21+0</f>
        <v>425602</v>
      </c>
      <c r="M22" s="98">
        <f t="shared" si="3"/>
        <v>0</v>
      </c>
      <c r="N22" s="609"/>
      <c r="O22" s="609"/>
      <c r="P22" s="100"/>
    </row>
    <row r="23" spans="1:19" ht="18" customHeight="1" x14ac:dyDescent="0.25">
      <c r="A23" s="95">
        <f t="shared" si="4"/>
        <v>46111</v>
      </c>
      <c r="B23" s="130"/>
      <c r="C23" s="101"/>
      <c r="D23" s="606" t="s">
        <v>162</v>
      </c>
      <c r="E23" s="607"/>
      <c r="F23" s="607"/>
      <c r="G23" s="608"/>
      <c r="H23" s="130">
        <f t="shared" ref="H23:H24" si="6">C23</f>
        <v>0</v>
      </c>
      <c r="I23" s="97">
        <f t="shared" ref="I23:I24" si="7">+M23/$E$32</f>
        <v>10.8</v>
      </c>
      <c r="J23" s="97">
        <f t="shared" ref="J23:J24" si="8">+J22+H23-I23</f>
        <v>32.759999999999877</v>
      </c>
      <c r="K23" s="130">
        <f t="shared" ref="K23:K24" si="9">+L22</f>
        <v>425602</v>
      </c>
      <c r="L23" s="103">
        <f>+L22+54</f>
        <v>425656</v>
      </c>
      <c r="M23" s="98">
        <f t="shared" ref="M23:M24" si="10">+L23-K23</f>
        <v>54</v>
      </c>
      <c r="N23" s="609"/>
      <c r="O23" s="609"/>
      <c r="P23" s="100"/>
    </row>
    <row r="24" spans="1:19" ht="18" customHeight="1" thickBot="1" x14ac:dyDescent="0.3">
      <c r="A24" s="141">
        <f t="shared" si="4"/>
        <v>46112</v>
      </c>
      <c r="B24" s="142"/>
      <c r="C24" s="143"/>
      <c r="D24" s="621" t="s">
        <v>162</v>
      </c>
      <c r="E24" s="622"/>
      <c r="F24" s="622"/>
      <c r="G24" s="623"/>
      <c r="H24" s="142">
        <f t="shared" si="6"/>
        <v>0</v>
      </c>
      <c r="I24" s="144">
        <f t="shared" si="7"/>
        <v>8.1999999999999993</v>
      </c>
      <c r="J24" s="144">
        <f t="shared" si="8"/>
        <v>24.559999999999878</v>
      </c>
      <c r="K24" s="142">
        <f t="shared" si="9"/>
        <v>425656</v>
      </c>
      <c r="L24" s="145">
        <f>+L23+41</f>
        <v>425697</v>
      </c>
      <c r="M24" s="146">
        <f t="shared" si="10"/>
        <v>41</v>
      </c>
      <c r="N24" s="624"/>
      <c r="O24" s="624"/>
      <c r="P24" s="147"/>
      <c r="S24" s="132"/>
    </row>
    <row r="25" spans="1:19" ht="15.75" customHeight="1" thickTop="1" x14ac:dyDescent="0.25">
      <c r="A25" s="133"/>
      <c r="B25" s="134"/>
      <c r="C25" s="135"/>
      <c r="D25" s="625"/>
      <c r="E25" s="626"/>
      <c r="F25" s="626"/>
      <c r="G25" s="627"/>
      <c r="H25" s="134"/>
      <c r="I25" s="136">
        <f>+M25/$E$32</f>
        <v>79.2</v>
      </c>
      <c r="J25" s="136"/>
      <c r="K25" s="134"/>
      <c r="L25" s="137"/>
      <c r="M25" s="138">
        <f>SUM(M9:M24)</f>
        <v>396</v>
      </c>
      <c r="N25" s="139"/>
      <c r="O25" s="135"/>
      <c r="P25" s="140"/>
    </row>
    <row r="26" spans="1:19" ht="13.5" customHeight="1" x14ac:dyDescent="0.25">
      <c r="A26" s="27" t="s">
        <v>143</v>
      </c>
      <c r="I26" s="42"/>
      <c r="J26" s="42"/>
    </row>
    <row r="27" spans="1:19" ht="18" customHeight="1" x14ac:dyDescent="0.25">
      <c r="A27" s="610" t="s">
        <v>144</v>
      </c>
      <c r="B27" s="610"/>
      <c r="C27" s="610"/>
      <c r="D27" s="610"/>
      <c r="E27" s="103">
        <f>+K9</f>
        <v>425301</v>
      </c>
      <c r="G27" s="589" t="s">
        <v>145</v>
      </c>
      <c r="H27" s="589"/>
      <c r="I27" s="589" t="s">
        <v>146</v>
      </c>
      <c r="J27" s="589"/>
      <c r="K27" s="597" t="s">
        <v>147</v>
      </c>
      <c r="L27" s="598"/>
      <c r="M27" s="597" t="s">
        <v>148</v>
      </c>
      <c r="N27" s="598"/>
      <c r="O27" s="597" t="s">
        <v>149</v>
      </c>
      <c r="P27" s="598"/>
    </row>
    <row r="28" spans="1:19" ht="18" customHeight="1" x14ac:dyDescent="0.25">
      <c r="A28" s="610" t="s">
        <v>150</v>
      </c>
      <c r="B28" s="610"/>
      <c r="C28" s="610"/>
      <c r="D28" s="610"/>
      <c r="E28" s="103">
        <f>+L24</f>
        <v>425697</v>
      </c>
      <c r="G28" s="589"/>
      <c r="H28" s="589"/>
      <c r="I28" s="589"/>
      <c r="J28" s="589"/>
      <c r="K28" s="599"/>
      <c r="L28" s="600"/>
      <c r="M28" s="599"/>
      <c r="N28" s="600"/>
      <c r="O28" s="599"/>
      <c r="P28" s="600"/>
    </row>
    <row r="29" spans="1:19" ht="18" customHeight="1" x14ac:dyDescent="0.25">
      <c r="A29" s="610" t="s">
        <v>151</v>
      </c>
      <c r="B29" s="610"/>
      <c r="C29" s="610"/>
      <c r="D29" s="610"/>
      <c r="E29" s="103">
        <f>+E28-E27</f>
        <v>396</v>
      </c>
      <c r="G29" s="609"/>
      <c r="H29" s="609"/>
      <c r="I29" s="614"/>
      <c r="J29" s="614"/>
      <c r="K29" s="615"/>
      <c r="L29" s="616"/>
      <c r="M29" s="615"/>
      <c r="N29" s="616"/>
      <c r="O29" s="615"/>
      <c r="P29" s="616"/>
    </row>
    <row r="30" spans="1:19" ht="18" customHeight="1" x14ac:dyDescent="0.25">
      <c r="A30" s="610" t="s">
        <v>164</v>
      </c>
      <c r="B30" s="610"/>
      <c r="C30" s="610"/>
      <c r="D30" s="610"/>
      <c r="E30" s="104">
        <f>SUM(H9:H25)</f>
        <v>0</v>
      </c>
      <c r="G30" s="609"/>
      <c r="H30" s="609"/>
      <c r="I30" s="614"/>
      <c r="J30" s="614"/>
      <c r="K30" s="617"/>
      <c r="L30" s="618"/>
      <c r="M30" s="617"/>
      <c r="N30" s="618"/>
      <c r="O30" s="617"/>
      <c r="P30" s="618"/>
    </row>
    <row r="31" spans="1:19" ht="18" customHeight="1" x14ac:dyDescent="0.25">
      <c r="A31" s="610" t="s">
        <v>165</v>
      </c>
      <c r="B31" s="610"/>
      <c r="C31" s="610"/>
      <c r="D31" s="610"/>
      <c r="E31" s="104">
        <f>SUM(I9:I25)</f>
        <v>158.4</v>
      </c>
      <c r="G31" s="609"/>
      <c r="H31" s="609"/>
      <c r="I31" s="614"/>
      <c r="J31" s="614"/>
      <c r="K31" s="617"/>
      <c r="L31" s="618"/>
      <c r="M31" s="617"/>
      <c r="N31" s="618"/>
      <c r="O31" s="617"/>
      <c r="P31" s="618"/>
    </row>
    <row r="32" spans="1:19" ht="18" customHeight="1" x14ac:dyDescent="0.25">
      <c r="A32" s="610" t="s">
        <v>153</v>
      </c>
      <c r="B32" s="610"/>
      <c r="C32" s="610"/>
      <c r="D32" s="610"/>
      <c r="E32" s="97">
        <v>5</v>
      </c>
      <c r="G32" s="609"/>
      <c r="H32" s="609"/>
      <c r="I32" s="614"/>
      <c r="J32" s="614"/>
      <c r="K32" s="617"/>
      <c r="L32" s="618"/>
      <c r="M32" s="617"/>
      <c r="N32" s="618"/>
      <c r="O32" s="617"/>
      <c r="P32" s="618"/>
    </row>
    <row r="33" spans="1:16" ht="18" customHeight="1" x14ac:dyDescent="0.25">
      <c r="A33" s="611" t="s">
        <v>154</v>
      </c>
      <c r="B33" s="611"/>
      <c r="C33" s="611"/>
      <c r="D33" s="611"/>
      <c r="E33" s="97">
        <f>+J24</f>
        <v>24.559999999999878</v>
      </c>
      <c r="G33" s="609"/>
      <c r="H33" s="609"/>
      <c r="I33" s="614"/>
      <c r="J33" s="614"/>
      <c r="K33" s="619"/>
      <c r="L33" s="620"/>
      <c r="M33" s="619"/>
      <c r="N33" s="620"/>
      <c r="O33" s="619"/>
      <c r="P33" s="620"/>
    </row>
    <row r="34" spans="1:16" ht="6.75" customHeight="1" x14ac:dyDescent="0.25">
      <c r="A34" s="490"/>
      <c r="B34" s="490"/>
      <c r="C34" s="490"/>
    </row>
    <row r="35" spans="1:16" ht="15" customHeight="1" x14ac:dyDescent="0.25">
      <c r="A35" s="612" t="s">
        <v>155</v>
      </c>
      <c r="B35" s="613"/>
      <c r="C35" s="111"/>
      <c r="D35" s="111"/>
      <c r="E35" s="111"/>
      <c r="F35" s="111"/>
      <c r="G35" s="111"/>
      <c r="H35" s="111"/>
      <c r="I35" s="111"/>
      <c r="J35" s="111"/>
      <c r="K35" s="111"/>
      <c r="L35" s="111"/>
      <c r="M35" s="111"/>
      <c r="N35" s="111"/>
      <c r="O35" s="111"/>
      <c r="P35" s="112"/>
    </row>
    <row r="36" spans="1:16" ht="15" customHeight="1" x14ac:dyDescent="0.25">
      <c r="A36" s="113"/>
      <c r="B36" s="114"/>
      <c r="C36" s="114"/>
      <c r="D36" s="114"/>
      <c r="E36" s="114"/>
      <c r="F36" s="114"/>
      <c r="G36" s="114"/>
      <c r="H36" s="114"/>
      <c r="I36" s="114"/>
      <c r="J36" s="114"/>
      <c r="K36" s="114"/>
      <c r="L36" s="114"/>
      <c r="M36" s="114"/>
      <c r="N36" s="114"/>
      <c r="O36" s="114"/>
      <c r="P36" s="115"/>
    </row>
    <row r="37" spans="1:16" ht="15" customHeight="1" x14ac:dyDescent="0.25">
      <c r="A37" s="116"/>
      <c r="B37" s="117"/>
      <c r="C37" s="117"/>
      <c r="D37" s="117"/>
      <c r="E37" s="117"/>
      <c r="F37" s="117"/>
      <c r="G37" s="117"/>
      <c r="H37" s="117"/>
      <c r="I37" s="117"/>
      <c r="J37" s="117"/>
      <c r="K37" s="117"/>
      <c r="L37" s="117"/>
      <c r="M37" s="117"/>
      <c r="N37" s="117"/>
      <c r="O37" s="117"/>
      <c r="P37" s="118"/>
    </row>
    <row r="38" spans="1:16" ht="4.5" customHeight="1" x14ac:dyDescent="0.25"/>
  </sheetData>
  <mergeCells count="79">
    <mergeCell ref="A33:D33"/>
    <mergeCell ref="A34:C34"/>
    <mergeCell ref="A35:B35"/>
    <mergeCell ref="D23:G23"/>
    <mergeCell ref="O27:P28"/>
    <mergeCell ref="A28:D28"/>
    <mergeCell ref="A29:D29"/>
    <mergeCell ref="G29:H33"/>
    <mergeCell ref="I29:J33"/>
    <mergeCell ref="K29:L33"/>
    <mergeCell ref="M29:N33"/>
    <mergeCell ref="O29:P33"/>
    <mergeCell ref="A30:D30"/>
    <mergeCell ref="A31:D31"/>
    <mergeCell ref="A27:D27"/>
    <mergeCell ref="G27:H28"/>
    <mergeCell ref="I27:J28"/>
    <mergeCell ref="K27:L28"/>
    <mergeCell ref="M27:N28"/>
    <mergeCell ref="A32:D32"/>
    <mergeCell ref="D22:G22"/>
    <mergeCell ref="N22:O22"/>
    <mergeCell ref="D24:G24"/>
    <mergeCell ref="N24:O24"/>
    <mergeCell ref="D25:G25"/>
    <mergeCell ref="N23:O23"/>
    <mergeCell ref="D19:G19"/>
    <mergeCell ref="N19:O19"/>
    <mergeCell ref="D20:G20"/>
    <mergeCell ref="N20:O20"/>
    <mergeCell ref="D21:G21"/>
    <mergeCell ref="N21:O21"/>
    <mergeCell ref="D16:G16"/>
    <mergeCell ref="N16:O16"/>
    <mergeCell ref="D17:G17"/>
    <mergeCell ref="N17:O17"/>
    <mergeCell ref="D18:G18"/>
    <mergeCell ref="N18:O18"/>
    <mergeCell ref="D13:G13"/>
    <mergeCell ref="N13:O13"/>
    <mergeCell ref="D14:G14"/>
    <mergeCell ref="N14:O14"/>
    <mergeCell ref="D15:G15"/>
    <mergeCell ref="N15:O15"/>
    <mergeCell ref="D10:G10"/>
    <mergeCell ref="N10:O10"/>
    <mergeCell ref="D11:G11"/>
    <mergeCell ref="N11:O11"/>
    <mergeCell ref="D12:G12"/>
    <mergeCell ref="N12:O12"/>
    <mergeCell ref="N6:O7"/>
    <mergeCell ref="P6:P7"/>
    <mergeCell ref="D8:G8"/>
    <mergeCell ref="N8:O8"/>
    <mergeCell ref="D9:G9"/>
    <mergeCell ref="N9:O9"/>
    <mergeCell ref="K6:M6"/>
    <mergeCell ref="A6:A7"/>
    <mergeCell ref="B6:B7"/>
    <mergeCell ref="C6:C7"/>
    <mergeCell ref="D6:G7"/>
    <mergeCell ref="H6:J6"/>
    <mergeCell ref="A4:B4"/>
    <mergeCell ref="C4:J4"/>
    <mergeCell ref="K4:L4"/>
    <mergeCell ref="M4:P4"/>
    <mergeCell ref="A5:B5"/>
    <mergeCell ref="C5:J5"/>
    <mergeCell ref="K5:L5"/>
    <mergeCell ref="M5:P5"/>
    <mergeCell ref="A3:B3"/>
    <mergeCell ref="C3:J3"/>
    <mergeCell ref="K3:L3"/>
    <mergeCell ref="M3:P3"/>
    <mergeCell ref="A1:P1"/>
    <mergeCell ref="A2:B2"/>
    <mergeCell ref="C2:J2"/>
    <mergeCell ref="K2:L2"/>
    <mergeCell ref="M2:P2"/>
  </mergeCells>
  <pageMargins left="0.19685039370078741" right="0.39370078740157483" top="0.39370078740157483" bottom="0.39370078740157483" header="0" footer="0"/>
  <pageSetup scale="90"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sheetPr>
  <dimension ref="A1:S37"/>
  <sheetViews>
    <sheetView zoomScaleNormal="100" workbookViewId="0">
      <selection activeCell="L14" sqref="L14"/>
    </sheetView>
  </sheetViews>
  <sheetFormatPr baseColWidth="10" defaultRowHeight="15" x14ac:dyDescent="0.25"/>
  <cols>
    <col min="1" max="1" width="11.85546875" style="27" customWidth="1"/>
    <col min="2" max="2" width="7.42578125" style="27" customWidth="1"/>
    <col min="3" max="3" width="6" style="27" customWidth="1"/>
    <col min="4" max="4" width="11.85546875" style="27" customWidth="1"/>
    <col min="5" max="5" width="10.42578125" style="27" customWidth="1"/>
    <col min="6" max="6" width="4.28515625" style="27" customWidth="1"/>
    <col min="7" max="7" width="11.140625" style="27" customWidth="1"/>
    <col min="8" max="8" width="7.85546875" style="27" bestFit="1" customWidth="1"/>
    <col min="9" max="9" width="11.5703125" style="27" bestFit="1" customWidth="1"/>
    <col min="10" max="10" width="6.5703125" style="27" bestFit="1" customWidth="1"/>
    <col min="11" max="12" width="8.7109375" style="27" customWidth="1"/>
    <col min="13" max="13" width="10" style="27" bestFit="1" customWidth="1"/>
    <col min="14" max="14" width="5.7109375" style="27" customWidth="1"/>
    <col min="15" max="15" width="6.42578125" style="27" customWidth="1"/>
    <col min="16" max="16" width="10.5703125" style="27" customWidth="1"/>
    <col min="17" max="17" width="0.5703125" style="27" customWidth="1"/>
    <col min="18" max="16384" width="11.42578125" style="27"/>
  </cols>
  <sheetData>
    <row r="1" spans="1:16" ht="17.25" customHeight="1" x14ac:dyDescent="0.25">
      <c r="A1" s="582" t="s">
        <v>119</v>
      </c>
      <c r="B1" s="582"/>
      <c r="C1" s="582"/>
      <c r="D1" s="582"/>
      <c r="E1" s="582"/>
      <c r="F1" s="582"/>
      <c r="G1" s="582"/>
      <c r="H1" s="582"/>
      <c r="I1" s="582"/>
      <c r="J1" s="582"/>
      <c r="K1" s="582"/>
      <c r="L1" s="582"/>
      <c r="M1" s="582"/>
      <c r="N1" s="582"/>
      <c r="O1" s="582"/>
      <c r="P1" s="582"/>
    </row>
    <row r="2" spans="1:16" ht="18" customHeight="1" x14ac:dyDescent="0.25">
      <c r="A2" s="583" t="s">
        <v>118</v>
      </c>
      <c r="B2" s="584"/>
      <c r="C2" s="583">
        <v>2026</v>
      </c>
      <c r="D2" s="585"/>
      <c r="E2" s="585"/>
      <c r="F2" s="585"/>
      <c r="G2" s="585"/>
      <c r="H2" s="585"/>
      <c r="I2" s="585"/>
      <c r="J2" s="584"/>
      <c r="K2" s="586" t="s">
        <v>120</v>
      </c>
      <c r="L2" s="426"/>
      <c r="M2" s="587" t="s">
        <v>205</v>
      </c>
      <c r="N2" s="587"/>
      <c r="O2" s="587"/>
      <c r="P2" s="588"/>
    </row>
    <row r="3" spans="1:16" ht="18" customHeight="1" x14ac:dyDescent="0.25">
      <c r="A3" s="578" t="s">
        <v>121</v>
      </c>
      <c r="B3" s="579"/>
      <c r="C3" s="578" t="s">
        <v>218</v>
      </c>
      <c r="D3" s="580"/>
      <c r="E3" s="580"/>
      <c r="F3" s="580"/>
      <c r="G3" s="580"/>
      <c r="H3" s="580"/>
      <c r="I3" s="580"/>
      <c r="J3" s="579"/>
      <c r="K3" s="581" t="s">
        <v>122</v>
      </c>
      <c r="L3" s="581"/>
      <c r="M3" s="426" t="s">
        <v>201</v>
      </c>
      <c r="N3" s="426"/>
      <c r="O3" s="426"/>
      <c r="P3" s="427"/>
    </row>
    <row r="4" spans="1:16" ht="18" customHeight="1" x14ac:dyDescent="0.25">
      <c r="A4" s="578" t="s">
        <v>123</v>
      </c>
      <c r="B4" s="579"/>
      <c r="C4" s="578" t="s">
        <v>209</v>
      </c>
      <c r="D4" s="580"/>
      <c r="E4" s="580"/>
      <c r="F4" s="580"/>
      <c r="G4" s="580"/>
      <c r="H4" s="580"/>
      <c r="I4" s="580"/>
      <c r="J4" s="579"/>
      <c r="K4" s="581" t="s">
        <v>124</v>
      </c>
      <c r="L4" s="581"/>
      <c r="M4" s="586" t="s">
        <v>202</v>
      </c>
      <c r="N4" s="426"/>
      <c r="O4" s="426"/>
      <c r="P4" s="427"/>
    </row>
    <row r="5" spans="1:16" ht="18" customHeight="1" x14ac:dyDescent="0.25">
      <c r="A5" s="578" t="s">
        <v>125</v>
      </c>
      <c r="B5" s="579"/>
      <c r="C5" s="578" t="s">
        <v>160</v>
      </c>
      <c r="D5" s="580"/>
      <c r="E5" s="580"/>
      <c r="F5" s="580"/>
      <c r="G5" s="580"/>
      <c r="H5" s="580"/>
      <c r="I5" s="580"/>
      <c r="J5" s="579"/>
      <c r="K5" s="581" t="s">
        <v>126</v>
      </c>
      <c r="L5" s="581"/>
      <c r="M5" s="586" t="s">
        <v>203</v>
      </c>
      <c r="N5" s="426"/>
      <c r="O5" s="426"/>
      <c r="P5" s="427"/>
    </row>
    <row r="6" spans="1:16" ht="14.25" customHeight="1" x14ac:dyDescent="0.25">
      <c r="A6" s="589" t="s">
        <v>127</v>
      </c>
      <c r="B6" s="590" t="s">
        <v>128</v>
      </c>
      <c r="C6" s="590" t="s">
        <v>129</v>
      </c>
      <c r="D6" s="591" t="s">
        <v>130</v>
      </c>
      <c r="E6" s="592"/>
      <c r="F6" s="592"/>
      <c r="G6" s="593"/>
      <c r="H6" s="590" t="s">
        <v>131</v>
      </c>
      <c r="I6" s="590"/>
      <c r="J6" s="590"/>
      <c r="K6" s="590" t="s">
        <v>132</v>
      </c>
      <c r="L6" s="590"/>
      <c r="M6" s="590"/>
      <c r="N6" s="597" t="s">
        <v>133</v>
      </c>
      <c r="O6" s="598"/>
      <c r="P6" s="601" t="s">
        <v>134</v>
      </c>
    </row>
    <row r="7" spans="1:16" ht="14.25" customHeight="1" x14ac:dyDescent="0.25">
      <c r="A7" s="589"/>
      <c r="B7" s="590"/>
      <c r="C7" s="590"/>
      <c r="D7" s="594"/>
      <c r="E7" s="595"/>
      <c r="F7" s="595"/>
      <c r="G7" s="596"/>
      <c r="H7" s="376" t="s">
        <v>135</v>
      </c>
      <c r="I7" s="376" t="s">
        <v>136</v>
      </c>
      <c r="J7" s="376" t="s">
        <v>137</v>
      </c>
      <c r="K7" s="376" t="s">
        <v>138</v>
      </c>
      <c r="L7" s="376" t="s">
        <v>139</v>
      </c>
      <c r="M7" s="376" t="s">
        <v>140</v>
      </c>
      <c r="N7" s="599"/>
      <c r="O7" s="600"/>
      <c r="P7" s="602"/>
    </row>
    <row r="8" spans="1:16" ht="14.25" customHeight="1" x14ac:dyDescent="0.25">
      <c r="A8" s="29"/>
      <c r="B8" s="375"/>
      <c r="C8" s="375"/>
      <c r="D8" s="603" t="s">
        <v>141</v>
      </c>
      <c r="E8" s="604"/>
      <c r="F8" s="604"/>
      <c r="G8" s="605"/>
      <c r="H8" s="105"/>
      <c r="I8" s="106"/>
      <c r="J8" s="110">
        <f>+'EJEMPLO JMCC (8)'!E33</f>
        <v>24.559999999999878</v>
      </c>
      <c r="K8" s="107"/>
      <c r="L8" s="109">
        <f>+'EJEMPLO JMCC (8)'!E28</f>
        <v>425697</v>
      </c>
      <c r="M8" s="7"/>
      <c r="N8" s="481"/>
      <c r="O8" s="481"/>
      <c r="P8" s="18"/>
    </row>
    <row r="9" spans="1:16" ht="18" customHeight="1" x14ac:dyDescent="0.25">
      <c r="A9" s="95">
        <v>46113</v>
      </c>
      <c r="B9" s="377"/>
      <c r="C9" s="377"/>
      <c r="D9" s="606" t="s">
        <v>162</v>
      </c>
      <c r="E9" s="607"/>
      <c r="F9" s="607"/>
      <c r="G9" s="608"/>
      <c r="H9" s="377">
        <f>C9</f>
        <v>0</v>
      </c>
      <c r="I9" s="97">
        <f t="shared" ref="I9:I22" si="0">+M9/$E$31</f>
        <v>0</v>
      </c>
      <c r="J9" s="97">
        <f>+J8+H9-I9</f>
        <v>24.559999999999878</v>
      </c>
      <c r="K9" s="377">
        <f>+L8</f>
        <v>425697</v>
      </c>
      <c r="L9" s="103">
        <f>+L8+0</f>
        <v>425697</v>
      </c>
      <c r="M9" s="98">
        <f>+L9-K9</f>
        <v>0</v>
      </c>
      <c r="N9" s="609"/>
      <c r="O9" s="609"/>
      <c r="P9" s="100"/>
    </row>
    <row r="10" spans="1:16" ht="18" customHeight="1" x14ac:dyDescent="0.25">
      <c r="A10" s="95">
        <f>+A9+1</f>
        <v>46114</v>
      </c>
      <c r="B10" s="377"/>
      <c r="C10" s="377"/>
      <c r="D10" s="606" t="s">
        <v>162</v>
      </c>
      <c r="E10" s="607"/>
      <c r="F10" s="607"/>
      <c r="G10" s="608"/>
      <c r="H10" s="377">
        <f t="shared" ref="H10:H23" si="1">C10</f>
        <v>0</v>
      </c>
      <c r="I10" s="97">
        <f t="shared" si="0"/>
        <v>2.2222222222222223</v>
      </c>
      <c r="J10" s="97">
        <f t="shared" ref="J10:J23" si="2">+J9+H10-I10</f>
        <v>22.337777777777656</v>
      </c>
      <c r="K10" s="377">
        <f>+L9</f>
        <v>425697</v>
      </c>
      <c r="L10" s="103">
        <f>+L9+10</f>
        <v>425707</v>
      </c>
      <c r="M10" s="98">
        <f t="shared" ref="M10:M23" si="3">+L10-K10</f>
        <v>10</v>
      </c>
      <c r="N10" s="609"/>
      <c r="O10" s="609"/>
      <c r="P10" s="100"/>
    </row>
    <row r="11" spans="1:16" ht="18" customHeight="1" x14ac:dyDescent="0.25">
      <c r="A11" s="95">
        <f t="shared" ref="A11:A23" si="4">+A10+1</f>
        <v>46115</v>
      </c>
      <c r="B11" s="377"/>
      <c r="C11" s="377"/>
      <c r="D11" s="606" t="s">
        <v>219</v>
      </c>
      <c r="E11" s="607"/>
      <c r="F11" s="607"/>
      <c r="G11" s="608"/>
      <c r="H11" s="377">
        <f t="shared" si="1"/>
        <v>0</v>
      </c>
      <c r="I11" s="97">
        <f t="shared" si="0"/>
        <v>0</v>
      </c>
      <c r="J11" s="97">
        <f t="shared" si="2"/>
        <v>22.337777777777656</v>
      </c>
      <c r="K11" s="377">
        <f t="shared" ref="K11:K23" si="5">+L10</f>
        <v>425707</v>
      </c>
      <c r="L11" s="103">
        <f>+L10</f>
        <v>425707</v>
      </c>
      <c r="M11" s="98">
        <f t="shared" si="3"/>
        <v>0</v>
      </c>
      <c r="N11" s="609"/>
      <c r="O11" s="609"/>
      <c r="P11" s="100"/>
    </row>
    <row r="12" spans="1:16" ht="18" customHeight="1" x14ac:dyDescent="0.25">
      <c r="A12" s="95">
        <f t="shared" si="4"/>
        <v>46116</v>
      </c>
      <c r="B12" s="377"/>
      <c r="C12" s="377"/>
      <c r="D12" s="606" t="s">
        <v>162</v>
      </c>
      <c r="E12" s="607"/>
      <c r="F12" s="607"/>
      <c r="G12" s="608"/>
      <c r="H12" s="377">
        <f t="shared" si="1"/>
        <v>0</v>
      </c>
      <c r="I12" s="97">
        <f t="shared" si="0"/>
        <v>0</v>
      </c>
      <c r="J12" s="97">
        <f t="shared" si="2"/>
        <v>22.337777777777656</v>
      </c>
      <c r="K12" s="377">
        <f t="shared" si="5"/>
        <v>425707</v>
      </c>
      <c r="L12" s="103">
        <f>+L11</f>
        <v>425707</v>
      </c>
      <c r="M12" s="98">
        <f t="shared" si="3"/>
        <v>0</v>
      </c>
      <c r="N12" s="609"/>
      <c r="O12" s="609"/>
      <c r="P12" s="100"/>
    </row>
    <row r="13" spans="1:16" ht="18" customHeight="1" x14ac:dyDescent="0.25">
      <c r="A13" s="95">
        <f t="shared" si="4"/>
        <v>46117</v>
      </c>
      <c r="B13" s="377"/>
      <c r="C13" s="377"/>
      <c r="D13" s="606" t="s">
        <v>162</v>
      </c>
      <c r="E13" s="607"/>
      <c r="F13" s="607"/>
      <c r="G13" s="608"/>
      <c r="H13" s="377">
        <f t="shared" si="1"/>
        <v>0</v>
      </c>
      <c r="I13" s="97">
        <f t="shared" si="0"/>
        <v>0</v>
      </c>
      <c r="J13" s="97">
        <f t="shared" si="2"/>
        <v>22.337777777777656</v>
      </c>
      <c r="K13" s="377">
        <f t="shared" si="5"/>
        <v>425707</v>
      </c>
      <c r="L13" s="103">
        <f>+L12</f>
        <v>425707</v>
      </c>
      <c r="M13" s="98">
        <f t="shared" si="3"/>
        <v>0</v>
      </c>
      <c r="N13" s="609"/>
      <c r="O13" s="609"/>
      <c r="P13" s="100"/>
    </row>
    <row r="14" spans="1:16" ht="18" customHeight="1" x14ac:dyDescent="0.25">
      <c r="A14" s="95">
        <f t="shared" si="4"/>
        <v>46118</v>
      </c>
      <c r="B14" s="377"/>
      <c r="C14" s="377"/>
      <c r="D14" s="606" t="s">
        <v>162</v>
      </c>
      <c r="E14" s="607"/>
      <c r="F14" s="607"/>
      <c r="G14" s="608"/>
      <c r="H14" s="377">
        <f t="shared" si="1"/>
        <v>0</v>
      </c>
      <c r="I14" s="97">
        <f t="shared" si="0"/>
        <v>7.1111111111111107</v>
      </c>
      <c r="J14" s="97">
        <f t="shared" si="2"/>
        <v>15.226666666666546</v>
      </c>
      <c r="K14" s="377">
        <f t="shared" si="5"/>
        <v>425707</v>
      </c>
      <c r="L14" s="103">
        <f>+L13+32</f>
        <v>425739</v>
      </c>
      <c r="M14" s="98">
        <f t="shared" si="3"/>
        <v>32</v>
      </c>
      <c r="N14" s="609"/>
      <c r="O14" s="609"/>
      <c r="P14" s="100"/>
    </row>
    <row r="15" spans="1:16" ht="18" customHeight="1" x14ac:dyDescent="0.25">
      <c r="A15" s="95">
        <f t="shared" si="4"/>
        <v>46119</v>
      </c>
      <c r="B15" s="377"/>
      <c r="C15" s="377"/>
      <c r="D15" s="606" t="s">
        <v>162</v>
      </c>
      <c r="E15" s="607"/>
      <c r="F15" s="607"/>
      <c r="G15" s="608"/>
      <c r="H15" s="377">
        <f t="shared" si="1"/>
        <v>0</v>
      </c>
      <c r="I15" s="97">
        <f t="shared" si="0"/>
        <v>4.4444444444444446</v>
      </c>
      <c r="J15" s="97">
        <f t="shared" si="2"/>
        <v>10.782222222222101</v>
      </c>
      <c r="K15" s="377">
        <f t="shared" si="5"/>
        <v>425739</v>
      </c>
      <c r="L15" s="103">
        <f>+L14+20</f>
        <v>425759</v>
      </c>
      <c r="M15" s="98">
        <f t="shared" si="3"/>
        <v>20</v>
      </c>
      <c r="N15" s="609"/>
      <c r="O15" s="609"/>
      <c r="P15" s="100"/>
    </row>
    <row r="16" spans="1:16" ht="18" customHeight="1" x14ac:dyDescent="0.25">
      <c r="A16" s="95">
        <f t="shared" si="4"/>
        <v>46120</v>
      </c>
      <c r="B16" s="377"/>
      <c r="C16" s="377"/>
      <c r="D16" s="606" t="s">
        <v>162</v>
      </c>
      <c r="E16" s="607"/>
      <c r="F16" s="607"/>
      <c r="G16" s="608"/>
      <c r="H16" s="377">
        <f t="shared" si="1"/>
        <v>0</v>
      </c>
      <c r="I16" s="97">
        <f t="shared" si="0"/>
        <v>4.2222222222222223</v>
      </c>
      <c r="J16" s="97">
        <f t="shared" si="2"/>
        <v>6.5599999999998788</v>
      </c>
      <c r="K16" s="377">
        <f t="shared" si="5"/>
        <v>425759</v>
      </c>
      <c r="L16" s="103">
        <f>+L15+19</f>
        <v>425778</v>
      </c>
      <c r="M16" s="98">
        <f t="shared" si="3"/>
        <v>19</v>
      </c>
      <c r="N16" s="609"/>
      <c r="O16" s="609"/>
      <c r="P16" s="100"/>
    </row>
    <row r="17" spans="1:19" ht="18" customHeight="1" x14ac:dyDescent="0.25">
      <c r="A17" s="95">
        <f t="shared" si="4"/>
        <v>46121</v>
      </c>
      <c r="B17" s="377"/>
      <c r="C17" s="377"/>
      <c r="D17" s="606" t="s">
        <v>162</v>
      </c>
      <c r="E17" s="607"/>
      <c r="F17" s="607"/>
      <c r="G17" s="608"/>
      <c r="H17" s="377">
        <f t="shared" si="1"/>
        <v>0</v>
      </c>
      <c r="I17" s="97">
        <f t="shared" si="0"/>
        <v>4</v>
      </c>
      <c r="J17" s="97">
        <f t="shared" si="2"/>
        <v>2.5599999999998788</v>
      </c>
      <c r="K17" s="377">
        <f t="shared" si="5"/>
        <v>425778</v>
      </c>
      <c r="L17" s="103">
        <f>+L16+18</f>
        <v>425796</v>
      </c>
      <c r="M17" s="98">
        <f t="shared" si="3"/>
        <v>18</v>
      </c>
      <c r="N17" s="609"/>
      <c r="O17" s="609"/>
      <c r="P17" s="100"/>
    </row>
    <row r="18" spans="1:19" ht="18" customHeight="1" x14ac:dyDescent="0.25">
      <c r="A18" s="95">
        <f t="shared" si="4"/>
        <v>46122</v>
      </c>
      <c r="B18" s="377">
        <v>14738</v>
      </c>
      <c r="C18" s="101">
        <v>97</v>
      </c>
      <c r="D18" s="606" t="s">
        <v>162</v>
      </c>
      <c r="E18" s="607"/>
      <c r="F18" s="607"/>
      <c r="G18" s="608"/>
      <c r="H18" s="377">
        <f t="shared" si="1"/>
        <v>97</v>
      </c>
      <c r="I18" s="97">
        <f t="shared" si="0"/>
        <v>18.222222222222221</v>
      </c>
      <c r="J18" s="97">
        <f t="shared" si="2"/>
        <v>81.33777777777766</v>
      </c>
      <c r="K18" s="377">
        <f t="shared" si="5"/>
        <v>425796</v>
      </c>
      <c r="L18" s="103">
        <f>+L17+82</f>
        <v>425878</v>
      </c>
      <c r="M18" s="98">
        <f t="shared" si="3"/>
        <v>82</v>
      </c>
      <c r="N18" s="609"/>
      <c r="O18" s="609"/>
      <c r="P18" s="100"/>
    </row>
    <row r="19" spans="1:19" ht="18" customHeight="1" x14ac:dyDescent="0.25">
      <c r="A19" s="95">
        <f t="shared" si="4"/>
        <v>46123</v>
      </c>
      <c r="B19" s="377"/>
      <c r="C19" s="101"/>
      <c r="D19" s="606" t="s">
        <v>162</v>
      </c>
      <c r="E19" s="607"/>
      <c r="F19" s="607"/>
      <c r="G19" s="608"/>
      <c r="H19" s="377">
        <f t="shared" si="1"/>
        <v>0</v>
      </c>
      <c r="I19" s="97">
        <f t="shared" si="0"/>
        <v>0</v>
      </c>
      <c r="J19" s="97">
        <f t="shared" si="2"/>
        <v>81.33777777777766</v>
      </c>
      <c r="K19" s="377">
        <f t="shared" si="5"/>
        <v>425878</v>
      </c>
      <c r="L19" s="103">
        <f>+L18</f>
        <v>425878</v>
      </c>
      <c r="M19" s="98">
        <f t="shared" si="3"/>
        <v>0</v>
      </c>
      <c r="N19" s="609"/>
      <c r="O19" s="609"/>
      <c r="P19" s="100"/>
    </row>
    <row r="20" spans="1:19" ht="18" customHeight="1" x14ac:dyDescent="0.25">
      <c r="A20" s="95">
        <f t="shared" si="4"/>
        <v>46124</v>
      </c>
      <c r="B20" s="377"/>
      <c r="C20" s="101"/>
      <c r="D20" s="606" t="s">
        <v>162</v>
      </c>
      <c r="E20" s="607"/>
      <c r="F20" s="607"/>
      <c r="G20" s="608"/>
      <c r="H20" s="377">
        <f t="shared" si="1"/>
        <v>0</v>
      </c>
      <c r="I20" s="97">
        <f t="shared" si="0"/>
        <v>0</v>
      </c>
      <c r="J20" s="97">
        <f t="shared" si="2"/>
        <v>81.33777777777766</v>
      </c>
      <c r="K20" s="377">
        <f t="shared" si="5"/>
        <v>425878</v>
      </c>
      <c r="L20" s="103">
        <f>+L19</f>
        <v>425878</v>
      </c>
      <c r="M20" s="98">
        <f t="shared" si="3"/>
        <v>0</v>
      </c>
      <c r="N20" s="609"/>
      <c r="O20" s="609"/>
      <c r="P20" s="100"/>
    </row>
    <row r="21" spans="1:19" ht="18" customHeight="1" x14ac:dyDescent="0.25">
      <c r="A21" s="95">
        <f t="shared" si="4"/>
        <v>46125</v>
      </c>
      <c r="B21" s="377"/>
      <c r="C21" s="101"/>
      <c r="D21" s="606" t="s">
        <v>162</v>
      </c>
      <c r="E21" s="607"/>
      <c r="F21" s="607"/>
      <c r="G21" s="608"/>
      <c r="H21" s="377">
        <f t="shared" si="1"/>
        <v>0</v>
      </c>
      <c r="I21" s="97">
        <f t="shared" si="0"/>
        <v>7.7777777777777777</v>
      </c>
      <c r="J21" s="97">
        <f t="shared" si="2"/>
        <v>73.559999999999889</v>
      </c>
      <c r="K21" s="377">
        <f t="shared" si="5"/>
        <v>425878</v>
      </c>
      <c r="L21" s="103">
        <f>+L20+35</f>
        <v>425913</v>
      </c>
      <c r="M21" s="98">
        <f t="shared" si="3"/>
        <v>35</v>
      </c>
      <c r="N21" s="609"/>
      <c r="O21" s="609"/>
      <c r="P21" s="100"/>
    </row>
    <row r="22" spans="1:19" ht="18" customHeight="1" x14ac:dyDescent="0.25">
      <c r="A22" s="95">
        <f t="shared" si="4"/>
        <v>46126</v>
      </c>
      <c r="B22" s="377"/>
      <c r="C22" s="101"/>
      <c r="D22" s="606" t="s">
        <v>162</v>
      </c>
      <c r="E22" s="607"/>
      <c r="F22" s="607"/>
      <c r="G22" s="608"/>
      <c r="H22" s="377">
        <f t="shared" si="1"/>
        <v>0</v>
      </c>
      <c r="I22" s="97">
        <f t="shared" si="0"/>
        <v>9.3333333333333339</v>
      </c>
      <c r="J22" s="97">
        <f t="shared" si="2"/>
        <v>64.22666666666656</v>
      </c>
      <c r="K22" s="377">
        <f t="shared" si="5"/>
        <v>425913</v>
      </c>
      <c r="L22" s="103">
        <f>+L21+42</f>
        <v>425955</v>
      </c>
      <c r="M22" s="98">
        <f t="shared" si="3"/>
        <v>42</v>
      </c>
      <c r="N22" s="609"/>
      <c r="O22" s="609"/>
      <c r="P22" s="100"/>
    </row>
    <row r="23" spans="1:19" ht="18" customHeight="1" thickBot="1" x14ac:dyDescent="0.3">
      <c r="A23" s="95">
        <f t="shared" si="4"/>
        <v>46127</v>
      </c>
      <c r="B23" s="378"/>
      <c r="C23" s="143"/>
      <c r="D23" s="621" t="s">
        <v>162</v>
      </c>
      <c r="E23" s="622"/>
      <c r="F23" s="622"/>
      <c r="G23" s="623"/>
      <c r="H23" s="378">
        <f t="shared" si="1"/>
        <v>0</v>
      </c>
      <c r="I23" s="144">
        <f t="shared" ref="I23" si="6">+M23/$E$31</f>
        <v>9.7777777777777786</v>
      </c>
      <c r="J23" s="97">
        <f t="shared" si="2"/>
        <v>54.448888888888781</v>
      </c>
      <c r="K23" s="377">
        <f t="shared" si="5"/>
        <v>425955</v>
      </c>
      <c r="L23" s="145">
        <v>425999</v>
      </c>
      <c r="M23" s="146">
        <f t="shared" si="3"/>
        <v>44</v>
      </c>
      <c r="N23" s="628"/>
      <c r="O23" s="629"/>
      <c r="P23" s="147"/>
      <c r="S23" s="132"/>
    </row>
    <row r="24" spans="1:19" ht="15.75" customHeight="1" thickTop="1" x14ac:dyDescent="0.25">
      <c r="A24" s="133"/>
      <c r="B24" s="134"/>
      <c r="C24" s="135"/>
      <c r="D24" s="625"/>
      <c r="E24" s="626"/>
      <c r="F24" s="626"/>
      <c r="G24" s="627"/>
      <c r="H24" s="134"/>
      <c r="I24" s="136">
        <f>+M24/$E$31</f>
        <v>67.111111111111114</v>
      </c>
      <c r="J24" s="136"/>
      <c r="K24" s="134"/>
      <c r="L24" s="137"/>
      <c r="M24" s="138">
        <f>SUM(M9:M23)</f>
        <v>302</v>
      </c>
      <c r="N24" s="139"/>
      <c r="O24" s="135"/>
      <c r="P24" s="140"/>
    </row>
    <row r="25" spans="1:19" ht="13.5" customHeight="1" x14ac:dyDescent="0.25">
      <c r="A25" s="27" t="s">
        <v>143</v>
      </c>
      <c r="I25" s="42"/>
      <c r="J25" s="42"/>
    </row>
    <row r="26" spans="1:19" ht="18" customHeight="1" x14ac:dyDescent="0.25">
      <c r="A26" s="610" t="s">
        <v>144</v>
      </c>
      <c r="B26" s="610"/>
      <c r="C26" s="610"/>
      <c r="D26" s="610"/>
      <c r="E26" s="103">
        <f>+K9</f>
        <v>425697</v>
      </c>
      <c r="G26" s="589" t="s">
        <v>145</v>
      </c>
      <c r="H26" s="589"/>
      <c r="I26" s="589" t="s">
        <v>146</v>
      </c>
      <c r="J26" s="589"/>
      <c r="K26" s="597" t="s">
        <v>147</v>
      </c>
      <c r="L26" s="598"/>
      <c r="M26" s="597" t="s">
        <v>148</v>
      </c>
      <c r="N26" s="598"/>
      <c r="O26" s="597" t="s">
        <v>149</v>
      </c>
      <c r="P26" s="598"/>
    </row>
    <row r="27" spans="1:19" ht="18" customHeight="1" x14ac:dyDescent="0.25">
      <c r="A27" s="610" t="s">
        <v>150</v>
      </c>
      <c r="B27" s="610"/>
      <c r="C27" s="610"/>
      <c r="D27" s="610"/>
      <c r="E27" s="103">
        <f>+L23</f>
        <v>425999</v>
      </c>
      <c r="G27" s="589"/>
      <c r="H27" s="589"/>
      <c r="I27" s="589"/>
      <c r="J27" s="589"/>
      <c r="K27" s="599"/>
      <c r="L27" s="600"/>
      <c r="M27" s="599"/>
      <c r="N27" s="600"/>
      <c r="O27" s="599"/>
      <c r="P27" s="600"/>
    </row>
    <row r="28" spans="1:19" ht="18" customHeight="1" x14ac:dyDescent="0.25">
      <c r="A28" s="610" t="s">
        <v>151</v>
      </c>
      <c r="B28" s="610"/>
      <c r="C28" s="610"/>
      <c r="D28" s="610"/>
      <c r="E28" s="103">
        <f>+E27-E26</f>
        <v>302</v>
      </c>
      <c r="G28" s="609"/>
      <c r="H28" s="609"/>
      <c r="I28" s="614"/>
      <c r="J28" s="614"/>
      <c r="K28" s="615"/>
      <c r="L28" s="616"/>
      <c r="M28" s="615"/>
      <c r="N28" s="616"/>
      <c r="O28" s="615"/>
      <c r="P28" s="616"/>
    </row>
    <row r="29" spans="1:19" ht="18" customHeight="1" x14ac:dyDescent="0.25">
      <c r="A29" s="610" t="s">
        <v>164</v>
      </c>
      <c r="B29" s="610"/>
      <c r="C29" s="610"/>
      <c r="D29" s="610"/>
      <c r="E29" s="104">
        <f>SUM(H9:H24)</f>
        <v>97</v>
      </c>
      <c r="G29" s="609"/>
      <c r="H29" s="609"/>
      <c r="I29" s="614"/>
      <c r="J29" s="614"/>
      <c r="K29" s="617"/>
      <c r="L29" s="618"/>
      <c r="M29" s="617"/>
      <c r="N29" s="618"/>
      <c r="O29" s="617"/>
      <c r="P29" s="618"/>
    </row>
    <row r="30" spans="1:19" ht="18" customHeight="1" x14ac:dyDescent="0.25">
      <c r="A30" s="610" t="s">
        <v>165</v>
      </c>
      <c r="B30" s="610"/>
      <c r="C30" s="610"/>
      <c r="D30" s="610"/>
      <c r="E30" s="104">
        <f>SUM(I9:I24)</f>
        <v>134.22222222222223</v>
      </c>
      <c r="G30" s="609"/>
      <c r="H30" s="609"/>
      <c r="I30" s="614"/>
      <c r="J30" s="614"/>
      <c r="K30" s="617"/>
      <c r="L30" s="618"/>
      <c r="M30" s="617"/>
      <c r="N30" s="618"/>
      <c r="O30" s="617"/>
      <c r="P30" s="618"/>
    </row>
    <row r="31" spans="1:19" ht="18" customHeight="1" x14ac:dyDescent="0.25">
      <c r="A31" s="610" t="s">
        <v>153</v>
      </c>
      <c r="B31" s="610"/>
      <c r="C31" s="610"/>
      <c r="D31" s="610"/>
      <c r="E31" s="97">
        <v>4.5</v>
      </c>
      <c r="G31" s="609"/>
      <c r="H31" s="609"/>
      <c r="I31" s="614"/>
      <c r="J31" s="614"/>
      <c r="K31" s="617"/>
      <c r="L31" s="618"/>
      <c r="M31" s="617"/>
      <c r="N31" s="618"/>
      <c r="O31" s="617"/>
      <c r="P31" s="618"/>
    </row>
    <row r="32" spans="1:19" ht="18" customHeight="1" x14ac:dyDescent="0.25">
      <c r="A32" s="611" t="s">
        <v>154</v>
      </c>
      <c r="B32" s="611"/>
      <c r="C32" s="611"/>
      <c r="D32" s="611"/>
      <c r="E32" s="97">
        <f>+J23</f>
        <v>54.448888888888781</v>
      </c>
      <c r="G32" s="609"/>
      <c r="H32" s="609"/>
      <c r="I32" s="614"/>
      <c r="J32" s="614"/>
      <c r="K32" s="619"/>
      <c r="L32" s="620"/>
      <c r="M32" s="619"/>
      <c r="N32" s="620"/>
      <c r="O32" s="619"/>
      <c r="P32" s="620"/>
    </row>
    <row r="33" spans="1:16" ht="6.75" customHeight="1" x14ac:dyDescent="0.25">
      <c r="A33" s="490"/>
      <c r="B33" s="490"/>
      <c r="C33" s="490"/>
    </row>
    <row r="34" spans="1:16" ht="15" customHeight="1" x14ac:dyDescent="0.25">
      <c r="A34" s="612" t="s">
        <v>155</v>
      </c>
      <c r="B34" s="613"/>
      <c r="C34" s="111"/>
      <c r="D34" s="111"/>
      <c r="E34" s="111"/>
      <c r="F34" s="111"/>
      <c r="G34" s="111"/>
      <c r="H34" s="111"/>
      <c r="I34" s="111"/>
      <c r="J34" s="111"/>
      <c r="K34" s="111"/>
      <c r="L34" s="111"/>
      <c r="M34" s="111"/>
      <c r="N34" s="111"/>
      <c r="O34" s="111"/>
      <c r="P34" s="112"/>
    </row>
    <row r="35" spans="1:16" ht="15" customHeight="1" x14ac:dyDescent="0.25">
      <c r="A35" s="113"/>
      <c r="B35" s="114"/>
      <c r="C35" s="114"/>
      <c r="D35" s="114"/>
      <c r="E35" s="114"/>
      <c r="F35" s="114"/>
      <c r="G35" s="114"/>
      <c r="H35" s="114"/>
      <c r="I35" s="114"/>
      <c r="J35" s="114"/>
      <c r="K35" s="114"/>
      <c r="L35" s="114"/>
      <c r="M35" s="114"/>
      <c r="N35" s="114"/>
      <c r="O35" s="114"/>
      <c r="P35" s="115"/>
    </row>
    <row r="36" spans="1:16" ht="15" customHeight="1" x14ac:dyDescent="0.25">
      <c r="A36" s="116"/>
      <c r="B36" s="117"/>
      <c r="C36" s="117"/>
      <c r="D36" s="117"/>
      <c r="E36" s="117"/>
      <c r="F36" s="117"/>
      <c r="G36" s="117"/>
      <c r="H36" s="117"/>
      <c r="I36" s="117"/>
      <c r="J36" s="117"/>
      <c r="K36" s="117"/>
      <c r="L36" s="117"/>
      <c r="M36" s="117"/>
      <c r="N36" s="117"/>
      <c r="O36" s="117"/>
      <c r="P36" s="118"/>
    </row>
    <row r="37" spans="1:16" ht="4.5" customHeight="1" x14ac:dyDescent="0.25"/>
  </sheetData>
  <mergeCells count="77">
    <mergeCell ref="A3:B3"/>
    <mergeCell ref="C3:J3"/>
    <mergeCell ref="K3:L3"/>
    <mergeCell ref="M3:P3"/>
    <mergeCell ref="A1:P1"/>
    <mergeCell ref="A2:B2"/>
    <mergeCell ref="C2:J2"/>
    <mergeCell ref="K2:L2"/>
    <mergeCell ref="M2:P2"/>
    <mergeCell ref="A4:B4"/>
    <mergeCell ref="C4:J4"/>
    <mergeCell ref="K4:L4"/>
    <mergeCell ref="M4:P4"/>
    <mergeCell ref="A5:B5"/>
    <mergeCell ref="C5:J5"/>
    <mergeCell ref="K5:L5"/>
    <mergeCell ref="M5:P5"/>
    <mergeCell ref="A6:A7"/>
    <mergeCell ref="B6:B7"/>
    <mergeCell ref="C6:C7"/>
    <mergeCell ref="D6:G7"/>
    <mergeCell ref="H6:J6"/>
    <mergeCell ref="N6:O7"/>
    <mergeCell ref="P6:P7"/>
    <mergeCell ref="D8:G8"/>
    <mergeCell ref="N8:O8"/>
    <mergeCell ref="D9:G9"/>
    <mergeCell ref="N9:O9"/>
    <mergeCell ref="K6:M6"/>
    <mergeCell ref="D10:G10"/>
    <mergeCell ref="N10:O10"/>
    <mergeCell ref="D11:G11"/>
    <mergeCell ref="N11:O11"/>
    <mergeCell ref="D12:G12"/>
    <mergeCell ref="N12:O12"/>
    <mergeCell ref="D13:G13"/>
    <mergeCell ref="N13:O13"/>
    <mergeCell ref="D14:G14"/>
    <mergeCell ref="N14:O14"/>
    <mergeCell ref="D15:G15"/>
    <mergeCell ref="N15:O15"/>
    <mergeCell ref="D16:G16"/>
    <mergeCell ref="N16:O16"/>
    <mergeCell ref="D17:G17"/>
    <mergeCell ref="N17:O17"/>
    <mergeCell ref="D18:G18"/>
    <mergeCell ref="N18:O18"/>
    <mergeCell ref="M26:N27"/>
    <mergeCell ref="D22:G22"/>
    <mergeCell ref="N22:O22"/>
    <mergeCell ref="D19:G19"/>
    <mergeCell ref="N19:O19"/>
    <mergeCell ref="D20:G20"/>
    <mergeCell ref="N20:O20"/>
    <mergeCell ref="D21:G21"/>
    <mergeCell ref="N21:O21"/>
    <mergeCell ref="D24:G24"/>
    <mergeCell ref="A26:D26"/>
    <mergeCell ref="G26:H27"/>
    <mergeCell ref="I26:J27"/>
    <mergeCell ref="K26:L27"/>
    <mergeCell ref="A31:D31"/>
    <mergeCell ref="A32:D32"/>
    <mergeCell ref="A33:C33"/>
    <mergeCell ref="A34:B34"/>
    <mergeCell ref="N23:O23"/>
    <mergeCell ref="D23:G23"/>
    <mergeCell ref="O26:P27"/>
    <mergeCell ref="A27:D27"/>
    <mergeCell ref="A28:D28"/>
    <mergeCell ref="G28:H32"/>
    <mergeCell ref="I28:J32"/>
    <mergeCell ref="K28:L32"/>
    <mergeCell ref="M28:N32"/>
    <mergeCell ref="O28:P32"/>
    <mergeCell ref="A29:D29"/>
    <mergeCell ref="A30:D30"/>
  </mergeCells>
  <pageMargins left="0.19685039370078741" right="0.39370078740157483" top="0.39370078740157483" bottom="0.39370078740157483" header="0" footer="0"/>
  <pageSetup scale="9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15</vt:i4>
      </vt:variant>
      <vt:variant>
        <vt:lpstr>Rangos con nombre</vt:lpstr>
      </vt:variant>
      <vt:variant>
        <vt:i4>1</vt:i4>
      </vt:variant>
    </vt:vector>
  </HeadingPairs>
  <TitlesOfParts>
    <vt:vector size="16" baseType="lpstr">
      <vt:lpstr>bitacoras enero I</vt:lpstr>
      <vt:lpstr>Hoja1</vt:lpstr>
      <vt:lpstr>Hoja2</vt:lpstr>
      <vt:lpstr>FORMATO BITACORA (2)</vt:lpstr>
      <vt:lpstr>FORMATO BITACORA</vt:lpstr>
      <vt:lpstr>FORMATO BITACORA (3)</vt:lpstr>
      <vt:lpstr>EJEMPLO JMCC (1)</vt:lpstr>
      <vt:lpstr>EJEMPLO JMCC (2)</vt:lpstr>
      <vt:lpstr>EJEMPLO JMCC (3)</vt:lpstr>
      <vt:lpstr>EJEMPLO JMCC (4)</vt:lpstr>
      <vt:lpstr>EJEMPLO JMCC (5)</vt:lpstr>
      <vt:lpstr>EJEMPLO JMCC (6)</vt:lpstr>
      <vt:lpstr>EJEMPLO JMCC (7)</vt:lpstr>
      <vt:lpstr>EJEMPLO JMCC (8)</vt:lpstr>
      <vt:lpstr>EJEMPLO JMCC (9)</vt:lpstr>
      <vt:lpstr>'FORMATO BITACORA'!Área_de_impresión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Condori</dc:creator>
  <cp:lastModifiedBy>GADP</cp:lastModifiedBy>
  <cp:lastPrinted>2026-04-16T20:38:49Z</cp:lastPrinted>
  <dcterms:created xsi:type="dcterms:W3CDTF">2026-01-15T13:38:28Z</dcterms:created>
  <dcterms:modified xsi:type="dcterms:W3CDTF">2026-04-22T21:41:28Z</dcterms:modified>
</cp:coreProperties>
</file>