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35191\Desktop\UNI\5ºano\Gestão e Empreendedorismo\Exercises\"/>
    </mc:Choice>
  </mc:AlternateContent>
  <xr:revisionPtr revIDLastSave="0" documentId="13_ncr:1_{6D06B004-964F-4E61-9F73-02CD627FCD85}" xr6:coauthVersionLast="47" xr6:coauthVersionMax="47" xr10:uidLastSave="{00000000-0000-0000-0000-000000000000}"/>
  <bookViews>
    <workbookView xWindow="-108" yWindow="-108" windowWidth="23256" windowHeight="12456" tabRatio="782" activeTab="8" xr2:uid="{00000000-000D-0000-FFFF-FFFF00000000}"/>
  </bookViews>
  <sheets>
    <sheet name="1" sheetId="1" r:id="rId1"/>
    <sheet name="2" sheetId="4" r:id="rId2"/>
    <sheet name="3" sheetId="5" r:id="rId3"/>
    <sheet name="4" sheetId="7" r:id="rId4"/>
    <sheet name="5" sheetId="8" r:id="rId5"/>
    <sheet name="6" sheetId="9" r:id="rId6"/>
    <sheet name="7-Factos" sheetId="12" r:id="rId7"/>
    <sheet name="7-B" sheetId="10" r:id="rId8"/>
    <sheet name="7-DR" sheetId="11" r:id="rId9"/>
    <sheet name="8-Factos" sheetId="17" r:id="rId10"/>
    <sheet name="8-B_n-1" sheetId="14" r:id="rId11"/>
    <sheet name="8-DR" sheetId="15" r:id="rId12"/>
    <sheet name="8-B_n" sheetId="16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0" l="1"/>
  <c r="G3" i="4"/>
  <c r="G3" i="1"/>
  <c r="B16" i="1"/>
  <c r="D29" i="1"/>
  <c r="B34" i="1"/>
  <c r="B35" i="1"/>
  <c r="D8" i="1"/>
  <c r="D11" i="1"/>
  <c r="B16" i="4"/>
  <c r="D29" i="4"/>
  <c r="B34" i="4"/>
  <c r="B35" i="4"/>
  <c r="D8" i="4"/>
  <c r="D11" i="4"/>
  <c r="B10" i="5"/>
  <c r="B17" i="5"/>
  <c r="B18" i="5"/>
  <c r="B25" i="5"/>
  <c r="B26" i="5"/>
  <c r="B27" i="5"/>
  <c r="B28" i="5"/>
  <c r="B10" i="7"/>
  <c r="B17" i="7"/>
  <c r="D17" i="7"/>
  <c r="B18" i="7"/>
  <c r="B25" i="7"/>
  <c r="D25" i="7"/>
  <c r="B26" i="7"/>
  <c r="B27" i="7"/>
  <c r="B28" i="7"/>
  <c r="B32" i="7"/>
  <c r="B33" i="7"/>
  <c r="B34" i="7"/>
  <c r="D3" i="7"/>
  <c r="C5" i="9"/>
  <c r="C9" i="9"/>
  <c r="C15" i="9"/>
  <c r="C19" i="9"/>
  <c r="F25" i="9"/>
  <c r="C25" i="9"/>
  <c r="C29" i="9"/>
  <c r="C35" i="9"/>
  <c r="C37" i="9"/>
  <c r="C39" i="9"/>
  <c r="C46" i="9"/>
  <c r="C48" i="9"/>
  <c r="C50" i="9"/>
  <c r="C56" i="9"/>
  <c r="C60" i="9"/>
  <c r="C66" i="9"/>
  <c r="C68" i="9"/>
  <c r="C70" i="9"/>
  <c r="C77" i="9"/>
  <c r="C81" i="9"/>
  <c r="C5" i="12"/>
  <c r="C8" i="12"/>
  <c r="C10" i="12"/>
  <c r="D10" i="10"/>
  <c r="D12" i="10"/>
  <c r="C9" i="12"/>
  <c r="C14" i="12"/>
  <c r="C15" i="12"/>
  <c r="C18" i="12"/>
  <c r="D3" i="10"/>
  <c r="B5" i="10"/>
  <c r="B7" i="10"/>
  <c r="B8" i="10"/>
  <c r="B9" i="10"/>
  <c r="B12" i="10"/>
  <c r="B14" i="10"/>
  <c r="D14" i="10"/>
  <c r="B20" i="10"/>
  <c r="B21" i="10"/>
  <c r="B22" i="10" s="1"/>
  <c r="C5" i="11"/>
  <c r="C7" i="11"/>
  <c r="C8" i="11"/>
  <c r="C9" i="11"/>
  <c r="C10" i="11"/>
  <c r="C11" i="11"/>
  <c r="C12" i="11"/>
  <c r="C14" i="11"/>
  <c r="C15" i="11"/>
  <c r="C19" i="11"/>
  <c r="C3" i="17"/>
  <c r="C5" i="17"/>
  <c r="C7" i="17"/>
  <c r="C9" i="17"/>
  <c r="C13" i="17"/>
  <c r="D6" i="15"/>
  <c r="C15" i="17"/>
  <c r="C16" i="17"/>
  <c r="D7" i="15"/>
  <c r="C19" i="17"/>
  <c r="C20" i="17"/>
  <c r="C21" i="17"/>
  <c r="C22" i="17"/>
  <c r="C23" i="17"/>
  <c r="D6" i="14"/>
  <c r="B7" i="14"/>
  <c r="B9" i="14"/>
  <c r="D12" i="14"/>
  <c r="B16" i="14"/>
  <c r="D16" i="14"/>
  <c r="D18" i="14"/>
  <c r="B20" i="14"/>
  <c r="B21" i="14"/>
  <c r="B22" i="14" s="1"/>
  <c r="D22" i="14"/>
  <c r="C5" i="15"/>
  <c r="D5" i="15"/>
  <c r="C7" i="15"/>
  <c r="C9" i="15"/>
  <c r="C12" i="15"/>
  <c r="C13" i="15"/>
  <c r="C16" i="15"/>
  <c r="C17" i="15"/>
  <c r="D10" i="15"/>
  <c r="D11" i="15"/>
  <c r="D12" i="15"/>
  <c r="D16" i="15"/>
  <c r="D3" i="16"/>
  <c r="B5" i="16"/>
  <c r="D8" i="15"/>
  <c r="B8" i="16"/>
  <c r="D10" i="16"/>
  <c r="D12" i="16"/>
  <c r="B14" i="16"/>
  <c r="D14" i="16"/>
  <c r="B16" i="16"/>
  <c r="B20" i="16"/>
  <c r="B21" i="16"/>
  <c r="D6" i="7"/>
  <c r="D10" i="7"/>
  <c r="D18" i="7"/>
  <c r="D26" i="7"/>
  <c r="C18" i="15"/>
  <c r="C19" i="15"/>
  <c r="D35" i="4"/>
  <c r="D35" i="1"/>
  <c r="D9" i="15"/>
  <c r="D13" i="15"/>
  <c r="D17" i="15"/>
  <c r="C16" i="11"/>
  <c r="C20" i="11"/>
  <c r="B7" i="16"/>
  <c r="B9" i="16"/>
  <c r="D18" i="15"/>
  <c r="D15" i="16"/>
  <c r="D16" i="16"/>
  <c r="D18" i="16"/>
  <c r="D27" i="7"/>
  <c r="D28" i="7"/>
  <c r="C21" i="11"/>
  <c r="D15" i="10"/>
  <c r="D16" i="10"/>
  <c r="D18" i="10"/>
  <c r="C22" i="11"/>
  <c r="D5" i="10"/>
  <c r="D6" i="10"/>
  <c r="D22" i="10"/>
  <c r="D19" i="15"/>
  <c r="D5" i="16"/>
  <c r="D6" i="16"/>
  <c r="D22" i="16"/>
  <c r="B22" i="16" l="1"/>
</calcChain>
</file>

<file path=xl/sharedStrings.xml><?xml version="1.0" encoding="utf-8"?>
<sst xmlns="http://schemas.openxmlformats.org/spreadsheetml/2006/main" count="445" uniqueCount="184">
  <si>
    <t>Balanço</t>
  </si>
  <si>
    <t>Ativo</t>
  </si>
  <si>
    <t>Capital próprio</t>
  </si>
  <si>
    <t>Não corrente</t>
  </si>
  <si>
    <t>Capital</t>
  </si>
  <si>
    <t>Fundo de maneio</t>
  </si>
  <si>
    <t>Incorpóreo</t>
  </si>
  <si>
    <t>P. Capital Social</t>
  </si>
  <si>
    <t>O. Despesas de instalação</t>
  </si>
  <si>
    <t>Reservas</t>
  </si>
  <si>
    <t>Corpóreos</t>
  </si>
  <si>
    <t>G. Edifício</t>
  </si>
  <si>
    <t>Resultado líquido</t>
  </si>
  <si>
    <t>H. Automóveis</t>
  </si>
  <si>
    <t>M. Mobiliário de escritório</t>
  </si>
  <si>
    <t>Financeiro</t>
  </si>
  <si>
    <t>Total do capital próprio</t>
  </si>
  <si>
    <t>F. Quota na sociedade Vénus</t>
  </si>
  <si>
    <t>Passivo</t>
  </si>
  <si>
    <t>Dívidas a terceiros - médio e longo prazo</t>
  </si>
  <si>
    <t>Amortizações</t>
  </si>
  <si>
    <t>Empréstimos obtidos</t>
  </si>
  <si>
    <t>Total do ativo não corrente</t>
  </si>
  <si>
    <t>N. Banco de Fomento</t>
  </si>
  <si>
    <t>Corrente</t>
  </si>
  <si>
    <t>Existências</t>
  </si>
  <si>
    <t>D. Mercadoria</t>
  </si>
  <si>
    <t>Dívidas a terceiros - curto prazo</t>
  </si>
  <si>
    <t>E. Matérias-primas</t>
  </si>
  <si>
    <t>Fornecedores</t>
  </si>
  <si>
    <t>Dívidas de terceiros - curto prazo</t>
  </si>
  <si>
    <t>K. Alfa</t>
  </si>
  <si>
    <t>Clientes</t>
  </si>
  <si>
    <t>J. Marte</t>
  </si>
  <si>
    <t>Outros credores</t>
  </si>
  <si>
    <t>Outros devedores</t>
  </si>
  <si>
    <t>L. Segurança Social</t>
  </si>
  <si>
    <t>C. Empregado A. Santos</t>
  </si>
  <si>
    <t>I. Sócio Delta</t>
  </si>
  <si>
    <t>Depósitos bancários e caixa</t>
  </si>
  <si>
    <t>Depósitos</t>
  </si>
  <si>
    <t>Total do passivo</t>
  </si>
  <si>
    <t>B. Caixa Geral</t>
  </si>
  <si>
    <t>Caixa</t>
  </si>
  <si>
    <t>A. Dinheiro em cofre</t>
  </si>
  <si>
    <t>Total do ativo corrente</t>
  </si>
  <si>
    <t>Total do ativo líquido</t>
  </si>
  <si>
    <t>Total de capital próprio e passivo</t>
  </si>
  <si>
    <t>N. Capital Social</t>
  </si>
  <si>
    <t>M. Patente</t>
  </si>
  <si>
    <t>Corpóreo</t>
  </si>
  <si>
    <t>D. Edifício</t>
  </si>
  <si>
    <t>E. Automóveis</t>
  </si>
  <si>
    <t>G. Mob. escritório e comput.</t>
  </si>
  <si>
    <t>Financeiras</t>
  </si>
  <si>
    <t>Total do imobilizado líquido</t>
  </si>
  <si>
    <t>K. Banco de Fomento</t>
  </si>
  <si>
    <t>C. Mercadoria</t>
  </si>
  <si>
    <t>I. Matérias-primas</t>
  </si>
  <si>
    <t>J. Beta</t>
  </si>
  <si>
    <t>F. Gama</t>
  </si>
  <si>
    <t>L. Sócio F. Leite</t>
  </si>
  <si>
    <t>B. Empregado Toneca</t>
  </si>
  <si>
    <t>A. Caixa Geral</t>
  </si>
  <si>
    <t>H. Dinheiro em cofre</t>
  </si>
  <si>
    <t>Demonstração de Resultados</t>
  </si>
  <si>
    <t>Rendimentos operacionais</t>
  </si>
  <si>
    <t>Vendas</t>
  </si>
  <si>
    <t>Gastos operacionais</t>
  </si>
  <si>
    <t>Custo merc. vend. mat. consum.</t>
  </si>
  <si>
    <t>Fornecimentos e serviços externos</t>
  </si>
  <si>
    <t>Gastos com o pessoal</t>
  </si>
  <si>
    <t>Resultado operacional</t>
  </si>
  <si>
    <t>Rendimentos financeiros</t>
  </si>
  <si>
    <t>Rendim. de participações de capital</t>
  </si>
  <si>
    <t>Gastos financeiros</t>
  </si>
  <si>
    <t>Juros suportados</t>
  </si>
  <si>
    <t>Resultado financeiro</t>
  </si>
  <si>
    <t>Resultado corrente</t>
  </si>
  <si>
    <t>Rendimentos e ganhos extraordinários</t>
  </si>
  <si>
    <t>Ganhos em imobilizações</t>
  </si>
  <si>
    <t>Gastos e perdas extraordinários</t>
  </si>
  <si>
    <t>Resultado extraordinário</t>
  </si>
  <si>
    <t>Resultado antes de imposto</t>
  </si>
  <si>
    <t>Imposto</t>
  </si>
  <si>
    <t>ii)</t>
  </si>
  <si>
    <t>Perdas em imobilizações</t>
  </si>
  <si>
    <t>Redução possível da contribuição</t>
  </si>
  <si>
    <t>de Vendas-CMVMC para o Res. Líq.</t>
  </si>
  <si>
    <t>Contribuição actual</t>
  </si>
  <si>
    <t>Redução percentual</t>
  </si>
  <si>
    <t>Transação</t>
  </si>
  <si>
    <t>Resultado Líquido</t>
  </si>
  <si>
    <t>Venda de mercadoria a pronto</t>
  </si>
  <si>
    <t>+</t>
  </si>
  <si>
    <t>Pagamento de cliente, relativo a venda a crédito anterior</t>
  </si>
  <si>
    <t>Compra de mercadoria a crédito</t>
  </si>
  <si>
    <t>Pagamento a fornecedor, relativo a compra a crédito anterior</t>
  </si>
  <si>
    <t>-</t>
  </si>
  <si>
    <t>Pagamento de remunerações ao pessoal</t>
  </si>
  <si>
    <t>Aquisição de imobilizado corpóreo, com financiamento bancário</t>
  </si>
  <si>
    <t xml:space="preserve">Venda de imobilizado corpóreo por valor inferior ao respetivo valor líquido </t>
  </si>
  <si>
    <t>Pagamento de imposto sobre rendimentos em dívida, relativo ao ano anterior</t>
  </si>
  <si>
    <t>6.</t>
  </si>
  <si>
    <t>(nota: todos os valores correspodem às diferenças que resultam das transações)</t>
  </si>
  <si>
    <t>a)</t>
  </si>
  <si>
    <t xml:space="preserve">Compra, a pronto, de um computador (1.200 €). </t>
  </si>
  <si>
    <t>ATIVO</t>
  </si>
  <si>
    <t>Disponibilidades (caixa)</t>
  </si>
  <si>
    <t>PASSIVO</t>
  </si>
  <si>
    <t>RES LÍQUIDO</t>
  </si>
  <si>
    <t>b)</t>
  </si>
  <si>
    <t xml:space="preserve">O empregado A pagou 500 €, para reembolsar parte de uma dívida (recente).  </t>
  </si>
  <si>
    <t>Dívidas de terceiros</t>
  </si>
  <si>
    <t>c)</t>
  </si>
  <si>
    <t xml:space="preserve">Venda, por 600 €, de um computador que tinha sido comprado há 2 anos por 1 000 euros, e amortizado a 25% ao ano (com pagamento a 60 dias). </t>
  </si>
  <si>
    <t>d)</t>
  </si>
  <si>
    <t xml:space="preserve">Compra de matérias-primas, no valor de 1.000 €, à empresa ZYX (pagamento a 30 dias). </t>
  </si>
  <si>
    <t>e)</t>
  </si>
  <si>
    <t xml:space="preserve">Pagamento a um fornecedor de 700 €, do valor em dívida. </t>
  </si>
  <si>
    <t>f)</t>
  </si>
  <si>
    <t>Venda, a pronto, por 4.000 €, de produtos em stock (avaliados em 3.600 €).</t>
  </si>
  <si>
    <t>g)</t>
  </si>
  <si>
    <t xml:space="preserve">Compra de um computador, no valor de 1.000 €, à empresa Rosa (400 € a pronto, e 600 € a 30 dias). </t>
  </si>
  <si>
    <t>h)</t>
  </si>
  <si>
    <t xml:space="preserve">Recebimento de 2.000 € por parte do cliente Amarelo. </t>
  </si>
  <si>
    <t>(supõe-se que está a pagar um valor em dívida)</t>
  </si>
  <si>
    <t>7. Factos</t>
  </si>
  <si>
    <t>Capital social</t>
  </si>
  <si>
    <t>Edifício</t>
  </si>
  <si>
    <t>Equipamento</t>
  </si>
  <si>
    <t>Empréstimo</t>
  </si>
  <si>
    <t>Anos</t>
  </si>
  <si>
    <t>Juros</t>
  </si>
  <si>
    <t>Reembolso anual</t>
  </si>
  <si>
    <t>Saldo do empréstimo</t>
  </si>
  <si>
    <t>Compras</t>
  </si>
  <si>
    <t>Mercadorias</t>
  </si>
  <si>
    <t>Meses</t>
  </si>
  <si>
    <t>Custo das mercadorias vendidas</t>
  </si>
  <si>
    <t>Pessoal</t>
  </si>
  <si>
    <t>Taxa de amortização</t>
  </si>
  <si>
    <t>Taxa de imposto</t>
  </si>
  <si>
    <t>7. Balanço</t>
  </si>
  <si>
    <t>Reservas legais</t>
  </si>
  <si>
    <t>Total do ativo não corrente líquido</t>
  </si>
  <si>
    <t>Fornecedores de imobilizado</t>
  </si>
  <si>
    <t>Acréscimos e diferimentos</t>
  </si>
  <si>
    <t>7. Demonstração de Resultados</t>
  </si>
  <si>
    <t>PG</t>
  </si>
  <si>
    <t>Rendimentos e Ganhos</t>
  </si>
  <si>
    <t>CP</t>
  </si>
  <si>
    <t>Gastos e Perdas</t>
  </si>
  <si>
    <t>Prestações de serviços</t>
  </si>
  <si>
    <t>Resultado bruto</t>
  </si>
  <si>
    <t>Gastos com pessoal</t>
  </si>
  <si>
    <t>Resultado antes de impostos</t>
  </si>
  <si>
    <t>8. Factos</t>
  </si>
  <si>
    <t>Aumento das unidades vendidas</t>
  </si>
  <si>
    <t>Unidades vendidas</t>
  </si>
  <si>
    <t>Aumento do imobilizado</t>
  </si>
  <si>
    <t>Prazo (anos)</t>
  </si>
  <si>
    <t>Amortização anual</t>
  </si>
  <si>
    <t>Juros 1º ano</t>
  </si>
  <si>
    <t>Montante juros 1º ano</t>
  </si>
  <si>
    <t>Variação gastos fixos</t>
  </si>
  <si>
    <t>Variação gastos var. unitários</t>
  </si>
  <si>
    <t>Gastos fixos anteriores</t>
  </si>
  <si>
    <t>Gastos fixos novos</t>
  </si>
  <si>
    <t>Gastos variáveis unit. anteriores</t>
  </si>
  <si>
    <t>Gastos variáveis unit. novos</t>
  </si>
  <si>
    <t>Total gastos variáveis</t>
  </si>
  <si>
    <t>Variação do preço</t>
  </si>
  <si>
    <t>Preço antigo</t>
  </si>
  <si>
    <t>Preço novo</t>
  </si>
  <si>
    <t>Ganhos em participações</t>
  </si>
  <si>
    <t>Resultados extraordinários</t>
  </si>
  <si>
    <t>8. Balanço no ano n-1</t>
  </si>
  <si>
    <t>8. Demonstração de Resultados</t>
  </si>
  <si>
    <t>n-1</t>
  </si>
  <si>
    <t>n</t>
  </si>
  <si>
    <t>Gastos fixos</t>
  </si>
  <si>
    <t>Gastos variáveis</t>
  </si>
  <si>
    <t>8. Balanço no ano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</si>
</sst>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2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0" fillId="0" borderId="0" xfId="2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44" fontId="2" fillId="0" borderId="0" xfId="2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44" fontId="0" fillId="0" borderId="0" xfId="1" applyFont="1"/>
    <xf numFmtId="44" fontId="2" fillId="0" borderId="0" xfId="0" applyNumberFormat="1" applyFont="1"/>
    <xf numFmtId="0" fontId="1" fillId="0" borderId="0" xfId="0" applyFont="1"/>
    <xf numFmtId="9" fontId="0" fillId="0" borderId="0" xfId="0" applyNumberFormat="1"/>
    <xf numFmtId="44" fontId="0" fillId="0" borderId="0" xfId="0" applyNumberFormat="1"/>
    <xf numFmtId="10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44" fontId="1" fillId="0" borderId="0" xfId="0" applyNumberFormat="1" applyFont="1"/>
    <xf numFmtId="44" fontId="1" fillId="0" borderId="0" xfId="2" applyFont="1"/>
    <xf numFmtId="44" fontId="1" fillId="0" borderId="0" xfId="2"/>
    <xf numFmtId="9" fontId="1" fillId="0" borderId="0" xfId="2" applyNumberFormat="1" applyFont="1"/>
    <xf numFmtId="0" fontId="1" fillId="0" borderId="0" xfId="2" applyNumberFormat="1" applyFont="1"/>
    <xf numFmtId="9" fontId="1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Currency" xfId="1" builtinId="4"/>
    <cellStyle name="Euro" xfId="2" xr:uid="{00000000-0005-0000-0000-000001000000}"/>
    <cellStyle name="Normal" xfId="0" builtinId="0"/>
    <cellStyle name="Percent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F8" sqref="F8"/>
    </sheetView>
  </sheetViews>
  <sheetFormatPr defaultColWidth="8.88671875" defaultRowHeight="13.2" x14ac:dyDescent="0.25"/>
  <cols>
    <col min="1" max="1" width="32.33203125" bestFit="1" customWidth="1"/>
    <col min="2" max="2" width="12.88671875" bestFit="1" customWidth="1"/>
    <col min="3" max="3" width="37.109375" bestFit="1" customWidth="1"/>
    <col min="4" max="4" width="12.88671875" bestFit="1" customWidth="1"/>
    <col min="6" max="6" width="17.33203125" bestFit="1" customWidth="1"/>
    <col min="7" max="7" width="11.88671875" bestFit="1" customWidth="1"/>
  </cols>
  <sheetData>
    <row r="1" spans="1:7" x14ac:dyDescent="0.25">
      <c r="A1" s="32" t="s">
        <v>0</v>
      </c>
      <c r="B1" s="32"/>
      <c r="C1" s="32"/>
      <c r="D1" s="32"/>
    </row>
    <row r="2" spans="1:7" x14ac:dyDescent="0.25">
      <c r="A2" s="1" t="s">
        <v>1</v>
      </c>
      <c r="B2" s="2"/>
      <c r="C2" s="1" t="s">
        <v>2</v>
      </c>
      <c r="D2" s="2"/>
    </row>
    <row r="3" spans="1:7" x14ac:dyDescent="0.25">
      <c r="A3" s="3" t="s">
        <v>3</v>
      </c>
      <c r="B3" s="2"/>
      <c r="C3" s="4" t="s">
        <v>4</v>
      </c>
      <c r="D3" s="2"/>
      <c r="F3" s="1" t="s">
        <v>5</v>
      </c>
      <c r="G3" s="13">
        <f>D11+D16-B16</f>
        <v>17400</v>
      </c>
    </row>
    <row r="4" spans="1:7" x14ac:dyDescent="0.25">
      <c r="A4" s="5" t="s">
        <v>6</v>
      </c>
      <c r="B4" s="2"/>
      <c r="C4" s="5" t="s">
        <v>7</v>
      </c>
      <c r="D4" s="2">
        <v>48000</v>
      </c>
    </row>
    <row r="5" spans="1:7" x14ac:dyDescent="0.25">
      <c r="A5" s="10" t="s">
        <v>8</v>
      </c>
      <c r="B5" s="2">
        <v>5000</v>
      </c>
      <c r="C5" s="6" t="s">
        <v>9</v>
      </c>
      <c r="D5" s="2"/>
    </row>
    <row r="6" spans="1:7" x14ac:dyDescent="0.25">
      <c r="A6" s="5"/>
      <c r="B6" s="2"/>
      <c r="C6" s="4"/>
      <c r="D6" s="2"/>
    </row>
    <row r="7" spans="1:7" x14ac:dyDescent="0.25">
      <c r="A7" s="5" t="s">
        <v>10</v>
      </c>
      <c r="B7" s="2"/>
      <c r="C7" s="4"/>
      <c r="D7" s="2"/>
    </row>
    <row r="8" spans="1:7" x14ac:dyDescent="0.25">
      <c r="A8" s="10" t="s">
        <v>11</v>
      </c>
      <c r="B8" s="2">
        <v>50000</v>
      </c>
      <c r="C8" s="4" t="s">
        <v>12</v>
      </c>
      <c r="D8" s="2">
        <f>B35-(D4+D29)</f>
        <v>32400</v>
      </c>
    </row>
    <row r="9" spans="1:7" x14ac:dyDescent="0.25">
      <c r="A9" s="10" t="s">
        <v>13</v>
      </c>
      <c r="B9" s="2">
        <v>18000</v>
      </c>
      <c r="C9" s="4"/>
      <c r="D9" s="2"/>
    </row>
    <row r="10" spans="1:7" x14ac:dyDescent="0.25">
      <c r="A10" s="10" t="s">
        <v>14</v>
      </c>
      <c r="B10" s="2">
        <v>3000</v>
      </c>
      <c r="C10" s="4"/>
      <c r="D10" s="2"/>
    </row>
    <row r="11" spans="1:7" x14ac:dyDescent="0.25">
      <c r="A11" s="5" t="s">
        <v>15</v>
      </c>
      <c r="B11" s="2"/>
      <c r="C11" s="3" t="s">
        <v>16</v>
      </c>
      <c r="D11" s="7">
        <f>D4+D8</f>
        <v>80400</v>
      </c>
    </row>
    <row r="12" spans="1:7" x14ac:dyDescent="0.25">
      <c r="A12" s="10" t="s">
        <v>17</v>
      </c>
      <c r="B12" s="2">
        <v>12000</v>
      </c>
      <c r="D12" s="2"/>
    </row>
    <row r="13" spans="1:7" x14ac:dyDescent="0.25">
      <c r="A13" s="5"/>
      <c r="B13" s="2"/>
      <c r="C13" s="8" t="s">
        <v>18</v>
      </c>
      <c r="D13" s="2"/>
    </row>
    <row r="14" spans="1:7" x14ac:dyDescent="0.25">
      <c r="A14" s="5"/>
      <c r="B14" s="2"/>
      <c r="C14" s="4" t="s">
        <v>19</v>
      </c>
      <c r="D14" s="2"/>
    </row>
    <row r="15" spans="1:7" x14ac:dyDescent="0.25">
      <c r="A15" s="5" t="s">
        <v>20</v>
      </c>
      <c r="B15" s="2"/>
      <c r="C15" s="5" t="s">
        <v>21</v>
      </c>
      <c r="D15" s="2"/>
    </row>
    <row r="16" spans="1:7" x14ac:dyDescent="0.25">
      <c r="A16" s="9" t="s">
        <v>22</v>
      </c>
      <c r="B16" s="7">
        <f>B5+B8+B9+B10+B12</f>
        <v>88000</v>
      </c>
      <c r="C16" s="10" t="s">
        <v>23</v>
      </c>
      <c r="D16" s="2">
        <v>25000</v>
      </c>
    </row>
    <row r="17" spans="1:4" x14ac:dyDescent="0.25">
      <c r="A17" s="3" t="s">
        <v>24</v>
      </c>
      <c r="B17" s="2"/>
      <c r="C17" s="5"/>
      <c r="D17" s="2"/>
    </row>
    <row r="18" spans="1:4" x14ac:dyDescent="0.25">
      <c r="A18" s="5" t="s">
        <v>25</v>
      </c>
      <c r="B18" s="2"/>
      <c r="C18" s="5"/>
      <c r="D18" s="2"/>
    </row>
    <row r="19" spans="1:4" x14ac:dyDescent="0.25">
      <c r="A19" s="10" t="s">
        <v>26</v>
      </c>
      <c r="B19" s="2">
        <v>10200</v>
      </c>
      <c r="C19" s="4" t="s">
        <v>27</v>
      </c>
      <c r="D19" s="2"/>
    </row>
    <row r="20" spans="1:4" x14ac:dyDescent="0.25">
      <c r="A20" s="10" t="s">
        <v>28</v>
      </c>
      <c r="B20" s="2">
        <v>5300</v>
      </c>
      <c r="C20" s="5" t="s">
        <v>29</v>
      </c>
    </row>
    <row r="21" spans="1:4" x14ac:dyDescent="0.25">
      <c r="A21" s="5" t="s">
        <v>30</v>
      </c>
      <c r="B21" s="2"/>
      <c r="C21" s="10" t="s">
        <v>31</v>
      </c>
      <c r="D21" s="12">
        <v>350</v>
      </c>
    </row>
    <row r="22" spans="1:4" x14ac:dyDescent="0.25">
      <c r="A22" s="10" t="s">
        <v>32</v>
      </c>
      <c r="B22" s="2"/>
      <c r="C22" s="5"/>
    </row>
    <row r="23" spans="1:4" x14ac:dyDescent="0.25">
      <c r="A23" s="11" t="s">
        <v>33</v>
      </c>
      <c r="B23" s="2">
        <v>520</v>
      </c>
      <c r="C23" s="5"/>
    </row>
    <row r="24" spans="1:4" x14ac:dyDescent="0.25">
      <c r="A24" s="10"/>
      <c r="B24" s="2"/>
      <c r="C24" s="5" t="s">
        <v>34</v>
      </c>
      <c r="D24" s="2"/>
    </row>
    <row r="25" spans="1:4" x14ac:dyDescent="0.25">
      <c r="A25" s="10" t="s">
        <v>35</v>
      </c>
      <c r="B25" s="2"/>
      <c r="C25" s="10" t="s">
        <v>36</v>
      </c>
      <c r="D25" s="2">
        <v>250</v>
      </c>
    </row>
    <row r="26" spans="1:4" x14ac:dyDescent="0.25">
      <c r="A26" s="11" t="s">
        <v>37</v>
      </c>
      <c r="B26" s="2">
        <v>500</v>
      </c>
      <c r="C26" s="5"/>
      <c r="D26" s="2"/>
    </row>
    <row r="27" spans="1:4" x14ac:dyDescent="0.25">
      <c r="A27" s="11" t="s">
        <v>38</v>
      </c>
      <c r="B27" s="2">
        <v>430</v>
      </c>
      <c r="D27" s="7"/>
    </row>
    <row r="28" spans="1:4" x14ac:dyDescent="0.25">
      <c r="A28" s="5" t="s">
        <v>39</v>
      </c>
      <c r="B28" s="2"/>
    </row>
    <row r="29" spans="1:4" x14ac:dyDescent="0.25">
      <c r="A29" s="10" t="s">
        <v>40</v>
      </c>
      <c r="B29" s="2"/>
      <c r="C29" s="3" t="s">
        <v>41</v>
      </c>
      <c r="D29" s="7">
        <f>D16+D21+D25</f>
        <v>25600</v>
      </c>
    </row>
    <row r="30" spans="1:4" x14ac:dyDescent="0.25">
      <c r="A30" s="11" t="s">
        <v>42</v>
      </c>
      <c r="B30" s="2">
        <v>700</v>
      </c>
      <c r="D30" s="7"/>
    </row>
    <row r="31" spans="1:4" x14ac:dyDescent="0.25">
      <c r="A31" s="10"/>
      <c r="B31" s="2"/>
    </row>
    <row r="32" spans="1:4" x14ac:dyDescent="0.25">
      <c r="A32" s="10" t="s">
        <v>43</v>
      </c>
      <c r="B32" s="2"/>
    </row>
    <row r="33" spans="1:4" x14ac:dyDescent="0.25">
      <c r="A33" s="11" t="s">
        <v>44</v>
      </c>
      <c r="B33" s="2">
        <v>350</v>
      </c>
    </row>
    <row r="34" spans="1:4" x14ac:dyDescent="0.25">
      <c r="A34" s="3" t="s">
        <v>45</v>
      </c>
      <c r="B34" s="7">
        <f>B19+B20+B23+B26+B27+B30+B33</f>
        <v>18000</v>
      </c>
    </row>
    <row r="35" spans="1:4" x14ac:dyDescent="0.25">
      <c r="A35" s="3" t="s">
        <v>46</v>
      </c>
      <c r="B35" s="7">
        <f>B16+B34</f>
        <v>106000</v>
      </c>
      <c r="C35" s="1" t="s">
        <v>47</v>
      </c>
      <c r="D35" s="13">
        <f>D11+D29</f>
        <v>106000</v>
      </c>
    </row>
  </sheetData>
  <mergeCells count="1">
    <mergeCell ref="A1:D1"/>
  </mergeCells>
  <phoneticPr fontId="9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7"/>
  <sheetViews>
    <sheetView workbookViewId="0">
      <selection activeCell="B10" sqref="B10"/>
    </sheetView>
  </sheetViews>
  <sheetFormatPr defaultColWidth="8.88671875" defaultRowHeight="13.2" x14ac:dyDescent="0.25"/>
  <cols>
    <col min="1" max="1" width="2" bestFit="1" customWidth="1"/>
    <col min="2" max="2" width="30.44140625" bestFit="1" customWidth="1"/>
    <col min="3" max="3" width="20.33203125" style="14" bestFit="1" customWidth="1"/>
  </cols>
  <sheetData>
    <row r="1" spans="1:3" x14ac:dyDescent="0.25">
      <c r="A1" s="1" t="s">
        <v>157</v>
      </c>
    </row>
    <row r="2" spans="1:3" x14ac:dyDescent="0.25">
      <c r="A2">
        <v>1</v>
      </c>
      <c r="B2" t="s">
        <v>158</v>
      </c>
      <c r="C2" s="29">
        <v>0.2</v>
      </c>
    </row>
    <row r="3" spans="1:3" x14ac:dyDescent="0.25">
      <c r="B3" t="s">
        <v>159</v>
      </c>
      <c r="C3" s="30">
        <f>50*(1+C2)</f>
        <v>60</v>
      </c>
    </row>
    <row r="4" spans="1:3" x14ac:dyDescent="0.25">
      <c r="A4">
        <v>2</v>
      </c>
      <c r="B4" t="s">
        <v>160</v>
      </c>
      <c r="C4" s="27">
        <v>500000</v>
      </c>
    </row>
    <row r="5" spans="1:3" x14ac:dyDescent="0.25">
      <c r="B5" t="s">
        <v>131</v>
      </c>
      <c r="C5" s="26">
        <f>C4</f>
        <v>500000</v>
      </c>
    </row>
    <row r="6" spans="1:3" x14ac:dyDescent="0.25">
      <c r="B6" t="s">
        <v>161</v>
      </c>
      <c r="C6" s="14">
        <v>5</v>
      </c>
    </row>
    <row r="7" spans="1:3" x14ac:dyDescent="0.25">
      <c r="B7" t="s">
        <v>162</v>
      </c>
      <c r="C7" s="26">
        <f>+C5/C6</f>
        <v>100000</v>
      </c>
    </row>
    <row r="8" spans="1:3" x14ac:dyDescent="0.25">
      <c r="B8" t="s">
        <v>163</v>
      </c>
      <c r="C8" s="29">
        <v>0.1</v>
      </c>
    </row>
    <row r="9" spans="1:3" x14ac:dyDescent="0.25">
      <c r="B9" t="s">
        <v>164</v>
      </c>
      <c r="C9" s="26">
        <f>+C8*C5</f>
        <v>50000</v>
      </c>
    </row>
    <row r="10" spans="1:3" x14ac:dyDescent="0.25">
      <c r="A10">
        <v>3</v>
      </c>
      <c r="B10" t="s">
        <v>165</v>
      </c>
      <c r="C10" s="31">
        <v>0.05</v>
      </c>
    </row>
    <row r="11" spans="1:3" x14ac:dyDescent="0.25">
      <c r="B11" t="s">
        <v>166</v>
      </c>
      <c r="C11" s="29">
        <v>0.05</v>
      </c>
    </row>
    <row r="12" spans="1:3" x14ac:dyDescent="0.25">
      <c r="B12" t="s">
        <v>167</v>
      </c>
      <c r="C12" s="27">
        <v>2000000</v>
      </c>
    </row>
    <row r="13" spans="1:3" x14ac:dyDescent="0.25">
      <c r="B13" t="s">
        <v>168</v>
      </c>
      <c r="C13" s="27">
        <f>+C12*(1+C10)</f>
        <v>2100000</v>
      </c>
    </row>
    <row r="14" spans="1:3" x14ac:dyDescent="0.25">
      <c r="B14" t="s">
        <v>169</v>
      </c>
      <c r="C14" s="26">
        <v>50000</v>
      </c>
    </row>
    <row r="15" spans="1:3" x14ac:dyDescent="0.25">
      <c r="B15" t="s">
        <v>170</v>
      </c>
      <c r="C15" s="27">
        <f>+C14*(1+C11)</f>
        <v>52500</v>
      </c>
    </row>
    <row r="16" spans="1:3" x14ac:dyDescent="0.25">
      <c r="B16" t="s">
        <v>171</v>
      </c>
      <c r="C16" s="26">
        <f>+C3*C15</f>
        <v>3150000</v>
      </c>
    </row>
    <row r="17" spans="1:3" x14ac:dyDescent="0.25">
      <c r="A17">
        <v>4</v>
      </c>
      <c r="B17" t="s">
        <v>172</v>
      </c>
      <c r="C17" s="31">
        <v>0.05</v>
      </c>
    </row>
    <row r="18" spans="1:3" x14ac:dyDescent="0.25">
      <c r="B18" t="s">
        <v>173</v>
      </c>
      <c r="C18" s="26">
        <v>100000</v>
      </c>
    </row>
    <row r="19" spans="1:3" x14ac:dyDescent="0.25">
      <c r="B19" t="s">
        <v>174</v>
      </c>
      <c r="C19" s="27">
        <f>+C18*(1+C17)</f>
        <v>105000</v>
      </c>
    </row>
    <row r="20" spans="1:3" x14ac:dyDescent="0.25">
      <c r="B20" t="s">
        <v>67</v>
      </c>
      <c r="C20" s="27">
        <f>+C3*C19</f>
        <v>6300000</v>
      </c>
    </row>
    <row r="21" spans="1:3" x14ac:dyDescent="0.25">
      <c r="A21">
        <v>5</v>
      </c>
      <c r="B21" t="s">
        <v>29</v>
      </c>
      <c r="C21" s="27">
        <f>+'8-B_n-1'!D14*(1+'8-Factos'!C11)*(1+C2)</f>
        <v>252000</v>
      </c>
    </row>
    <row r="22" spans="1:3" x14ac:dyDescent="0.25">
      <c r="B22" s="2" t="s">
        <v>32</v>
      </c>
      <c r="C22" s="27">
        <f>+'8-B_n-1'!B14*(1+'8-Factos'!C11)*(1+C2)</f>
        <v>126000</v>
      </c>
    </row>
    <row r="23" spans="1:3" x14ac:dyDescent="0.25">
      <c r="A23">
        <v>6</v>
      </c>
      <c r="B23" t="s">
        <v>25</v>
      </c>
      <c r="C23" s="26">
        <f>+'8-B_n-1'!B12</f>
        <v>300000</v>
      </c>
    </row>
    <row r="24" spans="1:3" x14ac:dyDescent="0.25">
      <c r="A24">
        <v>7</v>
      </c>
      <c r="B24" t="s">
        <v>175</v>
      </c>
      <c r="C24" s="27">
        <v>45000</v>
      </c>
    </row>
    <row r="25" spans="1:3" x14ac:dyDescent="0.25">
      <c r="B25" t="s">
        <v>176</v>
      </c>
      <c r="C25" s="27">
        <v>0</v>
      </c>
    </row>
    <row r="26" spans="1:3" x14ac:dyDescent="0.25">
      <c r="A26">
        <v>8</v>
      </c>
      <c r="B26" t="s">
        <v>141</v>
      </c>
      <c r="C26" s="31">
        <v>0.1</v>
      </c>
    </row>
    <row r="27" spans="1:3" x14ac:dyDescent="0.25">
      <c r="A27">
        <v>9</v>
      </c>
      <c r="B27" t="s">
        <v>84</v>
      </c>
      <c r="C27" s="31">
        <v>0.3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>
      <selection activeCell="B23" sqref="B23"/>
    </sheetView>
  </sheetViews>
  <sheetFormatPr defaultColWidth="8.88671875" defaultRowHeight="13.2" x14ac:dyDescent="0.25"/>
  <cols>
    <col min="1" max="1" width="37.109375" customWidth="1"/>
    <col min="2" max="2" width="14.44140625" style="28" bestFit="1" customWidth="1"/>
    <col min="3" max="3" width="37.109375" customWidth="1"/>
    <col min="4" max="4" width="14.44140625" style="28" bestFit="1" customWidth="1"/>
  </cols>
  <sheetData>
    <row r="1" spans="1:4" x14ac:dyDescent="0.25">
      <c r="A1" s="1" t="s">
        <v>177</v>
      </c>
    </row>
    <row r="2" spans="1:4" x14ac:dyDescent="0.25">
      <c r="A2" s="1" t="s">
        <v>1</v>
      </c>
      <c r="C2" s="1" t="s">
        <v>2</v>
      </c>
    </row>
    <row r="3" spans="1:4" x14ac:dyDescent="0.25">
      <c r="A3" s="3" t="s">
        <v>3</v>
      </c>
      <c r="C3" s="4" t="s">
        <v>4</v>
      </c>
      <c r="D3" s="28">
        <v>2500000</v>
      </c>
    </row>
    <row r="4" spans="1:4" x14ac:dyDescent="0.25">
      <c r="A4" s="5" t="s">
        <v>6</v>
      </c>
      <c r="C4" s="4" t="s">
        <v>144</v>
      </c>
    </row>
    <row r="5" spans="1:4" x14ac:dyDescent="0.25">
      <c r="A5" s="5" t="s">
        <v>50</v>
      </c>
      <c r="B5" s="28">
        <v>2500000</v>
      </c>
      <c r="C5" s="4" t="s">
        <v>12</v>
      </c>
      <c r="D5" s="28">
        <v>224000</v>
      </c>
    </row>
    <row r="6" spans="1:4" x14ac:dyDescent="0.25">
      <c r="A6" s="5" t="s">
        <v>15</v>
      </c>
      <c r="B6" s="28">
        <v>450000</v>
      </c>
      <c r="C6" s="3" t="s">
        <v>16</v>
      </c>
      <c r="D6" s="7">
        <f>SUM(D3:D5)</f>
        <v>2724000</v>
      </c>
    </row>
    <row r="7" spans="1:4" x14ac:dyDescent="0.25">
      <c r="A7" s="5"/>
      <c r="B7" s="28">
        <f>SUM(B4:B6)</f>
        <v>2950000</v>
      </c>
    </row>
    <row r="8" spans="1:4" x14ac:dyDescent="0.25">
      <c r="A8" s="5" t="s">
        <v>20</v>
      </c>
      <c r="B8" s="28">
        <v>1000000</v>
      </c>
      <c r="C8" s="8" t="s">
        <v>18</v>
      </c>
    </row>
    <row r="9" spans="1:4" x14ac:dyDescent="0.25">
      <c r="A9" s="9" t="s">
        <v>145</v>
      </c>
      <c r="B9" s="7">
        <f>+B7-B8</f>
        <v>1950000</v>
      </c>
      <c r="C9" s="4" t="s">
        <v>19</v>
      </c>
    </row>
    <row r="10" spans="1:4" x14ac:dyDescent="0.25">
      <c r="A10" s="3" t="s">
        <v>24</v>
      </c>
      <c r="C10" s="5" t="s">
        <v>21</v>
      </c>
    </row>
    <row r="11" spans="1:4" x14ac:dyDescent="0.25">
      <c r="A11" s="5" t="s">
        <v>25</v>
      </c>
      <c r="C11" s="5" t="s">
        <v>146</v>
      </c>
    </row>
    <row r="12" spans="1:4" x14ac:dyDescent="0.25">
      <c r="A12" s="10" t="s">
        <v>137</v>
      </c>
      <c r="B12" s="28">
        <v>300000</v>
      </c>
      <c r="D12" s="28">
        <f>SUM(D10:D11)</f>
        <v>0</v>
      </c>
    </row>
    <row r="13" spans="1:4" x14ac:dyDescent="0.25">
      <c r="A13" s="5" t="s">
        <v>30</v>
      </c>
      <c r="C13" s="4" t="s">
        <v>27</v>
      </c>
    </row>
    <row r="14" spans="1:4" x14ac:dyDescent="0.25">
      <c r="A14" s="10" t="s">
        <v>32</v>
      </c>
      <c r="B14" s="28">
        <v>100000</v>
      </c>
      <c r="C14" s="5" t="s">
        <v>29</v>
      </c>
      <c r="D14" s="28">
        <v>200000</v>
      </c>
    </row>
    <row r="15" spans="1:4" x14ac:dyDescent="0.25">
      <c r="A15" s="10" t="s">
        <v>35</v>
      </c>
      <c r="C15" s="5" t="s">
        <v>34</v>
      </c>
      <c r="D15" s="28">
        <v>96000</v>
      </c>
    </row>
    <row r="16" spans="1:4" x14ac:dyDescent="0.25">
      <c r="B16" s="28">
        <f>SUM(B14:B15)</f>
        <v>100000</v>
      </c>
      <c r="D16" s="28">
        <f>SUM(D14:D15)</f>
        <v>296000</v>
      </c>
    </row>
    <row r="17" spans="1:4" x14ac:dyDescent="0.25">
      <c r="A17" s="5" t="s">
        <v>39</v>
      </c>
      <c r="C17" s="3" t="s">
        <v>147</v>
      </c>
    </row>
    <row r="18" spans="1:4" x14ac:dyDescent="0.25">
      <c r="A18" s="10" t="s">
        <v>40</v>
      </c>
      <c r="B18" s="28">
        <v>670000</v>
      </c>
      <c r="C18" s="3" t="s">
        <v>41</v>
      </c>
      <c r="D18" s="7">
        <f>+D16+D17+D12</f>
        <v>296000</v>
      </c>
    </row>
    <row r="19" spans="1:4" x14ac:dyDescent="0.25">
      <c r="A19" s="10" t="s">
        <v>43</v>
      </c>
    </row>
    <row r="20" spans="1:4" x14ac:dyDescent="0.25">
      <c r="B20" s="28">
        <f>SUM(B18:B19)</f>
        <v>670000</v>
      </c>
    </row>
    <row r="21" spans="1:4" x14ac:dyDescent="0.25">
      <c r="A21" s="3" t="s">
        <v>45</v>
      </c>
      <c r="B21" s="7">
        <f>+B20+B16+B12</f>
        <v>1070000</v>
      </c>
    </row>
    <row r="22" spans="1:4" x14ac:dyDescent="0.25">
      <c r="A22" s="3" t="s">
        <v>46</v>
      </c>
      <c r="B22" s="7">
        <f>+B21+B9</f>
        <v>3020000</v>
      </c>
      <c r="C22" s="1" t="s">
        <v>47</v>
      </c>
      <c r="D22" s="7">
        <f>+D18+D6</f>
        <v>3020000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/>
  </sheetViews>
  <sheetFormatPr defaultColWidth="8.88671875" defaultRowHeight="13.2" x14ac:dyDescent="0.25"/>
  <cols>
    <col min="2" max="2" width="30.44140625" bestFit="1" customWidth="1"/>
    <col min="3" max="3" width="14.44140625" style="28" bestFit="1" customWidth="1"/>
    <col min="4" max="4" width="14.44140625" bestFit="1" customWidth="1"/>
  </cols>
  <sheetData>
    <row r="1" spans="1:4" x14ac:dyDescent="0.25">
      <c r="A1" s="1" t="s">
        <v>178</v>
      </c>
    </row>
    <row r="2" spans="1:4" x14ac:dyDescent="0.25">
      <c r="A2" t="s">
        <v>149</v>
      </c>
      <c r="B2" t="s">
        <v>150</v>
      </c>
    </row>
    <row r="3" spans="1:4" x14ac:dyDescent="0.25">
      <c r="A3" t="s">
        <v>151</v>
      </c>
      <c r="B3" t="s">
        <v>152</v>
      </c>
    </row>
    <row r="4" spans="1:4" x14ac:dyDescent="0.25">
      <c r="C4" s="27" t="s">
        <v>179</v>
      </c>
      <c r="D4" t="s">
        <v>180</v>
      </c>
    </row>
    <row r="5" spans="1:4" x14ac:dyDescent="0.25">
      <c r="A5" t="s">
        <v>149</v>
      </c>
      <c r="B5" t="s">
        <v>67</v>
      </c>
      <c r="C5" s="28">
        <f>50*100000</f>
        <v>5000000</v>
      </c>
      <c r="D5" s="16">
        <f>+'8-Factos'!C20</f>
        <v>6300000</v>
      </c>
    </row>
    <row r="6" spans="1:4" x14ac:dyDescent="0.25">
      <c r="A6" t="s">
        <v>151</v>
      </c>
      <c r="B6" t="s">
        <v>181</v>
      </c>
      <c r="C6" s="28">
        <v>2000000</v>
      </c>
      <c r="D6" s="16">
        <f>+'8-Factos'!C13</f>
        <v>2100000</v>
      </c>
    </row>
    <row r="7" spans="1:4" x14ac:dyDescent="0.25">
      <c r="A7" t="s">
        <v>151</v>
      </c>
      <c r="B7" t="s">
        <v>182</v>
      </c>
      <c r="C7" s="28">
        <f>50*50000</f>
        <v>2500000</v>
      </c>
      <c r="D7" s="16">
        <f>+'8-Factos'!C16</f>
        <v>3150000</v>
      </c>
    </row>
    <row r="8" spans="1:4" x14ac:dyDescent="0.25">
      <c r="A8" t="s">
        <v>151</v>
      </c>
      <c r="B8" t="s">
        <v>20</v>
      </c>
      <c r="C8" s="28">
        <v>250000</v>
      </c>
      <c r="D8" s="16">
        <f>+'8-Factos'!C26*'8-B_n'!B5</f>
        <v>300000</v>
      </c>
    </row>
    <row r="9" spans="1:4" x14ac:dyDescent="0.25">
      <c r="B9" s="1" t="s">
        <v>72</v>
      </c>
      <c r="C9" s="28">
        <f>+C5-C6-C7-C8</f>
        <v>250000</v>
      </c>
      <c r="D9" s="28">
        <f>+D5-D6-D7-D8</f>
        <v>750000</v>
      </c>
    </row>
    <row r="10" spans="1:4" x14ac:dyDescent="0.25">
      <c r="A10" t="s">
        <v>149</v>
      </c>
      <c r="B10" t="s">
        <v>73</v>
      </c>
      <c r="C10" s="28">
        <v>45000</v>
      </c>
      <c r="D10" s="16">
        <f>+C10</f>
        <v>45000</v>
      </c>
    </row>
    <row r="11" spans="1:4" x14ac:dyDescent="0.25">
      <c r="A11" t="s">
        <v>151</v>
      </c>
      <c r="B11" t="s">
        <v>75</v>
      </c>
      <c r="C11" s="28">
        <v>0</v>
      </c>
      <c r="D11" s="16">
        <f>+'8-Factos'!C9</f>
        <v>50000</v>
      </c>
    </row>
    <row r="12" spans="1:4" x14ac:dyDescent="0.25">
      <c r="B12" s="4" t="s">
        <v>77</v>
      </c>
      <c r="C12" s="28">
        <f>+C10-C11</f>
        <v>45000</v>
      </c>
      <c r="D12" s="28">
        <f>+D10-D11</f>
        <v>-5000</v>
      </c>
    </row>
    <row r="13" spans="1:4" x14ac:dyDescent="0.25">
      <c r="B13" s="1" t="s">
        <v>78</v>
      </c>
      <c r="C13" s="28">
        <f>+C9+C12</f>
        <v>295000</v>
      </c>
      <c r="D13" s="28">
        <f>+D9+D12</f>
        <v>745000</v>
      </c>
    </row>
    <row r="14" spans="1:4" x14ac:dyDescent="0.25">
      <c r="A14" t="s">
        <v>149</v>
      </c>
      <c r="B14" t="s">
        <v>79</v>
      </c>
      <c r="C14" s="28">
        <v>25000</v>
      </c>
      <c r="D14" s="2">
        <v>0</v>
      </c>
    </row>
    <row r="15" spans="1:4" x14ac:dyDescent="0.25">
      <c r="A15" t="s">
        <v>151</v>
      </c>
      <c r="B15" t="s">
        <v>81</v>
      </c>
      <c r="D15" s="2">
        <v>0</v>
      </c>
    </row>
    <row r="16" spans="1:4" x14ac:dyDescent="0.25">
      <c r="B16" s="4" t="s">
        <v>82</v>
      </c>
      <c r="C16" s="28">
        <f>+C14-C15</f>
        <v>25000</v>
      </c>
      <c r="D16" s="28">
        <f>+D14-D15</f>
        <v>0</v>
      </c>
    </row>
    <row r="17" spans="1:4" x14ac:dyDescent="0.25">
      <c r="B17" s="1" t="s">
        <v>156</v>
      </c>
      <c r="C17" s="28">
        <f>+C13+C16</f>
        <v>320000</v>
      </c>
      <c r="D17" s="28">
        <f>+D13+D16</f>
        <v>745000</v>
      </c>
    </row>
    <row r="18" spans="1:4" x14ac:dyDescent="0.25">
      <c r="A18" t="s">
        <v>151</v>
      </c>
      <c r="B18" t="s">
        <v>84</v>
      </c>
      <c r="C18" s="2">
        <f>30%*C17</f>
        <v>96000</v>
      </c>
      <c r="D18" s="16">
        <f>+'8-Factos'!C27*'8-DR'!D17</f>
        <v>223500</v>
      </c>
    </row>
    <row r="19" spans="1:4" x14ac:dyDescent="0.25">
      <c r="B19" s="1" t="s">
        <v>12</v>
      </c>
      <c r="C19" s="28">
        <f>+C17-C18</f>
        <v>224000</v>
      </c>
      <c r="D19" s="28">
        <f>+D17-D18</f>
        <v>521500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2"/>
  <sheetViews>
    <sheetView workbookViewId="0">
      <selection activeCell="B23" sqref="B23"/>
    </sheetView>
  </sheetViews>
  <sheetFormatPr defaultColWidth="8.88671875" defaultRowHeight="13.2" x14ac:dyDescent="0.25"/>
  <cols>
    <col min="1" max="1" width="37.109375" customWidth="1"/>
    <col min="2" max="2" width="14.44140625" style="28" bestFit="1" customWidth="1"/>
    <col min="3" max="3" width="37.109375" customWidth="1"/>
    <col min="4" max="4" width="14.44140625" style="28" bestFit="1" customWidth="1"/>
  </cols>
  <sheetData>
    <row r="1" spans="1:4" x14ac:dyDescent="0.25">
      <c r="A1" s="1" t="s">
        <v>183</v>
      </c>
    </row>
    <row r="2" spans="1:4" x14ac:dyDescent="0.25">
      <c r="A2" s="1" t="s">
        <v>1</v>
      </c>
      <c r="C2" s="1" t="s">
        <v>2</v>
      </c>
    </row>
    <row r="3" spans="1:4" x14ac:dyDescent="0.25">
      <c r="A3" s="3" t="s">
        <v>3</v>
      </c>
      <c r="C3" s="4" t="s">
        <v>4</v>
      </c>
      <c r="D3" s="28">
        <f>'8-B_n-1'!D3</f>
        <v>2500000</v>
      </c>
    </row>
    <row r="4" spans="1:4" x14ac:dyDescent="0.25">
      <c r="A4" s="5" t="s">
        <v>6</v>
      </c>
      <c r="C4" s="4" t="s">
        <v>144</v>
      </c>
    </row>
    <row r="5" spans="1:4" x14ac:dyDescent="0.25">
      <c r="A5" s="5" t="s">
        <v>50</v>
      </c>
      <c r="B5" s="28">
        <f>+'8-B_n-1'!B5+'8-Factos'!C4</f>
        <v>3000000</v>
      </c>
      <c r="C5" s="4" t="s">
        <v>12</v>
      </c>
      <c r="D5" s="28">
        <f>+'8-DR'!D19</f>
        <v>521500</v>
      </c>
    </row>
    <row r="6" spans="1:4" x14ac:dyDescent="0.25">
      <c r="A6" s="5" t="s">
        <v>15</v>
      </c>
      <c r="B6" s="28">
        <v>450000</v>
      </c>
      <c r="C6" s="3" t="s">
        <v>16</v>
      </c>
      <c r="D6" s="7">
        <f>SUM(D3:D5)</f>
        <v>3021500</v>
      </c>
    </row>
    <row r="7" spans="1:4" x14ac:dyDescent="0.25">
      <c r="A7" s="5"/>
      <c r="B7" s="28">
        <f>SUM(B4:B6)</f>
        <v>3450000</v>
      </c>
    </row>
    <row r="8" spans="1:4" x14ac:dyDescent="0.25">
      <c r="A8" s="5" t="s">
        <v>20</v>
      </c>
      <c r="B8" s="28">
        <f>+'8-B_n-1'!B8+'8-DR'!D8</f>
        <v>1300000</v>
      </c>
      <c r="C8" s="8" t="s">
        <v>18</v>
      </c>
    </row>
    <row r="9" spans="1:4" x14ac:dyDescent="0.25">
      <c r="A9" s="9" t="s">
        <v>145</v>
      </c>
      <c r="B9" s="7">
        <f>+B7-B8</f>
        <v>2150000</v>
      </c>
      <c r="C9" s="4" t="s">
        <v>19</v>
      </c>
    </row>
    <row r="10" spans="1:4" x14ac:dyDescent="0.25">
      <c r="A10" s="3" t="s">
        <v>24</v>
      </c>
      <c r="C10" s="5" t="s">
        <v>21</v>
      </c>
      <c r="D10" s="28">
        <f>+'8-Factos'!C5-'8-Factos'!C7</f>
        <v>400000</v>
      </c>
    </row>
    <row r="11" spans="1:4" x14ac:dyDescent="0.25">
      <c r="A11" s="5" t="s">
        <v>25</v>
      </c>
      <c r="C11" s="5" t="s">
        <v>146</v>
      </c>
    </row>
    <row r="12" spans="1:4" x14ac:dyDescent="0.25">
      <c r="A12" s="10" t="s">
        <v>137</v>
      </c>
      <c r="B12" s="28">
        <v>300000</v>
      </c>
      <c r="D12" s="28">
        <f>SUM(D10:D11)</f>
        <v>400000</v>
      </c>
    </row>
    <row r="13" spans="1:4" x14ac:dyDescent="0.25">
      <c r="A13" s="5" t="s">
        <v>30</v>
      </c>
      <c r="C13" s="4" t="s">
        <v>27</v>
      </c>
    </row>
    <row r="14" spans="1:4" x14ac:dyDescent="0.25">
      <c r="A14" s="10" t="s">
        <v>32</v>
      </c>
      <c r="B14" s="28">
        <f>+'8-Factos'!C22</f>
        <v>126000</v>
      </c>
      <c r="C14" s="5" t="s">
        <v>29</v>
      </c>
      <c r="D14" s="28">
        <f>+'8-Factos'!C21</f>
        <v>252000</v>
      </c>
    </row>
    <row r="15" spans="1:4" x14ac:dyDescent="0.25">
      <c r="A15" s="10" t="s">
        <v>35</v>
      </c>
      <c r="C15" s="5" t="s">
        <v>34</v>
      </c>
      <c r="D15" s="28">
        <f>+'8-DR'!D18</f>
        <v>223500</v>
      </c>
    </row>
    <row r="16" spans="1:4" x14ac:dyDescent="0.25">
      <c r="B16" s="28">
        <f>SUM(B14:B15)</f>
        <v>126000</v>
      </c>
      <c r="D16" s="28">
        <f>SUM(D14:D15)</f>
        <v>475500</v>
      </c>
    </row>
    <row r="17" spans="1:4" x14ac:dyDescent="0.25">
      <c r="A17" s="5" t="s">
        <v>39</v>
      </c>
      <c r="C17" s="3" t="s">
        <v>147</v>
      </c>
    </row>
    <row r="18" spans="1:4" x14ac:dyDescent="0.25">
      <c r="A18" s="10" t="s">
        <v>40</v>
      </c>
      <c r="B18" s="28">
        <v>1321000</v>
      </c>
      <c r="C18" s="3" t="s">
        <v>41</v>
      </c>
      <c r="D18" s="7">
        <f>+D16+D17+D12</f>
        <v>875500</v>
      </c>
    </row>
    <row r="19" spans="1:4" x14ac:dyDescent="0.25">
      <c r="A19" s="10" t="s">
        <v>43</v>
      </c>
    </row>
    <row r="20" spans="1:4" x14ac:dyDescent="0.25">
      <c r="B20" s="28">
        <f>SUM(B18:B19)</f>
        <v>1321000</v>
      </c>
    </row>
    <row r="21" spans="1:4" x14ac:dyDescent="0.25">
      <c r="A21" s="3" t="s">
        <v>45</v>
      </c>
      <c r="B21" s="7">
        <f>+B20+B16+B12</f>
        <v>1747000</v>
      </c>
    </row>
    <row r="22" spans="1:4" x14ac:dyDescent="0.25">
      <c r="A22" s="3" t="s">
        <v>46</v>
      </c>
      <c r="B22" s="7">
        <f>+B21+B9</f>
        <v>3897000</v>
      </c>
      <c r="C22" s="1" t="s">
        <v>47</v>
      </c>
      <c r="D22" s="7">
        <f>+D18+D6</f>
        <v>3897000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G8" sqref="G8"/>
    </sheetView>
  </sheetViews>
  <sheetFormatPr defaultColWidth="8.88671875" defaultRowHeight="13.2" x14ac:dyDescent="0.25"/>
  <cols>
    <col min="1" max="1" width="32.33203125" bestFit="1" customWidth="1"/>
    <col min="2" max="2" width="12.88671875" bestFit="1" customWidth="1"/>
    <col min="3" max="3" width="37.109375" bestFit="1" customWidth="1"/>
    <col min="4" max="4" width="12.88671875" bestFit="1" customWidth="1"/>
    <col min="6" max="6" width="17.33203125" bestFit="1" customWidth="1"/>
    <col min="7" max="7" width="11.88671875" bestFit="1" customWidth="1"/>
  </cols>
  <sheetData>
    <row r="1" spans="1:7" x14ac:dyDescent="0.25">
      <c r="A1" s="32" t="s">
        <v>0</v>
      </c>
      <c r="B1" s="32"/>
      <c r="C1" s="32"/>
      <c r="D1" s="32"/>
    </row>
    <row r="2" spans="1:7" x14ac:dyDescent="0.25">
      <c r="A2" s="1" t="s">
        <v>1</v>
      </c>
      <c r="B2" s="2"/>
      <c r="C2" s="1" t="s">
        <v>2</v>
      </c>
      <c r="D2" s="2"/>
    </row>
    <row r="3" spans="1:7" x14ac:dyDescent="0.25">
      <c r="A3" s="3" t="s">
        <v>3</v>
      </c>
      <c r="B3" s="2"/>
      <c r="C3" s="4" t="s">
        <v>4</v>
      </c>
      <c r="D3" s="2"/>
      <c r="F3" s="1" t="s">
        <v>5</v>
      </c>
      <c r="G3" s="13">
        <f>D11+D16-B16</f>
        <v>28000</v>
      </c>
    </row>
    <row r="4" spans="1:7" x14ac:dyDescent="0.25">
      <c r="A4" s="5" t="s">
        <v>6</v>
      </c>
      <c r="B4" s="2"/>
      <c r="C4" s="5" t="s">
        <v>48</v>
      </c>
      <c r="D4" s="2">
        <v>68000</v>
      </c>
    </row>
    <row r="5" spans="1:7" x14ac:dyDescent="0.25">
      <c r="A5" s="10" t="s">
        <v>49</v>
      </c>
      <c r="B5" s="2">
        <v>3000</v>
      </c>
      <c r="C5" s="6" t="s">
        <v>9</v>
      </c>
      <c r="D5" s="2"/>
    </row>
    <row r="6" spans="1:7" x14ac:dyDescent="0.25">
      <c r="A6" s="5"/>
      <c r="B6" s="2"/>
      <c r="C6" s="4"/>
      <c r="D6" s="2"/>
    </row>
    <row r="7" spans="1:7" x14ac:dyDescent="0.25">
      <c r="A7" s="5" t="s">
        <v>50</v>
      </c>
      <c r="B7" s="2"/>
      <c r="C7" s="4"/>
      <c r="D7" s="2"/>
    </row>
    <row r="8" spans="1:7" x14ac:dyDescent="0.25">
      <c r="A8" s="10" t="s">
        <v>51</v>
      </c>
      <c r="B8" s="2">
        <v>50000</v>
      </c>
      <c r="C8" s="4" t="s">
        <v>12</v>
      </c>
      <c r="D8" s="2">
        <f>B35-(D4+D29)</f>
        <v>15000</v>
      </c>
    </row>
    <row r="9" spans="1:7" x14ac:dyDescent="0.25">
      <c r="A9" s="10" t="s">
        <v>52</v>
      </c>
      <c r="B9" s="2">
        <v>17000</v>
      </c>
      <c r="C9" s="4"/>
      <c r="D9" s="2"/>
    </row>
    <row r="10" spans="1:7" x14ac:dyDescent="0.25">
      <c r="A10" s="10" t="s">
        <v>53</v>
      </c>
      <c r="B10" s="2">
        <v>10000</v>
      </c>
      <c r="C10" s="4"/>
      <c r="D10" s="2"/>
    </row>
    <row r="11" spans="1:7" x14ac:dyDescent="0.25">
      <c r="A11" s="5" t="s">
        <v>54</v>
      </c>
      <c r="B11" s="2"/>
      <c r="C11" s="3" t="s">
        <v>16</v>
      </c>
      <c r="D11" s="7">
        <f>D4+D8</f>
        <v>83000</v>
      </c>
    </row>
    <row r="12" spans="1:7" x14ac:dyDescent="0.25">
      <c r="A12" s="10"/>
      <c r="B12" s="2"/>
      <c r="D12" s="2"/>
    </row>
    <row r="13" spans="1:7" x14ac:dyDescent="0.25">
      <c r="A13" s="5"/>
      <c r="B13" s="2"/>
      <c r="C13" s="8" t="s">
        <v>18</v>
      </c>
      <c r="D13" s="2"/>
    </row>
    <row r="14" spans="1:7" x14ac:dyDescent="0.25">
      <c r="A14" s="5"/>
      <c r="B14" s="2"/>
      <c r="C14" s="4" t="s">
        <v>19</v>
      </c>
      <c r="D14" s="2"/>
    </row>
    <row r="15" spans="1:7" x14ac:dyDescent="0.25">
      <c r="A15" s="5" t="s">
        <v>20</v>
      </c>
      <c r="B15" s="2"/>
      <c r="C15" s="5" t="s">
        <v>21</v>
      </c>
      <c r="D15" s="2"/>
    </row>
    <row r="16" spans="1:7" x14ac:dyDescent="0.25">
      <c r="A16" s="9" t="s">
        <v>55</v>
      </c>
      <c r="B16" s="7">
        <f>B5+B8+B9+B10</f>
        <v>80000</v>
      </c>
      <c r="C16" s="10" t="s">
        <v>56</v>
      </c>
      <c r="D16" s="2">
        <v>25000</v>
      </c>
    </row>
    <row r="17" spans="1:4" x14ac:dyDescent="0.25">
      <c r="A17" s="3" t="s">
        <v>24</v>
      </c>
      <c r="B17" s="2"/>
      <c r="C17" s="5"/>
      <c r="D17" s="2"/>
    </row>
    <row r="18" spans="1:4" x14ac:dyDescent="0.25">
      <c r="A18" s="5" t="s">
        <v>25</v>
      </c>
      <c r="B18" s="2"/>
      <c r="C18" s="5"/>
      <c r="D18" s="2"/>
    </row>
    <row r="19" spans="1:4" x14ac:dyDescent="0.25">
      <c r="A19" s="10" t="s">
        <v>57</v>
      </c>
      <c r="B19" s="2">
        <v>20000</v>
      </c>
      <c r="C19" s="4" t="s">
        <v>27</v>
      </c>
      <c r="D19" s="2"/>
    </row>
    <row r="20" spans="1:4" x14ac:dyDescent="0.25">
      <c r="A20" s="10" t="s">
        <v>58</v>
      </c>
      <c r="B20" s="2">
        <v>15000</v>
      </c>
      <c r="C20" s="5" t="s">
        <v>29</v>
      </c>
    </row>
    <row r="21" spans="1:4" x14ac:dyDescent="0.25">
      <c r="A21" s="5" t="s">
        <v>30</v>
      </c>
      <c r="B21" s="2"/>
      <c r="C21" s="10" t="s">
        <v>59</v>
      </c>
      <c r="D21" s="12">
        <v>6000</v>
      </c>
    </row>
    <row r="22" spans="1:4" x14ac:dyDescent="0.25">
      <c r="A22" s="10" t="s">
        <v>32</v>
      </c>
      <c r="B22" s="2"/>
      <c r="C22" s="5"/>
    </row>
    <row r="23" spans="1:4" x14ac:dyDescent="0.25">
      <c r="A23" s="11" t="s">
        <v>60</v>
      </c>
      <c r="B23" s="2">
        <v>4000</v>
      </c>
      <c r="C23" s="5"/>
    </row>
    <row r="24" spans="1:4" x14ac:dyDescent="0.25">
      <c r="A24" s="10"/>
      <c r="B24" s="2"/>
      <c r="C24" s="5" t="s">
        <v>34</v>
      </c>
      <c r="D24" s="2"/>
    </row>
    <row r="25" spans="1:4" x14ac:dyDescent="0.25">
      <c r="A25" s="10" t="s">
        <v>35</v>
      </c>
      <c r="B25" s="2"/>
      <c r="C25" s="10" t="s">
        <v>61</v>
      </c>
      <c r="D25" s="2">
        <v>9000</v>
      </c>
    </row>
    <row r="26" spans="1:4" x14ac:dyDescent="0.25">
      <c r="A26" s="11" t="s">
        <v>62</v>
      </c>
      <c r="B26" s="2">
        <v>1000</v>
      </c>
      <c r="C26" s="5"/>
      <c r="D26" s="2"/>
    </row>
    <row r="27" spans="1:4" x14ac:dyDescent="0.25">
      <c r="A27" s="11"/>
      <c r="B27" s="2"/>
      <c r="D27" s="7"/>
    </row>
    <row r="28" spans="1:4" x14ac:dyDescent="0.25">
      <c r="A28" s="5" t="s">
        <v>39</v>
      </c>
      <c r="B28" s="2"/>
    </row>
    <row r="29" spans="1:4" x14ac:dyDescent="0.25">
      <c r="A29" s="10" t="s">
        <v>40</v>
      </c>
      <c r="B29" s="2"/>
      <c r="C29" s="3" t="s">
        <v>41</v>
      </c>
      <c r="D29" s="7">
        <f>D16+D21+D25</f>
        <v>40000</v>
      </c>
    </row>
    <row r="30" spans="1:4" x14ac:dyDescent="0.25">
      <c r="A30" s="11" t="s">
        <v>63</v>
      </c>
      <c r="B30" s="2">
        <v>2000</v>
      </c>
      <c r="D30" s="7"/>
    </row>
    <row r="31" spans="1:4" x14ac:dyDescent="0.25">
      <c r="A31" s="10"/>
      <c r="B31" s="2"/>
    </row>
    <row r="32" spans="1:4" x14ac:dyDescent="0.25">
      <c r="A32" s="10" t="s">
        <v>43</v>
      </c>
      <c r="B32" s="2"/>
    </row>
    <row r="33" spans="1:4" x14ac:dyDescent="0.25">
      <c r="A33" s="11" t="s">
        <v>64</v>
      </c>
      <c r="B33" s="2">
        <v>1000</v>
      </c>
    </row>
    <row r="34" spans="1:4" x14ac:dyDescent="0.25">
      <c r="A34" s="3" t="s">
        <v>45</v>
      </c>
      <c r="B34" s="7">
        <f>B19+B20+B23+B26+B30+B33</f>
        <v>43000</v>
      </c>
    </row>
    <row r="35" spans="1:4" x14ac:dyDescent="0.25">
      <c r="A35" s="3" t="s">
        <v>46</v>
      </c>
      <c r="B35" s="7">
        <f>B16+B34</f>
        <v>123000</v>
      </c>
      <c r="C35" s="1" t="s">
        <v>47</v>
      </c>
      <c r="D35" s="13">
        <f>D11+D29</f>
        <v>123000</v>
      </c>
    </row>
  </sheetData>
  <mergeCells count="1">
    <mergeCell ref="A1:D1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sqref="A1:B1"/>
    </sheetView>
  </sheetViews>
  <sheetFormatPr defaultColWidth="8.88671875" defaultRowHeight="13.2" x14ac:dyDescent="0.25"/>
  <cols>
    <col min="1" max="1" width="32.33203125" bestFit="1" customWidth="1"/>
    <col min="2" max="2" width="12.88671875" bestFit="1" customWidth="1"/>
  </cols>
  <sheetData>
    <row r="1" spans="1:2" x14ac:dyDescent="0.25">
      <c r="A1" s="32" t="s">
        <v>65</v>
      </c>
      <c r="B1" s="32"/>
    </row>
    <row r="2" spans="1:2" x14ac:dyDescent="0.25">
      <c r="A2" s="14" t="s">
        <v>66</v>
      </c>
      <c r="B2" s="2"/>
    </row>
    <row r="3" spans="1:2" x14ac:dyDescent="0.25">
      <c r="A3" s="4" t="s">
        <v>67</v>
      </c>
      <c r="B3" s="2">
        <v>500000</v>
      </c>
    </row>
    <row r="4" spans="1:2" x14ac:dyDescent="0.25">
      <c r="B4" s="2"/>
    </row>
    <row r="5" spans="1:2" x14ac:dyDescent="0.25">
      <c r="A5" s="14" t="s">
        <v>68</v>
      </c>
      <c r="B5" s="2"/>
    </row>
    <row r="6" spans="1:2" x14ac:dyDescent="0.25">
      <c r="A6" s="4" t="s">
        <v>69</v>
      </c>
      <c r="B6" s="2">
        <v>66000</v>
      </c>
    </row>
    <row r="7" spans="1:2" x14ac:dyDescent="0.25">
      <c r="A7" s="4" t="s">
        <v>70</v>
      </c>
      <c r="B7" s="2">
        <v>52000</v>
      </c>
    </row>
    <row r="8" spans="1:2" x14ac:dyDescent="0.25">
      <c r="A8" s="4" t="s">
        <v>71</v>
      </c>
      <c r="B8" s="2">
        <v>70000</v>
      </c>
    </row>
    <row r="9" spans="1:2" x14ac:dyDescent="0.25">
      <c r="A9" s="4" t="s">
        <v>20</v>
      </c>
      <c r="B9" s="2">
        <v>112000</v>
      </c>
    </row>
    <row r="10" spans="1:2" x14ac:dyDescent="0.25">
      <c r="A10" s="1" t="s">
        <v>72</v>
      </c>
      <c r="B10" s="2">
        <f>B3-SUM(B6:B9)</f>
        <v>200000</v>
      </c>
    </row>
    <row r="11" spans="1:2" x14ac:dyDescent="0.25">
      <c r="A11" s="14" t="s">
        <v>73</v>
      </c>
      <c r="B11" s="2"/>
    </row>
    <row r="12" spans="1:2" x14ac:dyDescent="0.25">
      <c r="A12" s="4" t="s">
        <v>74</v>
      </c>
      <c r="B12" s="2">
        <v>10000</v>
      </c>
    </row>
    <row r="13" spans="1:2" x14ac:dyDescent="0.25">
      <c r="A13" s="4"/>
      <c r="B13" s="2"/>
    </row>
    <row r="14" spans="1:2" x14ac:dyDescent="0.25">
      <c r="A14" s="14" t="s">
        <v>75</v>
      </c>
      <c r="B14" s="2"/>
    </row>
    <row r="15" spans="1:2" x14ac:dyDescent="0.25">
      <c r="A15" s="4" t="s">
        <v>76</v>
      </c>
      <c r="B15" s="2">
        <v>5000</v>
      </c>
    </row>
    <row r="16" spans="1:2" x14ac:dyDescent="0.25">
      <c r="A16" s="4"/>
      <c r="B16" s="2"/>
    </row>
    <row r="17" spans="1:3" x14ac:dyDescent="0.25">
      <c r="A17" s="1" t="s">
        <v>77</v>
      </c>
      <c r="B17" s="2">
        <f>B12-B15</f>
        <v>5000</v>
      </c>
    </row>
    <row r="18" spans="1:3" x14ac:dyDescent="0.25">
      <c r="A18" s="1" t="s">
        <v>78</v>
      </c>
      <c r="B18" s="2">
        <f>B10+B17</f>
        <v>205000</v>
      </c>
    </row>
    <row r="19" spans="1:3" x14ac:dyDescent="0.25">
      <c r="A19" t="s">
        <v>79</v>
      </c>
      <c r="B19" s="2"/>
    </row>
    <row r="20" spans="1:3" x14ac:dyDescent="0.25">
      <c r="A20" s="4" t="s">
        <v>80</v>
      </c>
      <c r="B20" s="2">
        <v>15000</v>
      </c>
    </row>
    <row r="21" spans="1:3" x14ac:dyDescent="0.25">
      <c r="A21" s="4"/>
      <c r="B21" s="2"/>
    </row>
    <row r="22" spans="1:3" x14ac:dyDescent="0.25">
      <c r="A22" t="s">
        <v>81</v>
      </c>
      <c r="B22" s="2"/>
    </row>
    <row r="23" spans="1:3" x14ac:dyDescent="0.25">
      <c r="A23" s="4"/>
      <c r="B23" s="2"/>
    </row>
    <row r="24" spans="1:3" x14ac:dyDescent="0.25">
      <c r="A24" s="4"/>
      <c r="B24" s="2"/>
    </row>
    <row r="25" spans="1:3" x14ac:dyDescent="0.25">
      <c r="A25" s="8" t="s">
        <v>82</v>
      </c>
      <c r="B25" s="2">
        <f>B20</f>
        <v>15000</v>
      </c>
    </row>
    <row r="26" spans="1:3" x14ac:dyDescent="0.25">
      <c r="A26" s="1" t="s">
        <v>83</v>
      </c>
      <c r="B26" s="2">
        <f>B18+B25</f>
        <v>220000</v>
      </c>
    </row>
    <row r="27" spans="1:3" x14ac:dyDescent="0.25">
      <c r="A27" s="4" t="s">
        <v>84</v>
      </c>
      <c r="B27" s="2">
        <f>C27*B26</f>
        <v>55000</v>
      </c>
      <c r="C27" s="15">
        <v>0.25</v>
      </c>
    </row>
    <row r="28" spans="1:3" x14ac:dyDescent="0.25">
      <c r="A28" s="1" t="s">
        <v>12</v>
      </c>
      <c r="B28" s="2">
        <f>B26-B27</f>
        <v>165000</v>
      </c>
    </row>
  </sheetData>
  <mergeCells count="1">
    <mergeCell ref="A1:B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selection sqref="A1:B1"/>
    </sheetView>
  </sheetViews>
  <sheetFormatPr defaultColWidth="8.88671875" defaultRowHeight="13.2" x14ac:dyDescent="0.25"/>
  <cols>
    <col min="1" max="1" width="32.33203125" bestFit="1" customWidth="1"/>
    <col min="2" max="2" width="12.88671875" bestFit="1" customWidth="1"/>
    <col min="4" max="4" width="12.88671875" customWidth="1"/>
  </cols>
  <sheetData>
    <row r="1" spans="1:4" x14ac:dyDescent="0.25">
      <c r="A1" s="32" t="s">
        <v>65</v>
      </c>
      <c r="B1" s="32"/>
      <c r="D1" t="s">
        <v>85</v>
      </c>
    </row>
    <row r="2" spans="1:4" x14ac:dyDescent="0.25">
      <c r="A2" s="14" t="s">
        <v>66</v>
      </c>
      <c r="B2" s="2"/>
    </row>
    <row r="3" spans="1:4" x14ac:dyDescent="0.25">
      <c r="A3" s="4" t="s">
        <v>67</v>
      </c>
      <c r="B3" s="2">
        <v>150000</v>
      </c>
      <c r="D3" s="2">
        <f>B3*(1-B34)</f>
        <v>118000</v>
      </c>
    </row>
    <row r="4" spans="1:4" x14ac:dyDescent="0.25">
      <c r="B4" s="2"/>
      <c r="D4" s="2"/>
    </row>
    <row r="5" spans="1:4" x14ac:dyDescent="0.25">
      <c r="A5" s="14" t="s">
        <v>68</v>
      </c>
      <c r="B5" s="2"/>
      <c r="D5" s="2"/>
    </row>
    <row r="6" spans="1:4" x14ac:dyDescent="0.25">
      <c r="A6" s="4" t="s">
        <v>69</v>
      </c>
      <c r="B6" s="2">
        <v>75000</v>
      </c>
      <c r="D6" s="2">
        <f>B6*(1-B34)</f>
        <v>59000</v>
      </c>
    </row>
    <row r="7" spans="1:4" x14ac:dyDescent="0.25">
      <c r="A7" s="4" t="s">
        <v>70</v>
      </c>
      <c r="B7" s="2">
        <v>7500</v>
      </c>
      <c r="D7" s="2">
        <v>7500</v>
      </c>
    </row>
    <row r="8" spans="1:4" x14ac:dyDescent="0.25">
      <c r="A8" s="4" t="s">
        <v>71</v>
      </c>
      <c r="B8" s="2">
        <v>33000</v>
      </c>
      <c r="D8" s="2">
        <v>33000</v>
      </c>
    </row>
    <row r="9" spans="1:4" x14ac:dyDescent="0.25">
      <c r="A9" s="4" t="s">
        <v>20</v>
      </c>
      <c r="B9" s="2">
        <v>10000</v>
      </c>
      <c r="D9" s="2">
        <v>10000</v>
      </c>
    </row>
    <row r="10" spans="1:4" x14ac:dyDescent="0.25">
      <c r="A10" s="1" t="s">
        <v>72</v>
      </c>
      <c r="B10" s="2">
        <f>B3-SUM(B6:B9)</f>
        <v>24500</v>
      </c>
      <c r="D10" s="2">
        <f>D3-SUM(D6:D9)</f>
        <v>8500</v>
      </c>
    </row>
    <row r="11" spans="1:4" x14ac:dyDescent="0.25">
      <c r="A11" s="14" t="s">
        <v>73</v>
      </c>
      <c r="B11" s="2"/>
      <c r="D11" s="2"/>
    </row>
    <row r="12" spans="1:4" x14ac:dyDescent="0.25">
      <c r="A12" s="4"/>
      <c r="B12" s="2"/>
      <c r="D12" s="2"/>
    </row>
    <row r="13" spans="1:4" x14ac:dyDescent="0.25">
      <c r="A13" s="4"/>
      <c r="B13" s="2"/>
      <c r="D13" s="2"/>
    </row>
    <row r="14" spans="1:4" x14ac:dyDescent="0.25">
      <c r="A14" s="14" t="s">
        <v>75</v>
      </c>
      <c r="B14" s="2"/>
      <c r="D14" s="2"/>
    </row>
    <row r="15" spans="1:4" x14ac:dyDescent="0.25">
      <c r="A15" s="4" t="s">
        <v>76</v>
      </c>
      <c r="B15" s="2">
        <v>3500</v>
      </c>
      <c r="D15" s="2">
        <v>3500</v>
      </c>
    </row>
    <row r="16" spans="1:4" x14ac:dyDescent="0.25">
      <c r="A16" s="4"/>
      <c r="B16" s="2"/>
      <c r="D16" s="2"/>
    </row>
    <row r="17" spans="1:5" x14ac:dyDescent="0.25">
      <c r="A17" s="1" t="s">
        <v>77</v>
      </c>
      <c r="B17" s="2">
        <f>-B15</f>
        <v>-3500</v>
      </c>
      <c r="D17" s="2">
        <f>-D15</f>
        <v>-3500</v>
      </c>
    </row>
    <row r="18" spans="1:5" x14ac:dyDescent="0.25">
      <c r="A18" s="1" t="s">
        <v>78</v>
      </c>
      <c r="B18" s="2">
        <f>B10+B17</f>
        <v>21000</v>
      </c>
      <c r="D18" s="2">
        <f>D10+D17</f>
        <v>5000</v>
      </c>
    </row>
    <row r="19" spans="1:5" x14ac:dyDescent="0.25">
      <c r="A19" t="s">
        <v>79</v>
      </c>
      <c r="B19" s="2"/>
      <c r="D19" s="2"/>
    </row>
    <row r="20" spans="1:5" x14ac:dyDescent="0.25">
      <c r="A20" s="4"/>
      <c r="B20" s="2"/>
      <c r="D20" s="2"/>
    </row>
    <row r="21" spans="1:5" x14ac:dyDescent="0.25">
      <c r="A21" s="4"/>
      <c r="B21" s="2"/>
      <c r="D21" s="2"/>
    </row>
    <row r="22" spans="1:5" x14ac:dyDescent="0.25">
      <c r="A22" t="s">
        <v>81</v>
      </c>
      <c r="B22" s="2"/>
      <c r="D22" s="2"/>
    </row>
    <row r="23" spans="1:5" x14ac:dyDescent="0.25">
      <c r="A23" s="4" t="s">
        <v>86</v>
      </c>
      <c r="B23" s="2">
        <v>5000</v>
      </c>
      <c r="D23" s="2">
        <v>5000</v>
      </c>
    </row>
    <row r="24" spans="1:5" x14ac:dyDescent="0.25">
      <c r="A24" s="4"/>
      <c r="B24" s="2"/>
      <c r="D24" s="2"/>
    </row>
    <row r="25" spans="1:5" x14ac:dyDescent="0.25">
      <c r="A25" s="8" t="s">
        <v>82</v>
      </c>
      <c r="B25" s="2">
        <f>-B23</f>
        <v>-5000</v>
      </c>
      <c r="D25" s="2">
        <f>-D23</f>
        <v>-5000</v>
      </c>
    </row>
    <row r="26" spans="1:5" x14ac:dyDescent="0.25">
      <c r="A26" s="1" t="s">
        <v>83</v>
      </c>
      <c r="B26" s="2">
        <f>B18+B25</f>
        <v>16000</v>
      </c>
      <c r="D26" s="2">
        <f>D18+D25</f>
        <v>0</v>
      </c>
    </row>
    <row r="27" spans="1:5" x14ac:dyDescent="0.25">
      <c r="A27" s="4" t="s">
        <v>84</v>
      </c>
      <c r="B27" s="2">
        <f>C27*B26</f>
        <v>4000</v>
      </c>
      <c r="C27" s="15">
        <v>0.25</v>
      </c>
      <c r="D27" s="2">
        <f>E27*D26</f>
        <v>0</v>
      </c>
      <c r="E27" s="15">
        <v>0.25</v>
      </c>
    </row>
    <row r="28" spans="1:5" x14ac:dyDescent="0.25">
      <c r="A28" s="1" t="s">
        <v>12</v>
      </c>
      <c r="B28" s="2">
        <f>B26-B27</f>
        <v>12000</v>
      </c>
      <c r="D28" s="2">
        <f>D26-D27</f>
        <v>0</v>
      </c>
    </row>
    <row r="30" spans="1:5" x14ac:dyDescent="0.25">
      <c r="A30" t="s">
        <v>85</v>
      </c>
    </row>
    <row r="31" spans="1:5" x14ac:dyDescent="0.25">
      <c r="A31" t="s">
        <v>87</v>
      </c>
    </row>
    <row r="32" spans="1:5" x14ac:dyDescent="0.25">
      <c r="A32" t="s">
        <v>88</v>
      </c>
      <c r="B32" s="16">
        <f>B28</f>
        <v>12000</v>
      </c>
    </row>
    <row r="33" spans="1:2" x14ac:dyDescent="0.25">
      <c r="A33" t="s">
        <v>89</v>
      </c>
      <c r="B33" s="16">
        <f>(B3-B6)*(1-C27)</f>
        <v>56250</v>
      </c>
    </row>
    <row r="34" spans="1:2" x14ac:dyDescent="0.25">
      <c r="A34" t="s">
        <v>90</v>
      </c>
      <c r="B34" s="17">
        <f>B32/B33</f>
        <v>0.21333333333333335</v>
      </c>
    </row>
  </sheetData>
  <mergeCells count="1">
    <mergeCell ref="A1:B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A9" sqref="A9"/>
    </sheetView>
  </sheetViews>
  <sheetFormatPr defaultColWidth="8.88671875" defaultRowHeight="13.2" x14ac:dyDescent="0.25"/>
  <cols>
    <col min="1" max="1" width="50.109375" customWidth="1"/>
  </cols>
  <sheetData>
    <row r="1" spans="1:4" ht="24.75" customHeight="1" thickBot="1" x14ac:dyDescent="0.3">
      <c r="A1" s="18" t="s">
        <v>91</v>
      </c>
      <c r="B1" s="19" t="s">
        <v>1</v>
      </c>
      <c r="C1" s="19" t="s">
        <v>18</v>
      </c>
      <c r="D1" s="19" t="s">
        <v>92</v>
      </c>
    </row>
    <row r="2" spans="1:4" ht="24.75" customHeight="1" thickBot="1" x14ac:dyDescent="0.3">
      <c r="A2" s="20" t="s">
        <v>93</v>
      </c>
      <c r="B2" s="21" t="s">
        <v>94</v>
      </c>
      <c r="C2" s="21">
        <v>0</v>
      </c>
      <c r="D2" s="21" t="s">
        <v>94</v>
      </c>
    </row>
    <row r="3" spans="1:4" ht="24.75" customHeight="1" thickBot="1" x14ac:dyDescent="0.3">
      <c r="A3" s="20" t="s">
        <v>95</v>
      </c>
      <c r="B3" s="21">
        <v>0</v>
      </c>
      <c r="C3" s="21">
        <v>0</v>
      </c>
      <c r="D3" s="21">
        <v>0</v>
      </c>
    </row>
    <row r="4" spans="1:4" ht="24.75" customHeight="1" thickBot="1" x14ac:dyDescent="0.3">
      <c r="A4" s="20" t="s">
        <v>96</v>
      </c>
      <c r="B4" s="21" t="s">
        <v>94</v>
      </c>
      <c r="C4" s="21" t="s">
        <v>94</v>
      </c>
      <c r="D4" s="21">
        <v>0</v>
      </c>
    </row>
    <row r="5" spans="1:4" ht="24.75" customHeight="1" thickBot="1" x14ac:dyDescent="0.3">
      <c r="A5" s="20" t="s">
        <v>97</v>
      </c>
      <c r="B5" s="21" t="s">
        <v>98</v>
      </c>
      <c r="C5" s="21" t="s">
        <v>98</v>
      </c>
      <c r="D5" s="21">
        <v>0</v>
      </c>
    </row>
    <row r="6" spans="1:4" ht="24.75" customHeight="1" thickBot="1" x14ac:dyDescent="0.3">
      <c r="A6" s="20" t="s">
        <v>99</v>
      </c>
      <c r="B6" s="21" t="s">
        <v>98</v>
      </c>
      <c r="C6" s="21">
        <v>0</v>
      </c>
      <c r="D6" s="21" t="s">
        <v>98</v>
      </c>
    </row>
    <row r="7" spans="1:4" ht="24.75" customHeight="1" thickBot="1" x14ac:dyDescent="0.3">
      <c r="A7" s="20" t="s">
        <v>100</v>
      </c>
      <c r="B7" s="21" t="s">
        <v>94</v>
      </c>
      <c r="C7" s="21" t="s">
        <v>94</v>
      </c>
      <c r="D7" s="21">
        <v>0</v>
      </c>
    </row>
    <row r="8" spans="1:4" ht="24.75" customHeight="1" thickBot="1" x14ac:dyDescent="0.3">
      <c r="A8" s="20" t="s">
        <v>101</v>
      </c>
      <c r="B8" s="21" t="s">
        <v>98</v>
      </c>
      <c r="C8" s="21">
        <v>0</v>
      </c>
      <c r="D8" s="21" t="s">
        <v>98</v>
      </c>
    </row>
    <row r="9" spans="1:4" ht="24.75" customHeight="1" thickBot="1" x14ac:dyDescent="0.3">
      <c r="A9" s="20" t="s">
        <v>102</v>
      </c>
      <c r="B9" s="21" t="s">
        <v>98</v>
      </c>
      <c r="C9" s="21" t="s">
        <v>98</v>
      </c>
      <c r="D9" s="21">
        <v>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1"/>
  <sheetViews>
    <sheetView workbookViewId="0">
      <selection activeCell="E5" sqref="E5"/>
    </sheetView>
  </sheetViews>
  <sheetFormatPr defaultColWidth="8.88671875" defaultRowHeight="15" x14ac:dyDescent="0.25"/>
  <cols>
    <col min="1" max="1" width="4.88671875" style="25" bestFit="1" customWidth="1"/>
    <col min="2" max="2" width="14.33203125" customWidth="1"/>
    <col min="3" max="3" width="7" customWidth="1"/>
    <col min="5" max="5" width="28.109375" customWidth="1"/>
  </cols>
  <sheetData>
    <row r="1" spans="1:6" ht="24.6" x14ac:dyDescent="0.4">
      <c r="A1" s="22" t="s">
        <v>103</v>
      </c>
      <c r="B1" s="23" t="s">
        <v>104</v>
      </c>
    </row>
    <row r="3" spans="1:6" x14ac:dyDescent="0.25">
      <c r="A3" s="24" t="s">
        <v>105</v>
      </c>
      <c r="B3" t="s">
        <v>106</v>
      </c>
    </row>
    <row r="5" spans="1:6" x14ac:dyDescent="0.25">
      <c r="B5" t="s">
        <v>107</v>
      </c>
      <c r="C5">
        <f>F5+F6</f>
        <v>0</v>
      </c>
      <c r="E5" t="s">
        <v>3</v>
      </c>
      <c r="F5">
        <v>1200</v>
      </c>
    </row>
    <row r="6" spans="1:6" x14ac:dyDescent="0.25">
      <c r="E6" t="s">
        <v>108</v>
      </c>
      <c r="F6">
        <v>-1200</v>
      </c>
    </row>
    <row r="7" spans="1:6" x14ac:dyDescent="0.25">
      <c r="B7" t="s">
        <v>109</v>
      </c>
      <c r="C7">
        <v>0</v>
      </c>
    </row>
    <row r="9" spans="1:6" x14ac:dyDescent="0.25">
      <c r="B9" t="s">
        <v>110</v>
      </c>
      <c r="C9">
        <f>C5-C7</f>
        <v>0</v>
      </c>
    </row>
    <row r="13" spans="1:6" x14ac:dyDescent="0.25">
      <c r="A13" s="24" t="s">
        <v>111</v>
      </c>
      <c r="B13" t="s">
        <v>112</v>
      </c>
    </row>
    <row r="15" spans="1:6" x14ac:dyDescent="0.25">
      <c r="B15" t="s">
        <v>107</v>
      </c>
      <c r="C15">
        <f>F15+F16</f>
        <v>0</v>
      </c>
      <c r="E15" t="s">
        <v>113</v>
      </c>
      <c r="F15">
        <v>-500</v>
      </c>
    </row>
    <row r="16" spans="1:6" x14ac:dyDescent="0.25">
      <c r="E16" t="s">
        <v>108</v>
      </c>
      <c r="F16">
        <v>500</v>
      </c>
    </row>
    <row r="17" spans="1:10" x14ac:dyDescent="0.25">
      <c r="B17" t="s">
        <v>109</v>
      </c>
      <c r="C17">
        <v>0</v>
      </c>
    </row>
    <row r="19" spans="1:10" x14ac:dyDescent="0.25">
      <c r="B19" t="s">
        <v>110</v>
      </c>
      <c r="C19">
        <f>C15-C17</f>
        <v>0</v>
      </c>
    </row>
    <row r="23" spans="1:10" x14ac:dyDescent="0.25">
      <c r="A23" s="24" t="s">
        <v>114</v>
      </c>
      <c r="B23" t="s">
        <v>115</v>
      </c>
    </row>
    <row r="25" spans="1:10" x14ac:dyDescent="0.25">
      <c r="B25" t="s">
        <v>107</v>
      </c>
      <c r="C25">
        <f>F25+F26</f>
        <v>100</v>
      </c>
      <c r="E25" t="s">
        <v>3</v>
      </c>
      <c r="F25">
        <f>-(H25-H25*J25*I25)</f>
        <v>-500</v>
      </c>
      <c r="H25">
        <v>1000</v>
      </c>
      <c r="I25">
        <v>2</v>
      </c>
      <c r="J25" s="15">
        <v>0.25</v>
      </c>
    </row>
    <row r="26" spans="1:10" x14ac:dyDescent="0.25">
      <c r="E26" t="s">
        <v>113</v>
      </c>
      <c r="F26">
        <v>600</v>
      </c>
    </row>
    <row r="27" spans="1:10" x14ac:dyDescent="0.25">
      <c r="B27" t="s">
        <v>109</v>
      </c>
      <c r="C27">
        <v>0</v>
      </c>
    </row>
    <row r="29" spans="1:10" x14ac:dyDescent="0.25">
      <c r="B29" t="s">
        <v>110</v>
      </c>
      <c r="C29">
        <f>C25-C27</f>
        <v>100</v>
      </c>
    </row>
    <row r="33" spans="1:6" x14ac:dyDescent="0.25">
      <c r="A33" s="24" t="s">
        <v>116</v>
      </c>
      <c r="B33" t="s">
        <v>117</v>
      </c>
    </row>
    <row r="35" spans="1:6" x14ac:dyDescent="0.25">
      <c r="B35" t="s">
        <v>107</v>
      </c>
      <c r="C35">
        <f>F35</f>
        <v>1000</v>
      </c>
      <c r="E35" t="s">
        <v>25</v>
      </c>
      <c r="F35">
        <v>1000</v>
      </c>
    </row>
    <row r="37" spans="1:6" x14ac:dyDescent="0.25">
      <c r="B37" t="s">
        <v>109</v>
      </c>
      <c r="C37">
        <f>F37</f>
        <v>1000</v>
      </c>
      <c r="E37" t="s">
        <v>27</v>
      </c>
      <c r="F37">
        <v>1000</v>
      </c>
    </row>
    <row r="39" spans="1:6" x14ac:dyDescent="0.25">
      <c r="B39" t="s">
        <v>110</v>
      </c>
      <c r="C39">
        <f>C35-C37</f>
        <v>0</v>
      </c>
    </row>
    <row r="44" spans="1:6" x14ac:dyDescent="0.25">
      <c r="A44" s="24" t="s">
        <v>118</v>
      </c>
      <c r="B44" t="s">
        <v>119</v>
      </c>
    </row>
    <row r="46" spans="1:6" x14ac:dyDescent="0.25">
      <c r="B46" t="s">
        <v>107</v>
      </c>
      <c r="C46">
        <f>F46</f>
        <v>-700</v>
      </c>
      <c r="E46" t="s">
        <v>108</v>
      </c>
      <c r="F46">
        <v>-700</v>
      </c>
    </row>
    <row r="48" spans="1:6" x14ac:dyDescent="0.25">
      <c r="B48" t="s">
        <v>109</v>
      </c>
      <c r="C48">
        <f>F48</f>
        <v>-700</v>
      </c>
      <c r="E48" t="s">
        <v>27</v>
      </c>
      <c r="F48">
        <v>-700</v>
      </c>
    </row>
    <row r="50" spans="1:6" x14ac:dyDescent="0.25">
      <c r="B50" t="s">
        <v>110</v>
      </c>
      <c r="C50">
        <f>C46-C48</f>
        <v>0</v>
      </c>
    </row>
    <row r="54" spans="1:6" x14ac:dyDescent="0.25">
      <c r="A54" s="24" t="s">
        <v>120</v>
      </c>
      <c r="B54" t="s">
        <v>121</v>
      </c>
    </row>
    <row r="56" spans="1:6" x14ac:dyDescent="0.25">
      <c r="B56" t="s">
        <v>107</v>
      </c>
      <c r="C56">
        <f>F56+F57</f>
        <v>400</v>
      </c>
      <c r="E56" t="s">
        <v>25</v>
      </c>
      <c r="F56">
        <v>-3600</v>
      </c>
    </row>
    <row r="57" spans="1:6" x14ac:dyDescent="0.25">
      <c r="E57" t="s">
        <v>108</v>
      </c>
      <c r="F57">
        <v>4000</v>
      </c>
    </row>
    <row r="58" spans="1:6" x14ac:dyDescent="0.25">
      <c r="B58" t="s">
        <v>109</v>
      </c>
      <c r="C58">
        <v>0</v>
      </c>
    </row>
    <row r="60" spans="1:6" x14ac:dyDescent="0.25">
      <c r="B60" t="s">
        <v>110</v>
      </c>
      <c r="C60">
        <f>C56-C58</f>
        <v>400</v>
      </c>
    </row>
    <row r="64" spans="1:6" x14ac:dyDescent="0.25">
      <c r="A64" s="24" t="s">
        <v>122</v>
      </c>
      <c r="B64" t="s">
        <v>123</v>
      </c>
    </row>
    <row r="66" spans="1:8" x14ac:dyDescent="0.25">
      <c r="B66" t="s">
        <v>107</v>
      </c>
      <c r="C66">
        <f>F66+F67</f>
        <v>600</v>
      </c>
      <c r="E66" t="s">
        <v>3</v>
      </c>
      <c r="F66">
        <v>1000</v>
      </c>
    </row>
    <row r="67" spans="1:8" x14ac:dyDescent="0.25">
      <c r="E67" t="s">
        <v>108</v>
      </c>
      <c r="F67">
        <v>-400</v>
      </c>
    </row>
    <row r="68" spans="1:8" x14ac:dyDescent="0.25">
      <c r="B68" t="s">
        <v>109</v>
      </c>
      <c r="C68">
        <f>F68</f>
        <v>600</v>
      </c>
      <c r="E68" t="s">
        <v>27</v>
      </c>
      <c r="F68">
        <v>600</v>
      </c>
    </row>
    <row r="70" spans="1:8" x14ac:dyDescent="0.25">
      <c r="B70" t="s">
        <v>110</v>
      </c>
      <c r="C70">
        <f>C66-C68</f>
        <v>0</v>
      </c>
    </row>
    <row r="75" spans="1:8" x14ac:dyDescent="0.25">
      <c r="A75" s="24" t="s">
        <v>124</v>
      </c>
      <c r="B75" t="s">
        <v>125</v>
      </c>
    </row>
    <row r="77" spans="1:8" x14ac:dyDescent="0.25">
      <c r="B77" t="s">
        <v>107</v>
      </c>
      <c r="C77">
        <f>F77+F78</f>
        <v>0</v>
      </c>
      <c r="E77" t="s">
        <v>113</v>
      </c>
      <c r="F77">
        <v>-2000</v>
      </c>
      <c r="H77" s="23" t="s">
        <v>126</v>
      </c>
    </row>
    <row r="78" spans="1:8" x14ac:dyDescent="0.25">
      <c r="E78" t="s">
        <v>108</v>
      </c>
      <c r="F78">
        <v>2000</v>
      </c>
    </row>
    <row r="79" spans="1:8" x14ac:dyDescent="0.25">
      <c r="B79" t="s">
        <v>109</v>
      </c>
      <c r="C79">
        <v>0</v>
      </c>
    </row>
    <row r="81" spans="2:3" x14ac:dyDescent="0.25">
      <c r="B81" t="s">
        <v>110</v>
      </c>
      <c r="C81">
        <f>C77-C79</f>
        <v>0</v>
      </c>
    </row>
  </sheetData>
  <phoneticPr fontId="9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defaultColWidth="8.88671875" defaultRowHeight="13.2" x14ac:dyDescent="0.25"/>
  <cols>
    <col min="1" max="1" width="2" bestFit="1" customWidth="1"/>
    <col min="2" max="2" width="30.44140625" bestFit="1" customWidth="1"/>
    <col min="3" max="3" width="12.88671875" bestFit="1" customWidth="1"/>
  </cols>
  <sheetData>
    <row r="1" spans="1:3" x14ac:dyDescent="0.25">
      <c r="A1" s="1" t="s">
        <v>127</v>
      </c>
    </row>
    <row r="2" spans="1:3" x14ac:dyDescent="0.25">
      <c r="A2">
        <v>0</v>
      </c>
      <c r="B2" t="s">
        <v>128</v>
      </c>
      <c r="C2" s="7">
        <v>50000</v>
      </c>
    </row>
    <row r="3" spans="1:3" x14ac:dyDescent="0.25">
      <c r="A3">
        <v>1</v>
      </c>
      <c r="B3" t="s">
        <v>129</v>
      </c>
      <c r="C3" s="7">
        <v>40000</v>
      </c>
    </row>
    <row r="4" spans="1:3" x14ac:dyDescent="0.25">
      <c r="A4">
        <v>2</v>
      </c>
      <c r="B4" t="s">
        <v>130</v>
      </c>
      <c r="C4" s="7">
        <v>9000</v>
      </c>
    </row>
    <row r="5" spans="1:3" x14ac:dyDescent="0.25">
      <c r="B5" t="s">
        <v>131</v>
      </c>
      <c r="C5" s="26">
        <f>+C4</f>
        <v>9000</v>
      </c>
    </row>
    <row r="6" spans="1:3" x14ac:dyDescent="0.25">
      <c r="B6" t="s">
        <v>132</v>
      </c>
      <c r="C6">
        <v>3</v>
      </c>
    </row>
    <row r="7" spans="1:3" x14ac:dyDescent="0.25">
      <c r="B7" t="s">
        <v>133</v>
      </c>
      <c r="C7" s="15">
        <v>0.15</v>
      </c>
    </row>
    <row r="8" spans="1:3" x14ac:dyDescent="0.25">
      <c r="B8" t="s">
        <v>134</v>
      </c>
      <c r="C8" s="27">
        <f>+C5/C6</f>
        <v>3000</v>
      </c>
    </row>
    <row r="9" spans="1:3" x14ac:dyDescent="0.25">
      <c r="B9" t="s">
        <v>133</v>
      </c>
      <c r="C9" s="13">
        <f>+C7*C5</f>
        <v>1350</v>
      </c>
    </row>
    <row r="10" spans="1:3" x14ac:dyDescent="0.25">
      <c r="B10" t="s">
        <v>135</v>
      </c>
      <c r="C10" s="13">
        <f>+C5-C8</f>
        <v>6000</v>
      </c>
    </row>
    <row r="11" spans="1:3" x14ac:dyDescent="0.25">
      <c r="A11">
        <v>3</v>
      </c>
      <c r="B11" t="s">
        <v>136</v>
      </c>
      <c r="C11" s="27">
        <v>80000</v>
      </c>
    </row>
    <row r="12" spans="1:3" x14ac:dyDescent="0.25">
      <c r="B12" t="s">
        <v>137</v>
      </c>
      <c r="C12" s="7">
        <v>10000</v>
      </c>
    </row>
    <row r="13" spans="1:3" x14ac:dyDescent="0.25">
      <c r="B13" t="s">
        <v>138</v>
      </c>
      <c r="C13">
        <v>2</v>
      </c>
    </row>
    <row r="14" spans="1:3" x14ac:dyDescent="0.25">
      <c r="B14" t="s">
        <v>29</v>
      </c>
      <c r="C14" s="13">
        <f>+C13/12*C11</f>
        <v>13333.333333333332</v>
      </c>
    </row>
    <row r="15" spans="1:3" x14ac:dyDescent="0.25">
      <c r="B15" t="s">
        <v>139</v>
      </c>
      <c r="C15" s="13">
        <f>+C11-C12</f>
        <v>70000</v>
      </c>
    </row>
    <row r="16" spans="1:3" x14ac:dyDescent="0.25">
      <c r="A16">
        <v>4</v>
      </c>
      <c r="B16" t="s">
        <v>67</v>
      </c>
      <c r="C16" s="13">
        <v>120000</v>
      </c>
    </row>
    <row r="17" spans="1:3" x14ac:dyDescent="0.25">
      <c r="B17" t="s">
        <v>138</v>
      </c>
      <c r="C17">
        <v>1</v>
      </c>
    </row>
    <row r="18" spans="1:3" x14ac:dyDescent="0.25">
      <c r="B18" t="s">
        <v>32</v>
      </c>
      <c r="C18" s="13">
        <f>+C17/12*C16</f>
        <v>10000</v>
      </c>
    </row>
    <row r="19" spans="1:3" x14ac:dyDescent="0.25">
      <c r="A19">
        <v>5</v>
      </c>
      <c r="B19" t="s">
        <v>140</v>
      </c>
      <c r="C19" s="7">
        <v>30000</v>
      </c>
    </row>
    <row r="20" spans="1:3" x14ac:dyDescent="0.25">
      <c r="A20">
        <v>6</v>
      </c>
      <c r="B20" t="s">
        <v>70</v>
      </c>
      <c r="C20" s="7">
        <v>5000</v>
      </c>
    </row>
    <row r="21" spans="1:3" x14ac:dyDescent="0.25">
      <c r="A21">
        <v>7</v>
      </c>
      <c r="B21" t="s">
        <v>141</v>
      </c>
      <c r="C21" s="15">
        <v>0.2</v>
      </c>
    </row>
    <row r="22" spans="1:3" x14ac:dyDescent="0.25">
      <c r="A22">
        <v>8</v>
      </c>
      <c r="B22" t="s">
        <v>142</v>
      </c>
      <c r="C22" s="15">
        <v>0.3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A20" sqref="A20"/>
    </sheetView>
  </sheetViews>
  <sheetFormatPr defaultColWidth="8.88671875" defaultRowHeight="13.2" x14ac:dyDescent="0.25"/>
  <cols>
    <col min="1" max="1" width="37.109375" customWidth="1"/>
    <col min="2" max="2" width="11.88671875" style="2" bestFit="1" customWidth="1"/>
    <col min="3" max="3" width="37.109375" customWidth="1"/>
    <col min="4" max="4" width="11.88671875" style="2" bestFit="1" customWidth="1"/>
  </cols>
  <sheetData>
    <row r="1" spans="1:4" x14ac:dyDescent="0.25">
      <c r="A1" s="1" t="s">
        <v>143</v>
      </c>
    </row>
    <row r="2" spans="1:4" x14ac:dyDescent="0.25">
      <c r="A2" s="1" t="s">
        <v>1</v>
      </c>
      <c r="C2" s="1" t="s">
        <v>2</v>
      </c>
    </row>
    <row r="3" spans="1:4" x14ac:dyDescent="0.25">
      <c r="A3" s="3" t="s">
        <v>3</v>
      </c>
      <c r="C3" s="4" t="s">
        <v>4</v>
      </c>
      <c r="D3" s="2">
        <f>+'7-Factos'!C2</f>
        <v>50000</v>
      </c>
    </row>
    <row r="4" spans="1:4" x14ac:dyDescent="0.25">
      <c r="A4" s="5" t="s">
        <v>6</v>
      </c>
      <c r="C4" s="4" t="s">
        <v>144</v>
      </c>
    </row>
    <row r="5" spans="1:4" x14ac:dyDescent="0.25">
      <c r="A5" s="5" t="s">
        <v>50</v>
      </c>
      <c r="B5" s="2">
        <f>+'7-Factos'!C3+'7-Factos'!C4</f>
        <v>49000</v>
      </c>
      <c r="C5" s="4" t="s">
        <v>12</v>
      </c>
      <c r="D5" s="2">
        <f>+'7-DR'!C22</f>
        <v>2695</v>
      </c>
    </row>
    <row r="6" spans="1:4" x14ac:dyDescent="0.25">
      <c r="A6" s="5" t="s">
        <v>15</v>
      </c>
      <c r="C6" s="3" t="s">
        <v>16</v>
      </c>
      <c r="D6" s="7">
        <f>SUM(D3:D5)</f>
        <v>52695</v>
      </c>
    </row>
    <row r="7" spans="1:4" x14ac:dyDescent="0.25">
      <c r="A7" s="5"/>
      <c r="B7" s="2">
        <f>SUM(B4:B6)</f>
        <v>49000</v>
      </c>
    </row>
    <row r="8" spans="1:4" x14ac:dyDescent="0.25">
      <c r="A8" s="5" t="s">
        <v>20</v>
      </c>
      <c r="B8" s="2">
        <f>+'7-Factos'!C21*'7-B'!B7</f>
        <v>9800</v>
      </c>
      <c r="C8" s="8" t="s">
        <v>18</v>
      </c>
    </row>
    <row r="9" spans="1:4" x14ac:dyDescent="0.25">
      <c r="A9" s="9" t="s">
        <v>145</v>
      </c>
      <c r="B9" s="7">
        <f>+B7-B8</f>
        <v>39200</v>
      </c>
      <c r="C9" s="4" t="s">
        <v>19</v>
      </c>
    </row>
    <row r="10" spans="1:4" x14ac:dyDescent="0.25">
      <c r="A10" s="3" t="s">
        <v>24</v>
      </c>
      <c r="C10" s="5" t="s">
        <v>21</v>
      </c>
      <c r="D10" s="2">
        <f>+'7-Factos'!C10</f>
        <v>6000</v>
      </c>
    </row>
    <row r="11" spans="1:4" x14ac:dyDescent="0.25">
      <c r="A11" s="5" t="s">
        <v>25</v>
      </c>
      <c r="C11" s="5" t="s">
        <v>146</v>
      </c>
    </row>
    <row r="12" spans="1:4" x14ac:dyDescent="0.25">
      <c r="A12" s="10" t="s">
        <v>137</v>
      </c>
      <c r="B12" s="2">
        <f>+'7-Factos'!C12</f>
        <v>10000</v>
      </c>
      <c r="D12" s="2">
        <f>SUM(D10:D11)</f>
        <v>6000</v>
      </c>
    </row>
    <row r="13" spans="1:4" x14ac:dyDescent="0.25">
      <c r="A13" s="5" t="s">
        <v>30</v>
      </c>
      <c r="C13" s="4" t="s">
        <v>27</v>
      </c>
    </row>
    <row r="14" spans="1:4" x14ac:dyDescent="0.25">
      <c r="A14" s="10" t="s">
        <v>32</v>
      </c>
      <c r="B14" s="2">
        <f>+'7-Factos'!C18</f>
        <v>10000</v>
      </c>
      <c r="C14" s="5" t="s">
        <v>29</v>
      </c>
      <c r="D14" s="2">
        <f>+'7-Factos'!C14</f>
        <v>13333.333333333332</v>
      </c>
    </row>
    <row r="15" spans="1:4" x14ac:dyDescent="0.25">
      <c r="A15" s="10" t="s">
        <v>35</v>
      </c>
      <c r="C15" s="5" t="s">
        <v>34</v>
      </c>
      <c r="D15" s="2">
        <f>+'7-DR'!C21</f>
        <v>1155</v>
      </c>
    </row>
    <row r="16" spans="1:4" x14ac:dyDescent="0.25">
      <c r="B16" s="2">
        <f>SUM(B14:B15)</f>
        <v>10000</v>
      </c>
      <c r="D16" s="2">
        <f>SUM(D14:D15)</f>
        <v>14488.333333333332</v>
      </c>
    </row>
    <row r="17" spans="1:4" x14ac:dyDescent="0.25">
      <c r="A17" s="5" t="s">
        <v>39</v>
      </c>
      <c r="C17" s="3" t="s">
        <v>147</v>
      </c>
    </row>
    <row r="18" spans="1:4" x14ac:dyDescent="0.25">
      <c r="A18" s="10" t="s">
        <v>40</v>
      </c>
      <c r="C18" s="3" t="s">
        <v>41</v>
      </c>
      <c r="D18" s="7">
        <f>+D16+D17+D12</f>
        <v>20488.333333333332</v>
      </c>
    </row>
    <row r="19" spans="1:4" x14ac:dyDescent="0.25">
      <c r="A19" s="10" t="s">
        <v>43</v>
      </c>
      <c r="B19" s="2">
        <v>13983.33</v>
      </c>
    </row>
    <row r="20" spans="1:4" x14ac:dyDescent="0.25">
      <c r="B20" s="2">
        <f>SUM(B18:B19)</f>
        <v>13983.33</v>
      </c>
    </row>
    <row r="21" spans="1:4" x14ac:dyDescent="0.25">
      <c r="A21" s="3" t="s">
        <v>45</v>
      </c>
      <c r="B21" s="7">
        <f>+B20+B16+B12</f>
        <v>33983.33</v>
      </c>
    </row>
    <row r="22" spans="1:4" x14ac:dyDescent="0.25">
      <c r="A22" s="3" t="s">
        <v>46</v>
      </c>
      <c r="B22" s="7">
        <f>+B21+B9</f>
        <v>73183.33</v>
      </c>
      <c r="C22" s="1" t="s">
        <v>47</v>
      </c>
      <c r="D22" s="7">
        <f>+D18+D6</f>
        <v>73183.333333333328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tabSelected="1" workbookViewId="0">
      <selection activeCell="B4" sqref="B4"/>
    </sheetView>
  </sheetViews>
  <sheetFormatPr defaultColWidth="8.88671875" defaultRowHeight="13.2" x14ac:dyDescent="0.25"/>
  <cols>
    <col min="2" max="2" width="30.44140625" bestFit="1" customWidth="1"/>
    <col min="3" max="3" width="12.88671875" style="2" bestFit="1" customWidth="1"/>
  </cols>
  <sheetData>
    <row r="1" spans="1:3" x14ac:dyDescent="0.25">
      <c r="A1" s="1" t="s">
        <v>148</v>
      </c>
    </row>
    <row r="2" spans="1:3" x14ac:dyDescent="0.25">
      <c r="A2" t="s">
        <v>149</v>
      </c>
      <c r="B2" t="s">
        <v>150</v>
      </c>
    </row>
    <row r="3" spans="1:3" x14ac:dyDescent="0.25">
      <c r="A3" t="s">
        <v>151</v>
      </c>
      <c r="B3" t="s">
        <v>152</v>
      </c>
    </row>
    <row r="5" spans="1:3" x14ac:dyDescent="0.25">
      <c r="A5" t="s">
        <v>149</v>
      </c>
      <c r="B5" t="s">
        <v>67</v>
      </c>
      <c r="C5" s="2">
        <f>+'7-Factos'!C16</f>
        <v>120000</v>
      </c>
    </row>
    <row r="6" spans="1:3" x14ac:dyDescent="0.25">
      <c r="A6" t="s">
        <v>149</v>
      </c>
      <c r="B6" t="s">
        <v>153</v>
      </c>
    </row>
    <row r="7" spans="1:3" x14ac:dyDescent="0.25">
      <c r="A7" t="s">
        <v>151</v>
      </c>
      <c r="B7" t="s">
        <v>139</v>
      </c>
      <c r="C7" s="2">
        <f>+'7-Factos'!C15</f>
        <v>70000</v>
      </c>
    </row>
    <row r="8" spans="1:3" x14ac:dyDescent="0.25">
      <c r="B8" s="1" t="s">
        <v>154</v>
      </c>
      <c r="C8" s="2">
        <f>C5-C6-C7</f>
        <v>50000</v>
      </c>
    </row>
    <row r="9" spans="1:3" x14ac:dyDescent="0.25">
      <c r="A9" t="s">
        <v>151</v>
      </c>
      <c r="B9" t="s">
        <v>70</v>
      </c>
      <c r="C9" s="2">
        <f>+'7-Factos'!C20</f>
        <v>5000</v>
      </c>
    </row>
    <row r="10" spans="1:3" x14ac:dyDescent="0.25">
      <c r="A10" t="s">
        <v>151</v>
      </c>
      <c r="B10" t="s">
        <v>155</v>
      </c>
      <c r="C10" s="2">
        <f>+'7-Factos'!C19</f>
        <v>30000</v>
      </c>
    </row>
    <row r="11" spans="1:3" x14ac:dyDescent="0.25">
      <c r="A11" t="s">
        <v>151</v>
      </c>
      <c r="B11" t="s">
        <v>20</v>
      </c>
      <c r="C11" s="2">
        <f>+'7-Factos'!C21*'7-B'!B7</f>
        <v>9800</v>
      </c>
    </row>
    <row r="12" spans="1:3" x14ac:dyDescent="0.25">
      <c r="B12" s="1" t="s">
        <v>72</v>
      </c>
      <c r="C12" s="2">
        <f>+C8-C9-C10-C11</f>
        <v>5200</v>
      </c>
    </row>
    <row r="13" spans="1:3" x14ac:dyDescent="0.25">
      <c r="A13" t="s">
        <v>149</v>
      </c>
      <c r="B13" t="s">
        <v>73</v>
      </c>
    </row>
    <row r="14" spans="1:3" x14ac:dyDescent="0.25">
      <c r="A14" t="s">
        <v>151</v>
      </c>
      <c r="B14" t="s">
        <v>75</v>
      </c>
      <c r="C14" s="2">
        <f>+'7-Factos'!C9</f>
        <v>1350</v>
      </c>
    </row>
    <row r="15" spans="1:3" x14ac:dyDescent="0.25">
      <c r="B15" s="4" t="s">
        <v>77</v>
      </c>
      <c r="C15" s="2">
        <f>+C13-C14</f>
        <v>-1350</v>
      </c>
    </row>
    <row r="16" spans="1:3" x14ac:dyDescent="0.25">
      <c r="B16" s="1" t="s">
        <v>78</v>
      </c>
      <c r="C16" s="2">
        <f>+C12+C15</f>
        <v>3850</v>
      </c>
    </row>
    <row r="17" spans="1:3" x14ac:dyDescent="0.25">
      <c r="A17" t="s">
        <v>149</v>
      </c>
      <c r="B17" t="s">
        <v>79</v>
      </c>
    </row>
    <row r="18" spans="1:3" x14ac:dyDescent="0.25">
      <c r="A18" t="s">
        <v>151</v>
      </c>
      <c r="B18" t="s">
        <v>81</v>
      </c>
    </row>
    <row r="19" spans="1:3" x14ac:dyDescent="0.25">
      <c r="B19" s="4" t="s">
        <v>82</v>
      </c>
      <c r="C19" s="2">
        <f>+C17-C18</f>
        <v>0</v>
      </c>
    </row>
    <row r="20" spans="1:3" x14ac:dyDescent="0.25">
      <c r="B20" s="1" t="s">
        <v>156</v>
      </c>
      <c r="C20" s="2">
        <f>+C16+C19</f>
        <v>3850</v>
      </c>
    </row>
    <row r="21" spans="1:3" x14ac:dyDescent="0.25">
      <c r="A21" t="s">
        <v>151</v>
      </c>
      <c r="B21" t="s">
        <v>84</v>
      </c>
      <c r="C21" s="2">
        <f>+C20*'7-Factos'!C22</f>
        <v>1155</v>
      </c>
    </row>
    <row r="22" spans="1:3" x14ac:dyDescent="0.25">
      <c r="B22" s="1" t="s">
        <v>12</v>
      </c>
      <c r="C22" s="2">
        <f>+C20-C21</f>
        <v>2695</v>
      </c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7-Factos</vt:lpstr>
      <vt:lpstr>7-B</vt:lpstr>
      <vt:lpstr>7-DR</vt:lpstr>
      <vt:lpstr>8-Factos</vt:lpstr>
      <vt:lpstr>8-B_n-1</vt:lpstr>
      <vt:lpstr>8-DR</vt:lpstr>
      <vt:lpstr>8-B_n</vt:lpstr>
    </vt:vector>
  </TitlesOfParts>
  <Manager/>
  <Company>FEUP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Claro</dc:creator>
  <cp:keywords/>
  <dc:description/>
  <cp:lastModifiedBy>Daniela dos Santos Tomás</cp:lastModifiedBy>
  <cp:revision/>
  <dcterms:created xsi:type="dcterms:W3CDTF">2009-03-13T14:48:44Z</dcterms:created>
  <dcterms:modified xsi:type="dcterms:W3CDTF">2024-11-18T17:59:18Z</dcterms:modified>
  <cp:category/>
  <cp:contentStatus/>
</cp:coreProperties>
</file>