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nteligência Artificial\FEUP-IART\Proj1\docs\"/>
    </mc:Choice>
  </mc:AlternateContent>
  <xr:revisionPtr revIDLastSave="0" documentId="13_ncr:1_{E023FC4D-162F-4A1B-88A8-236802FEE076}" xr6:coauthVersionLast="47" xr6:coauthVersionMax="47" xr10:uidLastSave="{00000000-0000-0000-0000-000000000000}"/>
  <bookViews>
    <workbookView xWindow="-108" yWindow="-108" windowWidth="23256" windowHeight="12456" xr2:uid="{924CFEF1-F027-42B9-8CFA-D4097474C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P13" i="1"/>
  <c r="P12" i="1"/>
  <c r="P11" i="1"/>
  <c r="G13" i="1"/>
  <c r="G12" i="1"/>
  <c r="G11" i="1"/>
  <c r="F13" i="1"/>
  <c r="F12" i="1"/>
  <c r="F11" i="1"/>
  <c r="R5" i="1"/>
  <c r="R4" i="1"/>
  <c r="R3" i="1"/>
  <c r="Q5" i="1"/>
  <c r="Q4" i="1"/>
  <c r="Q3" i="1"/>
  <c r="P5" i="1"/>
  <c r="P4" i="1"/>
  <c r="P3" i="1"/>
  <c r="G5" i="1"/>
  <c r="G4" i="1"/>
  <c r="G3" i="1"/>
  <c r="F5" i="1"/>
  <c r="F4" i="1"/>
  <c r="F3" i="1"/>
  <c r="J25" i="1"/>
  <c r="J39" i="1" s="1"/>
  <c r="H31" i="1"/>
  <c r="H41" i="1" s="1"/>
  <c r="E11" i="1"/>
  <c r="E14" i="1" s="1"/>
  <c r="F28" i="1" s="1"/>
  <c r="F40" i="1" s="1"/>
  <c r="E13" i="1"/>
  <c r="E12" i="1"/>
  <c r="C13" i="1"/>
  <c r="C14" i="1" s="1"/>
  <c r="D28" i="1" s="1"/>
  <c r="D40" i="1" s="1"/>
  <c r="C12" i="1"/>
  <c r="C32" i="1"/>
  <c r="D32" i="1"/>
  <c r="E32" i="1"/>
  <c r="E45" i="1" s="1"/>
  <c r="F32" i="1"/>
  <c r="G32" i="1"/>
  <c r="G45" i="1" s="1"/>
  <c r="H32" i="1"/>
  <c r="H45" i="1" s="1"/>
  <c r="I32" i="1"/>
  <c r="J32" i="1"/>
  <c r="C33" i="1"/>
  <c r="C49" i="1" s="1"/>
  <c r="D33" i="1"/>
  <c r="E33" i="1"/>
  <c r="E49" i="1" s="1"/>
  <c r="F33" i="1"/>
  <c r="G33" i="1"/>
  <c r="G49" i="1" s="1"/>
  <c r="H33" i="1"/>
  <c r="H49" i="1" s="1"/>
  <c r="I33" i="1"/>
  <c r="J33" i="1"/>
  <c r="D31" i="1"/>
  <c r="E31" i="1"/>
  <c r="F31" i="1"/>
  <c r="I31" i="1"/>
  <c r="I41" i="1" s="1"/>
  <c r="J31" i="1"/>
  <c r="J41" i="1" s="1"/>
  <c r="C31" i="1"/>
  <c r="C11" i="1"/>
  <c r="D49" i="1"/>
  <c r="F49" i="1"/>
  <c r="I49" i="1"/>
  <c r="J49" i="1"/>
  <c r="D48" i="1"/>
  <c r="E48" i="1"/>
  <c r="J48" i="1"/>
  <c r="D47" i="1"/>
  <c r="E47" i="1"/>
  <c r="F47" i="1"/>
  <c r="D46" i="1"/>
  <c r="E46" i="1"/>
  <c r="F46" i="1"/>
  <c r="C48" i="1"/>
  <c r="C47" i="1"/>
  <c r="C46" i="1"/>
  <c r="D45" i="1"/>
  <c r="F45" i="1"/>
  <c r="I45" i="1"/>
  <c r="J45" i="1"/>
  <c r="C45" i="1"/>
  <c r="H44" i="1"/>
  <c r="D43" i="1"/>
  <c r="E43" i="1"/>
  <c r="F43" i="1"/>
  <c r="G43" i="1"/>
  <c r="H43" i="1"/>
  <c r="I43" i="1"/>
  <c r="D42" i="1"/>
  <c r="E42" i="1"/>
  <c r="F42" i="1"/>
  <c r="G42" i="1"/>
  <c r="H42" i="1"/>
  <c r="I42" i="1"/>
  <c r="J42" i="1"/>
  <c r="D41" i="1"/>
  <c r="E41" i="1"/>
  <c r="F41" i="1"/>
  <c r="D39" i="1"/>
  <c r="E39" i="1"/>
  <c r="F39" i="1"/>
  <c r="D38" i="1"/>
  <c r="E38" i="1"/>
  <c r="F38" i="1"/>
  <c r="I38" i="1"/>
  <c r="C44" i="1"/>
  <c r="C43" i="1"/>
  <c r="C42" i="1"/>
  <c r="C38" i="1"/>
  <c r="C41" i="1"/>
  <c r="C40" i="1"/>
  <c r="C39" i="1"/>
  <c r="B13" i="1"/>
  <c r="B12" i="1"/>
  <c r="D29" i="1"/>
  <c r="D44" i="1" s="1"/>
  <c r="E29" i="1"/>
  <c r="E44" i="1" s="1"/>
  <c r="F29" i="1"/>
  <c r="F44" i="1" s="1"/>
  <c r="G29" i="1"/>
  <c r="G44" i="1" s="1"/>
  <c r="H29" i="1"/>
  <c r="I29" i="1"/>
  <c r="I44" i="1" s="1"/>
  <c r="J29" i="1"/>
  <c r="J44" i="1" s="1"/>
  <c r="D30" i="1"/>
  <c r="E30" i="1"/>
  <c r="F30" i="1"/>
  <c r="F48" i="1" s="1"/>
  <c r="G30" i="1"/>
  <c r="G48" i="1" s="1"/>
  <c r="H30" i="1"/>
  <c r="H48" i="1" s="1"/>
  <c r="I30" i="1"/>
  <c r="I48" i="1" s="1"/>
  <c r="J30" i="1"/>
  <c r="C30" i="1"/>
  <c r="C29" i="1"/>
  <c r="F14" i="1"/>
  <c r="G28" i="1" s="1"/>
  <c r="G40" i="1" s="1"/>
  <c r="E28" i="1"/>
  <c r="E40" i="1" s="1"/>
  <c r="I28" i="1"/>
  <c r="I40" i="1" s="1"/>
  <c r="B11" i="1"/>
  <c r="J27" i="1"/>
  <c r="J47" i="1" s="1"/>
  <c r="H5" i="1"/>
  <c r="H4" i="1"/>
  <c r="H3" i="1"/>
  <c r="E5" i="1"/>
  <c r="E4" i="1"/>
  <c r="E3" i="1"/>
  <c r="E6" i="1" s="1"/>
  <c r="F22" i="1" s="1"/>
  <c r="D5" i="1"/>
  <c r="D4" i="1"/>
  <c r="D3" i="1"/>
  <c r="D24" i="1"/>
  <c r="E24" i="1"/>
  <c r="F24" i="1"/>
  <c r="G24" i="1"/>
  <c r="G46" i="1" s="1"/>
  <c r="H24" i="1"/>
  <c r="H46" i="1" s="1"/>
  <c r="I24" i="1"/>
  <c r="I46" i="1" s="1"/>
  <c r="J24" i="1"/>
  <c r="J46" i="1" s="1"/>
  <c r="C24" i="1"/>
  <c r="D23" i="1"/>
  <c r="E23" i="1"/>
  <c r="F23" i="1"/>
  <c r="G23" i="1"/>
  <c r="H23" i="1"/>
  <c r="I23" i="1"/>
  <c r="J23" i="1"/>
  <c r="C23" i="1"/>
  <c r="C5" i="1"/>
  <c r="C4" i="1"/>
  <c r="C3" i="1"/>
  <c r="B5" i="1"/>
  <c r="B4" i="1"/>
  <c r="B3" i="1"/>
  <c r="B6" i="1" s="1"/>
  <c r="C22" i="1" s="1"/>
  <c r="D27" i="1"/>
  <c r="E27" i="1"/>
  <c r="F27" i="1"/>
  <c r="G27" i="1"/>
  <c r="G47" i="1" s="1"/>
  <c r="H27" i="1"/>
  <c r="H47" i="1" s="1"/>
  <c r="I27" i="1"/>
  <c r="I47" i="1" s="1"/>
  <c r="C27" i="1"/>
  <c r="D26" i="1"/>
  <c r="E26" i="1"/>
  <c r="F26" i="1"/>
  <c r="G26" i="1"/>
  <c r="H26" i="1"/>
  <c r="I26" i="1"/>
  <c r="J26" i="1"/>
  <c r="J43" i="1" s="1"/>
  <c r="C26" i="1"/>
  <c r="O5" i="1"/>
  <c r="O4" i="1"/>
  <c r="O3" i="1"/>
  <c r="N5" i="1"/>
  <c r="N4" i="1"/>
  <c r="N3" i="1"/>
  <c r="M5" i="1"/>
  <c r="M4" i="1"/>
  <c r="M3" i="1"/>
  <c r="L5" i="1"/>
  <c r="L4" i="1"/>
  <c r="L3" i="1"/>
  <c r="G14" i="1" l="1"/>
  <c r="H28" i="1" s="1"/>
  <c r="H40" i="1" s="1"/>
  <c r="C6" i="1"/>
  <c r="D22" i="1" s="1"/>
  <c r="J28" i="1"/>
  <c r="J40" i="1" s="1"/>
  <c r="B14" i="1"/>
  <c r="C28" i="1" s="1"/>
  <c r="I6" i="1"/>
  <c r="J22" i="1" s="1"/>
  <c r="J38" i="1" s="1"/>
  <c r="H6" i="1"/>
  <c r="I22" i="1" s="1"/>
  <c r="G6" i="1"/>
  <c r="H22" i="1" s="1"/>
  <c r="H38" i="1" s="1"/>
  <c r="F6" i="1"/>
  <c r="G22" i="1" s="1"/>
  <c r="G38" i="1" s="1"/>
  <c r="D6" i="1"/>
  <c r="E22" i="1" s="1"/>
  <c r="Q6" i="1"/>
  <c r="H25" i="1" s="1"/>
  <c r="H39" i="1" s="1"/>
  <c r="L6" i="1"/>
  <c r="C25" i="1" s="1"/>
  <c r="O6" i="1"/>
  <c r="F25" i="1" s="1"/>
  <c r="M6" i="1"/>
  <c r="D25" i="1" s="1"/>
  <c r="P6" i="1"/>
  <c r="G25" i="1" s="1"/>
  <c r="G39" i="1" s="1"/>
  <c r="R6" i="1"/>
  <c r="I25" i="1" s="1"/>
  <c r="I39" i="1" s="1"/>
  <c r="P14" i="1"/>
  <c r="G31" i="1" s="1"/>
  <c r="G41" i="1" s="1"/>
  <c r="N6" i="1"/>
  <c r="E25" i="1" s="1"/>
</calcChain>
</file>

<file path=xl/sharedStrings.xml><?xml version="1.0" encoding="utf-8"?>
<sst xmlns="http://schemas.openxmlformats.org/spreadsheetml/2006/main" count="169" uniqueCount="21">
  <si>
    <t>BFS</t>
  </si>
  <si>
    <t>DFS</t>
  </si>
  <si>
    <t>-</t>
  </si>
  <si>
    <t>Time</t>
  </si>
  <si>
    <t>Moves</t>
  </si>
  <si>
    <t># Nodes</t>
  </si>
  <si>
    <t>A* Manhattan</t>
  </si>
  <si>
    <t>Greedy Manhattan</t>
  </si>
  <si>
    <t>A* Color Cluster</t>
  </si>
  <si>
    <t>Greedy Color Cluster</t>
  </si>
  <si>
    <t>Uniform Cost</t>
  </si>
  <si>
    <t>Iterative Deepening</t>
  </si>
  <si>
    <t>Level 1 (4x4)</t>
  </si>
  <si>
    <t>Level 2 (4x4)</t>
  </si>
  <si>
    <t>Level 3 (6x6)</t>
  </si>
  <si>
    <t>Level 4 (6x6)</t>
  </si>
  <si>
    <t>Algorithm</t>
  </si>
  <si>
    <t>BFS (Level 1)</t>
  </si>
  <si>
    <t>A* Manhattan (Level 4)</t>
  </si>
  <si>
    <t>Time (s)</t>
  </si>
  <si>
    <t>Time Average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</si>
</sst>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 (Level</a:t>
            </a:r>
            <a:r>
              <a:rPr lang="en-US" sz="1600" baseline="0"/>
              <a:t> 1)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Level 1 (4x4)</c:v>
                </c:pt>
                <c:pt idx="1">
                  <c:v>Time Average (s)</c:v>
                </c:pt>
              </c:strCache>
            </c:strRef>
          </c:tx>
          <c:spPr>
            <a:solidFill>
              <a:srgbClr val="6A6A6A"/>
            </a:solidFill>
            <a:ln>
              <a:noFill/>
            </a:ln>
            <a:effectLst/>
          </c:spPr>
          <c:invertIfNegative val="0"/>
          <c:cat>
            <c:strRef>
              <c:f>Sheet1!$C$21:$J$21</c:f>
              <c:strCache>
                <c:ptCount val="8"/>
                <c:pt idx="0">
                  <c:v>BFS</c:v>
                </c:pt>
                <c:pt idx="1">
                  <c:v>DFS</c:v>
                </c:pt>
                <c:pt idx="2">
                  <c:v>Uniform Cost</c:v>
                </c:pt>
                <c:pt idx="3">
                  <c:v>Iterative Deepening</c:v>
                </c:pt>
                <c:pt idx="4">
                  <c:v>A* Manhattan</c:v>
                </c:pt>
                <c:pt idx="5">
                  <c:v>Greedy Manhattan</c:v>
                </c:pt>
                <c:pt idx="6">
                  <c:v>A* Color Cluster</c:v>
                </c:pt>
                <c:pt idx="7">
                  <c:v>Greedy Color Cluster</c:v>
                </c:pt>
              </c:strCache>
            </c:strRef>
          </c:cat>
          <c:val>
            <c:numRef>
              <c:f>Sheet1!$C$22:$J$22</c:f>
              <c:numCache>
                <c:formatCode>General</c:formatCode>
                <c:ptCount val="8"/>
                <c:pt idx="0">
                  <c:v>0.54600000000000004</c:v>
                </c:pt>
                <c:pt idx="1">
                  <c:v>0.56799999999999995</c:v>
                </c:pt>
                <c:pt idx="2">
                  <c:v>1.0429999999999999</c:v>
                </c:pt>
                <c:pt idx="3">
                  <c:v>0.3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1.2130000000000001</c:v>
                </c:pt>
                <c:pt idx="7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B-47D9-A348-8232A564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238063"/>
        <c:axId val="665328367"/>
      </c:barChart>
      <c:catAx>
        <c:axId val="1071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5328367"/>
        <c:crosses val="autoZero"/>
        <c:auto val="1"/>
        <c:lblAlgn val="ctr"/>
        <c:lblOffset val="100"/>
        <c:noMultiLvlLbl val="0"/>
      </c:catAx>
      <c:valAx>
        <c:axId val="665328367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1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6A6A6A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 of Nodes (Level</a:t>
            </a:r>
            <a:r>
              <a:rPr lang="en-US" sz="1600" baseline="0"/>
              <a:t> 1)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Sheet1!$A$24:$B$24</c:f>
              <c:strCache>
                <c:ptCount val="2"/>
                <c:pt idx="0">
                  <c:v>Level 1 (4x4)</c:v>
                </c:pt>
                <c:pt idx="1">
                  <c:v># Nodes</c:v>
                </c:pt>
              </c:strCache>
            </c:strRef>
          </c:tx>
          <c:spPr>
            <a:solidFill>
              <a:srgbClr val="6A6A6A"/>
            </a:solidFill>
            <a:ln>
              <a:noFill/>
            </a:ln>
            <a:effectLst/>
          </c:spPr>
          <c:invertIfNegative val="0"/>
          <c:cat>
            <c:strRef>
              <c:f>Sheet1!$C$21:$J$21</c:f>
              <c:strCache>
                <c:ptCount val="8"/>
                <c:pt idx="0">
                  <c:v>BFS</c:v>
                </c:pt>
                <c:pt idx="1">
                  <c:v>DFS</c:v>
                </c:pt>
                <c:pt idx="2">
                  <c:v>Uniform Cost</c:v>
                </c:pt>
                <c:pt idx="3">
                  <c:v>Iterative Deepening</c:v>
                </c:pt>
                <c:pt idx="4">
                  <c:v>A* Manhattan</c:v>
                </c:pt>
                <c:pt idx="5">
                  <c:v>Greedy Manhattan</c:v>
                </c:pt>
                <c:pt idx="6">
                  <c:v>A* Color Cluster</c:v>
                </c:pt>
                <c:pt idx="7">
                  <c:v>Greedy Color Cluster</c:v>
                </c:pt>
              </c:strCache>
            </c:strRef>
          </c:cat>
          <c:val>
            <c:numRef>
              <c:f>Sheet1!$C$24:$J$24</c:f>
              <c:numCache>
                <c:formatCode>General</c:formatCode>
                <c:ptCount val="8"/>
                <c:pt idx="0">
                  <c:v>310</c:v>
                </c:pt>
                <c:pt idx="1">
                  <c:v>321</c:v>
                </c:pt>
                <c:pt idx="2">
                  <c:v>715</c:v>
                </c:pt>
                <c:pt idx="3">
                  <c:v>622</c:v>
                </c:pt>
                <c:pt idx="4">
                  <c:v>6</c:v>
                </c:pt>
                <c:pt idx="5">
                  <c:v>6</c:v>
                </c:pt>
                <c:pt idx="6">
                  <c:v>872</c:v>
                </c:pt>
                <c:pt idx="7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21E-B2C2-0B2979EC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238063"/>
        <c:axId val="665328367"/>
      </c:barChart>
      <c:catAx>
        <c:axId val="1071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5328367"/>
        <c:crosses val="autoZero"/>
        <c:auto val="1"/>
        <c:lblAlgn val="ctr"/>
        <c:lblOffset val="100"/>
        <c:noMultiLvlLbl val="0"/>
      </c:catAx>
      <c:valAx>
        <c:axId val="665328367"/>
        <c:scaling>
          <c:orientation val="minMax"/>
          <c:max val="87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1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6A6A6A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BFS</a:t>
            </a:r>
            <a:r>
              <a:rPr lang="en-US" sz="1600" baseline="0"/>
              <a:t> vs A* with Manhattan Heuristic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Time Average (s)</c:v>
                </c:pt>
              </c:strCache>
            </c:strRef>
          </c:tx>
          <c:spPr>
            <a:solidFill>
              <a:srgbClr val="6A6A6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Sheet1!$A$51:$E$51</c15:sqref>
                  </c15:fullRef>
                </c:ext>
              </c:extLst>
              <c:f>(Sheet1!$A$51,Sheet1!$E$51)</c:f>
              <c:strCache>
                <c:ptCount val="2"/>
                <c:pt idx="0">
                  <c:v>BFS (Level 1)</c:v>
                </c:pt>
                <c:pt idx="1">
                  <c:v>A* Manhattan (Level 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Sheet1!$C$38:$G$38</c15:sqref>
                  </c15:fullRef>
                </c:ext>
              </c:extLst>
              <c:f>(Sheet1!$C$38,Sheet1!$G$38)</c:f>
              <c:numCache>
                <c:formatCode>General</c:formatCode>
                <c:ptCount val="2"/>
                <c:pt idx="0">
                  <c:v>0.54600000000000004</c:v>
                </c:pt>
                <c:pt idx="1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8-4C11-AF9E-719F62C7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238063"/>
        <c:axId val="665328367"/>
      </c:barChart>
      <c:catAx>
        <c:axId val="1071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5328367"/>
        <c:crosses val="autoZero"/>
        <c:auto val="1"/>
        <c:lblAlgn val="ctr"/>
        <c:lblOffset val="100"/>
        <c:noMultiLvlLbl val="0"/>
      </c:catAx>
      <c:valAx>
        <c:axId val="66532836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1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6A6A6A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737753</xdr:colOff>
      <xdr:row>19</xdr:row>
      <xdr:rowOff>152746</xdr:rowOff>
    </xdr:from>
    <xdr:to>
      <xdr:col>21</xdr:col>
      <xdr:colOff>114299</xdr:colOff>
      <xdr:row>48</xdr:row>
      <xdr:rowOff>34983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173049-0682-7DF7-BEA6-F6ADF9B3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536071</xdr:colOff>
      <xdr:row>19</xdr:row>
      <xdr:rowOff>167316</xdr:rowOff>
    </xdr:from>
    <xdr:to>
      <xdr:col>34</xdr:col>
      <xdr:colOff>601460</xdr:colOff>
      <xdr:row>48</xdr:row>
      <xdr:rowOff>88842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E8B178-D034-4543-8A0C-530F865A6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619990</xdr:colOff>
      <xdr:row>49</xdr:row>
      <xdr:rowOff>169718</xdr:rowOff>
    </xdr:from>
    <xdr:to>
      <xdr:col>21</xdr:col>
      <xdr:colOff>110836</xdr:colOff>
      <xdr:row>78</xdr:row>
      <xdr:rowOff>60441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7D19FC-5E9B-4542-A3F9-5159A0FBE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9F69-E9FF-4651-8940-0BBAB9F59CD9}">
  <dimension ref="A1:S51"/>
  <sheetViews>
    <sheetView tabSelected="1" topLeftCell="A21" zoomScale="70" zoomScaleNormal="70" workbookViewId="0">
      <selection activeCell="K24" sqref="K24"/>
    </sheetView>
  </sheetViews>
  <sheetFormatPr defaultRowHeight="14.4" x14ac:dyDescent="0.3"/>
  <cols>
    <col min="1" max="19" width="11.77734375" customWidth="1"/>
  </cols>
  <sheetData>
    <row r="1" spans="1:19" ht="15" thickBot="1" x14ac:dyDescent="0.35">
      <c r="B1" s="1"/>
      <c r="C1" s="1"/>
      <c r="D1" s="1"/>
      <c r="E1" s="1"/>
      <c r="F1" s="1"/>
      <c r="G1" s="1"/>
      <c r="H1" s="1"/>
    </row>
    <row r="2" spans="1:19" ht="15" thickBot="1" x14ac:dyDescent="0.35">
      <c r="A2" s="19" t="s">
        <v>12</v>
      </c>
      <c r="B2" s="12" t="s">
        <v>0</v>
      </c>
      <c r="C2" s="12" t="s">
        <v>1</v>
      </c>
      <c r="D2" s="13" t="s">
        <v>10</v>
      </c>
      <c r="E2" s="12" t="s">
        <v>11</v>
      </c>
      <c r="F2" s="13" t="s">
        <v>6</v>
      </c>
      <c r="G2" s="12" t="s">
        <v>7</v>
      </c>
      <c r="H2" s="13" t="s">
        <v>8</v>
      </c>
      <c r="I2" s="12" t="s">
        <v>9</v>
      </c>
      <c r="K2" s="19" t="s">
        <v>13</v>
      </c>
      <c r="L2" s="13" t="s">
        <v>0</v>
      </c>
      <c r="M2" s="12" t="s">
        <v>1</v>
      </c>
      <c r="N2" s="13" t="s">
        <v>10</v>
      </c>
      <c r="O2" s="12" t="s">
        <v>11</v>
      </c>
      <c r="P2" s="13" t="s">
        <v>6</v>
      </c>
      <c r="Q2" s="12" t="s">
        <v>7</v>
      </c>
      <c r="R2" s="13" t="s">
        <v>8</v>
      </c>
      <c r="S2" s="12" t="s">
        <v>9</v>
      </c>
    </row>
    <row r="3" spans="1:19" x14ac:dyDescent="0.3">
      <c r="A3" s="34" t="s">
        <v>19</v>
      </c>
      <c r="B3" s="21">
        <f>ROUND(0.626318216323852,3)</f>
        <v>0.626</v>
      </c>
      <c r="C3" s="21">
        <f>ROUND(0.505594015121459,3)</f>
        <v>0.50600000000000001</v>
      </c>
      <c r="D3" s="24">
        <f>ROUND(1.01395869255065,3)</f>
        <v>1.014</v>
      </c>
      <c r="E3" s="21">
        <f>ROUND(0.295793056488037,3)</f>
        <v>0.29599999999999999</v>
      </c>
      <c r="F3" s="24">
        <f>ROUND(0.0153121948242187,3)</f>
        <v>1.4999999999999999E-2</v>
      </c>
      <c r="G3" s="21">
        <f>ROUND(0.0146658420562744,3)</f>
        <v>1.4999999999999999E-2</v>
      </c>
      <c r="H3" s="24">
        <f>ROUND(1.39828038215637,3)</f>
        <v>1.3979999999999999</v>
      </c>
      <c r="I3" s="21">
        <f>ROUND(0.206382274627685,3)</f>
        <v>0.20599999999999999</v>
      </c>
      <c r="K3" s="34" t="s">
        <v>3</v>
      </c>
      <c r="L3" s="24">
        <f>ROUND(0.808816194534301,3)</f>
        <v>0.80900000000000005</v>
      </c>
      <c r="M3" s="21">
        <f>ROUND(0.806288003921508,3)</f>
        <v>0.80600000000000005</v>
      </c>
      <c r="N3" s="24">
        <f>ROUND(1.14953899383544,3)</f>
        <v>1.1499999999999999</v>
      </c>
      <c r="O3" s="21">
        <f>ROUND(0.705555915832519,3)</f>
        <v>0.70599999999999996</v>
      </c>
      <c r="P3" s="24">
        <f>ROUND(0.0901732444763183,3)</f>
        <v>0.09</v>
      </c>
      <c r="Q3" s="21">
        <f>ROUND(0.0390369892120361,3)</f>
        <v>3.9E-2</v>
      </c>
      <c r="R3" s="24">
        <f>ROUND(2.37412357330322,3)</f>
        <v>2.3740000000000001</v>
      </c>
      <c r="S3" s="21" t="s">
        <v>2</v>
      </c>
    </row>
    <row r="4" spans="1:19" x14ac:dyDescent="0.3">
      <c r="A4" s="35"/>
      <c r="B4" s="22">
        <f>ROUND(0.485728740692138,3)</f>
        <v>0.48599999999999999</v>
      </c>
      <c r="C4" s="22">
        <f>ROUND(0.599384069442749,3)</f>
        <v>0.59899999999999998</v>
      </c>
      <c r="D4" s="25">
        <f>ROUND(1.10595393180847,3)</f>
        <v>1.1060000000000001</v>
      </c>
      <c r="E4" s="22">
        <f>ROUND(0.305940866470336,3)</f>
        <v>0.30599999999999999</v>
      </c>
      <c r="F4" s="25">
        <f>ROUND(0.0281002521514892,3)</f>
        <v>2.8000000000000001E-2</v>
      </c>
      <c r="G4" s="22">
        <f>ROUND(0.0247642993927001,3)</f>
        <v>2.5000000000000001E-2</v>
      </c>
      <c r="H4" s="25">
        <f>ROUND(1.11194491386413,3)</f>
        <v>1.1120000000000001</v>
      </c>
      <c r="I4" s="22">
        <f>ROUND(0.181955814361572,3)</f>
        <v>0.182</v>
      </c>
      <c r="K4" s="35"/>
      <c r="L4" s="1">
        <f>ROUND(0.916020154953002,3)</f>
        <v>0.91600000000000004</v>
      </c>
      <c r="M4" s="4">
        <f>ROUND(0.768674612045288,3)</f>
        <v>0.76900000000000002</v>
      </c>
      <c r="N4" s="1">
        <f>ROUND(1.11734557151794,3)</f>
        <v>1.117</v>
      </c>
      <c r="O4" s="4">
        <f>ROUND(0.551458835601806,3)</f>
        <v>0.55100000000000005</v>
      </c>
      <c r="P4" s="1">
        <f>ROUND(0.0857808589935302,3)</f>
        <v>8.5999999999999993E-2</v>
      </c>
      <c r="Q4" s="4">
        <f>ROUND(0.0600574016571044,3)</f>
        <v>0.06</v>
      </c>
      <c r="R4" s="1">
        <f>ROUND(2.24686360359191,3)</f>
        <v>2.2469999999999999</v>
      </c>
      <c r="S4" s="4" t="s">
        <v>2</v>
      </c>
    </row>
    <row r="5" spans="1:19" ht="15" thickBot="1" x14ac:dyDescent="0.35">
      <c r="A5" s="36"/>
      <c r="B5" s="14">
        <f>ROUND(0.527434349060058,3)</f>
        <v>0.52700000000000002</v>
      </c>
      <c r="C5" s="14">
        <f>ROUND(0.59993839263916,3)</f>
        <v>0.6</v>
      </c>
      <c r="D5" s="26">
        <f>ROUND(1.01024460792541,3)</f>
        <v>1.01</v>
      </c>
      <c r="E5" s="14">
        <f>ROUND(0.298180103302001,3)</f>
        <v>0.29799999999999999</v>
      </c>
      <c r="F5" s="26">
        <f>ROUND(0.0109450817108154,3)</f>
        <v>1.0999999999999999E-2</v>
      </c>
      <c r="G5" s="14">
        <f>ROUND(0.010268211364746,3)</f>
        <v>0.01</v>
      </c>
      <c r="H5" s="26">
        <f>ROUND(1.1293089389801,3)</f>
        <v>1.129</v>
      </c>
      <c r="I5" s="14">
        <f>ROUND(0.159480571746826,3)</f>
        <v>0.159</v>
      </c>
      <c r="K5" s="36"/>
      <c r="L5" s="8">
        <f>ROUND(0.964833498001098,3)</f>
        <v>0.96499999999999997</v>
      </c>
      <c r="M5" s="5">
        <f>ROUND(0.741276502609252,3)</f>
        <v>0.74099999999999999</v>
      </c>
      <c r="N5" s="8">
        <f>ROUND(1.15042281150817,3)</f>
        <v>1.1499999999999999</v>
      </c>
      <c r="O5" s="5">
        <f>ROUND(0.629273653030395,3)</f>
        <v>0.629</v>
      </c>
      <c r="P5" s="8">
        <f>ROUND(0.0960943698883056,3)</f>
        <v>9.6000000000000002E-2</v>
      </c>
      <c r="Q5" s="5">
        <f>ROUND(0.0442972183227539,3)</f>
        <v>4.3999999999999997E-2</v>
      </c>
      <c r="R5" s="8">
        <f>ROUND(2.31518578529357,3)</f>
        <v>2.3149999999999999</v>
      </c>
      <c r="S5" s="5" t="s">
        <v>2</v>
      </c>
    </row>
    <row r="6" spans="1:19" ht="15" thickBot="1" x14ac:dyDescent="0.35">
      <c r="A6" s="12" t="s">
        <v>20</v>
      </c>
      <c r="B6" s="23">
        <f>ROUND(AVERAGE(B3:B5),3)</f>
        <v>0.54600000000000004</v>
      </c>
      <c r="C6" s="23">
        <f t="shared" ref="C6:I6" si="0">ROUND(AVERAGE(C3:C5),3)</f>
        <v>0.56799999999999995</v>
      </c>
      <c r="D6" s="27">
        <f t="shared" si="0"/>
        <v>1.0429999999999999</v>
      </c>
      <c r="E6" s="23">
        <f t="shared" si="0"/>
        <v>0.3</v>
      </c>
      <c r="F6" s="27">
        <f t="shared" si="0"/>
        <v>1.7999999999999999E-2</v>
      </c>
      <c r="G6" s="23">
        <f t="shared" si="0"/>
        <v>1.7000000000000001E-2</v>
      </c>
      <c r="H6" s="27">
        <f t="shared" si="0"/>
        <v>1.2130000000000001</v>
      </c>
      <c r="I6" s="23">
        <f t="shared" si="0"/>
        <v>0.182</v>
      </c>
      <c r="K6" s="12" t="s">
        <v>20</v>
      </c>
      <c r="L6" s="27">
        <f>ROUND(AVERAGE(L3:L5),3)</f>
        <v>0.89700000000000002</v>
      </c>
      <c r="M6" s="23">
        <f t="shared" ref="M6:R6" si="1">ROUND(AVERAGE(M3:M5),3)</f>
        <v>0.77200000000000002</v>
      </c>
      <c r="N6" s="27">
        <f t="shared" si="1"/>
        <v>1.139</v>
      </c>
      <c r="O6" s="23">
        <f t="shared" si="1"/>
        <v>0.629</v>
      </c>
      <c r="P6" s="27">
        <f t="shared" si="1"/>
        <v>9.0999999999999998E-2</v>
      </c>
      <c r="Q6" s="23">
        <f t="shared" si="1"/>
        <v>4.8000000000000001E-2</v>
      </c>
      <c r="R6" s="27">
        <f t="shared" si="1"/>
        <v>2.3119999999999998</v>
      </c>
      <c r="S6" s="23" t="s">
        <v>2</v>
      </c>
    </row>
    <row r="7" spans="1:19" ht="15" thickBot="1" x14ac:dyDescent="0.35">
      <c r="A7" s="12" t="s">
        <v>4</v>
      </c>
      <c r="B7" s="23">
        <v>5</v>
      </c>
      <c r="C7" s="23">
        <v>5</v>
      </c>
      <c r="D7" s="27">
        <v>5</v>
      </c>
      <c r="E7" s="23">
        <v>5</v>
      </c>
      <c r="F7" s="27">
        <v>5</v>
      </c>
      <c r="G7" s="23">
        <v>5</v>
      </c>
      <c r="H7" s="27">
        <v>5</v>
      </c>
      <c r="I7" s="23">
        <v>16</v>
      </c>
      <c r="K7" s="12" t="s">
        <v>4</v>
      </c>
      <c r="L7" s="27">
        <v>5</v>
      </c>
      <c r="M7" s="23">
        <v>5</v>
      </c>
      <c r="N7" s="27">
        <v>5</v>
      </c>
      <c r="O7" s="23">
        <v>5</v>
      </c>
      <c r="P7" s="27">
        <v>8</v>
      </c>
      <c r="Q7" s="23">
        <v>8</v>
      </c>
      <c r="R7" s="27">
        <v>5</v>
      </c>
      <c r="S7" s="23" t="s">
        <v>2</v>
      </c>
    </row>
    <row r="8" spans="1:19" ht="15" thickBot="1" x14ac:dyDescent="0.35">
      <c r="A8" s="15" t="s">
        <v>5</v>
      </c>
      <c r="B8" s="5">
        <v>310</v>
      </c>
      <c r="C8" s="5">
        <v>321</v>
      </c>
      <c r="D8" s="8">
        <v>715</v>
      </c>
      <c r="E8" s="5">
        <v>622</v>
      </c>
      <c r="F8" s="8">
        <v>6</v>
      </c>
      <c r="G8" s="5">
        <v>6</v>
      </c>
      <c r="H8" s="8">
        <v>872</v>
      </c>
      <c r="I8" s="5">
        <v>104</v>
      </c>
      <c r="K8" s="15" t="s">
        <v>5</v>
      </c>
      <c r="L8" s="8">
        <v>187</v>
      </c>
      <c r="M8" s="5">
        <v>181</v>
      </c>
      <c r="N8" s="8">
        <v>278</v>
      </c>
      <c r="O8" s="5">
        <v>443</v>
      </c>
      <c r="P8" s="8">
        <v>18</v>
      </c>
      <c r="Q8" s="5">
        <v>9</v>
      </c>
      <c r="R8" s="8">
        <v>702</v>
      </c>
      <c r="S8" s="5" t="s">
        <v>2</v>
      </c>
    </row>
    <row r="9" spans="1:19" ht="15" thickBot="1" x14ac:dyDescent="0.35"/>
    <row r="10" spans="1:19" ht="15" thickBot="1" x14ac:dyDescent="0.35">
      <c r="A10" s="28" t="s">
        <v>14</v>
      </c>
      <c r="B10" s="12" t="s">
        <v>0</v>
      </c>
      <c r="C10" s="13" t="s">
        <v>1</v>
      </c>
      <c r="D10" s="12" t="s">
        <v>10</v>
      </c>
      <c r="E10" s="13" t="s">
        <v>11</v>
      </c>
      <c r="F10" s="12" t="s">
        <v>6</v>
      </c>
      <c r="G10" s="13" t="s">
        <v>7</v>
      </c>
      <c r="H10" s="12" t="s">
        <v>8</v>
      </c>
      <c r="I10" s="20" t="s">
        <v>9</v>
      </c>
      <c r="K10" s="19" t="s">
        <v>15</v>
      </c>
      <c r="L10" s="13" t="s">
        <v>0</v>
      </c>
      <c r="M10" s="12" t="s">
        <v>1</v>
      </c>
      <c r="N10" s="13" t="s">
        <v>10</v>
      </c>
      <c r="O10" s="12" t="s">
        <v>11</v>
      </c>
      <c r="P10" s="13" t="s">
        <v>6</v>
      </c>
      <c r="Q10" s="12" t="s">
        <v>7</v>
      </c>
      <c r="R10" s="13" t="s">
        <v>8</v>
      </c>
      <c r="S10" s="12" t="s">
        <v>9</v>
      </c>
    </row>
    <row r="11" spans="1:19" x14ac:dyDescent="0.3">
      <c r="A11" s="37" t="s">
        <v>3</v>
      </c>
      <c r="B11" s="21">
        <f>ROUND(97.1795780658721,3)</f>
        <v>97.18</v>
      </c>
      <c r="C11" s="24">
        <f>ROUND(63.8770942687988,3)</f>
        <v>63.877000000000002</v>
      </c>
      <c r="D11" s="21" t="s">
        <v>2</v>
      </c>
      <c r="E11" s="24">
        <f>ROUND(351.86255455017,3)</f>
        <v>351.863</v>
      </c>
      <c r="F11" s="21">
        <f>ROUND(0.0422213077545166,3)</f>
        <v>4.2000000000000003E-2</v>
      </c>
      <c r="G11" s="24">
        <f>ROUND(0.0500919818878173,3)</f>
        <v>0.05</v>
      </c>
      <c r="H11" s="21" t="s">
        <v>2</v>
      </c>
      <c r="I11" s="21" t="s">
        <v>2</v>
      </c>
      <c r="K11" s="34" t="s">
        <v>3</v>
      </c>
      <c r="L11" s="24" t="s">
        <v>2</v>
      </c>
      <c r="M11" s="21" t="s">
        <v>2</v>
      </c>
      <c r="N11" s="24" t="s">
        <v>2</v>
      </c>
      <c r="O11" s="21" t="s">
        <v>2</v>
      </c>
      <c r="P11" s="24">
        <f>ROUND(0.669758081436157,3)</f>
        <v>0.67</v>
      </c>
      <c r="Q11" s="21" t="s">
        <v>2</v>
      </c>
      <c r="R11" s="24" t="s">
        <v>2</v>
      </c>
      <c r="S11" s="21" t="s">
        <v>2</v>
      </c>
    </row>
    <row r="12" spans="1:19" x14ac:dyDescent="0.3">
      <c r="A12" s="38"/>
      <c r="B12" s="22">
        <f>ROUND(113.068109989166,3)</f>
        <v>113.068</v>
      </c>
      <c r="C12" s="25">
        <f>ROUND(61.205714225769,3)</f>
        <v>61.206000000000003</v>
      </c>
      <c r="D12" s="22" t="s">
        <v>2</v>
      </c>
      <c r="E12" s="25">
        <f>ROUND(408.218671560287,3)</f>
        <v>408.21899999999999</v>
      </c>
      <c r="F12" s="22">
        <f>ROUND(0.0602071285247802,3)</f>
        <v>0.06</v>
      </c>
      <c r="G12" s="25">
        <f>ROUND(0.0457158088684082,3)</f>
        <v>4.5999999999999999E-2</v>
      </c>
      <c r="H12" s="46" t="s">
        <v>2</v>
      </c>
      <c r="I12" s="46" t="s">
        <v>2</v>
      </c>
      <c r="K12" s="35"/>
      <c r="L12" s="1" t="s">
        <v>2</v>
      </c>
      <c r="M12" s="4" t="s">
        <v>2</v>
      </c>
      <c r="N12" s="1" t="s">
        <v>2</v>
      </c>
      <c r="O12" s="4" t="s">
        <v>2</v>
      </c>
      <c r="P12" s="1">
        <f>ROUND(0.621825218200683,3)</f>
        <v>0.622</v>
      </c>
      <c r="Q12" s="4" t="s">
        <v>2</v>
      </c>
      <c r="R12" s="1" t="s">
        <v>2</v>
      </c>
      <c r="S12" s="4" t="s">
        <v>2</v>
      </c>
    </row>
    <row r="13" spans="1:19" ht="15" thickBot="1" x14ac:dyDescent="0.35">
      <c r="A13" s="39"/>
      <c r="B13" s="14">
        <f>ROUND(114.201936721801,3)</f>
        <v>114.202</v>
      </c>
      <c r="C13" s="26">
        <f>ROUND(55.2674241065979,3)</f>
        <v>55.267000000000003</v>
      </c>
      <c r="D13" s="14" t="s">
        <v>2</v>
      </c>
      <c r="E13" s="26">
        <f>ROUND(518.690451145172,3)</f>
        <v>518.69000000000005</v>
      </c>
      <c r="F13" s="14">
        <f>ROUND(0.0713069438934326,3)</f>
        <v>7.0999999999999994E-2</v>
      </c>
      <c r="G13" s="26">
        <f>ROUND(0.0557174682617187,3)</f>
        <v>5.6000000000000001E-2</v>
      </c>
      <c r="H13" s="4" t="s">
        <v>2</v>
      </c>
      <c r="I13" s="4" t="s">
        <v>2</v>
      </c>
      <c r="K13" s="36"/>
      <c r="L13" s="8" t="s">
        <v>2</v>
      </c>
      <c r="M13" s="5" t="s">
        <v>2</v>
      </c>
      <c r="N13" s="8" t="s">
        <v>2</v>
      </c>
      <c r="O13" s="5" t="s">
        <v>2</v>
      </c>
      <c r="P13" s="8">
        <f>ROUND(0.582654953002929,3)</f>
        <v>0.58299999999999996</v>
      </c>
      <c r="Q13" s="5" t="s">
        <v>2</v>
      </c>
      <c r="R13" s="8" t="s">
        <v>2</v>
      </c>
      <c r="S13" s="5" t="s">
        <v>2</v>
      </c>
    </row>
    <row r="14" spans="1:19" ht="15" thickBot="1" x14ac:dyDescent="0.35">
      <c r="A14" s="12" t="s">
        <v>20</v>
      </c>
      <c r="B14" s="23">
        <f>ROUND(AVERAGE(B11:B13),3)</f>
        <v>108.15</v>
      </c>
      <c r="C14" s="27">
        <f t="shared" ref="C14" si="2">ROUND(AVERAGE(C11:C13),3)</f>
        <v>60.116999999999997</v>
      </c>
      <c r="D14" s="23" t="s">
        <v>2</v>
      </c>
      <c r="E14" s="27">
        <f t="shared" ref="E14" si="3">ROUND(AVERAGE(E11:E13),3)</f>
        <v>426.25700000000001</v>
      </c>
      <c r="F14" s="23">
        <f t="shared" ref="F14" si="4">ROUND(AVERAGE(F11:F13),3)</f>
        <v>5.8000000000000003E-2</v>
      </c>
      <c r="G14" s="27">
        <f t="shared" ref="G14" si="5">ROUND(AVERAGE(G11:G13),3)</f>
        <v>5.0999999999999997E-2</v>
      </c>
      <c r="H14" s="21" t="s">
        <v>2</v>
      </c>
      <c r="I14" s="21" t="s">
        <v>2</v>
      </c>
      <c r="K14" s="12" t="s">
        <v>20</v>
      </c>
      <c r="L14" s="27" t="s">
        <v>2</v>
      </c>
      <c r="M14" s="23" t="s">
        <v>2</v>
      </c>
      <c r="N14" s="27" t="s">
        <v>2</v>
      </c>
      <c r="O14" s="23" t="s">
        <v>2</v>
      </c>
      <c r="P14" s="27">
        <f t="shared" ref="P14" si="6">ROUND(AVERAGE(P11:P13),3)</f>
        <v>0.625</v>
      </c>
      <c r="Q14" s="23" t="s">
        <v>2</v>
      </c>
      <c r="R14" s="27" t="s">
        <v>2</v>
      </c>
      <c r="S14" s="23" t="s">
        <v>2</v>
      </c>
    </row>
    <row r="15" spans="1:19" ht="15" thickBot="1" x14ac:dyDescent="0.35">
      <c r="A15" s="30" t="s">
        <v>4</v>
      </c>
      <c r="B15" s="23">
        <v>10</v>
      </c>
      <c r="C15" s="27">
        <v>10</v>
      </c>
      <c r="D15" s="23" t="s">
        <v>2</v>
      </c>
      <c r="E15" s="27">
        <v>10</v>
      </c>
      <c r="F15" s="23">
        <v>10</v>
      </c>
      <c r="G15" s="27">
        <v>10</v>
      </c>
      <c r="H15" s="21" t="s">
        <v>2</v>
      </c>
      <c r="I15" s="21" t="s">
        <v>2</v>
      </c>
      <c r="K15" s="12" t="s">
        <v>4</v>
      </c>
      <c r="L15" s="27" t="s">
        <v>2</v>
      </c>
      <c r="M15" s="23" t="s">
        <v>2</v>
      </c>
      <c r="N15" s="27" t="s">
        <v>2</v>
      </c>
      <c r="O15" s="23" t="s">
        <v>2</v>
      </c>
      <c r="P15" s="27">
        <v>26</v>
      </c>
      <c r="Q15" s="23" t="s">
        <v>2</v>
      </c>
      <c r="R15" s="27" t="s">
        <v>2</v>
      </c>
      <c r="S15" s="23" t="s">
        <v>2</v>
      </c>
    </row>
    <row r="16" spans="1:19" ht="15" thickBot="1" x14ac:dyDescent="0.35">
      <c r="A16" s="29" t="s">
        <v>5</v>
      </c>
      <c r="B16" s="5">
        <v>60969</v>
      </c>
      <c r="C16" s="8">
        <v>48250</v>
      </c>
      <c r="D16" s="5" t="s">
        <v>2</v>
      </c>
      <c r="E16" s="8">
        <v>1048269</v>
      </c>
      <c r="F16" s="5">
        <v>16</v>
      </c>
      <c r="G16" s="8">
        <v>12</v>
      </c>
      <c r="H16" s="23" t="s">
        <v>2</v>
      </c>
      <c r="I16" s="23" t="s">
        <v>2</v>
      </c>
      <c r="K16" s="15" t="s">
        <v>5</v>
      </c>
      <c r="L16" s="8" t="s">
        <v>2</v>
      </c>
      <c r="M16" s="5" t="s">
        <v>2</v>
      </c>
      <c r="N16" s="8" t="s">
        <v>2</v>
      </c>
      <c r="O16" s="5" t="s">
        <v>2</v>
      </c>
      <c r="P16" s="8">
        <v>63</v>
      </c>
      <c r="Q16" s="5" t="s">
        <v>2</v>
      </c>
      <c r="R16" s="8" t="s">
        <v>2</v>
      </c>
      <c r="S16" s="5" t="s">
        <v>2</v>
      </c>
    </row>
    <row r="19" spans="1:10" ht="15" thickBot="1" x14ac:dyDescent="0.35"/>
    <row r="20" spans="1:10" ht="15" thickBot="1" x14ac:dyDescent="0.35">
      <c r="C20" s="40" t="s">
        <v>16</v>
      </c>
      <c r="D20" s="41"/>
      <c r="E20" s="41"/>
      <c r="F20" s="41"/>
      <c r="G20" s="41"/>
      <c r="H20" s="41"/>
      <c r="I20" s="41"/>
      <c r="J20" s="42"/>
    </row>
    <row r="21" spans="1:10" ht="14.4" customHeight="1" thickBot="1" x14ac:dyDescent="0.35">
      <c r="C21" s="12" t="s">
        <v>0</v>
      </c>
      <c r="D21" s="12" t="s">
        <v>1</v>
      </c>
      <c r="E21" s="13" t="s">
        <v>10</v>
      </c>
      <c r="F21" s="12" t="s">
        <v>11</v>
      </c>
      <c r="G21" s="13" t="s">
        <v>6</v>
      </c>
      <c r="H21" s="12" t="s">
        <v>7</v>
      </c>
      <c r="I21" s="13" t="s">
        <v>8</v>
      </c>
      <c r="J21" s="12" t="s">
        <v>9</v>
      </c>
    </row>
    <row r="22" spans="1:10" ht="14.4" customHeight="1" thickBot="1" x14ac:dyDescent="0.35">
      <c r="A22" s="43" t="s">
        <v>12</v>
      </c>
      <c r="B22" s="12" t="s">
        <v>20</v>
      </c>
      <c r="C22" s="2">
        <f>B6</f>
        <v>0.54600000000000004</v>
      </c>
      <c r="D22" s="2">
        <f t="shared" ref="D22:J22" si="7">C6</f>
        <v>0.56799999999999995</v>
      </c>
      <c r="E22" s="2">
        <f t="shared" si="7"/>
        <v>1.0429999999999999</v>
      </c>
      <c r="F22" s="2">
        <f t="shared" si="7"/>
        <v>0.3</v>
      </c>
      <c r="G22" s="2">
        <f t="shared" si="7"/>
        <v>1.7999999999999999E-2</v>
      </c>
      <c r="H22" s="2">
        <f t="shared" si="7"/>
        <v>1.7000000000000001E-2</v>
      </c>
      <c r="I22" s="2">
        <f t="shared" si="7"/>
        <v>1.2130000000000001</v>
      </c>
      <c r="J22" s="2">
        <f t="shared" si="7"/>
        <v>0.182</v>
      </c>
    </row>
    <row r="23" spans="1:10" ht="14.4" customHeight="1" x14ac:dyDescent="0.3">
      <c r="A23" s="44"/>
      <c r="B23" s="9" t="s">
        <v>4</v>
      </c>
      <c r="C23" s="3">
        <f>B7</f>
        <v>5</v>
      </c>
      <c r="D23" s="3">
        <f t="shared" ref="D23:J23" si="8">C7</f>
        <v>5</v>
      </c>
      <c r="E23" s="3">
        <f t="shared" si="8"/>
        <v>5</v>
      </c>
      <c r="F23" s="3">
        <f t="shared" si="8"/>
        <v>5</v>
      </c>
      <c r="G23" s="3">
        <f t="shared" si="8"/>
        <v>5</v>
      </c>
      <c r="H23" s="3">
        <f t="shared" si="8"/>
        <v>5</v>
      </c>
      <c r="I23" s="3">
        <f t="shared" si="8"/>
        <v>5</v>
      </c>
      <c r="J23" s="3">
        <f t="shared" si="8"/>
        <v>16</v>
      </c>
    </row>
    <row r="24" spans="1:10" ht="14.4" customHeight="1" thickBot="1" x14ac:dyDescent="0.35">
      <c r="A24" s="44"/>
      <c r="B24" s="10" t="s">
        <v>5</v>
      </c>
      <c r="C24" s="5">
        <f>B8</f>
        <v>310</v>
      </c>
      <c r="D24" s="5">
        <f t="shared" ref="D24:J24" si="9">C8</f>
        <v>321</v>
      </c>
      <c r="E24" s="5">
        <f t="shared" si="9"/>
        <v>715</v>
      </c>
      <c r="F24" s="5">
        <f t="shared" si="9"/>
        <v>622</v>
      </c>
      <c r="G24" s="5">
        <f t="shared" si="9"/>
        <v>6</v>
      </c>
      <c r="H24" s="5">
        <f t="shared" si="9"/>
        <v>6</v>
      </c>
      <c r="I24" s="5">
        <f t="shared" si="9"/>
        <v>872</v>
      </c>
      <c r="J24" s="5">
        <f t="shared" si="9"/>
        <v>104</v>
      </c>
    </row>
    <row r="25" spans="1:10" ht="14.4" customHeight="1" thickBot="1" x14ac:dyDescent="0.35">
      <c r="A25" s="43" t="s">
        <v>13</v>
      </c>
      <c r="B25" s="12" t="s">
        <v>20</v>
      </c>
      <c r="C25" s="2">
        <f t="shared" ref="C25:J27" si="10">L6</f>
        <v>0.89700000000000002</v>
      </c>
      <c r="D25" s="2">
        <f t="shared" si="10"/>
        <v>0.77200000000000002</v>
      </c>
      <c r="E25" s="6">
        <f t="shared" si="10"/>
        <v>1.139</v>
      </c>
      <c r="F25" s="2">
        <f t="shared" si="10"/>
        <v>0.629</v>
      </c>
      <c r="G25" s="6">
        <f t="shared" si="10"/>
        <v>9.0999999999999998E-2</v>
      </c>
      <c r="H25" s="2">
        <f t="shared" si="10"/>
        <v>4.8000000000000001E-2</v>
      </c>
      <c r="I25" s="6">
        <f t="shared" si="10"/>
        <v>2.3119999999999998</v>
      </c>
      <c r="J25" s="2" t="str">
        <f t="shared" si="10"/>
        <v>-</v>
      </c>
    </row>
    <row r="26" spans="1:10" ht="14.4" customHeight="1" x14ac:dyDescent="0.3">
      <c r="A26" s="44"/>
      <c r="B26" s="9" t="s">
        <v>4</v>
      </c>
      <c r="C26" s="3">
        <f t="shared" si="10"/>
        <v>5</v>
      </c>
      <c r="D26" s="3">
        <f t="shared" si="10"/>
        <v>5</v>
      </c>
      <c r="E26" s="7">
        <f t="shared" si="10"/>
        <v>5</v>
      </c>
      <c r="F26" s="3">
        <f t="shared" si="10"/>
        <v>5</v>
      </c>
      <c r="G26" s="7">
        <f t="shared" si="10"/>
        <v>8</v>
      </c>
      <c r="H26" s="3">
        <f t="shared" si="10"/>
        <v>8</v>
      </c>
      <c r="I26" s="7">
        <f t="shared" si="10"/>
        <v>5</v>
      </c>
      <c r="J26" s="3" t="str">
        <f t="shared" si="10"/>
        <v>-</v>
      </c>
    </row>
    <row r="27" spans="1:10" ht="14.4" customHeight="1" thickBot="1" x14ac:dyDescent="0.35">
      <c r="A27" s="45"/>
      <c r="B27" s="11" t="s">
        <v>5</v>
      </c>
      <c r="C27" s="4">
        <f t="shared" si="10"/>
        <v>187</v>
      </c>
      <c r="D27" s="4">
        <f t="shared" si="10"/>
        <v>181</v>
      </c>
      <c r="E27" s="1">
        <f t="shared" si="10"/>
        <v>278</v>
      </c>
      <c r="F27" s="4">
        <f t="shared" si="10"/>
        <v>443</v>
      </c>
      <c r="G27" s="1">
        <f t="shared" si="10"/>
        <v>18</v>
      </c>
      <c r="H27" s="4">
        <f t="shared" si="10"/>
        <v>9</v>
      </c>
      <c r="I27" s="1">
        <f t="shared" si="10"/>
        <v>702</v>
      </c>
      <c r="J27" s="4" t="str">
        <f t="shared" si="10"/>
        <v>-</v>
      </c>
    </row>
    <row r="28" spans="1:10" ht="14.4" customHeight="1" thickBot="1" x14ac:dyDescent="0.35">
      <c r="A28" s="43" t="s">
        <v>14</v>
      </c>
      <c r="B28" s="12" t="s">
        <v>20</v>
      </c>
      <c r="C28" s="2">
        <f>B14</f>
        <v>108.15</v>
      </c>
      <c r="D28" s="2">
        <f t="shared" ref="D28:J28" si="11">C14</f>
        <v>60.116999999999997</v>
      </c>
      <c r="E28" s="2" t="str">
        <f t="shared" si="11"/>
        <v>-</v>
      </c>
      <c r="F28" s="2">
        <f t="shared" si="11"/>
        <v>426.25700000000001</v>
      </c>
      <c r="G28" s="2">
        <f t="shared" si="11"/>
        <v>5.8000000000000003E-2</v>
      </c>
      <c r="H28" s="2">
        <f t="shared" si="11"/>
        <v>5.0999999999999997E-2</v>
      </c>
      <c r="I28" s="2" t="str">
        <f t="shared" si="11"/>
        <v>-</v>
      </c>
      <c r="J28" s="2" t="str">
        <f t="shared" si="11"/>
        <v>-</v>
      </c>
    </row>
    <row r="29" spans="1:10" ht="14.4" customHeight="1" x14ac:dyDescent="0.3">
      <c r="A29" s="44"/>
      <c r="B29" s="9" t="s">
        <v>4</v>
      </c>
      <c r="C29" s="3">
        <f>B15</f>
        <v>10</v>
      </c>
      <c r="D29" s="3">
        <f t="shared" ref="D29:J29" si="12">C15</f>
        <v>10</v>
      </c>
      <c r="E29" s="3" t="str">
        <f t="shared" si="12"/>
        <v>-</v>
      </c>
      <c r="F29" s="3">
        <f t="shared" si="12"/>
        <v>10</v>
      </c>
      <c r="G29" s="3">
        <f t="shared" si="12"/>
        <v>10</v>
      </c>
      <c r="H29" s="3">
        <f t="shared" si="12"/>
        <v>10</v>
      </c>
      <c r="I29" s="3" t="str">
        <f t="shared" si="12"/>
        <v>-</v>
      </c>
      <c r="J29" s="3" t="str">
        <f t="shared" si="12"/>
        <v>-</v>
      </c>
    </row>
    <row r="30" spans="1:10" ht="14.4" customHeight="1" thickBot="1" x14ac:dyDescent="0.35">
      <c r="A30" s="45"/>
      <c r="B30" s="11" t="s">
        <v>5</v>
      </c>
      <c r="C30" s="14">
        <f>B16</f>
        <v>60969</v>
      </c>
      <c r="D30" s="14">
        <f t="shared" ref="D30:J30" si="13">C16</f>
        <v>48250</v>
      </c>
      <c r="E30" s="14" t="str">
        <f t="shared" si="13"/>
        <v>-</v>
      </c>
      <c r="F30" s="14">
        <f t="shared" si="13"/>
        <v>1048269</v>
      </c>
      <c r="G30" s="14">
        <f t="shared" si="13"/>
        <v>16</v>
      </c>
      <c r="H30" s="14">
        <f t="shared" si="13"/>
        <v>12</v>
      </c>
      <c r="I30" s="14" t="str">
        <f t="shared" si="13"/>
        <v>-</v>
      </c>
      <c r="J30" s="14" t="str">
        <f t="shared" si="13"/>
        <v>-</v>
      </c>
    </row>
    <row r="31" spans="1:10" ht="14.4" customHeight="1" thickBot="1" x14ac:dyDescent="0.35">
      <c r="A31" s="44" t="s">
        <v>15</v>
      </c>
      <c r="B31" s="12" t="s">
        <v>20</v>
      </c>
      <c r="C31" s="3" t="str">
        <f>L14</f>
        <v>-</v>
      </c>
      <c r="D31" s="3" t="str">
        <f t="shared" ref="D31:J31" si="14">M14</f>
        <v>-</v>
      </c>
      <c r="E31" s="3" t="str">
        <f t="shared" si="14"/>
        <v>-</v>
      </c>
      <c r="F31" s="3" t="str">
        <f t="shared" si="14"/>
        <v>-</v>
      </c>
      <c r="G31" s="3">
        <f t="shared" si="14"/>
        <v>0.625</v>
      </c>
      <c r="H31" s="3" t="str">
        <f t="shared" si="14"/>
        <v>-</v>
      </c>
      <c r="I31" s="3" t="str">
        <f t="shared" si="14"/>
        <v>-</v>
      </c>
      <c r="J31" s="3" t="str">
        <f t="shared" si="14"/>
        <v>-</v>
      </c>
    </row>
    <row r="32" spans="1:10" ht="14.4" customHeight="1" x14ac:dyDescent="0.3">
      <c r="A32" s="44"/>
      <c r="B32" s="9" t="s">
        <v>4</v>
      </c>
      <c r="C32" s="3" t="str">
        <f t="shared" ref="C32:C33" si="15">L15</f>
        <v>-</v>
      </c>
      <c r="D32" s="3" t="str">
        <f t="shared" ref="D32:D33" si="16">M15</f>
        <v>-</v>
      </c>
      <c r="E32" s="3" t="str">
        <f t="shared" ref="E32:E33" si="17">N15</f>
        <v>-</v>
      </c>
      <c r="F32" s="3" t="str">
        <f t="shared" ref="F32:F33" si="18">O15</f>
        <v>-</v>
      </c>
      <c r="G32" s="3">
        <f t="shared" ref="G32:G33" si="19">P15</f>
        <v>26</v>
      </c>
      <c r="H32" s="3" t="str">
        <f t="shared" ref="H32:H33" si="20">Q15</f>
        <v>-</v>
      </c>
      <c r="I32" s="3" t="str">
        <f t="shared" ref="I32:I33" si="21">R15</f>
        <v>-</v>
      </c>
      <c r="J32" s="3" t="str">
        <f t="shared" ref="J32:J33" si="22">S15</f>
        <v>-</v>
      </c>
    </row>
    <row r="33" spans="1:10" ht="14.4" customHeight="1" thickBot="1" x14ac:dyDescent="0.35">
      <c r="A33" s="45"/>
      <c r="B33" s="11" t="s">
        <v>5</v>
      </c>
      <c r="C33" s="14" t="str">
        <f t="shared" si="15"/>
        <v>-</v>
      </c>
      <c r="D33" s="14" t="str">
        <f t="shared" si="16"/>
        <v>-</v>
      </c>
      <c r="E33" s="14" t="str">
        <f t="shared" si="17"/>
        <v>-</v>
      </c>
      <c r="F33" s="14" t="str">
        <f t="shared" si="18"/>
        <v>-</v>
      </c>
      <c r="G33" s="14">
        <f t="shared" si="19"/>
        <v>63</v>
      </c>
      <c r="H33" s="14" t="str">
        <f t="shared" si="20"/>
        <v>-</v>
      </c>
      <c r="I33" s="14" t="str">
        <f t="shared" si="21"/>
        <v>-</v>
      </c>
      <c r="J33" s="14" t="str">
        <f t="shared" si="22"/>
        <v>-</v>
      </c>
    </row>
    <row r="34" spans="1:10" ht="14.4" customHeight="1" x14ac:dyDescent="0.3"/>
    <row r="35" spans="1:10" ht="14.4" customHeight="1" thickBot="1" x14ac:dyDescent="0.35"/>
    <row r="36" spans="1:10" ht="14.4" customHeight="1" thickBot="1" x14ac:dyDescent="0.35">
      <c r="C36" s="40" t="s">
        <v>16</v>
      </c>
      <c r="D36" s="41"/>
      <c r="E36" s="41"/>
      <c r="F36" s="41"/>
      <c r="G36" s="41"/>
      <c r="H36" s="41"/>
      <c r="I36" s="41"/>
      <c r="J36" s="42"/>
    </row>
    <row r="37" spans="1:10" ht="14.4" customHeight="1" thickBot="1" x14ac:dyDescent="0.35">
      <c r="C37" s="12" t="s">
        <v>0</v>
      </c>
      <c r="D37" s="12" t="s">
        <v>1</v>
      </c>
      <c r="E37" s="13" t="s">
        <v>10</v>
      </c>
      <c r="F37" s="12" t="s">
        <v>11</v>
      </c>
      <c r="G37" s="13" t="s">
        <v>6</v>
      </c>
      <c r="H37" s="12" t="s">
        <v>7</v>
      </c>
      <c r="I37" s="13" t="s">
        <v>8</v>
      </c>
      <c r="J37" s="12" t="s">
        <v>9</v>
      </c>
    </row>
    <row r="38" spans="1:10" ht="14.4" customHeight="1" x14ac:dyDescent="0.3">
      <c r="A38" s="31" t="s">
        <v>20</v>
      </c>
      <c r="B38" s="16" t="s">
        <v>12</v>
      </c>
      <c r="C38" s="2">
        <f>C22</f>
        <v>0.54600000000000004</v>
      </c>
      <c r="D38" s="2">
        <f t="shared" ref="D38:J38" si="23">D22</f>
        <v>0.56799999999999995</v>
      </c>
      <c r="E38" s="2">
        <f t="shared" si="23"/>
        <v>1.0429999999999999</v>
      </c>
      <c r="F38" s="2">
        <f t="shared" si="23"/>
        <v>0.3</v>
      </c>
      <c r="G38" s="2">
        <f t="shared" si="23"/>
        <v>1.7999999999999999E-2</v>
      </c>
      <c r="H38" s="2">
        <f t="shared" si="23"/>
        <v>1.7000000000000001E-2</v>
      </c>
      <c r="I38" s="2">
        <f t="shared" si="23"/>
        <v>1.2130000000000001</v>
      </c>
      <c r="J38" s="2">
        <f t="shared" si="23"/>
        <v>0.182</v>
      </c>
    </row>
    <row r="39" spans="1:10" ht="14.4" customHeight="1" x14ac:dyDescent="0.3">
      <c r="A39" s="32"/>
      <c r="B39" s="17" t="s">
        <v>13</v>
      </c>
      <c r="C39" s="3">
        <f>C25</f>
        <v>0.89700000000000002</v>
      </c>
      <c r="D39" s="3">
        <f t="shared" ref="D39:J39" si="24">D25</f>
        <v>0.77200000000000002</v>
      </c>
      <c r="E39" s="3">
        <f t="shared" si="24"/>
        <v>1.139</v>
      </c>
      <c r="F39" s="3">
        <f t="shared" si="24"/>
        <v>0.629</v>
      </c>
      <c r="G39" s="3">
        <f t="shared" si="24"/>
        <v>9.0999999999999998E-2</v>
      </c>
      <c r="H39" s="3">
        <f t="shared" si="24"/>
        <v>4.8000000000000001E-2</v>
      </c>
      <c r="I39" s="3">
        <f t="shared" si="24"/>
        <v>2.3119999999999998</v>
      </c>
      <c r="J39" s="3" t="str">
        <f t="shared" si="24"/>
        <v>-</v>
      </c>
    </row>
    <row r="40" spans="1:10" ht="14.4" customHeight="1" x14ac:dyDescent="0.3">
      <c r="A40" s="32"/>
      <c r="B40" s="17" t="s">
        <v>14</v>
      </c>
      <c r="C40" s="3">
        <f>C28</f>
        <v>108.15</v>
      </c>
      <c r="D40" s="3">
        <f t="shared" ref="D40:J40" si="25">D28</f>
        <v>60.116999999999997</v>
      </c>
      <c r="E40" s="3" t="str">
        <f t="shared" si="25"/>
        <v>-</v>
      </c>
      <c r="F40" s="3">
        <f t="shared" si="25"/>
        <v>426.25700000000001</v>
      </c>
      <c r="G40" s="3">
        <f t="shared" si="25"/>
        <v>5.8000000000000003E-2</v>
      </c>
      <c r="H40" s="3">
        <f t="shared" si="25"/>
        <v>5.0999999999999997E-2</v>
      </c>
      <c r="I40" s="3" t="str">
        <f t="shared" si="25"/>
        <v>-</v>
      </c>
      <c r="J40" s="3" t="str">
        <f t="shared" si="25"/>
        <v>-</v>
      </c>
    </row>
    <row r="41" spans="1:10" ht="14.4" customHeight="1" thickBot="1" x14ac:dyDescent="0.35">
      <c r="A41" s="33"/>
      <c r="B41" s="18" t="s">
        <v>15</v>
      </c>
      <c r="C41" s="5" t="str">
        <f>C31</f>
        <v>-</v>
      </c>
      <c r="D41" s="5" t="str">
        <f t="shared" ref="D41:J41" si="26">D31</f>
        <v>-</v>
      </c>
      <c r="E41" s="5" t="str">
        <f t="shared" si="26"/>
        <v>-</v>
      </c>
      <c r="F41" s="5" t="str">
        <f t="shared" si="26"/>
        <v>-</v>
      </c>
      <c r="G41" s="5">
        <f t="shared" si="26"/>
        <v>0.625</v>
      </c>
      <c r="H41" s="5" t="str">
        <f t="shared" si="26"/>
        <v>-</v>
      </c>
      <c r="I41" s="5" t="str">
        <f t="shared" si="26"/>
        <v>-</v>
      </c>
      <c r="J41" s="5" t="str">
        <f t="shared" si="26"/>
        <v>-</v>
      </c>
    </row>
    <row r="42" spans="1:10" ht="14.4" customHeight="1" x14ac:dyDescent="0.3">
      <c r="A42" s="31" t="s">
        <v>4</v>
      </c>
      <c r="B42" s="16" t="s">
        <v>12</v>
      </c>
      <c r="C42" s="2">
        <f>C23</f>
        <v>5</v>
      </c>
      <c r="D42" s="2">
        <f t="shared" ref="D42:J42" si="27">D23</f>
        <v>5</v>
      </c>
      <c r="E42" s="2">
        <f t="shared" si="27"/>
        <v>5</v>
      </c>
      <c r="F42" s="2">
        <f t="shared" si="27"/>
        <v>5</v>
      </c>
      <c r="G42" s="2">
        <f t="shared" si="27"/>
        <v>5</v>
      </c>
      <c r="H42" s="2">
        <f t="shared" si="27"/>
        <v>5</v>
      </c>
      <c r="I42" s="2">
        <f t="shared" si="27"/>
        <v>5</v>
      </c>
      <c r="J42" s="2">
        <f t="shared" si="27"/>
        <v>16</v>
      </c>
    </row>
    <row r="43" spans="1:10" ht="14.4" customHeight="1" x14ac:dyDescent="0.3">
      <c r="A43" s="32"/>
      <c r="B43" s="17" t="s">
        <v>13</v>
      </c>
      <c r="C43" s="3">
        <f>C26</f>
        <v>5</v>
      </c>
      <c r="D43" s="3">
        <f t="shared" ref="D43:J43" si="28">D26</f>
        <v>5</v>
      </c>
      <c r="E43" s="3">
        <f t="shared" si="28"/>
        <v>5</v>
      </c>
      <c r="F43" s="3">
        <f t="shared" si="28"/>
        <v>5</v>
      </c>
      <c r="G43" s="3">
        <f t="shared" si="28"/>
        <v>8</v>
      </c>
      <c r="H43" s="3">
        <f t="shared" si="28"/>
        <v>8</v>
      </c>
      <c r="I43" s="3">
        <f t="shared" si="28"/>
        <v>5</v>
      </c>
      <c r="J43" s="3" t="str">
        <f t="shared" si="28"/>
        <v>-</v>
      </c>
    </row>
    <row r="44" spans="1:10" ht="14.4" customHeight="1" x14ac:dyDescent="0.3">
      <c r="A44" s="32"/>
      <c r="B44" s="17" t="s">
        <v>14</v>
      </c>
      <c r="C44" s="4">
        <f>C29</f>
        <v>10</v>
      </c>
      <c r="D44" s="4">
        <f t="shared" ref="D44:J44" si="29">D29</f>
        <v>10</v>
      </c>
      <c r="E44" s="4" t="str">
        <f t="shared" si="29"/>
        <v>-</v>
      </c>
      <c r="F44" s="4">
        <f t="shared" si="29"/>
        <v>10</v>
      </c>
      <c r="G44" s="4">
        <f t="shared" si="29"/>
        <v>10</v>
      </c>
      <c r="H44" s="4">
        <f t="shared" si="29"/>
        <v>10</v>
      </c>
      <c r="I44" s="4" t="str">
        <f t="shared" si="29"/>
        <v>-</v>
      </c>
      <c r="J44" s="4" t="str">
        <f t="shared" si="29"/>
        <v>-</v>
      </c>
    </row>
    <row r="45" spans="1:10" ht="14.4" customHeight="1" thickBot="1" x14ac:dyDescent="0.35">
      <c r="A45" s="33"/>
      <c r="B45" s="18" t="s">
        <v>15</v>
      </c>
      <c r="C45" s="14" t="str">
        <f>C32</f>
        <v>-</v>
      </c>
      <c r="D45" s="14" t="str">
        <f t="shared" ref="D45:J45" si="30">D32</f>
        <v>-</v>
      </c>
      <c r="E45" s="14" t="str">
        <f t="shared" si="30"/>
        <v>-</v>
      </c>
      <c r="F45" s="14" t="str">
        <f t="shared" si="30"/>
        <v>-</v>
      </c>
      <c r="G45" s="14">
        <f t="shared" si="30"/>
        <v>26</v>
      </c>
      <c r="H45" s="14" t="str">
        <f t="shared" si="30"/>
        <v>-</v>
      </c>
      <c r="I45" s="14" t="str">
        <f t="shared" si="30"/>
        <v>-</v>
      </c>
      <c r="J45" s="14" t="str">
        <f t="shared" si="30"/>
        <v>-</v>
      </c>
    </row>
    <row r="46" spans="1:10" x14ac:dyDescent="0.3">
      <c r="A46" s="31" t="s">
        <v>5</v>
      </c>
      <c r="B46" s="16" t="s">
        <v>12</v>
      </c>
      <c r="C46" s="3">
        <f>C24</f>
        <v>310</v>
      </c>
      <c r="D46" s="3">
        <f t="shared" ref="D46:J46" si="31">D24</f>
        <v>321</v>
      </c>
      <c r="E46" s="3">
        <f t="shared" si="31"/>
        <v>715</v>
      </c>
      <c r="F46" s="3">
        <f t="shared" si="31"/>
        <v>622</v>
      </c>
      <c r="G46" s="3">
        <f t="shared" si="31"/>
        <v>6</v>
      </c>
      <c r="H46" s="3">
        <f t="shared" si="31"/>
        <v>6</v>
      </c>
      <c r="I46" s="3">
        <f t="shared" si="31"/>
        <v>872</v>
      </c>
      <c r="J46" s="3">
        <f t="shared" si="31"/>
        <v>104</v>
      </c>
    </row>
    <row r="47" spans="1:10" x14ac:dyDescent="0.3">
      <c r="A47" s="32"/>
      <c r="B47" s="17" t="s">
        <v>13</v>
      </c>
      <c r="C47" s="3">
        <f>C27</f>
        <v>187</v>
      </c>
      <c r="D47" s="3">
        <f t="shared" ref="D47:J47" si="32">D27</f>
        <v>181</v>
      </c>
      <c r="E47" s="3">
        <f t="shared" si="32"/>
        <v>278</v>
      </c>
      <c r="F47" s="3">
        <f t="shared" si="32"/>
        <v>443</v>
      </c>
      <c r="G47" s="3">
        <f t="shared" si="32"/>
        <v>18</v>
      </c>
      <c r="H47" s="3">
        <f t="shared" si="32"/>
        <v>9</v>
      </c>
      <c r="I47" s="3">
        <f t="shared" si="32"/>
        <v>702</v>
      </c>
      <c r="J47" s="3" t="str">
        <f t="shared" si="32"/>
        <v>-</v>
      </c>
    </row>
    <row r="48" spans="1:10" x14ac:dyDescent="0.3">
      <c r="A48" s="32"/>
      <c r="B48" s="17" t="s">
        <v>14</v>
      </c>
      <c r="C48" s="3">
        <f>C30</f>
        <v>60969</v>
      </c>
      <c r="D48" s="3">
        <f t="shared" ref="D48:J48" si="33">D30</f>
        <v>48250</v>
      </c>
      <c r="E48" s="3" t="str">
        <f t="shared" si="33"/>
        <v>-</v>
      </c>
      <c r="F48" s="3">
        <f t="shared" si="33"/>
        <v>1048269</v>
      </c>
      <c r="G48" s="3">
        <f t="shared" si="33"/>
        <v>16</v>
      </c>
      <c r="H48" s="3">
        <f t="shared" si="33"/>
        <v>12</v>
      </c>
      <c r="I48" s="3" t="str">
        <f t="shared" si="33"/>
        <v>-</v>
      </c>
      <c r="J48" s="3" t="str">
        <f t="shared" si="33"/>
        <v>-</v>
      </c>
    </row>
    <row r="49" spans="1:10" ht="15" thickBot="1" x14ac:dyDescent="0.35">
      <c r="A49" s="33"/>
      <c r="B49" s="18" t="s">
        <v>15</v>
      </c>
      <c r="C49" s="14" t="str">
        <f>C33</f>
        <v>-</v>
      </c>
      <c r="D49" s="14" t="str">
        <f t="shared" ref="D49:J49" si="34">D33</f>
        <v>-</v>
      </c>
      <c r="E49" s="14" t="str">
        <f t="shared" si="34"/>
        <v>-</v>
      </c>
      <c r="F49" s="14" t="str">
        <f t="shared" si="34"/>
        <v>-</v>
      </c>
      <c r="G49" s="14">
        <f t="shared" si="34"/>
        <v>63</v>
      </c>
      <c r="H49" s="14" t="str">
        <f t="shared" si="34"/>
        <v>-</v>
      </c>
      <c r="I49" s="14" t="str">
        <f t="shared" si="34"/>
        <v>-</v>
      </c>
      <c r="J49" s="14" t="str">
        <f t="shared" si="34"/>
        <v>-</v>
      </c>
    </row>
    <row r="50" spans="1:10" ht="15" thickBot="1" x14ac:dyDescent="0.35"/>
    <row r="51" spans="1:10" ht="15" thickBot="1" x14ac:dyDescent="0.35">
      <c r="A51" s="12" t="s">
        <v>17</v>
      </c>
      <c r="E51" s="13" t="s">
        <v>18</v>
      </c>
    </row>
  </sheetData>
  <mergeCells count="13">
    <mergeCell ref="K3:K5"/>
    <mergeCell ref="K11:K13"/>
    <mergeCell ref="C36:J36"/>
    <mergeCell ref="C20:J20"/>
    <mergeCell ref="A22:A24"/>
    <mergeCell ref="A25:A27"/>
    <mergeCell ref="A28:A30"/>
    <mergeCell ref="A31:A33"/>
    <mergeCell ref="A38:A41"/>
    <mergeCell ref="A42:A45"/>
    <mergeCell ref="A46:A49"/>
    <mergeCell ref="A3:A5"/>
    <mergeCell ref="A11:A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2023-04-02T17:00:30Z</dcterms:created>
  <dcterms:modified xsi:type="dcterms:W3CDTF">2023-04-03T22:39:06Z</dcterms:modified>
</cp:coreProperties>
</file>