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BRINHA RECHEADA AO MOLHO" sheetId="1" r:id="rId4"/>
    <sheet state="visible" name="Página1" sheetId="2" r:id="rId5"/>
    <sheet state="visible" name="ALMONDEGA AO MOLHO" sheetId="3" r:id="rId6"/>
    <sheet state="visible" name="BABY BEEF PARMEGGIANA" sheetId="4" r:id="rId7"/>
    <sheet state="visible" name="BIFE A ROLÊ" sheetId="5" r:id="rId8"/>
    <sheet state="visible" name="CARNE NA CERVEJA PRETA" sheetId="6" r:id="rId9"/>
    <sheet state="visible" name="COSTELINHA DE PORCO" sheetId="7" r:id="rId10"/>
    <sheet state="visible" name="FEIJOADA COMPLETA" sheetId="8" r:id="rId11"/>
    <sheet state="visible" name="FRICASSE DE FRANGO" sheetId="9" r:id="rId12"/>
    <sheet state="visible" name="FILE DE FRANGO A PARMEGGIANA" sheetId="10" r:id="rId13"/>
    <sheet state="visible" name="FILE DE FRANGO SUPREMO" sheetId="11" r:id="rId14"/>
    <sheet state="visible" name="FILÉ DE FRANGO A MILANESA" sheetId="12" r:id="rId15"/>
    <sheet state="visible" name="FRANGO ORIENTAL" sheetId="13" r:id="rId16"/>
    <sheet state="visible" name="FILÉ DE PEIXE A MILANESA" sheetId="14" r:id="rId17"/>
    <sheet state="visible" name="LINGUIÇA TOSCANA" sheetId="15" r:id="rId18"/>
    <sheet state="visible" name="POLPETONNE RECHEADO" sheetId="16" r:id="rId19"/>
    <sheet state="visible" name="SOBRECOXA DE FRANGO ARROZ TEMP." sheetId="17" r:id="rId20"/>
    <sheet state="visible" name="RAGÚ DE FRALDINHA" sheetId="18" r:id="rId21"/>
    <sheet state="visible" name="STROGONOFF DE CARNE" sheetId="19" r:id="rId22"/>
    <sheet state="visible" name="STROGONOFF DE FRANGO" sheetId="20" r:id="rId23"/>
    <sheet state="visible" name="STROGONOFF DE BERINJELA" sheetId="21" r:id="rId24"/>
    <sheet state="visible" name="ARROZ NO RATIONAL" sheetId="22" r:id="rId25"/>
    <sheet state="visible" name="ROCAMBOLE DE CARNE" sheetId="23" r:id="rId26"/>
    <sheet state="visible" name="ROCAMBOLE DE FRANGO" sheetId="24" r:id="rId27"/>
    <sheet state="visible" name="HAMBURGUER DE FRANGO" sheetId="25" r:id="rId28"/>
    <sheet state="visible" name="MANTA DE PERNIL " sheetId="26" r:id="rId29"/>
  </sheets>
  <definedNames/>
  <calcPr/>
  <extLst>
    <ext uri="GoogleSheetsCustomDataVersion2">
      <go:sheetsCustomData xmlns:go="http://customooxmlschemas.google.com/" r:id="rId30" roundtripDataChecksum="fptPSJDgNyOaM8sK3k51mOKVHZxlqPNb/KS97KOej0E="/>
    </ext>
  </extLst>
</workbook>
</file>

<file path=xl/sharedStrings.xml><?xml version="1.0" encoding="utf-8"?>
<sst xmlns="http://schemas.openxmlformats.org/spreadsheetml/2006/main" count="2177" uniqueCount="310">
  <si>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ABOBRINHA RECHEADA (OK)</t>
    </r>
  </si>
  <si>
    <t>225g</t>
  </si>
  <si>
    <t>INGREDIENTES</t>
  </si>
  <si>
    <t>QUANTID.</t>
  </si>
  <si>
    <t>UNIDADE</t>
  </si>
  <si>
    <t>PERDA</t>
  </si>
  <si>
    <t>BRUTO</t>
  </si>
  <si>
    <t>EXTRA</t>
  </si>
  <si>
    <t>ABOBRINHA ITALIA</t>
  </si>
  <si>
    <t>Kg</t>
  </si>
  <si>
    <t>ABOBRINHA ITALIA EXTRA</t>
  </si>
  <si>
    <t>KG</t>
  </si>
  <si>
    <t>CALDO DE LEGUMES EM PÓ</t>
  </si>
  <si>
    <t>SAL</t>
  </si>
  <si>
    <t>ALHO FRESCO</t>
  </si>
  <si>
    <t>AZEITE REFOGAR</t>
  </si>
  <si>
    <t>CEBOLA</t>
  </si>
  <si>
    <t>TOMATE</t>
  </si>
  <si>
    <t>MUSSARELA</t>
  </si>
  <si>
    <t>MANJERICÃO</t>
  </si>
  <si>
    <t>MOLHO DE TOMATE</t>
  </si>
  <si>
    <t>PARMESÃO</t>
  </si>
  <si>
    <t xml:space="preserve">MONTAGEM                     </t>
  </si>
  <si>
    <t>ABOBRINHA</t>
  </si>
  <si>
    <t>MOLHO</t>
  </si>
  <si>
    <t>140G</t>
  </si>
  <si>
    <t>70G</t>
  </si>
  <si>
    <t>15G</t>
  </si>
  <si>
    <t>ARROZ BRANCO</t>
  </si>
  <si>
    <t>145G</t>
  </si>
  <si>
    <t>ARROZ</t>
  </si>
  <si>
    <t>ÁLHO FRESCO</t>
  </si>
  <si>
    <t>ÓLEO</t>
  </si>
  <si>
    <t>ÁGUA</t>
  </si>
  <si>
    <t>L</t>
  </si>
  <si>
    <t>30G</t>
  </si>
  <si>
    <t>BATATA PALHA</t>
  </si>
  <si>
    <t xml:space="preserve">MONTAGEM                    </t>
  </si>
  <si>
    <t>EMBALAGEM</t>
  </si>
  <si>
    <t>QUEIJO</t>
  </si>
  <si>
    <t>BATATA</t>
  </si>
  <si>
    <t>RENDIMENTO</t>
  </si>
  <si>
    <t>PREVISTO</t>
  </si>
  <si>
    <t>REALIZADO</t>
  </si>
  <si>
    <t>400G</t>
  </si>
  <si>
    <t>RESP. ____________________________</t>
  </si>
  <si>
    <t>DATA____________________________</t>
  </si>
  <si>
    <t>CUSTO ATUAL_____________________</t>
  </si>
  <si>
    <t>CUSTO ANTERIOR__________________</t>
  </si>
  <si>
    <t>ENTROU NO EST.___________________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</si>
  <si>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ALMONDEGA AO MOLHO</t>
    </r>
  </si>
  <si>
    <t>PERDA/BRUTO</t>
  </si>
  <si>
    <t>190G</t>
  </si>
  <si>
    <t>COXÃO DURO MOIDO</t>
  </si>
  <si>
    <t>OVO</t>
  </si>
  <si>
    <t>FARINHA DE TRIGO</t>
  </si>
  <si>
    <t>FARINHA DE ROSCA</t>
  </si>
  <si>
    <t>CARNE</t>
  </si>
  <si>
    <t>90G</t>
  </si>
  <si>
    <t>85G</t>
  </si>
  <si>
    <t>PIMENTA</t>
  </si>
  <si>
    <t>CREME DE CEBOLA</t>
  </si>
  <si>
    <t>SALSA</t>
  </si>
  <si>
    <t>PESO DA ALMONDEGA CRUA</t>
  </si>
  <si>
    <t>25 GRAMAS POR UNIDADE</t>
  </si>
  <si>
    <t>150G</t>
  </si>
  <si>
    <t>MILHO REFOGADO</t>
  </si>
  <si>
    <t>MILHO FRESCO</t>
  </si>
  <si>
    <t>60G</t>
  </si>
  <si>
    <t>MARGARINA</t>
  </si>
  <si>
    <t xml:space="preserve">CARNE           </t>
  </si>
  <si>
    <t>4 unid.</t>
  </si>
  <si>
    <t>milho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</si>
  <si>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BABY BEEF A PARMEGGIANA (OK)</t>
    </r>
  </si>
  <si>
    <t>ALCATRA</t>
  </si>
  <si>
    <t>PESO</t>
  </si>
  <si>
    <t>ALHO</t>
  </si>
  <si>
    <t>PIMENTA MOLHO</t>
  </si>
  <si>
    <t>235g</t>
  </si>
  <si>
    <t xml:space="preserve">OVO </t>
  </si>
  <si>
    <t>UNIDADES</t>
  </si>
  <si>
    <t>OLEO</t>
  </si>
  <si>
    <t>120g</t>
  </si>
  <si>
    <t>ERVILHA FRESCA REFOGADA</t>
  </si>
  <si>
    <t>ERVILHA</t>
  </si>
  <si>
    <t>45g</t>
  </si>
  <si>
    <t>AZEITE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</si>
  <si>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rgb="FFFF0000"/>
        <sz val="16.0"/>
      </rPr>
      <t xml:space="preserve">BIFE A ROLÊ </t>
    </r>
  </si>
  <si>
    <t>165G</t>
  </si>
  <si>
    <t>COXÃO DURO</t>
  </si>
  <si>
    <t>CENOURA</t>
  </si>
  <si>
    <t>BACON</t>
  </si>
  <si>
    <t>AGUA</t>
  </si>
  <si>
    <t>Até cobrir</t>
  </si>
  <si>
    <t>FARINHA DE ARROZ</t>
  </si>
  <si>
    <t>PALITO DE DENTE</t>
  </si>
  <si>
    <t>120G</t>
  </si>
  <si>
    <t>MANDIOCA AO ALHO</t>
  </si>
  <si>
    <t>MANDIOCA</t>
  </si>
  <si>
    <t>45G</t>
  </si>
  <si>
    <t>MONTAGEM</t>
  </si>
  <si>
    <r>
      <rPr>
        <rFont val="Calibri"/>
        <b/>
        <i/>
        <color theme="1"/>
        <sz val="14.0"/>
      </rPr>
      <t>PRODUTO:</t>
    </r>
    <r>
      <rPr>
        <rFont val="Calibri"/>
        <b/>
        <i val="0"/>
        <color theme="1"/>
        <sz val="14.0"/>
      </rPr>
      <t xml:space="preserve"> CARNE  NA CERVEJA PRETA</t>
    </r>
  </si>
  <si>
    <t>130G</t>
  </si>
  <si>
    <t>OLEO DE SOJA</t>
  </si>
  <si>
    <t>MOLHO SHOYO</t>
  </si>
  <si>
    <t>CERVEJA PRETA</t>
  </si>
  <si>
    <t>UNID</t>
  </si>
  <si>
    <t>G</t>
  </si>
  <si>
    <r>
      <rPr>
        <rFont val="Calibri"/>
        <b/>
        <i/>
        <color rgb="FFFF0000"/>
        <sz val="16.0"/>
      </rPr>
      <t>PRODUTO:</t>
    </r>
    <r>
      <rPr>
        <rFont val="Calibri"/>
        <b/>
        <i val="0"/>
        <color rgb="FFFF0000"/>
        <sz val="16.0"/>
      </rPr>
      <t xml:space="preserve"> MANDIOCA COZIDA</t>
    </r>
  </si>
  <si>
    <t>ARROZ TEMPERADO</t>
  </si>
  <si>
    <t>180G</t>
  </si>
  <si>
    <t>CALABRESA</t>
  </si>
  <si>
    <t>MILHO VERDE</t>
  </si>
  <si>
    <t>ERVILHA FRESCA</t>
  </si>
  <si>
    <t>AZEITONA VERDE</t>
  </si>
  <si>
    <t>QUANT.</t>
  </si>
  <si>
    <t>INID.</t>
  </si>
  <si>
    <t>RENDIMENTO 400g</t>
  </si>
  <si>
    <r>
      <rPr>
        <rFont val="Calibri"/>
        <b/>
        <i/>
        <color theme="1"/>
        <sz val="16.0"/>
      </rPr>
      <t xml:space="preserve">PRODUTO: </t>
    </r>
    <r>
      <rPr>
        <rFont val="Calibri"/>
        <b/>
        <i/>
        <color rgb="FFFF0000"/>
        <sz val="16.0"/>
      </rPr>
      <t>COSTELINHA DE PORCO</t>
    </r>
  </si>
  <si>
    <t>COSTELINHA DESOSSADA</t>
  </si>
  <si>
    <t>Peso</t>
  </si>
  <si>
    <t>VINAGRE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</si>
  <si>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TUTU DE FEIJÃO</t>
    </r>
  </si>
  <si>
    <t>FEIJÃO CARIOCA</t>
  </si>
  <si>
    <t>110g</t>
  </si>
  <si>
    <t>FARINHA DE MANDIOCA</t>
  </si>
  <si>
    <t>COUVE REFOGADA</t>
  </si>
  <si>
    <t>COUVE</t>
  </si>
  <si>
    <t>50g</t>
  </si>
  <si>
    <t>COSTELINHA</t>
  </si>
  <si>
    <t>TUTU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</si>
  <si>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FEIJOADA COMPLETA (OK)</t>
    </r>
  </si>
  <si>
    <t>200G</t>
  </si>
  <si>
    <t>FEIJAO PRETO</t>
  </si>
  <si>
    <t>LOMBO</t>
  </si>
  <si>
    <t>SAL LOMBO</t>
  </si>
  <si>
    <t>ALHO LOMBO</t>
  </si>
  <si>
    <t>PIMENTA LOMBO</t>
  </si>
  <si>
    <t>CARNE SECA</t>
  </si>
  <si>
    <t>LOURO</t>
  </si>
  <si>
    <t>FAROFA</t>
  </si>
  <si>
    <t>COUVE PICADA</t>
  </si>
  <si>
    <t>FEIJOADA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</si>
  <si>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FRICASSE DE FRANGO</t>
    </r>
  </si>
  <si>
    <t>230G</t>
  </si>
  <si>
    <t>FILE DE FRANGO</t>
  </si>
  <si>
    <t>REQUEIJÃO CREMOSO</t>
  </si>
  <si>
    <t>MILHO</t>
  </si>
  <si>
    <t>MOLHO DE PIMENTA</t>
  </si>
  <si>
    <t>SAL FINAL</t>
  </si>
  <si>
    <t>COBERTURA</t>
  </si>
  <si>
    <t>FARINHA</t>
  </si>
  <si>
    <t>LEITE</t>
  </si>
  <si>
    <t>FRANGO</t>
  </si>
  <si>
    <t>CATUPIRY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</si>
  <si>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FILÉ DE FRANGO À PARMEGIANA</t>
    </r>
  </si>
  <si>
    <t>235G</t>
  </si>
  <si>
    <t>PAPRICA</t>
  </si>
  <si>
    <t>25G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</si>
  <si>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rgb="FFFF0000"/>
        <sz val="16.0"/>
      </rPr>
      <t>FILE DE FRANGO SUPREMO</t>
    </r>
  </si>
  <si>
    <t>110G</t>
  </si>
  <si>
    <t>TEMPERO PRONTO</t>
  </si>
  <si>
    <t>PRESUNTO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</si>
  <si>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CREME DE ESPINAFRE</t>
    </r>
  </si>
  <si>
    <t>CEBOLA MOLHO</t>
  </si>
  <si>
    <t>kg</t>
  </si>
  <si>
    <t>LEITE INTEGRAL</t>
  </si>
  <si>
    <t>ESPINAFRE</t>
  </si>
  <si>
    <t>CREME DE LEITE</t>
  </si>
  <si>
    <t>SAL MOLHO</t>
  </si>
  <si>
    <t>CREME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</si>
  <si>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rgb="FFFF0000"/>
        <sz val="16.0"/>
      </rPr>
      <t>FILE DE FRANGO À MILANESA (OK)</t>
    </r>
  </si>
  <si>
    <t>PAPRICA DA FARINHA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</si>
  <si>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CREME DE MILHO</t>
    </r>
  </si>
  <si>
    <t>MARGARINA MOLHO</t>
  </si>
  <si>
    <t>FARINHA DE TRIGO MOLHO</t>
  </si>
  <si>
    <t>LEITE B MOLHO</t>
  </si>
  <si>
    <t>MILHO BATIDO</t>
  </si>
  <si>
    <t>MILHO INTEIRO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</si>
  <si>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FRANGO ORIENTAL</t>
    </r>
  </si>
  <si>
    <t>peso</t>
  </si>
  <si>
    <t>190g</t>
  </si>
  <si>
    <t>OLEO DE GERGILIM</t>
  </si>
  <si>
    <t>PIMENTÃO VERMELHO</t>
  </si>
  <si>
    <t>PIMENTÃO AMARELO</t>
  </si>
  <si>
    <t>PIMENTÃO VERDE</t>
  </si>
  <si>
    <t>GENGIBRE</t>
  </si>
  <si>
    <t>SHOYO</t>
  </si>
  <si>
    <t>150g</t>
  </si>
  <si>
    <t>REPOLHO REFOGADO</t>
  </si>
  <si>
    <t>REPOLHO</t>
  </si>
  <si>
    <t>60g</t>
  </si>
  <si>
    <t>REFOGADO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</si>
  <si>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FILE DE PEIXE A MILANESA</t>
    </r>
  </si>
  <si>
    <t>FILE DE PEIXE DESCONGELADO</t>
  </si>
  <si>
    <t>BOBÓ DE LEGUMES</t>
  </si>
  <si>
    <t>abóbora cabotiá</t>
  </si>
  <si>
    <t>abobrinha</t>
  </si>
  <si>
    <t>140g</t>
  </si>
  <si>
    <t>pimentão vermelho</t>
  </si>
  <si>
    <t>pimentão amarelo</t>
  </si>
  <si>
    <t>parmesão ralado</t>
  </si>
  <si>
    <t>tomate</t>
  </si>
  <si>
    <t>molho de tomate</t>
  </si>
  <si>
    <t>leite de coco</t>
  </si>
  <si>
    <t>cebola</t>
  </si>
  <si>
    <t>farinha de trigo</t>
  </si>
  <si>
    <t>alho fesco</t>
  </si>
  <si>
    <t>leite</t>
  </si>
  <si>
    <t>Azeite</t>
  </si>
  <si>
    <t>dende</t>
  </si>
  <si>
    <t>Pimenta</t>
  </si>
  <si>
    <t>Sal</t>
  </si>
  <si>
    <t>PEIXE</t>
  </si>
  <si>
    <t>BOBO DE LEGUMES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</si>
  <si>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rgb="FFFF0000"/>
        <sz val="16.0"/>
      </rPr>
      <t>LINGUIÇA TOSCANA</t>
    </r>
  </si>
  <si>
    <t>LINGUIÇA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</si>
  <si>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FEIJÃO</t>
    </r>
  </si>
  <si>
    <t>35G</t>
  </si>
  <si>
    <t>FEIJÃO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</si>
  <si>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POLPETONE DE CARNE RECHEADO (OK)</t>
    </r>
  </si>
  <si>
    <t>ACÉM</t>
  </si>
  <si>
    <t>125G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</si>
  <si>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FEIJÃO</t>
    </r>
  </si>
  <si>
    <t>ESCAROLA REFOGADA</t>
  </si>
  <si>
    <t>ESCAROLA</t>
  </si>
  <si>
    <t>CARNE CRUA</t>
  </si>
  <si>
    <t>POLPETONE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</si>
  <si>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SOBRECOXA DE FRANGO DESOSSADA</t>
    </r>
  </si>
  <si>
    <t>BRÓCOLIS CREMOSO</t>
  </si>
  <si>
    <t>ACOMPANHAMENTO</t>
  </si>
  <si>
    <t>BRÓCOLIS</t>
  </si>
  <si>
    <t xml:space="preserve">MONTAGEM                         </t>
  </si>
  <si>
    <t>BROCOLIS</t>
  </si>
  <si>
    <t>FARINHA TRIGO</t>
  </si>
  <si>
    <t>PARMESÃO COBERTURA</t>
  </si>
  <si>
    <t>160G</t>
  </si>
  <si>
    <t>QUANTIDADE</t>
  </si>
  <si>
    <t>UN.</t>
  </si>
  <si>
    <t>ATÉ  -   G</t>
  </si>
  <si>
    <t>PESO DA BANDEJA</t>
  </si>
  <si>
    <r>
      <rPr>
        <rFont val="Calibri"/>
        <b/>
        <i/>
        <color theme="1"/>
        <sz val="18.0"/>
      </rPr>
      <t>PRODUTO:</t>
    </r>
    <r>
      <rPr>
        <rFont val="Calibri"/>
        <b/>
        <i val="0"/>
        <color theme="1"/>
        <sz val="18.0"/>
      </rPr>
      <t xml:space="preserve"> </t>
    </r>
    <r>
      <rPr>
        <rFont val="Calibri"/>
        <b/>
        <i val="0"/>
        <color rgb="FFFF0000"/>
        <sz val="18.0"/>
      </rPr>
      <t xml:space="preserve"> RAGÚ DE FRALDINHA</t>
    </r>
  </si>
  <si>
    <t>COZIMENTO</t>
  </si>
  <si>
    <t>FRALDINHA LIMPA</t>
  </si>
  <si>
    <t>KG DE CARNE SUJA</t>
  </si>
  <si>
    <t>ALHO PORÓ</t>
  </si>
  <si>
    <t>ALHO INTEIRO</t>
  </si>
  <si>
    <t>SAL DA AGUA</t>
  </si>
  <si>
    <t>MOLHO DE CARNE</t>
  </si>
  <si>
    <t>CALDO DE LEGUMES</t>
  </si>
  <si>
    <t>POLENTA MOLE</t>
  </si>
  <si>
    <t>FUBA</t>
  </si>
  <si>
    <t>QUIABO REFOGADO</t>
  </si>
  <si>
    <t>50G</t>
  </si>
  <si>
    <t>QUIABO</t>
  </si>
  <si>
    <t>100G</t>
  </si>
  <si>
    <t>POLENTA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</si>
  <si>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STROGONOFF DE CARNE (OK)</t>
    </r>
  </si>
  <si>
    <t>225G</t>
  </si>
  <si>
    <t>ARANHA</t>
  </si>
  <si>
    <t>ALHO COZIMENTO</t>
  </si>
  <si>
    <t>CEBOLA COZIMENTO</t>
  </si>
  <si>
    <t>EXTRATO COZIMENTO</t>
  </si>
  <si>
    <t>SAL COZIMENTO</t>
  </si>
  <si>
    <t>CATCHUP</t>
  </si>
  <si>
    <t>MOLHO INGLÊS</t>
  </si>
  <si>
    <t>MOSTARDA</t>
  </si>
  <si>
    <t>EXTRATO DE TOMATE</t>
  </si>
  <si>
    <t>CONHAQUE</t>
  </si>
  <si>
    <t>COGUMELO</t>
  </si>
  <si>
    <t xml:space="preserve">CARNE </t>
  </si>
  <si>
    <t xml:space="preserve">BATATA </t>
  </si>
  <si>
    <r>
      <rPr>
        <rFont val="Calibri"/>
        <b/>
        <color theme="1"/>
        <sz val="18.0"/>
      </rPr>
      <t xml:space="preserve">PRODUTO: </t>
    </r>
    <r>
      <rPr>
        <rFont val="Calibri"/>
        <b/>
        <color rgb="FFFF0000"/>
        <sz val="18.0"/>
      </rPr>
      <t>STROGONOFF DE FRANGO (OK)</t>
    </r>
  </si>
  <si>
    <t>UNID.</t>
  </si>
  <si>
    <t>FILÉ DE FRANGO</t>
  </si>
  <si>
    <t>OLEO DOURAR</t>
  </si>
  <si>
    <t>LEITE B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</si>
  <si>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STROGONOFF DE BERINJELA</t>
    </r>
  </si>
  <si>
    <t>BERINJELA</t>
  </si>
  <si>
    <t>PIMENTA DO REINO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</si>
  <si>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ARROZ BRANCO NO RATIONAL</t>
    </r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</si>
  <si>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ROCAMBOLE DE CARNE RECHEADO</t>
    </r>
  </si>
  <si>
    <t>3 Bolas de 1kg</t>
  </si>
  <si>
    <t>RECHEIO</t>
  </si>
  <si>
    <t>REQUEIJÃO</t>
  </si>
  <si>
    <t>AZEITONA VERDE FATIADA</t>
  </si>
  <si>
    <t>OREGANO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</si>
  <si>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CREME DE MILHO</t>
    </r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</si>
  <si>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BATATA PALHA</t>
    </r>
  </si>
  <si>
    <t xml:space="preserve">MONTAGEM  POR ASSADEIRA                  </t>
  </si>
  <si>
    <t>MUSSARELA COM PRESUNTO</t>
  </si>
  <si>
    <t>AZEITONA</t>
  </si>
  <si>
    <r>
      <rPr>
        <rFont val="Calibri"/>
        <b/>
        <i/>
        <color theme="1"/>
        <sz val="17.0"/>
      </rPr>
      <t>PRODUTO:</t>
    </r>
    <r>
      <rPr>
        <rFont val="Calibri"/>
        <b/>
        <i val="0"/>
        <color rgb="FFFF0000"/>
        <sz val="17.0"/>
      </rPr>
      <t>ROCAMBOLE DE FRANGO RECHEADO</t>
    </r>
  </si>
  <si>
    <t>BOLAS DE 1KG</t>
  </si>
  <si>
    <t xml:space="preserve">AZEITONA 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</si>
  <si>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FEIJÃO</t>
    </r>
  </si>
  <si>
    <t>135G</t>
  </si>
  <si>
    <t>frango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</si>
  <si>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 xml:space="preserve">HAMBURGUER DE FRANGO </t>
    </r>
  </si>
  <si>
    <t>EMPANAR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</si>
  <si>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CREME DE BROCOLIS</t>
    </r>
  </si>
  <si>
    <t>SAL BROCOLIS</t>
  </si>
  <si>
    <t>ALHO BROCOLIS</t>
  </si>
  <si>
    <t>AZEITE BROCOLIS</t>
  </si>
  <si>
    <t xml:space="preserve">porcionamento cru                  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</si>
  <si>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 xml:space="preserve">HAMBURGUER DE FRANGO </t>
    </r>
  </si>
  <si>
    <t>PERNIL</t>
  </si>
  <si>
    <t xml:space="preserve">REQUEIJÃO </t>
  </si>
  <si>
    <t>RUCULA</t>
  </si>
  <si>
    <r>
      <rPr>
        <rFont val="Calibri"/>
        <b/>
        <i/>
        <color theme="1"/>
        <sz val="16.0"/>
      </rPr>
      <t>PRODUTO:</t>
    </r>
    <r>
      <rPr>
        <rFont val="Calibri"/>
        <b/>
        <i val="0"/>
        <color theme="1"/>
        <sz val="16.0"/>
      </rPr>
      <t xml:space="preserve"> </t>
    </r>
    <r>
      <rPr>
        <rFont val="Calibri"/>
        <b/>
        <i val="0"/>
        <color rgb="FFFF0000"/>
        <sz val="16.0"/>
      </rPr>
      <t>CREME DE BROCOLIS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</si>
</sst>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"/>
    <numFmt numFmtId="165" formatCode="0.0000"/>
    <numFmt numFmtId="166" formatCode="&quot;R$&quot;\ #,##0.000"/>
    <numFmt numFmtId="167" formatCode="0.0"/>
    <numFmt numFmtId="168" formatCode="########0.000"/>
    <numFmt numFmtId="169" formatCode="########0.00"/>
    <numFmt numFmtId="170" formatCode="########0"/>
    <numFmt numFmtId="171" formatCode="###,###,##0.00"/>
  </numFmts>
  <fonts count="31">
    <font>
      <sz val="11.0"/>
      <color theme="1"/>
      <name val="Calibri"/>
      <scheme val="minor"/>
    </font>
    <font>
      <b/>
      <i/>
      <sz val="16.0"/>
      <color theme="1"/>
      <name val="Calibri"/>
    </font>
    <font>
      <sz val="11.0"/>
      <color theme="1"/>
      <name val="Calibri"/>
    </font>
    <font>
      <b/>
      <sz val="10.0"/>
      <color theme="1"/>
      <name val="Calibri"/>
    </font>
    <font/>
    <font>
      <b/>
      <sz val="11.0"/>
      <color theme="1"/>
      <name val="Calibri"/>
    </font>
    <font>
      <b/>
      <sz val="14.0"/>
      <color rgb="FFFF0000"/>
      <name val="Calibri"/>
    </font>
    <font>
      <b/>
      <sz val="16.0"/>
      <color rgb="FFFF0000"/>
      <name val="Calibri"/>
    </font>
    <font>
      <b/>
      <i/>
      <sz val="11.0"/>
      <color theme="1"/>
      <name val="Calibri"/>
    </font>
    <font>
      <color theme="1"/>
      <name val="Calibri"/>
      <scheme val="minor"/>
    </font>
    <font>
      <sz val="10.0"/>
      <color theme="1"/>
      <name val="Calibri"/>
    </font>
    <font>
      <b/>
      <i/>
      <sz val="14.0"/>
      <color theme="1"/>
      <name val="Calibri"/>
    </font>
    <font>
      <b/>
      <i/>
      <sz val="12.0"/>
      <color theme="1"/>
      <name val="Calibri"/>
    </font>
    <font>
      <b/>
      <i/>
      <sz val="16.0"/>
      <color rgb="FFFF0000"/>
      <name val="Calibri"/>
    </font>
    <font>
      <b/>
      <sz val="18.0"/>
      <color rgb="FFFF0000"/>
      <name val="Calibri"/>
    </font>
    <font>
      <sz val="20.0"/>
      <color theme="1"/>
      <name val="Calibri"/>
    </font>
    <font>
      <sz val="11.0"/>
      <color theme="1"/>
      <name val="Arial"/>
    </font>
    <font>
      <b/>
      <i/>
      <sz val="18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FF0000"/>
      <name val="Calibri"/>
    </font>
    <font>
      <sz val="8.0"/>
      <color theme="1"/>
      <name val="Courier New"/>
    </font>
    <font>
      <sz val="10.0"/>
      <color theme="1"/>
      <name val="Courier New"/>
    </font>
    <font>
      <b/>
      <sz val="18.0"/>
      <color theme="1"/>
      <name val="Calibri"/>
    </font>
    <font>
      <b/>
      <sz val="9.0"/>
      <color theme="1"/>
      <name val="Courier New"/>
    </font>
    <font>
      <b/>
      <sz val="8.0"/>
      <color theme="1"/>
      <name val="Courier New"/>
    </font>
    <font>
      <b/>
      <i/>
      <sz val="22.0"/>
      <color theme="1"/>
      <name val="Calibri"/>
    </font>
    <font>
      <b/>
      <i/>
      <sz val="17.0"/>
      <color theme="1"/>
      <name val="Calibri"/>
    </font>
    <font>
      <sz val="17.0"/>
      <color theme="1"/>
      <name val="Calibri"/>
      <scheme val="minor"/>
    </font>
    <font>
      <sz val="17.0"/>
      <color theme="1"/>
      <name val="Calibri"/>
    </font>
    <font>
      <b/>
      <sz val="17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1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3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2" numFmtId="0" xfId="0" applyBorder="1" applyFont="1"/>
    <xf borderId="3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1" fillId="2" fontId="2" numFmtId="1" xfId="0" applyBorder="1" applyFont="1" applyNumberFormat="1"/>
    <xf borderId="5" fillId="3" fontId="2" numFmtId="0" xfId="0" applyAlignment="1" applyBorder="1" applyFill="1" applyFont="1">
      <alignment shrinkToFit="0" vertical="top" wrapText="1"/>
    </xf>
    <xf borderId="6" fillId="3" fontId="5" numFmtId="164" xfId="0" applyAlignment="1" applyBorder="1" applyFont="1" applyNumberFormat="1">
      <alignment horizontal="center" shrinkToFit="0" vertical="top" wrapText="1"/>
    </xf>
    <xf borderId="7" fillId="3" fontId="3" numFmtId="0" xfId="0" applyAlignment="1" applyBorder="1" applyFont="1">
      <alignment horizontal="center" shrinkToFit="0" vertical="center" wrapText="1"/>
    </xf>
    <xf borderId="0" fillId="0" fontId="2" numFmtId="0" xfId="0" applyFont="1"/>
    <xf borderId="8" fillId="3" fontId="2" numFmtId="0" xfId="0" applyAlignment="1" applyBorder="1" applyFont="1">
      <alignment shrinkToFit="0" vertical="top" wrapText="1"/>
    </xf>
    <xf borderId="7" fillId="3" fontId="5" numFmtId="164" xfId="0" applyAlignment="1" applyBorder="1" applyFont="1" applyNumberFormat="1">
      <alignment horizontal="center" shrinkToFit="0" vertical="top" wrapText="1"/>
    </xf>
    <xf borderId="7" fillId="3" fontId="3" numFmtId="2" xfId="0" applyAlignment="1" applyBorder="1" applyFont="1" applyNumberFormat="1">
      <alignment horizontal="center" shrinkToFit="0" vertical="center" wrapText="1"/>
    </xf>
    <xf borderId="4" fillId="0" fontId="2" numFmtId="0" xfId="0" applyAlignment="1" applyBorder="1" applyFont="1">
      <alignment shrinkToFit="0" vertical="top" wrapText="1"/>
    </xf>
    <xf borderId="9" fillId="0" fontId="2" numFmtId="164" xfId="0" applyAlignment="1" applyBorder="1" applyFont="1" applyNumberFormat="1">
      <alignment horizontal="center" shrinkToFit="0" vertical="top" wrapText="1"/>
    </xf>
    <xf borderId="9" fillId="0" fontId="3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3" fillId="0" fontId="2" numFmtId="164" xfId="0" applyAlignment="1" applyBorder="1" applyFont="1" applyNumberFormat="1">
      <alignment horizontal="center"/>
    </xf>
    <xf borderId="11" fillId="0" fontId="2" numFmtId="0" xfId="0" applyAlignment="1" applyBorder="1" applyFont="1">
      <alignment horizontal="center"/>
    </xf>
    <xf borderId="5" fillId="0" fontId="2" numFmtId="0" xfId="0" applyAlignment="1" applyBorder="1" applyFont="1">
      <alignment shrinkToFit="0" vertical="top" wrapText="1"/>
    </xf>
    <xf borderId="12" fillId="0" fontId="2" numFmtId="164" xfId="0" applyAlignment="1" applyBorder="1" applyFont="1" applyNumberFormat="1">
      <alignment horizontal="center" shrinkToFit="0" vertical="top" wrapText="1"/>
    </xf>
    <xf borderId="12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shrinkToFit="0" vertical="top" wrapText="1"/>
    </xf>
    <xf borderId="3" fillId="0" fontId="2" numFmtId="164" xfId="0" applyAlignment="1" applyBorder="1" applyFont="1" applyNumberFormat="1">
      <alignment horizontal="center" shrinkToFit="0" vertical="top" wrapText="1"/>
    </xf>
    <xf borderId="15" fillId="0" fontId="2" numFmtId="0" xfId="0" applyAlignment="1" applyBorder="1" applyFont="1">
      <alignment shrinkToFit="0" vertical="top" wrapText="1"/>
    </xf>
    <xf borderId="5" fillId="0" fontId="2" numFmtId="164" xfId="0" applyAlignment="1" applyBorder="1" applyFont="1" applyNumberFormat="1">
      <alignment horizontal="center" shrinkToFit="0" vertical="top" wrapText="1"/>
    </xf>
    <xf borderId="16" fillId="2" fontId="2" numFmtId="0" xfId="0" applyBorder="1" applyFont="1"/>
    <xf borderId="5" fillId="2" fontId="2" numFmtId="164" xfId="0" applyAlignment="1" applyBorder="1" applyFont="1" applyNumberFormat="1">
      <alignment horizontal="center"/>
    </xf>
    <xf borderId="6" fillId="2" fontId="2" numFmtId="0" xfId="0" applyAlignment="1" applyBorder="1" applyFont="1">
      <alignment horizontal="center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vertical="center"/>
    </xf>
    <xf borderId="15" fillId="0" fontId="2" numFmtId="0" xfId="0" applyBorder="1" applyFont="1"/>
    <xf borderId="12" fillId="0" fontId="2" numFmtId="0" xfId="0" applyAlignment="1" applyBorder="1" applyFont="1">
      <alignment horizontal="center" vertical="center"/>
    </xf>
    <xf borderId="17" fillId="3" fontId="2" numFmtId="0" xfId="0" applyBorder="1" applyFont="1"/>
    <xf borderId="17" fillId="2" fontId="2" numFmtId="0" xfId="0" applyBorder="1" applyFont="1"/>
    <xf borderId="1" fillId="2" fontId="6" numFmtId="0" xfId="0" applyBorder="1" applyFont="1"/>
    <xf borderId="6" fillId="3" fontId="5" numFmtId="0" xfId="0" applyAlignment="1" applyBorder="1" applyFont="1">
      <alignment horizontal="center" shrinkToFit="0" vertical="top" wrapText="1"/>
    </xf>
    <xf borderId="5" fillId="3" fontId="3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top" wrapText="1"/>
    </xf>
    <xf borderId="1" fillId="2" fontId="7" numFmtId="0" xfId="0" applyBorder="1" applyFont="1"/>
    <xf borderId="1" fillId="2" fontId="8" numFmtId="0" xfId="0" applyBorder="1" applyFont="1"/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horizontal="center"/>
    </xf>
    <xf borderId="18" fillId="2" fontId="3" numFmtId="0" xfId="0" applyAlignment="1" applyBorder="1" applyFont="1">
      <alignment shrinkToFit="0" vertical="center" wrapText="1"/>
    </xf>
    <xf borderId="18" fillId="2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shrinkToFit="0" vertical="top" wrapText="1"/>
    </xf>
    <xf borderId="7" fillId="2" fontId="2" numFmtId="165" xfId="0" applyAlignment="1" applyBorder="1" applyFont="1" applyNumberFormat="1">
      <alignment horizontal="center" shrinkToFit="0" vertical="top" wrapText="1"/>
    </xf>
    <xf borderId="7" fillId="2" fontId="3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9" fillId="3" fontId="5" numFmtId="0" xfId="0" applyBorder="1" applyFont="1"/>
    <xf borderId="17" fillId="3" fontId="5" numFmtId="0" xfId="0" applyBorder="1" applyFont="1"/>
    <xf borderId="20" fillId="3" fontId="5" numFmtId="0" xfId="0" applyBorder="1" applyFont="1"/>
    <xf borderId="21" fillId="0" fontId="2" numFmtId="0" xfId="0" applyBorder="1" applyFont="1"/>
    <xf borderId="22" fillId="2" fontId="2" numFmtId="1" xfId="0" applyBorder="1" applyFont="1" applyNumberFormat="1"/>
    <xf borderId="23" fillId="0" fontId="2" numFmtId="0" xfId="0" applyBorder="1" applyFont="1"/>
    <xf borderId="10" fillId="0" fontId="2" numFmtId="0" xfId="0" applyAlignment="1" applyBorder="1" applyFont="1">
      <alignment horizontal="left"/>
    </xf>
    <xf borderId="24" fillId="0" fontId="2" numFmtId="0" xfId="0" applyAlignment="1" applyBorder="1" applyFont="1">
      <alignment horizontal="left"/>
    </xf>
    <xf borderId="11" fillId="0" fontId="2" numFmtId="0" xfId="0" applyAlignment="1" applyBorder="1" applyFont="1">
      <alignment horizontal="left"/>
    </xf>
    <xf borderId="14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3" fillId="0" fontId="2" numFmtId="0" xfId="0" applyAlignment="1" applyBorder="1" applyFont="1">
      <alignment horizontal="left"/>
    </xf>
    <xf borderId="25" fillId="0" fontId="2" numFmtId="0" xfId="0" applyAlignment="1" applyBorder="1" applyFont="1">
      <alignment horizontal="left"/>
    </xf>
    <xf borderId="26" fillId="0" fontId="2" numFmtId="0" xfId="0" applyAlignment="1" applyBorder="1" applyFont="1">
      <alignment horizontal="left"/>
    </xf>
    <xf borderId="9" fillId="0" fontId="2" numFmtId="0" xfId="0" applyAlignment="1" applyBorder="1" applyFont="1">
      <alignment horizontal="left"/>
    </xf>
    <xf borderId="0" fillId="0" fontId="9" numFmtId="164" xfId="0" applyFont="1" applyNumberFormat="1"/>
    <xf borderId="1" fillId="2" fontId="1" numFmtId="164" xfId="0" applyBorder="1" applyFont="1" applyNumberFormat="1"/>
    <xf borderId="0" fillId="0" fontId="9" numFmtId="0" xfId="0" applyAlignment="1" applyFont="1">
      <alignment readingOrder="0"/>
    </xf>
    <xf borderId="0" fillId="0" fontId="9" numFmtId="0" xfId="0" applyFont="1"/>
    <xf borderId="1" fillId="2" fontId="2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6" fillId="3" fontId="5" numFmtId="164" xfId="0" applyAlignment="1" applyBorder="1" applyFont="1" applyNumberFormat="1">
      <alignment horizontal="center" readingOrder="0" shrinkToFit="0" vertical="top" wrapText="1"/>
    </xf>
    <xf borderId="5" fillId="0" fontId="2" numFmtId="0" xfId="0" applyAlignment="1" applyBorder="1" applyFont="1">
      <alignment horizontal="center" shrinkToFit="0" vertical="top" wrapText="1"/>
    </xf>
    <xf borderId="20" fillId="2" fontId="2" numFmtId="0" xfId="0" applyBorder="1" applyFont="1"/>
    <xf borderId="27" fillId="3" fontId="5" numFmtId="0" xfId="0" applyBorder="1" applyFont="1"/>
    <xf borderId="6" fillId="3" fontId="5" numFmtId="0" xfId="0" applyBorder="1" applyFont="1"/>
    <xf borderId="28" fillId="3" fontId="5" numFmtId="0" xfId="0" applyBorder="1" applyFont="1"/>
    <xf borderId="29" fillId="3" fontId="5" numFmtId="0" xfId="0" applyBorder="1" applyFont="1"/>
    <xf borderId="7" fillId="3" fontId="5" numFmtId="0" xfId="0" applyBorder="1" applyFont="1"/>
    <xf borderId="0" fillId="0" fontId="6" numFmtId="0" xfId="0" applyAlignment="1" applyFont="1">
      <alignment shrinkToFit="0" vertical="top" wrapText="1"/>
    </xf>
    <xf borderId="5" fillId="0" fontId="2" numFmtId="0" xfId="0" applyBorder="1" applyFont="1"/>
    <xf borderId="17" fillId="3" fontId="2" numFmtId="164" xfId="0" applyBorder="1" applyFont="1" applyNumberFormat="1"/>
    <xf borderId="17" fillId="0" fontId="2" numFmtId="164" xfId="0" applyBorder="1" applyFont="1" applyNumberFormat="1"/>
    <xf borderId="17" fillId="3" fontId="5" numFmtId="164" xfId="0" applyBorder="1" applyFont="1" applyNumberFormat="1"/>
    <xf borderId="17" fillId="2" fontId="2" numFmtId="164" xfId="0" applyAlignment="1" applyBorder="1" applyFont="1" applyNumberFormat="1">
      <alignment horizontal="center"/>
    </xf>
    <xf borderId="9" fillId="0" fontId="5" numFmtId="164" xfId="0" applyAlignment="1" applyBorder="1" applyFont="1" applyNumberFormat="1">
      <alignment horizontal="center" shrinkToFit="0" vertical="top" wrapText="1"/>
    </xf>
    <xf borderId="0" fillId="0" fontId="2" numFmtId="164" xfId="0" applyFont="1" applyNumberFormat="1"/>
    <xf borderId="12" fillId="0" fontId="5" numFmtId="164" xfId="0" applyAlignment="1" applyBorder="1" applyFont="1" applyNumberFormat="1">
      <alignment horizontal="center" shrinkToFit="0" vertical="top" wrapText="1"/>
    </xf>
    <xf borderId="1" fillId="2" fontId="6" numFmtId="0" xfId="0" applyAlignment="1" applyBorder="1" applyFont="1">
      <alignment shrinkToFit="0" vertical="top" wrapText="1"/>
    </xf>
    <xf borderId="17" fillId="2" fontId="2" numFmtId="1" xfId="0" applyAlignment="1" applyBorder="1" applyFont="1" applyNumberFormat="1">
      <alignment horizontal="center"/>
    </xf>
    <xf borderId="7" fillId="3" fontId="3" numFmtId="164" xfId="0" applyAlignment="1" applyBorder="1" applyFont="1" applyNumberFormat="1">
      <alignment horizontal="center" shrinkToFit="0" vertical="center" wrapText="1"/>
    </xf>
    <xf borderId="9" fillId="0" fontId="3" numFmtId="164" xfId="0" applyAlignment="1" applyBorder="1" applyFont="1" applyNumberFormat="1">
      <alignment horizontal="center" shrinkToFit="0" vertical="center" wrapText="1"/>
    </xf>
    <xf borderId="9" fillId="0" fontId="3" numFmtId="2" xfId="0" applyAlignment="1" applyBorder="1" applyFont="1" applyNumberFormat="1">
      <alignment horizontal="center" shrinkToFit="0" vertical="center" wrapText="1"/>
    </xf>
    <xf borderId="13" fillId="0" fontId="10" numFmtId="164" xfId="0" applyAlignment="1" applyBorder="1" applyFont="1" applyNumberFormat="1">
      <alignment horizontal="center" shrinkToFit="0" vertical="center" wrapText="1"/>
    </xf>
    <xf borderId="13" fillId="0" fontId="10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shrinkToFit="0" vertical="top" wrapText="1"/>
    </xf>
    <xf borderId="5" fillId="2" fontId="2" numFmtId="0" xfId="0" applyAlignment="1" applyBorder="1" applyFont="1">
      <alignment horizontal="center"/>
    </xf>
    <xf borderId="0" fillId="0" fontId="2" numFmtId="0" xfId="0" applyAlignment="1" applyFont="1">
      <alignment shrinkToFit="0" vertical="top" wrapText="1"/>
    </xf>
    <xf borderId="0" fillId="0" fontId="2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1" fillId="2" fontId="2" numFmtId="0" xfId="0" applyAlignment="1" applyBorder="1" applyFont="1">
      <alignment shrinkToFit="0" vertical="top" wrapText="1"/>
    </xf>
    <xf borderId="5" fillId="3" fontId="2" numFmtId="2" xfId="0" applyAlignment="1" applyBorder="1" applyFont="1" applyNumberFormat="1">
      <alignment horizontal="center"/>
    </xf>
    <xf borderId="5" fillId="3" fontId="2" numFmtId="0" xfId="0" applyAlignment="1" applyBorder="1" applyFont="1">
      <alignment horizontal="center"/>
    </xf>
    <xf borderId="5" fillId="0" fontId="2" numFmtId="2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5" fillId="2" fontId="2" numFmtId="164" xfId="0" applyBorder="1" applyFont="1" applyNumberFormat="1"/>
    <xf borderId="1" fillId="2" fontId="2" numFmtId="164" xfId="0" applyBorder="1" applyFont="1" applyNumberFormat="1"/>
    <xf borderId="6" fillId="3" fontId="3" numFmtId="0" xfId="0" applyAlignment="1" applyBorder="1" applyFont="1">
      <alignment horizontal="center" shrinkToFit="0" vertical="center" wrapText="1"/>
    </xf>
    <xf borderId="30" fillId="3" fontId="2" numFmtId="0" xfId="0" applyBorder="1" applyFont="1"/>
    <xf borderId="31" fillId="3" fontId="2" numFmtId="0" xfId="0" applyBorder="1" applyFont="1"/>
    <xf borderId="30" fillId="2" fontId="2" numFmtId="0" xfId="0" applyBorder="1" applyFont="1"/>
    <xf borderId="5" fillId="2" fontId="2" numFmtId="0" xfId="0" applyBorder="1" applyFont="1"/>
    <xf borderId="8" fillId="2" fontId="2" numFmtId="1" xfId="0" applyBorder="1" applyFont="1" applyNumberFormat="1"/>
    <xf borderId="7" fillId="2" fontId="2" numFmtId="1" xfId="0" applyBorder="1" applyFont="1" applyNumberFormat="1"/>
    <xf borderId="5" fillId="2" fontId="2" numFmtId="1" xfId="0" applyBorder="1" applyFont="1" applyNumberFormat="1"/>
    <xf borderId="32" fillId="2" fontId="11" numFmtId="0" xfId="0" applyAlignment="1" applyBorder="1" applyFont="1">
      <alignment horizontal="left"/>
    </xf>
    <xf borderId="33" fillId="0" fontId="4" numFmtId="0" xfId="0" applyBorder="1" applyFont="1"/>
    <xf borderId="34" fillId="0" fontId="4" numFmtId="0" xfId="0" applyBorder="1" applyFont="1"/>
    <xf borderId="1" fillId="2" fontId="12" numFmtId="0" xfId="0" applyBorder="1" applyFont="1"/>
    <xf borderId="1" fillId="2" fontId="8" numFmtId="164" xfId="0" applyBorder="1" applyFont="1" applyNumberFormat="1"/>
    <xf borderId="35" fillId="2" fontId="2" numFmtId="0" xfId="0" applyBorder="1" applyFont="1"/>
    <xf borderId="3" fillId="0" fontId="5" numFmtId="164" xfId="0" applyAlignment="1" applyBorder="1" applyFont="1" applyNumberFormat="1">
      <alignment horizontal="center"/>
    </xf>
    <xf borderId="5" fillId="0" fontId="5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 shrinkToFit="0" vertical="center" wrapText="1"/>
    </xf>
    <xf borderId="10" fillId="0" fontId="2" numFmtId="0" xfId="0" applyAlignment="1" applyBorder="1" applyFont="1">
      <alignment shrinkToFit="0" vertical="top" wrapText="1"/>
    </xf>
    <xf borderId="11" fillId="0" fontId="3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/>
    </xf>
    <xf borderId="4" fillId="0" fontId="2" numFmtId="0" xfId="0" applyBorder="1" applyFont="1"/>
    <xf borderId="9" fillId="0" fontId="2" numFmtId="0" xfId="0" applyAlignment="1" applyBorder="1" applyFont="1">
      <alignment horizontal="center"/>
    </xf>
    <xf borderId="1" fillId="2" fontId="13" numFmtId="0" xfId="0" applyBorder="1" applyFont="1"/>
    <xf borderId="3" fillId="2" fontId="3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7" fillId="2" fontId="2" numFmtId="164" xfId="0" applyAlignment="1" applyBorder="1" applyFont="1" applyNumberFormat="1">
      <alignment horizontal="center" shrinkToFit="0" vertical="top" wrapText="1"/>
    </xf>
    <xf borderId="5" fillId="2" fontId="3" numFmtId="0" xfId="0" applyAlignment="1" applyBorder="1" applyFont="1">
      <alignment horizontal="center" shrinkToFit="0" vertical="center" wrapText="1"/>
    </xf>
    <xf borderId="0" fillId="0" fontId="14" numFmtId="0" xfId="0" applyFont="1"/>
    <xf borderId="5" fillId="0" fontId="2" numFmtId="164" xfId="0" applyAlignment="1" applyBorder="1" applyFont="1" applyNumberFormat="1">
      <alignment horizontal="center"/>
    </xf>
    <xf borderId="5" fillId="2" fontId="2" numFmtId="0" xfId="0" applyAlignment="1" applyBorder="1" applyFont="1">
      <alignment shrinkToFit="0" vertical="top" wrapText="1"/>
    </xf>
    <xf borderId="6" fillId="2" fontId="2" numFmtId="164" xfId="0" applyAlignment="1" applyBorder="1" applyFont="1" applyNumberFormat="1">
      <alignment horizontal="center" shrinkToFit="0" vertical="top" wrapText="1"/>
    </xf>
    <xf borderId="5" fillId="2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17" fillId="3" fontId="2" numFmtId="0" xfId="0" applyAlignment="1" applyBorder="1" applyFont="1">
      <alignment shrinkToFit="0" vertical="top" wrapText="1"/>
    </xf>
    <xf borderId="17" fillId="0" fontId="2" numFmtId="0" xfId="0" applyAlignment="1" applyBorder="1" applyFont="1">
      <alignment shrinkToFit="0" vertical="top" wrapText="1"/>
    </xf>
    <xf borderId="36" fillId="0" fontId="2" numFmtId="0" xfId="0" applyBorder="1" applyFont="1"/>
    <xf borderId="30" fillId="3" fontId="15" numFmtId="0" xfId="0" applyBorder="1" applyFont="1"/>
    <xf borderId="2" fillId="2" fontId="2" numFmtId="0" xfId="0" applyAlignment="1" applyBorder="1" applyFont="1">
      <alignment horizontal="center" vertical="center"/>
    </xf>
    <xf borderId="28" fillId="3" fontId="2" numFmtId="0" xfId="0" applyBorder="1" applyFont="1"/>
    <xf borderId="7" fillId="3" fontId="2" numFmtId="0" xfId="0" applyBorder="1" applyFont="1"/>
    <xf borderId="22" fillId="2" fontId="2" numFmtId="1" xfId="0" applyAlignment="1" applyBorder="1" applyFont="1" applyNumberFormat="1">
      <alignment horizontal="center"/>
    </xf>
    <xf borderId="22" fillId="2" fontId="2" numFmtId="1" xfId="0" applyAlignment="1" applyBorder="1" applyFont="1" applyNumberFormat="1">
      <alignment horizontal="center" vertical="center"/>
    </xf>
    <xf borderId="11" fillId="0" fontId="2" numFmtId="0" xfId="0" applyBorder="1" applyFont="1"/>
    <xf borderId="13" fillId="0" fontId="2" numFmtId="0" xfId="0" applyBorder="1" applyFont="1"/>
    <xf borderId="9" fillId="0" fontId="2" numFmtId="0" xfId="0" applyBorder="1" applyFont="1"/>
    <xf borderId="5" fillId="3" fontId="2" numFmtId="164" xfId="0" applyAlignment="1" applyBorder="1" applyFont="1" applyNumberFormat="1">
      <alignment horizontal="center" shrinkToFit="0" vertical="top" wrapText="1"/>
    </xf>
    <xf borderId="4" fillId="0" fontId="2" numFmtId="164" xfId="0" applyAlignment="1" applyBorder="1" applyFont="1" applyNumberFormat="1">
      <alignment horizontal="center" shrinkToFit="0" vertical="top" wrapText="1"/>
    </xf>
    <xf borderId="37" fillId="0" fontId="2" numFmtId="0" xfId="0" applyAlignment="1" applyBorder="1" applyFont="1">
      <alignment shrinkToFit="0" vertical="top" wrapText="1"/>
    </xf>
    <xf borderId="37" fillId="0" fontId="2" numFmtId="164" xfId="0" applyAlignment="1" applyBorder="1" applyFont="1" applyNumberFormat="1">
      <alignment horizontal="center" shrinkToFit="0" vertical="top" wrapText="1"/>
    </xf>
    <xf borderId="4" fillId="0" fontId="3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left"/>
    </xf>
    <xf borderId="4" fillId="0" fontId="3" numFmtId="0" xfId="0" applyAlignment="1" applyBorder="1" applyFont="1">
      <alignment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5" fillId="3" fontId="5" numFmtId="164" xfId="0" applyAlignment="1" applyBorder="1" applyFont="1" applyNumberFormat="1">
      <alignment horizontal="center" shrinkToFit="0" vertical="top" wrapText="1"/>
    </xf>
    <xf borderId="17" fillId="0" fontId="2" numFmtId="0" xfId="0" applyAlignment="1" applyBorder="1" applyFont="1">
      <alignment horizontal="center"/>
    </xf>
    <xf borderId="29" fillId="3" fontId="3" numFmtId="0" xfId="0" applyAlignment="1" applyBorder="1" applyFont="1">
      <alignment horizontal="center" shrinkToFit="0" vertical="center" wrapText="1"/>
    </xf>
    <xf borderId="7" fillId="2" fontId="5" numFmtId="164" xfId="0" applyAlignment="1" applyBorder="1" applyFont="1" applyNumberFormat="1">
      <alignment horizontal="center" shrinkToFit="0" vertical="top" wrapText="1"/>
    </xf>
    <xf borderId="29" fillId="2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8" fillId="2" fontId="2" numFmtId="1" xfId="0" applyBorder="1" applyFont="1" applyNumberFormat="1"/>
    <xf borderId="37" fillId="0" fontId="4" numFmtId="0" xfId="0" applyBorder="1" applyFont="1"/>
    <xf borderId="16" fillId="3" fontId="2" numFmtId="0" xfId="0" applyAlignment="1" applyBorder="1" applyFont="1">
      <alignment shrinkToFit="0" vertical="top" wrapText="1"/>
    </xf>
    <xf borderId="5" fillId="3" fontId="2" numFmtId="164" xfId="0" applyAlignment="1" applyBorder="1" applyFont="1" applyNumberFormat="1">
      <alignment horizontal="center" readingOrder="0"/>
    </xf>
    <xf borderId="9" fillId="0" fontId="5" numFmtId="0" xfId="0" applyAlignment="1" applyBorder="1" applyFont="1">
      <alignment horizontal="center" shrinkToFit="0" vertical="top" wrapText="1"/>
    </xf>
    <xf borderId="9" fillId="0" fontId="10" numFmtId="166" xfId="0" applyAlignment="1" applyBorder="1" applyFont="1" applyNumberFormat="1">
      <alignment horizontal="center" shrinkToFit="0" vertical="center" wrapText="1"/>
    </xf>
    <xf borderId="28" fillId="3" fontId="2" numFmtId="0" xfId="0" applyAlignment="1" applyBorder="1" applyFont="1">
      <alignment shrinkToFit="0" vertical="top" wrapText="1"/>
    </xf>
    <xf borderId="5" fillId="3" fontId="2" numFmtId="164" xfId="0" applyAlignment="1" applyBorder="1" applyFont="1" applyNumberFormat="1">
      <alignment horizontal="center"/>
    </xf>
    <xf borderId="7" fillId="3" fontId="10" numFmtId="0" xfId="0" applyAlignment="1" applyBorder="1" applyFont="1">
      <alignment horizontal="center" shrinkToFit="0" vertical="center" wrapText="1"/>
    </xf>
    <xf borderId="7" fillId="3" fontId="10" numFmtId="166" xfId="0" applyAlignment="1" applyBorder="1" applyFont="1" applyNumberFormat="1">
      <alignment horizontal="center" shrinkToFit="0" vertical="center" wrapText="1"/>
    </xf>
    <xf borderId="9" fillId="0" fontId="10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/>
    </xf>
    <xf borderId="10" fillId="0" fontId="3" numFmtId="0" xfId="0" applyAlignment="1" applyBorder="1" applyFont="1">
      <alignment shrinkToFit="0" vertical="center" wrapText="1"/>
    </xf>
    <xf borderId="25" fillId="0" fontId="4" numFmtId="0" xfId="0" applyBorder="1" applyFont="1"/>
    <xf borderId="9" fillId="0" fontId="4" numFmtId="0" xfId="0" applyBorder="1" applyFont="1"/>
    <xf borderId="12" fillId="0" fontId="5" numFmtId="0" xfId="0" applyAlignment="1" applyBorder="1" applyFont="1">
      <alignment horizontal="center" shrinkToFit="0" vertical="top" wrapText="1"/>
    </xf>
    <xf borderId="28" fillId="2" fontId="2" numFmtId="0" xfId="0" applyAlignment="1" applyBorder="1" applyFont="1">
      <alignment shrinkToFit="0" vertical="top" wrapText="1"/>
    </xf>
    <xf borderId="9" fillId="0" fontId="5" numFmtId="1" xfId="0" applyAlignment="1" applyBorder="1" applyFont="1" applyNumberFormat="1">
      <alignment horizontal="center" shrinkToFit="0" vertical="top" wrapText="1"/>
    </xf>
    <xf borderId="0" fillId="0" fontId="2" numFmtId="0" xfId="0" applyAlignment="1" applyFont="1">
      <alignment horizontal="center"/>
    </xf>
    <xf borderId="9" fillId="0" fontId="5" numFmtId="167" xfId="0" applyAlignment="1" applyBorder="1" applyFont="1" applyNumberFormat="1">
      <alignment horizontal="center" shrinkToFit="0" vertical="top" wrapText="1"/>
    </xf>
    <xf borderId="5" fillId="0" fontId="3" numFmtId="0" xfId="0" applyAlignment="1" applyBorder="1" applyFont="1">
      <alignment shrinkToFit="0" vertical="center" wrapText="1"/>
    </xf>
    <xf borderId="8" fillId="4" fontId="2" numFmtId="0" xfId="0" applyAlignment="1" applyBorder="1" applyFill="1" applyFont="1">
      <alignment shrinkToFit="0" vertical="top" wrapText="1"/>
    </xf>
    <xf borderId="7" fillId="2" fontId="5" numFmtId="0" xfId="0" applyAlignment="1" applyBorder="1" applyFont="1">
      <alignment horizontal="center" shrinkToFit="0" vertical="top" wrapText="1"/>
    </xf>
    <xf borderId="1" fillId="2" fontId="14" numFmtId="0" xfId="0" applyAlignment="1" applyBorder="1" applyFont="1">
      <alignment shrinkToFit="0" vertical="top" wrapText="1"/>
    </xf>
    <xf borderId="5" fillId="0" fontId="16" numFmtId="0" xfId="0" applyAlignment="1" applyBorder="1" applyFont="1">
      <alignment shrinkToFit="0" vertical="center" wrapText="1"/>
    </xf>
    <xf borderId="5" fillId="0" fontId="5" numFmtId="164" xfId="0" applyAlignment="1" applyBorder="1" applyFont="1" applyNumberFormat="1">
      <alignment horizontal="center" shrinkToFit="0" vertical="top" wrapText="1"/>
    </xf>
    <xf borderId="5" fillId="0" fontId="5" numFmtId="0" xfId="0" applyAlignment="1" applyBorder="1" applyFont="1">
      <alignment horizontal="center" shrinkToFit="0" vertical="center" wrapText="1"/>
    </xf>
    <xf borderId="17" fillId="0" fontId="2" numFmtId="1" xfId="0" applyAlignment="1" applyBorder="1" applyFont="1" applyNumberFormat="1">
      <alignment horizontal="center"/>
    </xf>
    <xf borderId="5" fillId="3" fontId="2" numFmtId="0" xfId="0" applyAlignment="1" applyBorder="1" applyFont="1">
      <alignment readingOrder="0" shrinkToFit="0" vertical="top" wrapText="1"/>
    </xf>
    <xf borderId="5" fillId="3" fontId="2" numFmtId="0" xfId="0" applyAlignment="1" applyBorder="1" applyFont="1">
      <alignment horizontal="center" shrinkToFit="0" vertical="top" wrapText="1"/>
    </xf>
    <xf borderId="3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 shrinkToFit="0" vertical="center" wrapText="1"/>
    </xf>
    <xf borderId="5" fillId="2" fontId="3" numFmtId="164" xfId="0" applyAlignment="1" applyBorder="1" applyFont="1" applyNumberFormat="1">
      <alignment horizontal="center" shrinkToFit="0" vertical="center" wrapText="1"/>
    </xf>
    <xf borderId="5" fillId="2" fontId="6" numFmtId="0" xfId="0" applyBorder="1" applyFont="1"/>
    <xf borderId="12" fillId="0" fontId="2" numFmtId="0" xfId="0" applyBorder="1" applyFont="1"/>
    <xf borderId="5" fillId="2" fontId="3" numFmtId="2" xfId="0" applyAlignment="1" applyBorder="1" applyFont="1" applyNumberFormat="1">
      <alignment horizontal="center" shrinkToFit="0" vertical="center" wrapText="1"/>
    </xf>
    <xf borderId="17" fillId="2" fontId="2" numFmtId="1" xfId="0" applyBorder="1" applyFont="1" applyNumberFormat="1"/>
    <xf borderId="1" fillId="2" fontId="17" numFmtId="0" xfId="0" applyBorder="1" applyFont="1"/>
    <xf borderId="0" fillId="0" fontId="18" numFmtId="0" xfId="0" applyFont="1"/>
    <xf borderId="1" fillId="2" fontId="18" numFmtId="0" xfId="0" applyBorder="1" applyFont="1"/>
    <xf borderId="1" fillId="2" fontId="18" numFmtId="0" xfId="0" applyAlignment="1" applyBorder="1" applyFont="1">
      <alignment horizontal="center"/>
    </xf>
    <xf borderId="3" fillId="0" fontId="19" numFmtId="0" xfId="0" applyAlignment="1" applyBorder="1" applyFont="1">
      <alignment shrinkToFit="0" vertical="center" wrapText="1"/>
    </xf>
    <xf borderId="3" fillId="0" fontId="19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2" fillId="3" fontId="19" numFmtId="0" xfId="0" applyBorder="1" applyFont="1"/>
    <xf borderId="5" fillId="0" fontId="19" numFmtId="0" xfId="0" applyAlignment="1" applyBorder="1" applyFont="1">
      <alignment horizontal="center" shrinkToFit="0" vertical="center" wrapText="1"/>
    </xf>
    <xf borderId="8" fillId="3" fontId="19" numFmtId="0" xfId="0" applyAlignment="1" applyBorder="1" applyFont="1">
      <alignment shrinkToFit="0" vertical="center" wrapText="1"/>
    </xf>
    <xf borderId="7" fillId="3" fontId="19" numFmtId="0" xfId="0" applyAlignment="1" applyBorder="1" applyFont="1">
      <alignment horizontal="center" shrinkToFit="0" vertical="center" wrapText="1"/>
    </xf>
    <xf borderId="29" fillId="3" fontId="19" numFmtId="0" xfId="0" applyAlignment="1" applyBorder="1" applyFont="1">
      <alignment horizontal="center" shrinkToFit="0" vertical="center" wrapText="1"/>
    </xf>
    <xf borderId="5" fillId="2" fontId="19" numFmtId="0" xfId="0" applyAlignment="1" applyBorder="1" applyFont="1">
      <alignment horizontal="center" shrinkToFit="0" vertical="center" wrapText="1"/>
    </xf>
    <xf borderId="5" fillId="3" fontId="18" numFmtId="0" xfId="0" applyAlignment="1" applyBorder="1" applyFont="1">
      <alignment shrinkToFit="0" vertical="top" wrapText="1"/>
    </xf>
    <xf borderId="6" fillId="3" fontId="19" numFmtId="164" xfId="0" applyAlignment="1" applyBorder="1" applyFont="1" applyNumberFormat="1">
      <alignment horizontal="center" readingOrder="0" shrinkToFit="0" vertical="top" wrapText="1"/>
    </xf>
    <xf borderId="27" fillId="3" fontId="19" numFmtId="0" xfId="0" applyAlignment="1" applyBorder="1" applyFont="1">
      <alignment horizontal="center" shrinkToFit="0" vertical="top" wrapText="1"/>
    </xf>
    <xf borderId="5" fillId="3" fontId="19" numFmtId="167" xfId="0" applyAlignment="1" applyBorder="1" applyFont="1" applyNumberFormat="1">
      <alignment horizontal="center" shrinkToFit="0" vertical="top" wrapText="1"/>
    </xf>
    <xf borderId="6" fillId="3" fontId="19" numFmtId="0" xfId="0" applyBorder="1" applyFont="1"/>
    <xf borderId="4" fillId="0" fontId="18" numFmtId="0" xfId="0" applyAlignment="1" applyBorder="1" applyFont="1">
      <alignment shrinkToFit="0" vertical="top" wrapText="1"/>
    </xf>
    <xf borderId="9" fillId="0" fontId="18" numFmtId="164" xfId="0" applyAlignment="1" applyBorder="1" applyFont="1" applyNumberFormat="1">
      <alignment horizontal="center" shrinkToFit="0" vertical="top" wrapText="1"/>
    </xf>
    <xf borderId="26" fillId="0" fontId="18" numFmtId="0" xfId="0" applyAlignment="1" applyBorder="1" applyFont="1">
      <alignment horizontal="center" shrinkToFit="0" vertical="top" wrapText="1"/>
    </xf>
    <xf borderId="5" fillId="0" fontId="18" numFmtId="0" xfId="0" applyAlignment="1" applyBorder="1" applyFont="1">
      <alignment horizontal="center" shrinkToFit="0" vertical="top" wrapText="1"/>
    </xf>
    <xf borderId="37" fillId="0" fontId="18" numFmtId="0" xfId="0" applyBorder="1" applyFont="1"/>
    <xf borderId="37" fillId="0" fontId="18" numFmtId="0" xfId="0" applyAlignment="1" applyBorder="1" applyFont="1">
      <alignment horizontal="center" shrinkToFit="0" vertical="top" wrapText="1"/>
    </xf>
    <xf borderId="8" fillId="3" fontId="19" numFmtId="0" xfId="0" applyAlignment="1" applyBorder="1" applyFont="1">
      <alignment shrinkToFit="0" vertical="top" wrapText="1"/>
    </xf>
    <xf borderId="7" fillId="3" fontId="18" numFmtId="164" xfId="0" applyAlignment="1" applyBorder="1" applyFont="1" applyNumberFormat="1">
      <alignment horizontal="center" shrinkToFit="0" vertical="top" wrapText="1"/>
    </xf>
    <xf borderId="29" fillId="3" fontId="18" numFmtId="0" xfId="0" applyAlignment="1" applyBorder="1" applyFont="1">
      <alignment horizontal="center" shrinkToFit="0" vertical="top" wrapText="1"/>
    </xf>
    <xf borderId="5" fillId="0" fontId="18" numFmtId="0" xfId="0" applyBorder="1" applyFont="1"/>
    <xf borderId="0" fillId="0" fontId="18" numFmtId="0" xfId="0" applyAlignment="1" applyFont="1">
      <alignment shrinkToFit="0" vertical="top" wrapText="1"/>
    </xf>
    <xf borderId="0" fillId="0" fontId="18" numFmtId="0" xfId="0" applyAlignment="1" applyFont="1">
      <alignment horizontal="center" shrinkToFit="0" vertical="top" wrapText="1"/>
    </xf>
    <xf borderId="16" fillId="3" fontId="19" numFmtId="0" xfId="0" applyBorder="1" applyFont="1"/>
    <xf borderId="5" fillId="3" fontId="19" numFmtId="0" xfId="0" applyBorder="1" applyFont="1"/>
    <xf borderId="27" fillId="3" fontId="19" numFmtId="0" xfId="0" applyBorder="1" applyFont="1"/>
    <xf borderId="1" fillId="2" fontId="20" numFmtId="0" xfId="0" applyBorder="1" applyFont="1"/>
    <xf borderId="6" fillId="3" fontId="19" numFmtId="164" xfId="0" applyAlignment="1" applyBorder="1" applyFont="1" applyNumberFormat="1">
      <alignment horizontal="center" shrinkToFit="0" vertical="top" wrapText="1"/>
    </xf>
    <xf borderId="5" fillId="3" fontId="19" numFmtId="0" xfId="0" applyAlignment="1" applyBorder="1" applyFont="1">
      <alignment horizontal="center" shrinkToFit="0" vertical="center" wrapText="1"/>
    </xf>
    <xf borderId="0" fillId="0" fontId="18" numFmtId="164" xfId="0" applyFont="1" applyNumberFormat="1"/>
    <xf borderId="9" fillId="0" fontId="19" numFmtId="0" xfId="0" applyAlignment="1" applyBorder="1" applyFont="1">
      <alignment horizontal="center" shrinkToFit="0" vertical="center" wrapText="1"/>
    </xf>
    <xf borderId="22" fillId="3" fontId="19" numFmtId="1" xfId="0" applyBorder="1" applyFont="1" applyNumberFormat="1"/>
    <xf borderId="0" fillId="0" fontId="20" numFmtId="0" xfId="0" applyAlignment="1" applyFont="1">
      <alignment shrinkToFit="0" vertical="top" wrapText="1"/>
    </xf>
    <xf borderId="17" fillId="3" fontId="19" numFmtId="0" xfId="0" applyBorder="1" applyFont="1"/>
    <xf borderId="17" fillId="0" fontId="18" numFmtId="0" xfId="0" applyBorder="1" applyFont="1"/>
    <xf borderId="19" fillId="3" fontId="19" numFmtId="0" xfId="0" applyBorder="1" applyFont="1"/>
    <xf borderId="21" fillId="0" fontId="18" numFmtId="0" xfId="0" applyBorder="1" applyFont="1"/>
    <xf borderId="10" fillId="0" fontId="18" numFmtId="0" xfId="0" applyAlignment="1" applyBorder="1" applyFont="1">
      <alignment horizontal="left"/>
    </xf>
    <xf borderId="24" fillId="0" fontId="18" numFmtId="0" xfId="0" applyAlignment="1" applyBorder="1" applyFont="1">
      <alignment horizontal="left"/>
    </xf>
    <xf borderId="14" fillId="0" fontId="18" numFmtId="0" xfId="0" applyAlignment="1" applyBorder="1" applyFont="1">
      <alignment horizontal="left"/>
    </xf>
    <xf borderId="0" fillId="0" fontId="18" numFmtId="0" xfId="0" applyAlignment="1" applyFont="1">
      <alignment horizontal="left"/>
    </xf>
    <xf borderId="25" fillId="0" fontId="18" numFmtId="0" xfId="0" applyAlignment="1" applyBorder="1" applyFont="1">
      <alignment horizontal="left"/>
    </xf>
    <xf borderId="26" fillId="0" fontId="18" numFmtId="0" xfId="0" applyAlignment="1" applyBorder="1" applyFont="1">
      <alignment horizontal="left"/>
    </xf>
    <xf borderId="0" fillId="0" fontId="21" numFmtId="0" xfId="0" applyAlignment="1" applyFont="1">
      <alignment horizontal="left"/>
    </xf>
    <xf borderId="0" fillId="0" fontId="22" numFmtId="0" xfId="0" applyFont="1"/>
    <xf borderId="0" fillId="0" fontId="21" numFmtId="168" xfId="0" applyAlignment="1" applyFont="1" applyNumberFormat="1">
      <alignment horizontal="right"/>
    </xf>
    <xf borderId="7" fillId="3" fontId="3" numFmtId="164" xfId="0" applyAlignment="1" applyBorder="1" applyFont="1" applyNumberFormat="1">
      <alignment horizontal="center" readingOrder="0" shrinkToFit="0" vertical="center" wrapText="1"/>
    </xf>
    <xf borderId="5" fillId="3" fontId="3" numFmtId="164" xfId="0" applyAlignment="1" applyBorder="1" applyFont="1" applyNumberFormat="1">
      <alignment horizontal="center" shrinkToFit="0" vertical="center" wrapText="1"/>
    </xf>
    <xf borderId="5" fillId="0" fontId="3" numFmtId="164" xfId="0" applyAlignment="1" applyBorder="1" applyFont="1" applyNumberFormat="1">
      <alignment horizontal="center" shrinkToFit="0" vertical="center" wrapText="1"/>
    </xf>
    <xf borderId="13" fillId="0" fontId="3" numFmtId="164" xfId="0" applyAlignment="1" applyBorder="1" applyFont="1" applyNumberFormat="1">
      <alignment horizontal="center" shrinkToFit="0" vertical="center" wrapText="1"/>
    </xf>
    <xf borderId="0" fillId="0" fontId="23" numFmtId="0" xfId="0" applyFont="1"/>
    <xf borderId="0" fillId="0" fontId="21" numFmtId="169" xfId="0" applyAlignment="1" applyFont="1" applyNumberFormat="1">
      <alignment horizontal="right"/>
    </xf>
    <xf borderId="5" fillId="2" fontId="5" numFmtId="164" xfId="0" applyAlignment="1" applyBorder="1" applyFont="1" applyNumberFormat="1">
      <alignment horizontal="center"/>
    </xf>
    <xf borderId="0" fillId="0" fontId="24" numFmtId="0" xfId="0" applyAlignment="1" applyFont="1">
      <alignment horizontal="left"/>
    </xf>
    <xf borderId="0" fillId="0" fontId="24" numFmtId="170" xfId="0" applyAlignment="1" applyFont="1" applyNumberFormat="1">
      <alignment horizontal="right"/>
    </xf>
    <xf borderId="0" fillId="0" fontId="25" numFmtId="171" xfId="0" applyAlignment="1" applyFont="1" applyNumberFormat="1">
      <alignment horizontal="right"/>
    </xf>
    <xf borderId="6" fillId="3" fontId="5" numFmtId="167" xfId="0" applyAlignment="1" applyBorder="1" applyFont="1" applyNumberFormat="1">
      <alignment horizontal="center" shrinkToFit="0" vertical="top" wrapText="1"/>
    </xf>
    <xf borderId="39" fillId="2" fontId="2" numFmtId="0" xfId="0" applyBorder="1" applyFont="1"/>
    <xf borderId="1" fillId="2" fontId="26" numFmtId="0" xfId="0" applyAlignment="1" applyBorder="1" applyFont="1">
      <alignment horizontal="center"/>
    </xf>
    <xf borderId="2" fillId="2" fontId="5" numFmtId="0" xfId="0" applyBorder="1" applyFont="1"/>
    <xf borderId="22" fillId="2" fontId="5" numFmtId="0" xfId="0" applyAlignment="1" applyBorder="1" applyFont="1">
      <alignment horizontal="left"/>
    </xf>
    <xf borderId="5" fillId="5" fontId="2" numFmtId="0" xfId="0" applyAlignment="1" applyBorder="1" applyFill="1" applyFont="1">
      <alignment shrinkToFit="0" vertical="top" wrapText="1"/>
    </xf>
    <xf borderId="6" fillId="5" fontId="5" numFmtId="0" xfId="0" applyAlignment="1" applyBorder="1" applyFont="1">
      <alignment horizontal="center" readingOrder="0" shrinkToFit="0" vertical="top" wrapText="1"/>
    </xf>
    <xf borderId="7" fillId="5" fontId="3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0" fillId="0" fontId="9" numFmtId="164" xfId="0" applyAlignment="1" applyFont="1" applyNumberFormat="1">
      <alignment readingOrder="0"/>
    </xf>
    <xf borderId="6" fillId="5" fontId="5" numFmtId="164" xfId="0" applyAlignment="1" applyBorder="1" applyFont="1" applyNumberFormat="1">
      <alignment horizontal="center" readingOrder="0" shrinkToFit="0" vertical="top" wrapText="1"/>
    </xf>
    <xf borderId="6" fillId="5" fontId="5" numFmtId="0" xfId="0" applyAlignment="1" applyBorder="1" applyFont="1">
      <alignment horizontal="center" shrinkToFit="0" vertical="top" wrapText="1"/>
    </xf>
    <xf borderId="7" fillId="3" fontId="2" numFmtId="164" xfId="0" applyAlignment="1" applyBorder="1" applyFont="1" applyNumberFormat="1">
      <alignment horizontal="center" shrinkToFit="0" vertical="top" wrapText="1"/>
    </xf>
    <xf borderId="7" fillId="3" fontId="2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horizontal="center" shrinkToFit="0" vertical="top" wrapText="1"/>
    </xf>
    <xf borderId="1" fillId="2" fontId="27" numFmtId="0" xfId="0" applyAlignment="1" applyBorder="1" applyFont="1">
      <alignment readingOrder="0"/>
    </xf>
    <xf borderId="1" fillId="2" fontId="27" numFmtId="0" xfId="0" applyBorder="1" applyFont="1"/>
    <xf borderId="0" fillId="0" fontId="28" numFmtId="0" xfId="0" applyFont="1"/>
    <xf borderId="2" fillId="2" fontId="29" numFmtId="0" xfId="0" applyBorder="1" applyFont="1"/>
    <xf borderId="0" fillId="0" fontId="28" numFmtId="164" xfId="0" applyFont="1" applyNumberFormat="1"/>
    <xf borderId="0" fillId="0" fontId="28" numFmtId="0" xfId="0" applyAlignment="1" applyFont="1">
      <alignment readingOrder="0"/>
    </xf>
    <xf borderId="3" fillId="0" fontId="30" numFmtId="0" xfId="0" applyAlignment="1" applyBorder="1" applyFont="1">
      <alignment shrinkToFit="0" vertical="center" wrapText="1"/>
    </xf>
    <xf borderId="3" fillId="0" fontId="30" numFmtId="0" xfId="0" applyAlignment="1" applyBorder="1" applyFont="1">
      <alignment horizontal="center" shrinkToFit="0" vertical="center" wrapText="1"/>
    </xf>
    <xf borderId="0" fillId="3" fontId="28" numFmtId="0" xfId="0" applyAlignment="1" applyFont="1">
      <alignment readingOrder="0"/>
    </xf>
    <xf borderId="40" fillId="3" fontId="29" numFmtId="0" xfId="0" applyAlignment="1" applyBorder="1" applyFont="1">
      <alignment shrinkToFit="0" vertical="top" wrapText="1"/>
    </xf>
    <xf borderId="18" fillId="3" fontId="29" numFmtId="164" xfId="0" applyAlignment="1" applyBorder="1" applyFont="1" applyNumberFormat="1">
      <alignment horizontal="center" readingOrder="0" shrinkToFit="0" vertical="center" wrapText="1"/>
    </xf>
    <xf borderId="18" fillId="3" fontId="29" numFmtId="0" xfId="0" applyAlignment="1" applyBorder="1" applyFont="1">
      <alignment horizontal="center" shrinkToFit="0" vertical="center" wrapText="1"/>
    </xf>
    <xf borderId="18" fillId="3" fontId="29" numFmtId="164" xfId="0" applyAlignment="1" applyBorder="1" applyFont="1" applyNumberFormat="1">
      <alignment horizontal="center" shrinkToFit="0" vertical="center" wrapText="1"/>
    </xf>
    <xf borderId="7" fillId="3" fontId="30" numFmtId="0" xfId="0" applyAlignment="1" applyBorder="1" applyFont="1">
      <alignment horizontal="center" shrinkToFit="0" vertical="center" wrapText="1"/>
    </xf>
    <xf borderId="37" fillId="0" fontId="29" numFmtId="0" xfId="0" applyAlignment="1" applyBorder="1" applyFont="1">
      <alignment readingOrder="0" shrinkToFit="0" vertical="top" wrapText="1"/>
    </xf>
    <xf borderId="11" fillId="0" fontId="29" numFmtId="164" xfId="0" applyAlignment="1" applyBorder="1" applyFont="1" applyNumberFormat="1">
      <alignment horizontal="center" shrinkToFit="0" vertical="center" wrapText="1"/>
    </xf>
    <xf borderId="11" fillId="0" fontId="29" numFmtId="0" xfId="0" applyAlignment="1" applyBorder="1" applyFont="1">
      <alignment horizontal="center" shrinkToFit="0" vertical="center" wrapText="1"/>
    </xf>
    <xf borderId="9" fillId="0" fontId="30" numFmtId="0" xfId="0" applyAlignment="1" applyBorder="1" applyFont="1">
      <alignment horizontal="center" shrinkToFit="0" vertical="center" wrapText="1"/>
    </xf>
    <xf borderId="5" fillId="0" fontId="29" numFmtId="0" xfId="0" applyAlignment="1" applyBorder="1" applyFont="1">
      <alignment shrinkToFit="0" vertical="top" wrapText="1"/>
    </xf>
    <xf borderId="12" fillId="0" fontId="29" numFmtId="164" xfId="0" applyAlignment="1" applyBorder="1" applyFont="1" applyNumberFormat="1">
      <alignment horizontal="center" shrinkToFit="0" vertical="center" wrapText="1"/>
    </xf>
    <xf borderId="12" fillId="0" fontId="29" numFmtId="0" xfId="0" applyAlignment="1" applyBorder="1" applyFont="1">
      <alignment horizontal="center" shrinkToFit="0" vertical="center" wrapText="1"/>
    </xf>
    <xf borderId="4" fillId="0" fontId="29" numFmtId="0" xfId="0" applyAlignment="1" applyBorder="1" applyFont="1">
      <alignment shrinkToFit="0" vertical="top" wrapText="1"/>
    </xf>
    <xf borderId="9" fillId="0" fontId="29" numFmtId="164" xfId="0" applyAlignment="1" applyBorder="1" applyFont="1" applyNumberFormat="1">
      <alignment horizontal="center" shrinkToFit="0" vertical="center" wrapText="1"/>
    </xf>
    <xf borderId="9" fillId="0" fontId="29" numFmtId="0" xfId="0" applyAlignment="1" applyBorder="1" applyFont="1">
      <alignment horizontal="center" shrinkToFit="0" vertical="center" wrapText="1"/>
    </xf>
    <xf borderId="8" fillId="3" fontId="29" numFmtId="0" xfId="0" applyAlignment="1" applyBorder="1" applyFont="1">
      <alignment shrinkToFit="0" vertical="top" wrapText="1"/>
    </xf>
    <xf borderId="7" fillId="3" fontId="29" numFmtId="164" xfId="0" applyAlignment="1" applyBorder="1" applyFont="1" applyNumberFormat="1">
      <alignment horizontal="center" shrinkToFit="0" vertical="center" wrapText="1"/>
    </xf>
    <xf borderId="7" fillId="3" fontId="29" numFmtId="0" xfId="0" applyAlignment="1" applyBorder="1" applyFont="1">
      <alignment horizontal="center" shrinkToFit="0" vertical="center" wrapText="1"/>
    </xf>
    <xf borderId="13" fillId="0" fontId="29" numFmtId="164" xfId="0" applyAlignment="1" applyBorder="1" applyFont="1" applyNumberFormat="1">
      <alignment horizontal="center" shrinkToFit="0" vertical="center" wrapText="1"/>
    </xf>
    <xf borderId="13" fillId="0" fontId="29" numFmtId="0" xfId="0" applyAlignment="1" applyBorder="1" applyFont="1">
      <alignment horizontal="center" shrinkToFit="0" vertical="center" wrapText="1"/>
    </xf>
    <xf borderId="5" fillId="0" fontId="29" numFmtId="164" xfId="0" applyAlignment="1" applyBorder="1" applyFont="1" applyNumberFormat="1">
      <alignment horizontal="center" shrinkToFit="0" vertical="center" wrapText="1"/>
    </xf>
    <xf borderId="5" fillId="0" fontId="29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horizontal="center"/>
    </xf>
    <xf borderId="1" fillId="2" fontId="29" numFmtId="0" xfId="0" applyBorder="1" applyFont="1"/>
    <xf borderId="5" fillId="5" fontId="2" numFmtId="0" xfId="0" applyAlignment="1" applyBorder="1" applyFont="1">
      <alignment readingOrder="0" shrinkToFit="0" vertical="top" wrapText="1"/>
    </xf>
    <xf borderId="8" fillId="3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9" fillId="0" fontId="2" numFmtId="164" xfId="0" applyAlignment="1" applyBorder="1" applyFont="1" applyNumberForma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43"/>
    <col customWidth="1" min="3" max="3" width="11.57"/>
    <col customWidth="1" min="4" max="4" width="12.14"/>
    <col customWidth="1" min="5" max="7" width="10.29"/>
    <col customWidth="1" min="8" max="8" width="10.71"/>
    <col customWidth="1" min="9" max="9" width="13.0"/>
    <col customWidth="1" min="10" max="10" width="8.71"/>
    <col customWidth="1" min="11" max="11" width="12.29"/>
    <col customWidth="1" min="12" max="26" width="8.71"/>
  </cols>
  <sheetData>
    <row r="2">
      <c r="B2" s="1" t="s">
        <v>0</v>
      </c>
      <c r="C2" s="1"/>
      <c r="D2" s="1"/>
      <c r="E2" s="1"/>
      <c r="F2" s="2"/>
      <c r="G2" s="2"/>
      <c r="H2" s="2"/>
    </row>
    <row r="3">
      <c r="B3" s="1"/>
      <c r="C3" s="3" t="s">
        <v>1</v>
      </c>
      <c r="D3" s="1"/>
      <c r="E3" s="1"/>
      <c r="F3" s="2"/>
      <c r="G3" s="2"/>
      <c r="H3" s="2"/>
    </row>
    <row r="4" ht="15.0" customHeight="1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2"/>
    </row>
    <row r="5">
      <c r="B5" s="6"/>
      <c r="C5" s="6"/>
      <c r="D5" s="6"/>
      <c r="E5" s="6"/>
      <c r="F5" s="6"/>
      <c r="G5" s="6"/>
      <c r="H5" s="7"/>
    </row>
    <row r="6" ht="15.75" customHeight="1">
      <c r="B6" s="8" t="s">
        <v>8</v>
      </c>
      <c r="C6" s="9">
        <v>60.0</v>
      </c>
      <c r="D6" s="10" t="s">
        <v>9</v>
      </c>
      <c r="E6" s="10">
        <f t="shared" ref="E6:E7" si="1">4*(C6/40)</f>
        <v>6</v>
      </c>
      <c r="F6" s="10"/>
      <c r="G6" s="10"/>
      <c r="H6" s="2"/>
      <c r="I6" s="11"/>
    </row>
    <row r="7" ht="15.75" customHeight="1">
      <c r="B7" s="12" t="s">
        <v>10</v>
      </c>
      <c r="C7" s="13">
        <f>4*(C6/30)</f>
        <v>8</v>
      </c>
      <c r="D7" s="10" t="s">
        <v>11</v>
      </c>
      <c r="E7" s="14">
        <f t="shared" si="1"/>
        <v>0.8</v>
      </c>
      <c r="F7" s="10"/>
      <c r="G7" s="10"/>
      <c r="H7" s="2"/>
      <c r="I7" s="11"/>
    </row>
    <row r="8" ht="16.5" customHeight="1">
      <c r="B8" s="15" t="s">
        <v>12</v>
      </c>
      <c r="C8" s="16">
        <f>0.518518518518519*(C6/50)</f>
        <v>0.6222222222</v>
      </c>
      <c r="D8" s="17" t="s">
        <v>9</v>
      </c>
      <c r="E8" s="17"/>
      <c r="F8" s="17"/>
      <c r="G8" s="17"/>
      <c r="I8" s="11"/>
    </row>
    <row r="9">
      <c r="B9" s="18" t="s">
        <v>13</v>
      </c>
      <c r="C9" s="19">
        <f>0.185185185185185*(C6/50)</f>
        <v>0.2222222222</v>
      </c>
      <c r="D9" s="20" t="s">
        <v>9</v>
      </c>
      <c r="E9" s="20"/>
      <c r="F9" s="20"/>
      <c r="G9" s="20"/>
      <c r="I9" s="11"/>
    </row>
    <row r="10" ht="17.25" customHeight="1">
      <c r="B10" s="21" t="s">
        <v>14</v>
      </c>
      <c r="C10" s="22">
        <f>0.1574074074074*(C6/25)</f>
        <v>0.3777777778</v>
      </c>
      <c r="D10" s="23" t="s">
        <v>9</v>
      </c>
      <c r="E10" s="23"/>
      <c r="F10" s="23"/>
      <c r="G10" s="23"/>
      <c r="I10" s="11"/>
    </row>
    <row r="11">
      <c r="B11" s="15" t="s">
        <v>15</v>
      </c>
      <c r="C11" s="16">
        <f>0.236111111111111*(C6/25)</f>
        <v>0.5666666667</v>
      </c>
      <c r="D11" s="24" t="s">
        <v>9</v>
      </c>
      <c r="E11" s="24"/>
      <c r="F11" s="24"/>
      <c r="G11" s="24"/>
      <c r="I11" s="11"/>
    </row>
    <row r="12" ht="16.5" customHeight="1">
      <c r="B12" s="15" t="s">
        <v>16</v>
      </c>
      <c r="C12" s="16">
        <f>1.9125*(C6/25)</f>
        <v>4.59</v>
      </c>
      <c r="D12" s="25" t="s">
        <v>9</v>
      </c>
      <c r="E12" s="25"/>
      <c r="F12" s="25"/>
      <c r="G12" s="25"/>
    </row>
    <row r="13">
      <c r="B13" s="26" t="s">
        <v>17</v>
      </c>
      <c r="C13" s="27">
        <f>3.825*(C6/25)</f>
        <v>9.18</v>
      </c>
      <c r="D13" s="5" t="s">
        <v>9</v>
      </c>
      <c r="E13" s="5">
        <f>0.335*(C6/40)</f>
        <v>0.5025</v>
      </c>
      <c r="F13" s="5"/>
      <c r="G13" s="5"/>
    </row>
    <row r="14">
      <c r="B14" s="28" t="s">
        <v>18</v>
      </c>
      <c r="C14" s="29">
        <f>9*(C6/25)</f>
        <v>21.6</v>
      </c>
      <c r="D14" s="23" t="s">
        <v>9</v>
      </c>
      <c r="E14" s="23"/>
      <c r="F14" s="23"/>
      <c r="G14" s="23"/>
    </row>
    <row r="15">
      <c r="B15" s="30" t="s">
        <v>19</v>
      </c>
      <c r="C15" s="31">
        <f>0.10625*(C6/25)</f>
        <v>0.255</v>
      </c>
      <c r="D15" s="32" t="s">
        <v>9</v>
      </c>
      <c r="E15" s="32"/>
      <c r="F15" s="32"/>
      <c r="G15" s="32"/>
    </row>
    <row r="16">
      <c r="B16" s="33" t="s">
        <v>20</v>
      </c>
      <c r="C16" s="34">
        <f>13*(C6/25)</f>
        <v>31.2</v>
      </c>
      <c r="D16" s="35" t="s">
        <v>9</v>
      </c>
      <c r="E16" s="35"/>
      <c r="F16" s="35"/>
      <c r="G16" s="35"/>
    </row>
    <row r="17">
      <c r="B17" s="36" t="s">
        <v>21</v>
      </c>
      <c r="C17" s="34">
        <f>2.2*(C6/25)</f>
        <v>5.28</v>
      </c>
      <c r="D17" s="37" t="s">
        <v>9</v>
      </c>
      <c r="E17" s="37"/>
      <c r="F17" s="37"/>
      <c r="G17" s="37"/>
    </row>
    <row r="19">
      <c r="B19" s="38" t="s">
        <v>22</v>
      </c>
      <c r="C19" s="38"/>
      <c r="D19" s="38"/>
    </row>
    <row r="20">
      <c r="B20" s="39" t="s">
        <v>23</v>
      </c>
      <c r="C20" s="39" t="s">
        <v>24</v>
      </c>
      <c r="D20" s="39" t="s">
        <v>21</v>
      </c>
    </row>
    <row r="21" ht="15.75" customHeight="1">
      <c r="B21" s="39" t="s">
        <v>25</v>
      </c>
      <c r="C21" s="39" t="s">
        <v>26</v>
      </c>
      <c r="D21" s="39" t="s">
        <v>27</v>
      </c>
    </row>
    <row r="22" ht="15.75" customHeight="1"/>
    <row r="23" ht="15.75" customHeight="1"/>
    <row r="24" ht="15.75" customHeight="1">
      <c r="B24" s="40" t="s">
        <v>28</v>
      </c>
      <c r="C24" s="3" t="s">
        <v>29</v>
      </c>
    </row>
    <row r="25" ht="15.75" customHeight="1"/>
    <row r="26" ht="15.75" customHeight="1">
      <c r="B26" s="4" t="s">
        <v>2</v>
      </c>
      <c r="C26" s="5" t="s">
        <v>3</v>
      </c>
      <c r="D26" s="5" t="s">
        <v>4</v>
      </c>
      <c r="E26" s="5" t="s">
        <v>5</v>
      </c>
      <c r="F26" s="5" t="s">
        <v>6</v>
      </c>
      <c r="G26" s="5" t="s">
        <v>7</v>
      </c>
    </row>
    <row r="27" ht="15.75" customHeight="1">
      <c r="B27" s="6"/>
      <c r="C27" s="6"/>
      <c r="D27" s="6"/>
      <c r="E27" s="6"/>
      <c r="F27" s="6"/>
      <c r="G27" s="6"/>
    </row>
    <row r="28" ht="15.75" customHeight="1">
      <c r="B28" s="8" t="s">
        <v>30</v>
      </c>
      <c r="C28" s="41">
        <f>26*(C6/50)</f>
        <v>31.2</v>
      </c>
      <c r="D28" s="42" t="s">
        <v>9</v>
      </c>
      <c r="E28" s="42"/>
      <c r="F28" s="42"/>
      <c r="G28" s="42"/>
    </row>
    <row r="29" ht="15.75" customHeight="1">
      <c r="B29" s="15" t="s">
        <v>31</v>
      </c>
      <c r="C29" s="43">
        <f>0.50709219858156*(C6/50)</f>
        <v>0.6085106383</v>
      </c>
      <c r="D29" s="17" t="s">
        <v>9</v>
      </c>
      <c r="E29" s="17"/>
      <c r="F29" s="17"/>
      <c r="G29" s="17"/>
    </row>
    <row r="30" ht="15.75" customHeight="1">
      <c r="B30" s="21" t="s">
        <v>32</v>
      </c>
      <c r="C30" s="43">
        <f>2.98794326241135*(C6/50)</f>
        <v>3.585531915</v>
      </c>
      <c r="D30" s="17" t="s">
        <v>9</v>
      </c>
      <c r="E30" s="17"/>
      <c r="F30" s="17"/>
      <c r="G30" s="17"/>
    </row>
    <row r="31" ht="15.75" customHeight="1">
      <c r="B31" s="15" t="s">
        <v>33</v>
      </c>
      <c r="C31" s="43">
        <f>39.1748226950355*(C6/50)</f>
        <v>47.00978723</v>
      </c>
      <c r="D31" s="17" t="s">
        <v>34</v>
      </c>
      <c r="E31" s="17"/>
      <c r="F31" s="17"/>
      <c r="G31" s="17"/>
    </row>
    <row r="32" ht="15.75" customHeight="1">
      <c r="B32" s="15" t="s">
        <v>13</v>
      </c>
      <c r="C32" s="43">
        <f>0.726702127659575*(C6/50)</f>
        <v>0.8720425532</v>
      </c>
      <c r="D32" s="24" t="s">
        <v>9</v>
      </c>
      <c r="E32" s="24"/>
      <c r="F32" s="24"/>
      <c r="G32" s="24"/>
    </row>
    <row r="33" ht="15.75" customHeight="1"/>
    <row r="34" ht="15.75" customHeight="1">
      <c r="B34" s="2"/>
      <c r="C34" s="3" t="s">
        <v>35</v>
      </c>
      <c r="D34" s="2"/>
    </row>
    <row r="35" ht="15.75" customHeight="1">
      <c r="B35" s="44" t="s">
        <v>36</v>
      </c>
      <c r="D35" s="45"/>
    </row>
    <row r="36" ht="15.75" customHeight="1">
      <c r="B36" s="46"/>
      <c r="C36" s="47"/>
      <c r="D36" s="47"/>
    </row>
    <row r="37" ht="15.75" customHeight="1">
      <c r="B37" s="48" t="s">
        <v>2</v>
      </c>
      <c r="C37" s="49" t="s">
        <v>3</v>
      </c>
      <c r="D37" s="49" t="s">
        <v>4</v>
      </c>
    </row>
    <row r="38" ht="15.75" customHeight="1">
      <c r="B38" s="50"/>
      <c r="C38" s="51"/>
      <c r="D38" s="51"/>
    </row>
    <row r="39" ht="15.75" customHeight="1">
      <c r="B39" s="52" t="s">
        <v>36</v>
      </c>
      <c r="C39" s="53">
        <f>6*(C6/25)</f>
        <v>14.4</v>
      </c>
      <c r="D39" s="54" t="s">
        <v>9</v>
      </c>
    </row>
    <row r="40" ht="15.75" customHeight="1"/>
    <row r="41" ht="15.75" customHeight="1"/>
    <row r="42" ht="15.75" customHeight="1"/>
    <row r="43" ht="15.75" customHeight="1">
      <c r="B43" s="38" t="s">
        <v>37</v>
      </c>
      <c r="C43" s="38"/>
    </row>
    <row r="44" ht="15.75" customHeight="1">
      <c r="B44" s="55" t="s">
        <v>38</v>
      </c>
      <c r="C44" s="55">
        <v>20.0</v>
      </c>
    </row>
    <row r="45" ht="15.75" customHeight="1">
      <c r="B45" s="39" t="s">
        <v>23</v>
      </c>
      <c r="C45" s="55">
        <v>100.0</v>
      </c>
    </row>
    <row r="46" ht="15.75" customHeight="1">
      <c r="B46" s="39" t="s">
        <v>39</v>
      </c>
      <c r="C46" s="55">
        <v>160.0</v>
      </c>
    </row>
    <row r="47" ht="15.75" customHeight="1">
      <c r="B47" s="39" t="s">
        <v>30</v>
      </c>
      <c r="C47" s="55">
        <v>305.0</v>
      </c>
    </row>
    <row r="48" ht="15.75" customHeight="1">
      <c r="B48" s="39" t="s">
        <v>40</v>
      </c>
      <c r="C48" s="55">
        <v>335.0</v>
      </c>
    </row>
    <row r="49" ht="15.75" customHeight="1">
      <c r="B49" s="39" t="s">
        <v>24</v>
      </c>
      <c r="C49" s="55">
        <v>390.0</v>
      </c>
    </row>
    <row r="50" ht="15.75" customHeight="1">
      <c r="B50" s="39" t="s">
        <v>21</v>
      </c>
      <c r="C50" s="55">
        <v>420.0</v>
      </c>
    </row>
    <row r="51" ht="15.75" customHeight="1"/>
    <row r="52" ht="15.75" customHeight="1"/>
    <row r="53" ht="15.75" customHeight="1">
      <c r="B53" s="56" t="s">
        <v>41</v>
      </c>
      <c r="C53" s="57" t="s">
        <v>42</v>
      </c>
      <c r="D53" s="58" t="s">
        <v>43</v>
      </c>
      <c r="E53" s="11"/>
      <c r="F53" s="11"/>
      <c r="G53" s="11"/>
    </row>
    <row r="54" ht="15.75" customHeight="1">
      <c r="B54" s="59" t="s">
        <v>44</v>
      </c>
      <c r="C54" s="60">
        <f>190*(C6/25)</f>
        <v>456</v>
      </c>
      <c r="D54" s="61"/>
    </row>
    <row r="55" ht="15.75" customHeight="1"/>
    <row r="56" ht="15.75" customHeight="1"/>
    <row r="57" ht="15.75" customHeight="1">
      <c r="D57" s="62" t="s">
        <v>45</v>
      </c>
      <c r="E57" s="63"/>
      <c r="F57" s="63"/>
      <c r="G57" s="64"/>
    </row>
    <row r="58" ht="15.75" customHeight="1">
      <c r="D58" s="65" t="s">
        <v>46</v>
      </c>
      <c r="E58" s="66"/>
      <c r="F58" s="66"/>
      <c r="G58" s="67"/>
    </row>
    <row r="59" ht="15.75" customHeight="1">
      <c r="D59" s="65" t="s">
        <v>47</v>
      </c>
      <c r="E59" s="66"/>
      <c r="F59" s="66"/>
      <c r="G59" s="67"/>
    </row>
    <row r="60" ht="15.75" customHeight="1">
      <c r="D60" s="65" t="s">
        <v>48</v>
      </c>
      <c r="E60" s="66"/>
      <c r="F60" s="66"/>
      <c r="G60" s="67"/>
    </row>
    <row r="61" ht="15.75" customHeight="1">
      <c r="D61" s="68" t="s">
        <v>49</v>
      </c>
      <c r="E61" s="69"/>
      <c r="F61" s="69"/>
      <c r="G61" s="70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26:C27"/>
    <mergeCell ref="D26:D27"/>
    <mergeCell ref="E26:E27"/>
    <mergeCell ref="F26:F27"/>
    <mergeCell ref="B4:B5"/>
    <mergeCell ref="C4:C5"/>
    <mergeCell ref="D4:D5"/>
    <mergeCell ref="E4:E5"/>
    <mergeCell ref="F4:F5"/>
    <mergeCell ref="G4:G5"/>
    <mergeCell ref="B26:B27"/>
    <mergeCell ref="G26:G2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57"/>
    <col customWidth="1" min="3" max="3" width="11.57"/>
    <col customWidth="1" min="4" max="4" width="9.57"/>
    <col customWidth="1" min="5" max="5" width="10.86"/>
    <col customWidth="1" min="6" max="6" width="8.71"/>
    <col customWidth="1" min="7" max="7" width="23.71"/>
    <col customWidth="1" min="8" max="8" width="16.43"/>
    <col customWidth="1" min="9" max="26" width="8.71"/>
  </cols>
  <sheetData>
    <row r="4">
      <c r="B4" s="1" t="s">
        <v>155</v>
      </c>
      <c r="C4" s="1"/>
      <c r="D4" s="1"/>
      <c r="E4" s="1"/>
      <c r="F4" s="1"/>
      <c r="G4" s="1"/>
    </row>
    <row r="5">
      <c r="B5" s="1"/>
      <c r="C5" s="1"/>
      <c r="D5" s="1"/>
      <c r="E5" s="1"/>
      <c r="F5" s="1"/>
      <c r="G5" s="127" t="s">
        <v>156</v>
      </c>
    </row>
    <row r="6">
      <c r="B6" s="2"/>
      <c r="C6" s="47"/>
      <c r="D6" s="47"/>
      <c r="E6" s="47"/>
      <c r="F6" s="47"/>
      <c r="G6" s="175"/>
    </row>
    <row r="7">
      <c r="B7" s="4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</row>
    <row r="8">
      <c r="B8" s="6"/>
      <c r="C8" s="6"/>
      <c r="D8" s="6"/>
      <c r="E8" s="6"/>
      <c r="F8" s="6"/>
      <c r="G8" s="6"/>
    </row>
    <row r="9">
      <c r="B9" s="8" t="s">
        <v>145</v>
      </c>
      <c r="C9" s="97">
        <v>81.0</v>
      </c>
      <c r="D9" s="10" t="s">
        <v>9</v>
      </c>
      <c r="E9" s="97">
        <f>C9*0.055</f>
        <v>4.455</v>
      </c>
      <c r="F9" s="97"/>
      <c r="G9" s="10"/>
    </row>
    <row r="10">
      <c r="B10" s="15" t="s">
        <v>54</v>
      </c>
      <c r="C10" s="192">
        <f>8*(C9/3.4)</f>
        <v>190.5882353</v>
      </c>
      <c r="D10" s="17" t="s">
        <v>4</v>
      </c>
      <c r="E10" s="179"/>
      <c r="F10" s="179"/>
      <c r="G10" s="17"/>
    </row>
    <row r="11">
      <c r="B11" s="15" t="s">
        <v>56</v>
      </c>
      <c r="C11" s="92">
        <f>22*(C9/81)</f>
        <v>22</v>
      </c>
      <c r="D11" s="17" t="s">
        <v>9</v>
      </c>
      <c r="E11" s="179"/>
      <c r="F11" s="179"/>
      <c r="G11" s="17"/>
    </row>
    <row r="12">
      <c r="B12" s="15" t="s">
        <v>55</v>
      </c>
      <c r="C12" s="92">
        <f>13*(C9/81)</f>
        <v>13</v>
      </c>
      <c r="D12" s="17" t="s">
        <v>9</v>
      </c>
      <c r="E12" s="179"/>
      <c r="F12" s="179"/>
      <c r="G12" s="17"/>
    </row>
    <row r="13">
      <c r="B13" s="15" t="s">
        <v>157</v>
      </c>
      <c r="C13" s="92">
        <f>0.3*(C9/81)</f>
        <v>0.3</v>
      </c>
      <c r="D13" s="17"/>
      <c r="E13" s="179"/>
      <c r="F13" s="179"/>
      <c r="G13" s="17"/>
    </row>
    <row r="14">
      <c r="B14" s="15" t="s">
        <v>13</v>
      </c>
      <c r="C14" s="92">
        <f>1.053*(C9/81)</f>
        <v>1.053</v>
      </c>
      <c r="D14" s="17"/>
      <c r="E14" s="179"/>
      <c r="F14" s="179"/>
      <c r="G14" s="17"/>
    </row>
    <row r="15">
      <c r="B15" s="15" t="s">
        <v>76</v>
      </c>
      <c r="C15" s="92">
        <f>0.405*(C9/81)</f>
        <v>0.405</v>
      </c>
      <c r="D15" s="17"/>
      <c r="E15" s="179"/>
      <c r="F15" s="179"/>
      <c r="G15" s="17"/>
    </row>
    <row r="16">
      <c r="B16" s="15" t="s">
        <v>77</v>
      </c>
      <c r="C16" s="98">
        <f>0.405*(C9/81)</f>
        <v>0.405</v>
      </c>
      <c r="D16" s="17" t="s">
        <v>9</v>
      </c>
      <c r="E16" s="98"/>
      <c r="F16" s="98"/>
      <c r="G16" s="17"/>
    </row>
    <row r="17">
      <c r="B17" s="15" t="s">
        <v>32</v>
      </c>
      <c r="C17" s="98">
        <f>0.15*(C9/3.4)</f>
        <v>3.573529412</v>
      </c>
      <c r="D17" s="17" t="s">
        <v>9</v>
      </c>
      <c r="E17" s="98"/>
      <c r="F17" s="98"/>
      <c r="G17" s="17"/>
    </row>
    <row r="18">
      <c r="B18" s="15" t="s">
        <v>20</v>
      </c>
      <c r="C18" s="185">
        <f>135*(C9/81)</f>
        <v>135</v>
      </c>
      <c r="D18" s="146" t="s">
        <v>9</v>
      </c>
      <c r="E18" s="180"/>
      <c r="F18" s="180"/>
      <c r="G18" s="146"/>
    </row>
    <row r="19">
      <c r="B19" s="15" t="s">
        <v>18</v>
      </c>
      <c r="C19" s="185">
        <f>1.5*(C9/3.4)</f>
        <v>35.73529412</v>
      </c>
      <c r="D19" s="146" t="s">
        <v>9</v>
      </c>
      <c r="E19" s="180"/>
      <c r="F19" s="180"/>
      <c r="G19" s="146"/>
    </row>
    <row r="20">
      <c r="C20" s="186"/>
      <c r="D20" s="193"/>
      <c r="E20" s="193"/>
      <c r="F20" s="193"/>
      <c r="G20" s="193"/>
    </row>
    <row r="21" ht="15.75" customHeight="1">
      <c r="C21" s="93"/>
    </row>
    <row r="22" ht="15.75" customHeight="1">
      <c r="C22" s="93"/>
      <c r="E22" s="2"/>
      <c r="F22" s="2"/>
      <c r="G22" s="3" t="s">
        <v>25</v>
      </c>
    </row>
    <row r="23" ht="15.75" customHeight="1">
      <c r="B23" s="40" t="s">
        <v>28</v>
      </c>
      <c r="C23" s="93"/>
      <c r="E23" s="7"/>
      <c r="F23" s="7"/>
      <c r="G23" s="60"/>
    </row>
    <row r="24" ht="15.75" customHeight="1">
      <c r="B24" s="4" t="s">
        <v>2</v>
      </c>
      <c r="C24" s="76" t="s">
        <v>3</v>
      </c>
      <c r="D24" s="5" t="s">
        <v>4</v>
      </c>
      <c r="E24" s="5" t="s">
        <v>5</v>
      </c>
      <c r="F24" s="5" t="s">
        <v>6</v>
      </c>
      <c r="G24" s="5" t="s">
        <v>7</v>
      </c>
    </row>
    <row r="25" ht="15.75" customHeight="1">
      <c r="B25" s="6"/>
      <c r="C25" s="6"/>
      <c r="D25" s="6"/>
      <c r="E25" s="6"/>
      <c r="F25" s="6"/>
      <c r="G25" s="6"/>
    </row>
    <row r="26" ht="15.75" customHeight="1">
      <c r="B26" s="8" t="s">
        <v>30</v>
      </c>
      <c r="C26" s="9">
        <f>63.701352*(C9/81)</f>
        <v>63.701352</v>
      </c>
      <c r="D26" s="42" t="s">
        <v>9</v>
      </c>
      <c r="E26" s="41"/>
      <c r="F26" s="41"/>
      <c r="G26" s="42"/>
    </row>
    <row r="27" ht="15.75" customHeight="1">
      <c r="B27" s="15" t="s">
        <v>31</v>
      </c>
      <c r="C27" s="16">
        <f>1.3310154*(C9/81)</f>
        <v>1.3310154</v>
      </c>
      <c r="D27" s="17" t="s">
        <v>9</v>
      </c>
      <c r="E27" s="43"/>
      <c r="F27" s="43"/>
      <c r="G27" s="17"/>
    </row>
    <row r="28" ht="15.75" customHeight="1">
      <c r="B28" s="21" t="s">
        <v>32</v>
      </c>
      <c r="C28" s="16">
        <f>7.63808760000001*(C9/81)</f>
        <v>7.6380876</v>
      </c>
      <c r="D28" s="17" t="s">
        <v>9</v>
      </c>
      <c r="E28" s="43"/>
      <c r="F28" s="43"/>
      <c r="G28" s="17"/>
    </row>
    <row r="29" ht="15.75" customHeight="1">
      <c r="B29" s="15" t="s">
        <v>33</v>
      </c>
      <c r="C29" s="16">
        <f>101.855754*(C9/81)</f>
        <v>101.855754</v>
      </c>
      <c r="D29" s="17" t="s">
        <v>34</v>
      </c>
      <c r="E29" s="43"/>
      <c r="F29" s="43"/>
      <c r="G29" s="17"/>
    </row>
    <row r="30" ht="15.75" customHeight="1">
      <c r="B30" s="15" t="s">
        <v>13</v>
      </c>
      <c r="C30" s="16">
        <f>1.9662786*(C9/81)</f>
        <v>1.9662786</v>
      </c>
      <c r="D30" s="24" t="s">
        <v>9</v>
      </c>
      <c r="E30" s="43"/>
      <c r="F30" s="43"/>
      <c r="G30" s="24"/>
    </row>
    <row r="31" ht="15.75" customHeight="1">
      <c r="C31" s="93"/>
    </row>
    <row r="32" ht="15.75" customHeight="1">
      <c r="B32" s="2"/>
      <c r="C32" s="93"/>
      <c r="D32" s="2"/>
      <c r="E32" s="2"/>
      <c r="F32" s="2"/>
      <c r="G32" s="2"/>
    </row>
    <row r="33" ht="15.75" customHeight="1">
      <c r="B33" s="44" t="s">
        <v>36</v>
      </c>
      <c r="C33" s="93"/>
      <c r="D33" s="45"/>
      <c r="E33" s="7"/>
      <c r="F33" s="7"/>
      <c r="G33" s="3" t="s">
        <v>158</v>
      </c>
    </row>
    <row r="34" ht="15.75" customHeight="1">
      <c r="B34" s="46"/>
      <c r="C34" s="75"/>
      <c r="D34" s="47"/>
      <c r="E34" s="47"/>
      <c r="F34" s="47"/>
      <c r="G34" s="3"/>
    </row>
    <row r="35" ht="15.75" customHeight="1">
      <c r="B35" s="4" t="s">
        <v>2</v>
      </c>
      <c r="C35" s="76" t="s">
        <v>3</v>
      </c>
      <c r="D35" s="5" t="s">
        <v>4</v>
      </c>
      <c r="E35" s="5" t="s">
        <v>5</v>
      </c>
      <c r="F35" s="5" t="s">
        <v>6</v>
      </c>
      <c r="G35" s="5" t="s">
        <v>7</v>
      </c>
    </row>
    <row r="36" ht="15.75" customHeight="1">
      <c r="B36" s="6"/>
      <c r="C36" s="6"/>
      <c r="D36" s="6"/>
      <c r="E36" s="6"/>
      <c r="F36" s="6"/>
      <c r="G36" s="6"/>
    </row>
    <row r="37" ht="15.75" customHeight="1">
      <c r="B37" s="52" t="s">
        <v>36</v>
      </c>
      <c r="C37" s="139">
        <f>15.5*(C9/40)</f>
        <v>31.3875</v>
      </c>
      <c r="D37" s="54" t="s">
        <v>9</v>
      </c>
      <c r="E37" s="53"/>
      <c r="F37" s="53"/>
      <c r="G37" s="54"/>
    </row>
    <row r="38" ht="15.75" customHeight="1">
      <c r="B38" s="2"/>
      <c r="C38" s="2"/>
      <c r="D38" s="2"/>
      <c r="E38" s="2"/>
      <c r="F38" s="2"/>
    </row>
    <row r="39" ht="15.75" customHeight="1"/>
    <row r="40" ht="15.75" customHeight="1">
      <c r="B40" s="148" t="s">
        <v>100</v>
      </c>
      <c r="C40" s="38" t="s">
        <v>115</v>
      </c>
      <c r="D40" s="38" t="s">
        <v>116</v>
      </c>
      <c r="G40" s="148" t="s">
        <v>100</v>
      </c>
      <c r="H40" s="38" t="s">
        <v>115</v>
      </c>
    </row>
    <row r="41" ht="15.75" customHeight="1">
      <c r="B41" s="149" t="s">
        <v>153</v>
      </c>
      <c r="C41" s="55">
        <v>90.0</v>
      </c>
      <c r="D41" s="55" t="s">
        <v>107</v>
      </c>
      <c r="G41" s="149" t="s">
        <v>38</v>
      </c>
      <c r="H41" s="55">
        <v>20.0</v>
      </c>
    </row>
    <row r="42" ht="15.75" customHeight="1">
      <c r="B42" s="149" t="s">
        <v>24</v>
      </c>
      <c r="C42" s="55">
        <v>115.0</v>
      </c>
      <c r="D42" s="55" t="s">
        <v>107</v>
      </c>
      <c r="G42" s="149" t="s">
        <v>153</v>
      </c>
      <c r="H42" s="55">
        <v>110.0</v>
      </c>
    </row>
    <row r="43" ht="15.75" customHeight="1">
      <c r="B43" s="149" t="s">
        <v>18</v>
      </c>
      <c r="C43" s="55">
        <v>30.0</v>
      </c>
      <c r="D43" s="55" t="s">
        <v>107</v>
      </c>
      <c r="G43" s="149" t="s">
        <v>24</v>
      </c>
      <c r="H43" s="55">
        <v>225.0</v>
      </c>
    </row>
    <row r="44" ht="15.75" customHeight="1">
      <c r="G44" s="149" t="s">
        <v>18</v>
      </c>
      <c r="H44" s="55">
        <v>255.0</v>
      </c>
    </row>
    <row r="45" ht="15.75" customHeight="1">
      <c r="G45" s="149" t="s">
        <v>30</v>
      </c>
      <c r="H45" s="55">
        <v>395.0</v>
      </c>
    </row>
    <row r="46" ht="15.75" customHeight="1">
      <c r="B46" s="151" t="s">
        <v>117</v>
      </c>
      <c r="C46" s="116"/>
      <c r="D46" s="152" t="s">
        <v>42</v>
      </c>
      <c r="E46" s="152" t="s">
        <v>43</v>
      </c>
      <c r="G46" s="149" t="s">
        <v>36</v>
      </c>
      <c r="H46" s="55">
        <v>420.0</v>
      </c>
    </row>
    <row r="47" ht="15.75" customHeight="1">
      <c r="B47" s="153"/>
      <c r="C47" s="154"/>
      <c r="D47" s="60">
        <f>772*(C9/53)</f>
        <v>1179.849057</v>
      </c>
      <c r="E47" s="156"/>
    </row>
    <row r="48" ht="15.75" customHeight="1"/>
    <row r="49" ht="15.75" customHeight="1"/>
    <row r="50" ht="15.75" customHeight="1">
      <c r="B50" s="148" t="s">
        <v>100</v>
      </c>
      <c r="C50" s="38" t="s">
        <v>115</v>
      </c>
      <c r="D50" s="38" t="s">
        <v>116</v>
      </c>
      <c r="F50" s="62" t="s">
        <v>45</v>
      </c>
      <c r="G50" s="63"/>
      <c r="H50" s="64"/>
    </row>
    <row r="51" ht="15.75" customHeight="1">
      <c r="B51" s="149" t="s">
        <v>38</v>
      </c>
      <c r="C51" s="55">
        <v>20.0</v>
      </c>
      <c r="D51" s="55" t="s">
        <v>107</v>
      </c>
      <c r="F51" s="65" t="s">
        <v>46</v>
      </c>
      <c r="G51" s="66"/>
      <c r="H51" s="67"/>
    </row>
    <row r="52" ht="15.75" customHeight="1">
      <c r="B52" s="149" t="s">
        <v>30</v>
      </c>
      <c r="C52" s="55">
        <v>160.0</v>
      </c>
      <c r="D52" s="55" t="s">
        <v>107</v>
      </c>
      <c r="F52" s="65" t="s">
        <v>47</v>
      </c>
      <c r="G52" s="66"/>
      <c r="H52" s="67"/>
    </row>
    <row r="53" ht="15.75" customHeight="1">
      <c r="B53" s="149" t="s">
        <v>153</v>
      </c>
      <c r="C53" s="55">
        <v>250.0</v>
      </c>
      <c r="D53" s="55" t="s">
        <v>107</v>
      </c>
      <c r="F53" s="65" t="s">
        <v>48</v>
      </c>
      <c r="G53" s="66"/>
      <c r="H53" s="67"/>
    </row>
    <row r="54" ht="15.75" customHeight="1">
      <c r="B54" s="149" t="s">
        <v>24</v>
      </c>
      <c r="C54" s="55">
        <v>365.0</v>
      </c>
      <c r="D54" s="55" t="s">
        <v>107</v>
      </c>
      <c r="F54" s="68" t="s">
        <v>49</v>
      </c>
      <c r="G54" s="69"/>
      <c r="H54" s="70"/>
    </row>
    <row r="55" ht="15.75" customHeight="1">
      <c r="B55" s="149" t="s">
        <v>18</v>
      </c>
      <c r="C55" s="55">
        <v>395.0</v>
      </c>
      <c r="D55" s="55" t="s">
        <v>107</v>
      </c>
    </row>
    <row r="56" ht="15.75" customHeight="1">
      <c r="B56" s="149" t="s">
        <v>36</v>
      </c>
      <c r="C56" s="55">
        <v>420.0</v>
      </c>
      <c r="D56" s="55" t="s">
        <v>107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24:C25"/>
    <mergeCell ref="D24:D25"/>
    <mergeCell ref="B35:B36"/>
    <mergeCell ref="C35:C36"/>
    <mergeCell ref="D35:D36"/>
    <mergeCell ref="E35:E36"/>
    <mergeCell ref="F35:F36"/>
    <mergeCell ref="G35:G36"/>
    <mergeCell ref="E24:E25"/>
    <mergeCell ref="F24:F25"/>
    <mergeCell ref="B7:B8"/>
    <mergeCell ref="C7:C8"/>
    <mergeCell ref="D7:D8"/>
    <mergeCell ref="E7:E8"/>
    <mergeCell ref="F7:F8"/>
    <mergeCell ref="G7:G8"/>
    <mergeCell ref="B24:B25"/>
    <mergeCell ref="G24:G2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3" width="11.57"/>
    <col customWidth="1" min="4" max="4" width="8.71"/>
    <col customWidth="1" min="5" max="5" width="12.86"/>
    <col customWidth="1" min="6" max="6" width="8.71"/>
    <col customWidth="1" min="7" max="7" width="9.29"/>
    <col customWidth="1" min="8" max="26" width="8.71"/>
  </cols>
  <sheetData>
    <row r="2">
      <c r="B2" s="1" t="s">
        <v>159</v>
      </c>
      <c r="C2" s="1"/>
      <c r="D2" s="1"/>
      <c r="E2" s="2"/>
      <c r="F2" s="2"/>
      <c r="G2" s="2"/>
    </row>
    <row r="3">
      <c r="B3" s="2"/>
      <c r="C3" s="118" t="s">
        <v>160</v>
      </c>
      <c r="D3" s="47"/>
      <c r="E3" s="2"/>
      <c r="F3" s="2"/>
      <c r="G3" s="2"/>
    </row>
    <row r="4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>
      <c r="B5" s="6"/>
      <c r="C5" s="6"/>
      <c r="D5" s="6"/>
      <c r="E5" s="6"/>
      <c r="F5" s="6"/>
      <c r="G5" s="6"/>
    </row>
    <row r="6">
      <c r="B6" s="8" t="s">
        <v>145</v>
      </c>
      <c r="C6" s="97">
        <v>65.0</v>
      </c>
      <c r="D6" s="10" t="s">
        <v>9</v>
      </c>
      <c r="E6" s="10">
        <f>3*(C6/45)</f>
        <v>4.333333333</v>
      </c>
      <c r="F6" s="10">
        <f>36*(C6/33)</f>
        <v>70.90909091</v>
      </c>
      <c r="G6" s="10"/>
    </row>
    <row r="7">
      <c r="B7" s="15" t="s">
        <v>54</v>
      </c>
      <c r="C7" s="194">
        <f>98*(C6/45)</f>
        <v>141.5555556</v>
      </c>
      <c r="D7" s="17" t="s">
        <v>4</v>
      </c>
      <c r="E7" s="17"/>
      <c r="F7" s="17"/>
      <c r="G7" s="17"/>
    </row>
    <row r="8">
      <c r="B8" s="15" t="s">
        <v>56</v>
      </c>
      <c r="C8" s="194">
        <f>7.1*(C6/45)</f>
        <v>10.25555556</v>
      </c>
      <c r="D8" s="17" t="s">
        <v>9</v>
      </c>
      <c r="E8" s="17"/>
      <c r="F8" s="17"/>
      <c r="G8" s="17"/>
    </row>
    <row r="9">
      <c r="B9" s="15" t="s">
        <v>55</v>
      </c>
      <c r="C9" s="92">
        <f>0.66*(C6/10)</f>
        <v>4.29</v>
      </c>
      <c r="D9" s="17" t="s">
        <v>9</v>
      </c>
      <c r="E9" s="17"/>
      <c r="F9" s="17"/>
      <c r="G9" s="17"/>
    </row>
    <row r="10">
      <c r="B10" s="15" t="s">
        <v>161</v>
      </c>
      <c r="C10" s="98">
        <f>0.035*(C6/3.37)</f>
        <v>0.675074184</v>
      </c>
      <c r="D10" s="17" t="s">
        <v>9</v>
      </c>
      <c r="E10" s="17"/>
      <c r="F10" s="17"/>
      <c r="G10" s="17"/>
    </row>
    <row r="11">
      <c r="B11" s="15" t="s">
        <v>32</v>
      </c>
      <c r="C11" s="98">
        <f>0.18*(C6/3.37)</f>
        <v>3.471810089</v>
      </c>
      <c r="D11" s="17" t="s">
        <v>9</v>
      </c>
      <c r="E11" s="17"/>
      <c r="F11" s="17"/>
      <c r="G11" s="17"/>
    </row>
    <row r="12">
      <c r="B12" s="15" t="s">
        <v>162</v>
      </c>
      <c r="C12" s="98">
        <f>1.60864*(C6/33)</f>
        <v>3.168533333</v>
      </c>
      <c r="D12" s="17" t="s">
        <v>9</v>
      </c>
      <c r="E12" s="17"/>
      <c r="F12" s="17"/>
      <c r="G12" s="17"/>
    </row>
    <row r="13">
      <c r="B13" s="15" t="s">
        <v>18</v>
      </c>
      <c r="C13" s="98">
        <f>2.4112*(C6/33)</f>
        <v>4.749333333</v>
      </c>
      <c r="D13" s="17" t="s">
        <v>9</v>
      </c>
      <c r="E13" s="17"/>
      <c r="F13" s="17"/>
      <c r="G13" s="17"/>
    </row>
    <row r="14">
      <c r="B14" s="15" t="s">
        <v>146</v>
      </c>
      <c r="C14" s="98">
        <f>1.20266666666667*(C6/33)</f>
        <v>2.368888889</v>
      </c>
      <c r="D14" s="17" t="s">
        <v>9</v>
      </c>
      <c r="E14" s="17"/>
      <c r="F14" s="17"/>
      <c r="G14" s="17"/>
    </row>
    <row r="17">
      <c r="B17" s="40" t="s">
        <v>28</v>
      </c>
    </row>
    <row r="18">
      <c r="C18" s="3" t="s">
        <v>65</v>
      </c>
    </row>
    <row r="19">
      <c r="B19" s="8" t="s">
        <v>30</v>
      </c>
      <c r="C19" s="9">
        <f>16.97586*(C6/33)</f>
        <v>33.4373</v>
      </c>
      <c r="D19" s="42" t="s">
        <v>9</v>
      </c>
      <c r="E19" s="42"/>
      <c r="F19" s="42"/>
      <c r="G19" s="42"/>
    </row>
    <row r="20">
      <c r="B20" s="15" t="s">
        <v>31</v>
      </c>
      <c r="C20" s="16">
        <f>0.3399*(C6/33)</f>
        <v>0.6695</v>
      </c>
      <c r="D20" s="17" t="s">
        <v>9</v>
      </c>
      <c r="E20" s="17">
        <f>C20*0.02</f>
        <v>0.01339</v>
      </c>
      <c r="F20" s="17"/>
      <c r="G20" s="17"/>
    </row>
    <row r="21" ht="15.75" customHeight="1">
      <c r="B21" s="15" t="s">
        <v>32</v>
      </c>
      <c r="C21" s="16">
        <f>2.0328*(C6/33)</f>
        <v>4.004</v>
      </c>
      <c r="D21" s="17" t="s">
        <v>9</v>
      </c>
      <c r="E21" s="17"/>
      <c r="F21" s="17"/>
      <c r="G21" s="17"/>
    </row>
    <row r="22" ht="15.75" customHeight="1">
      <c r="B22" s="15" t="s">
        <v>33</v>
      </c>
      <c r="C22" s="16">
        <f>27.158704452*(C6/33)</f>
        <v>53.49441786</v>
      </c>
      <c r="D22" s="17" t="s">
        <v>34</v>
      </c>
      <c r="E22" s="17"/>
      <c r="F22" s="17"/>
      <c r="G22" s="17"/>
    </row>
    <row r="23" ht="15.75" customHeight="1">
      <c r="B23" s="15" t="s">
        <v>13</v>
      </c>
      <c r="C23" s="16">
        <f>0.5214*(C6/33)</f>
        <v>1.027</v>
      </c>
      <c r="D23" s="24" t="s">
        <v>9</v>
      </c>
      <c r="E23" s="24"/>
      <c r="F23" s="24"/>
      <c r="G23" s="24"/>
    </row>
    <row r="24" ht="15.75" customHeight="1"/>
    <row r="25" ht="15.75" customHeight="1">
      <c r="B25" s="1" t="s">
        <v>163</v>
      </c>
      <c r="D25" s="45"/>
      <c r="E25" s="45"/>
      <c r="F25" s="45"/>
      <c r="G25" s="45"/>
    </row>
    <row r="26" ht="15.75" customHeight="1">
      <c r="B26" s="46"/>
      <c r="C26" s="3" t="s">
        <v>96</v>
      </c>
      <c r="D26" s="47"/>
      <c r="E26" s="47"/>
      <c r="F26" s="47"/>
      <c r="G26" s="47"/>
    </row>
    <row r="27" ht="15.75" customHeight="1">
      <c r="B27" s="195" t="s">
        <v>2</v>
      </c>
      <c r="C27" s="24" t="s">
        <v>3</v>
      </c>
      <c r="D27" s="24" t="s">
        <v>4</v>
      </c>
      <c r="E27" s="24"/>
      <c r="F27" s="24"/>
      <c r="G27" s="24"/>
    </row>
    <row r="28" ht="15.75" customHeight="1">
      <c r="B28" s="15" t="s">
        <v>164</v>
      </c>
      <c r="C28" s="92">
        <f>2.82366071428572*(C6/50)</f>
        <v>3.670758929</v>
      </c>
      <c r="D28" s="179" t="s">
        <v>165</v>
      </c>
      <c r="E28" s="92">
        <f>C28*0.2</f>
        <v>0.7341517857</v>
      </c>
      <c r="F28" s="179"/>
      <c r="G28" s="179"/>
    </row>
    <row r="29" ht="15.75" customHeight="1">
      <c r="B29" s="15" t="s">
        <v>69</v>
      </c>
      <c r="C29" s="16">
        <f>1.42410714285714*(C6/50)</f>
        <v>1.851339286</v>
      </c>
      <c r="D29" s="179" t="s">
        <v>165</v>
      </c>
      <c r="E29" s="179"/>
      <c r="F29" s="179"/>
      <c r="G29" s="179"/>
    </row>
    <row r="30" ht="15.75" customHeight="1">
      <c r="B30" s="15" t="s">
        <v>55</v>
      </c>
      <c r="C30" s="16">
        <f>3.5*(C6/50)</f>
        <v>4.55</v>
      </c>
      <c r="D30" s="179" t="s">
        <v>165</v>
      </c>
      <c r="E30" s="179"/>
      <c r="F30" s="179"/>
      <c r="G30" s="179"/>
    </row>
    <row r="31" ht="15.75" customHeight="1">
      <c r="B31" s="196" t="s">
        <v>166</v>
      </c>
      <c r="C31" s="139">
        <f>38.5*(C6/50)</f>
        <v>50.05</v>
      </c>
      <c r="D31" s="197" t="s">
        <v>165</v>
      </c>
      <c r="E31" s="197"/>
      <c r="F31" s="197"/>
      <c r="G31" s="197"/>
    </row>
    <row r="32" ht="15.75" customHeight="1">
      <c r="B32" s="196" t="s">
        <v>167</v>
      </c>
      <c r="C32" s="139">
        <f>12.2767857142857*(C6/50)</f>
        <v>15.95982143</v>
      </c>
      <c r="D32" s="197" t="s">
        <v>9</v>
      </c>
      <c r="E32" s="197"/>
      <c r="F32" s="197"/>
      <c r="G32" s="197"/>
    </row>
    <row r="33" ht="15.75" customHeight="1">
      <c r="B33" s="196" t="s">
        <v>168</v>
      </c>
      <c r="C33" s="139">
        <f>14.7321428571429*(C6/50)</f>
        <v>19.15178571</v>
      </c>
      <c r="D33" s="197" t="s">
        <v>9</v>
      </c>
      <c r="E33" s="197"/>
      <c r="F33" s="197"/>
      <c r="G33" s="197"/>
    </row>
    <row r="34" ht="15.75" customHeight="1">
      <c r="B34" s="15" t="s">
        <v>169</v>
      </c>
      <c r="C34" s="139">
        <f>0.595833333333333*(C6/50)</f>
        <v>0.7745833333</v>
      </c>
      <c r="D34" s="197" t="s">
        <v>9</v>
      </c>
      <c r="E34" s="197"/>
      <c r="F34" s="197"/>
      <c r="G34" s="197"/>
    </row>
    <row r="35" ht="15.75" customHeight="1"/>
    <row r="36" ht="15.75" customHeight="1"/>
    <row r="37" ht="15.75" customHeight="1">
      <c r="B37" s="148" t="s">
        <v>100</v>
      </c>
      <c r="C37" s="38" t="s">
        <v>115</v>
      </c>
      <c r="D37" s="38" t="s">
        <v>116</v>
      </c>
    </row>
    <row r="38" ht="15.75" customHeight="1">
      <c r="B38" s="149" t="s">
        <v>38</v>
      </c>
      <c r="C38" s="55">
        <v>20.0</v>
      </c>
      <c r="D38" s="55" t="s">
        <v>107</v>
      </c>
    </row>
    <row r="39" ht="15.75" customHeight="1">
      <c r="B39" s="149" t="s">
        <v>153</v>
      </c>
      <c r="C39" s="55">
        <v>150.0</v>
      </c>
      <c r="D39" s="55" t="s">
        <v>107</v>
      </c>
    </row>
    <row r="40" ht="15.75" customHeight="1">
      <c r="B40" s="149" t="s">
        <v>30</v>
      </c>
      <c r="C40" s="55">
        <v>300.0</v>
      </c>
      <c r="D40" s="55" t="s">
        <v>107</v>
      </c>
    </row>
    <row r="41" ht="15.75" customHeight="1">
      <c r="B41" s="149" t="s">
        <v>170</v>
      </c>
      <c r="C41" s="55">
        <v>420.0</v>
      </c>
      <c r="D41" s="55" t="s">
        <v>107</v>
      </c>
    </row>
    <row r="42" ht="15.75" customHeight="1"/>
    <row r="43" ht="15.75" customHeight="1"/>
    <row r="44" ht="15.75" customHeight="1">
      <c r="B44" s="151" t="s">
        <v>117</v>
      </c>
      <c r="C44" s="116"/>
      <c r="D44" s="152" t="s">
        <v>42</v>
      </c>
      <c r="E44" s="152" t="s">
        <v>43</v>
      </c>
    </row>
    <row r="45" ht="15.75" customHeight="1">
      <c r="B45" s="153"/>
      <c r="C45" s="154"/>
      <c r="D45" s="119">
        <f>469*(C6/50)</f>
        <v>609.7</v>
      </c>
      <c r="E45" s="156"/>
    </row>
    <row r="46" ht="15.75" customHeight="1"/>
    <row r="47" ht="15.75" customHeight="1"/>
    <row r="48" ht="15.75" customHeight="1">
      <c r="D48" s="62" t="s">
        <v>45</v>
      </c>
      <c r="E48" s="63"/>
      <c r="F48" s="63"/>
      <c r="G48" s="157"/>
    </row>
    <row r="49" ht="15.75" customHeight="1">
      <c r="D49" s="65" t="s">
        <v>46</v>
      </c>
      <c r="E49" s="66"/>
      <c r="F49" s="66"/>
      <c r="G49" s="158"/>
    </row>
    <row r="50" ht="15.75" customHeight="1">
      <c r="D50" s="65" t="s">
        <v>47</v>
      </c>
      <c r="E50" s="66"/>
      <c r="F50" s="66"/>
      <c r="G50" s="158"/>
    </row>
    <row r="51" ht="15.75" customHeight="1">
      <c r="D51" s="65" t="s">
        <v>48</v>
      </c>
      <c r="E51" s="66"/>
      <c r="F51" s="66"/>
      <c r="G51" s="158"/>
    </row>
    <row r="52" ht="15.75" customHeight="1">
      <c r="D52" s="68" t="s">
        <v>49</v>
      </c>
      <c r="E52" s="69"/>
      <c r="F52" s="69"/>
      <c r="G52" s="159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4:B5"/>
    <mergeCell ref="C4:C5"/>
    <mergeCell ref="D4:D5"/>
    <mergeCell ref="E4:E5"/>
    <mergeCell ref="F4:F5"/>
    <mergeCell ref="G4:G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57"/>
    <col customWidth="1" min="3" max="4" width="13.14"/>
    <col customWidth="1" min="5" max="5" width="12.86"/>
    <col customWidth="1" min="6" max="6" width="11.71"/>
    <col customWidth="1" hidden="1" min="7" max="7" width="14.29"/>
    <col customWidth="1" min="8" max="26" width="8.71"/>
  </cols>
  <sheetData>
    <row r="2">
      <c r="B2" s="1" t="s">
        <v>171</v>
      </c>
      <c r="C2" s="1"/>
      <c r="D2" s="1"/>
      <c r="E2" s="2"/>
      <c r="G2" s="2"/>
    </row>
    <row r="3">
      <c r="B3" s="1"/>
      <c r="C3" s="1"/>
      <c r="D3" s="1"/>
      <c r="F3" s="118" t="s">
        <v>160</v>
      </c>
      <c r="G3" s="118" t="s">
        <v>160</v>
      </c>
    </row>
    <row r="4">
      <c r="B4" s="2"/>
      <c r="C4" s="47"/>
      <c r="D4" s="47"/>
      <c r="E4" s="2"/>
      <c r="F4" s="2"/>
      <c r="G4" s="2"/>
    </row>
    <row r="5"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</row>
    <row r="6" ht="23.25" customHeight="1">
      <c r="B6" s="6"/>
      <c r="C6" s="6"/>
      <c r="D6" s="6"/>
      <c r="E6" s="6"/>
      <c r="F6" s="6"/>
      <c r="G6" s="6"/>
    </row>
    <row r="7">
      <c r="B7" s="8" t="s">
        <v>145</v>
      </c>
      <c r="C7" s="97">
        <v>53.0</v>
      </c>
      <c r="D7" s="10" t="s">
        <v>9</v>
      </c>
      <c r="E7" s="10"/>
      <c r="F7" s="10">
        <f>C7*1.05</f>
        <v>55.65</v>
      </c>
      <c r="G7" s="10" t="s">
        <v>9</v>
      </c>
    </row>
    <row r="8" ht="15.0" customHeight="1">
      <c r="B8" s="15" t="s">
        <v>54</v>
      </c>
      <c r="C8" s="192">
        <f>22.2*(C7/10)</f>
        <v>117.66</v>
      </c>
      <c r="D8" s="17" t="s">
        <v>4</v>
      </c>
      <c r="E8" s="17"/>
      <c r="F8" s="17"/>
      <c r="G8" s="17" t="s">
        <v>4</v>
      </c>
    </row>
    <row r="9" ht="16.5" customHeight="1">
      <c r="B9" s="15" t="s">
        <v>56</v>
      </c>
      <c r="C9" s="179">
        <f>1.5*(C7/10)</f>
        <v>7.95</v>
      </c>
      <c r="D9" s="17" t="s">
        <v>9</v>
      </c>
      <c r="E9" s="17"/>
      <c r="F9" s="17"/>
      <c r="G9" s="17" t="s">
        <v>9</v>
      </c>
    </row>
    <row r="10" ht="16.5" customHeight="1">
      <c r="B10" s="15" t="s">
        <v>172</v>
      </c>
      <c r="C10" s="98">
        <f>0.002*(C7/3.37)</f>
        <v>0.03145400593</v>
      </c>
      <c r="D10" s="17" t="s">
        <v>9</v>
      </c>
      <c r="E10" s="17"/>
      <c r="F10" s="17"/>
      <c r="G10" s="17"/>
    </row>
    <row r="11" ht="18.0" customHeight="1">
      <c r="B11" s="15" t="s">
        <v>55</v>
      </c>
      <c r="C11" s="179">
        <f>0.5*(C7/10)</f>
        <v>2.65</v>
      </c>
      <c r="D11" s="17" t="s">
        <v>9</v>
      </c>
      <c r="E11" s="17"/>
      <c r="F11" s="17"/>
      <c r="G11" s="17" t="s">
        <v>9</v>
      </c>
    </row>
    <row r="12" ht="17.25" customHeight="1">
      <c r="B12" s="15" t="s">
        <v>161</v>
      </c>
      <c r="C12" s="98">
        <f>0.04*(C7/3.37)</f>
        <v>0.6290801187</v>
      </c>
      <c r="D12" s="17" t="s">
        <v>9</v>
      </c>
      <c r="E12" s="17"/>
      <c r="F12" s="17"/>
      <c r="G12" s="17" t="s">
        <v>9</v>
      </c>
    </row>
    <row r="13" ht="17.25" customHeight="1">
      <c r="B13" s="15" t="s">
        <v>77</v>
      </c>
      <c r="C13" s="98">
        <f>0.015*(C7/3.37)</f>
        <v>0.2359050445</v>
      </c>
      <c r="D13" s="17" t="s">
        <v>9</v>
      </c>
      <c r="E13" s="17"/>
      <c r="F13" s="17"/>
      <c r="G13" s="17"/>
    </row>
    <row r="14" ht="17.25" customHeight="1">
      <c r="B14" s="15" t="s">
        <v>76</v>
      </c>
      <c r="C14" s="98">
        <f>0.015*(C7/3.37)</f>
        <v>0.2359050445</v>
      </c>
      <c r="D14" s="17" t="s">
        <v>9</v>
      </c>
      <c r="E14" s="17"/>
      <c r="F14" s="17"/>
      <c r="G14" s="17"/>
    </row>
    <row r="15">
      <c r="B15" s="15" t="s">
        <v>32</v>
      </c>
      <c r="C15" s="98">
        <f>0.7*(C7/3.37)</f>
        <v>11.00890208</v>
      </c>
      <c r="D15" s="17" t="s">
        <v>9</v>
      </c>
      <c r="E15" s="17"/>
      <c r="F15" s="17"/>
      <c r="G15" s="17" t="s">
        <v>9</v>
      </c>
    </row>
    <row r="17">
      <c r="B17" s="40" t="s">
        <v>28</v>
      </c>
      <c r="F17" s="3" t="s">
        <v>65</v>
      </c>
    </row>
    <row r="18">
      <c r="G18" s="3" t="s">
        <v>65</v>
      </c>
    </row>
    <row r="19">
      <c r="B19" s="4" t="s">
        <v>2</v>
      </c>
      <c r="C19" s="5" t="s">
        <v>3</v>
      </c>
      <c r="D19" s="5" t="s">
        <v>4</v>
      </c>
      <c r="E19" s="5" t="s">
        <v>5</v>
      </c>
      <c r="F19" s="5" t="s">
        <v>6</v>
      </c>
    </row>
    <row r="20">
      <c r="B20" s="167"/>
      <c r="C20" s="164"/>
      <c r="D20" s="164"/>
      <c r="E20" s="6"/>
      <c r="F20" s="6"/>
    </row>
    <row r="21" ht="15.75" customHeight="1">
      <c r="B21" s="21" t="s">
        <v>30</v>
      </c>
      <c r="C21" s="94">
        <f>44.4628841728856*(C7/65)</f>
        <v>36.25435171</v>
      </c>
      <c r="D21" s="24" t="s">
        <v>9</v>
      </c>
      <c r="E21" s="24"/>
      <c r="F21" s="24"/>
      <c r="G21" s="24" t="s">
        <v>9</v>
      </c>
    </row>
    <row r="22" ht="15.75" customHeight="1">
      <c r="B22" s="15" t="s">
        <v>31</v>
      </c>
      <c r="C22" s="16">
        <f>0.891744620646765*(C7/65)</f>
        <v>0.7271148445</v>
      </c>
      <c r="D22" s="17" t="s">
        <v>9</v>
      </c>
      <c r="E22" s="24"/>
      <c r="F22" s="17"/>
      <c r="G22" s="17" t="s">
        <v>9</v>
      </c>
    </row>
    <row r="23" ht="15.75" customHeight="1">
      <c r="B23" s="15" t="s">
        <v>32</v>
      </c>
      <c r="C23" s="16">
        <f>5.32915111940299*(C7/65)</f>
        <v>4.345307836</v>
      </c>
      <c r="D23" s="17" t="s">
        <v>9</v>
      </c>
      <c r="E23" s="24"/>
      <c r="F23" s="17"/>
      <c r="G23" s="17" t="s">
        <v>9</v>
      </c>
    </row>
    <row r="24" ht="15.75" customHeight="1">
      <c r="B24" s="15" t="s">
        <v>33</v>
      </c>
      <c r="C24" s="16">
        <f>71.1264036069652*(C7/65)</f>
        <v>57.99537525</v>
      </c>
      <c r="D24" s="17" t="s">
        <v>34</v>
      </c>
      <c r="E24" s="24"/>
      <c r="F24" s="17"/>
      <c r="G24" s="17" t="s">
        <v>34</v>
      </c>
    </row>
    <row r="25" ht="15.75" customHeight="1">
      <c r="B25" s="15" t="s">
        <v>13</v>
      </c>
      <c r="C25" s="16">
        <f>1.3678154539801*(C7/65)</f>
        <v>1.115295678</v>
      </c>
      <c r="D25" s="24" t="s">
        <v>9</v>
      </c>
      <c r="E25" s="24"/>
      <c r="F25" s="24"/>
      <c r="G25" s="24" t="s">
        <v>9</v>
      </c>
    </row>
    <row r="26" ht="15.75" customHeight="1"/>
    <row r="27" ht="15.75" customHeight="1">
      <c r="B27" s="1" t="s">
        <v>173</v>
      </c>
      <c r="C27" s="1"/>
      <c r="D27" s="45"/>
      <c r="F27" s="3" t="s">
        <v>25</v>
      </c>
      <c r="G27" s="3" t="s">
        <v>25</v>
      </c>
    </row>
    <row r="28" ht="15.75" customHeight="1">
      <c r="B28" s="46"/>
      <c r="C28" s="47"/>
      <c r="D28" s="47"/>
      <c r="E28" s="47"/>
      <c r="F28" s="47"/>
      <c r="G28" s="47"/>
    </row>
    <row r="29" ht="15.75" customHeight="1">
      <c r="B29" s="4" t="s">
        <v>2</v>
      </c>
      <c r="C29" s="5" t="s">
        <v>3</v>
      </c>
      <c r="D29" s="5" t="s">
        <v>4</v>
      </c>
      <c r="E29" s="5" t="s">
        <v>5</v>
      </c>
      <c r="F29" s="5" t="s">
        <v>6</v>
      </c>
      <c r="G29" s="5" t="s">
        <v>4</v>
      </c>
    </row>
    <row r="30" ht="15.75" customHeight="1">
      <c r="B30" s="167"/>
      <c r="C30" s="164"/>
      <c r="D30" s="164"/>
      <c r="E30" s="6"/>
      <c r="F30" s="6"/>
      <c r="G30" s="164"/>
    </row>
    <row r="31" ht="15.75" customHeight="1">
      <c r="B31" s="15" t="s">
        <v>164</v>
      </c>
      <c r="C31" s="92">
        <f>4.060602*(C7/65)</f>
        <v>3.3109524</v>
      </c>
      <c r="D31" s="179" t="s">
        <v>165</v>
      </c>
      <c r="E31" s="179">
        <f>2.2*(C7/108)</f>
        <v>1.07962963</v>
      </c>
      <c r="F31" s="179"/>
      <c r="G31" s="179" t="s">
        <v>165</v>
      </c>
    </row>
    <row r="32" ht="15.75" customHeight="1">
      <c r="B32" s="15" t="s">
        <v>174</v>
      </c>
      <c r="C32" s="16">
        <f>2.0090889*(C7/65)</f>
        <v>1.63818018</v>
      </c>
      <c r="D32" s="179" t="s">
        <v>165</v>
      </c>
      <c r="E32" s="179"/>
      <c r="F32" s="179"/>
      <c r="G32" s="179" t="s">
        <v>165</v>
      </c>
    </row>
    <row r="33" ht="15.75" customHeight="1">
      <c r="B33" s="15" t="s">
        <v>175</v>
      </c>
      <c r="C33" s="16">
        <f>7.65900000000001*(C7/65)</f>
        <v>6.245030769</v>
      </c>
      <c r="D33" s="179" t="s">
        <v>165</v>
      </c>
      <c r="E33" s="179"/>
      <c r="F33" s="179"/>
      <c r="G33" s="179" t="s">
        <v>165</v>
      </c>
    </row>
    <row r="34" ht="15.75" customHeight="1">
      <c r="B34" s="52" t="s">
        <v>176</v>
      </c>
      <c r="C34" s="139">
        <f>55.4486111111111*(C7/65)</f>
        <v>45.21194444</v>
      </c>
      <c r="D34" s="197" t="s">
        <v>165</v>
      </c>
      <c r="E34" s="197"/>
      <c r="F34" s="179"/>
      <c r="G34" s="197" t="s">
        <v>165</v>
      </c>
    </row>
    <row r="35" ht="15.75" customHeight="1">
      <c r="B35" s="52" t="s">
        <v>177</v>
      </c>
      <c r="C35" s="139">
        <f>6.0125*(C7/65)</f>
        <v>4.9025</v>
      </c>
      <c r="D35" s="197" t="s">
        <v>9</v>
      </c>
      <c r="E35" s="197"/>
      <c r="F35" s="179"/>
      <c r="G35" s="197" t="s">
        <v>9</v>
      </c>
    </row>
    <row r="36" ht="15.75" customHeight="1">
      <c r="B36" s="52" t="s">
        <v>178</v>
      </c>
      <c r="C36" s="139">
        <f>16.36362*(C7/65)</f>
        <v>13.342644</v>
      </c>
      <c r="D36" s="197" t="s">
        <v>9</v>
      </c>
      <c r="E36" s="197"/>
      <c r="F36" s="179"/>
      <c r="G36" s="197" t="s">
        <v>9</v>
      </c>
    </row>
    <row r="37" ht="15.75" customHeight="1">
      <c r="B37" s="52" t="s">
        <v>168</v>
      </c>
      <c r="C37" s="139">
        <f>22.0458333333333*(C7/65)</f>
        <v>17.97583333</v>
      </c>
      <c r="D37" s="197" t="s">
        <v>9</v>
      </c>
      <c r="E37" s="197"/>
      <c r="F37" s="179"/>
      <c r="G37" s="197" t="s">
        <v>9</v>
      </c>
    </row>
    <row r="38" ht="15.75" customHeight="1">
      <c r="B38" s="15" t="s">
        <v>169</v>
      </c>
      <c r="C38" s="16">
        <f>0.400833333333333*(C7/65)</f>
        <v>0.3268333333</v>
      </c>
      <c r="D38" s="179" t="s">
        <v>165</v>
      </c>
      <c r="E38" s="179"/>
      <c r="F38" s="179"/>
      <c r="G38" s="179" t="s">
        <v>165</v>
      </c>
    </row>
    <row r="39" ht="15.75" customHeight="1"/>
    <row r="40" ht="15.75" customHeight="1">
      <c r="B40" s="38" t="s">
        <v>37</v>
      </c>
      <c r="C40" s="38"/>
    </row>
    <row r="41" ht="15.75" customHeight="1">
      <c r="B41" s="55" t="s">
        <v>38</v>
      </c>
      <c r="C41" s="55">
        <v>20.0</v>
      </c>
    </row>
    <row r="42" ht="15.75" customHeight="1">
      <c r="B42" s="39" t="s">
        <v>153</v>
      </c>
      <c r="C42" s="55">
        <v>130.0</v>
      </c>
    </row>
    <row r="43" ht="15.75" customHeight="1">
      <c r="B43" s="39" t="s">
        <v>30</v>
      </c>
      <c r="C43" s="55">
        <v>280.0</v>
      </c>
    </row>
    <row r="44" ht="15.75" customHeight="1">
      <c r="B44" s="39" t="s">
        <v>170</v>
      </c>
      <c r="C44" s="55">
        <v>420.0</v>
      </c>
    </row>
    <row r="45" ht="15.75" customHeight="1"/>
    <row r="46" ht="15.75" customHeight="1"/>
    <row r="47" ht="15.75" customHeight="1"/>
    <row r="48" ht="15.75" customHeight="1">
      <c r="B48" s="56" t="s">
        <v>41</v>
      </c>
      <c r="C48" s="57" t="s">
        <v>42</v>
      </c>
      <c r="D48" s="58" t="s">
        <v>43</v>
      </c>
      <c r="E48" s="11"/>
      <c r="F48" s="11"/>
      <c r="G48" s="11"/>
    </row>
    <row r="49" ht="15.75" customHeight="1">
      <c r="B49" s="59" t="s">
        <v>44</v>
      </c>
      <c r="C49" s="119">
        <f>736*(C7/65)</f>
        <v>600.1230769</v>
      </c>
      <c r="D49" s="61"/>
    </row>
    <row r="50" ht="15.75" customHeight="1"/>
    <row r="51" ht="15.75" customHeight="1"/>
    <row r="52" ht="15.75" customHeight="1">
      <c r="D52" s="62" t="s">
        <v>45</v>
      </c>
      <c r="E52" s="63"/>
      <c r="F52" s="64"/>
      <c r="G52" s="63"/>
    </row>
    <row r="53" ht="15.75" customHeight="1">
      <c r="D53" s="65" t="s">
        <v>46</v>
      </c>
      <c r="E53" s="66"/>
      <c r="F53" s="67"/>
      <c r="G53" s="66"/>
    </row>
    <row r="54" ht="15.75" customHeight="1">
      <c r="D54" s="65" t="s">
        <v>47</v>
      </c>
      <c r="E54" s="66"/>
      <c r="F54" s="67"/>
      <c r="G54" s="66"/>
    </row>
    <row r="55" ht="15.75" customHeight="1">
      <c r="D55" s="65" t="s">
        <v>48</v>
      </c>
      <c r="E55" s="66"/>
      <c r="F55" s="67"/>
      <c r="G55" s="66"/>
    </row>
    <row r="56" ht="15.75" customHeight="1">
      <c r="D56" s="68" t="s">
        <v>49</v>
      </c>
      <c r="E56" s="69"/>
      <c r="F56" s="70"/>
      <c r="G56" s="69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E19:E20"/>
    <mergeCell ref="E29:E30"/>
    <mergeCell ref="F29:F30"/>
    <mergeCell ref="B5:B6"/>
    <mergeCell ref="C5:C6"/>
    <mergeCell ref="D5:D6"/>
    <mergeCell ref="E5:E6"/>
    <mergeCell ref="F5:F6"/>
    <mergeCell ref="G5:G6"/>
    <mergeCell ref="F19:F2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0.0"/>
    <col customWidth="1" min="3" max="3" width="11.43"/>
    <col customWidth="1" min="4" max="4" width="12.86"/>
    <col customWidth="1" min="5" max="5" width="13.14"/>
    <col customWidth="1" min="6" max="7" width="8.71"/>
    <col customWidth="1" min="8" max="8" width="10.29"/>
    <col customWidth="1" min="9" max="26" width="8.71"/>
  </cols>
  <sheetData>
    <row r="1" ht="9.75" customHeight="1"/>
    <row r="2" ht="18.0" customHeight="1">
      <c r="B2" s="1" t="s">
        <v>179</v>
      </c>
      <c r="C2" s="1"/>
      <c r="D2" s="1"/>
    </row>
    <row r="3" ht="14.25" customHeight="1">
      <c r="B3" s="2"/>
      <c r="C3" s="47"/>
      <c r="D3" s="47"/>
    </row>
    <row r="4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>
      <c r="B5" s="6"/>
      <c r="C5" s="6"/>
      <c r="D5" s="6"/>
      <c r="E5" s="6"/>
      <c r="F5" s="6"/>
      <c r="G5" s="6"/>
    </row>
    <row r="6">
      <c r="B6" s="8" t="s">
        <v>145</v>
      </c>
      <c r="C6" s="41">
        <v>77.0</v>
      </c>
      <c r="D6" s="41" t="s">
        <v>9</v>
      </c>
      <c r="E6" s="41"/>
      <c r="F6" s="41"/>
      <c r="G6" s="41"/>
      <c r="H6" s="41" t="s">
        <v>180</v>
      </c>
    </row>
    <row r="7" ht="18.75" customHeight="1">
      <c r="B7" s="15" t="s">
        <v>13</v>
      </c>
      <c r="C7" s="16">
        <f>0.02*(C6/1.64)</f>
        <v>0.9390243902</v>
      </c>
      <c r="D7" s="43" t="s">
        <v>9</v>
      </c>
      <c r="E7" s="43"/>
      <c r="F7" s="43"/>
      <c r="G7" s="43"/>
      <c r="H7" s="43" t="s">
        <v>181</v>
      </c>
    </row>
    <row r="8" ht="18.75" customHeight="1">
      <c r="B8" s="15" t="s">
        <v>14</v>
      </c>
      <c r="C8" s="16">
        <f>0.0115*(C6/1.64)</f>
        <v>0.5399390244</v>
      </c>
      <c r="D8" s="43" t="s">
        <v>9</v>
      </c>
      <c r="E8" s="43"/>
      <c r="F8" s="43"/>
      <c r="G8" s="43"/>
    </row>
    <row r="9" ht="18.75" customHeight="1">
      <c r="B9" s="15" t="s">
        <v>60</v>
      </c>
      <c r="C9" s="16">
        <f>0.008*(C6/1.64)</f>
        <v>0.3756097561</v>
      </c>
      <c r="D9" s="43" t="s">
        <v>9</v>
      </c>
      <c r="E9" s="43"/>
      <c r="F9" s="43"/>
      <c r="G9" s="43"/>
    </row>
    <row r="10" ht="18.75" customHeight="1">
      <c r="B10" s="15" t="s">
        <v>182</v>
      </c>
      <c r="C10" s="16">
        <f>0.05*(C6/1.64)</f>
        <v>2.347560976</v>
      </c>
      <c r="D10" s="43" t="s">
        <v>9</v>
      </c>
      <c r="E10" s="43"/>
      <c r="F10" s="43"/>
      <c r="G10" s="43"/>
    </row>
    <row r="11" ht="18.75" customHeight="1">
      <c r="B11" s="15" t="s">
        <v>183</v>
      </c>
      <c r="C11" s="16">
        <f>0.2*(C6/1.64)</f>
        <v>9.390243902</v>
      </c>
      <c r="D11" s="43" t="s">
        <v>9</v>
      </c>
      <c r="E11" s="43"/>
      <c r="F11" s="43"/>
      <c r="G11" s="43"/>
    </row>
    <row r="12" ht="18.75" customHeight="1">
      <c r="B12" s="15" t="s">
        <v>184</v>
      </c>
      <c r="C12" s="16">
        <f>0.2*(C6/1.64)</f>
        <v>9.390243902</v>
      </c>
      <c r="D12" s="43" t="s">
        <v>9</v>
      </c>
      <c r="E12" s="43"/>
      <c r="F12" s="43"/>
      <c r="G12" s="43"/>
    </row>
    <row r="13" ht="18.75" customHeight="1">
      <c r="B13" s="15" t="s">
        <v>185</v>
      </c>
      <c r="C13" s="16">
        <f>0.2*(C6/1.64)</f>
        <v>9.390243902</v>
      </c>
      <c r="D13" s="43" t="s">
        <v>9</v>
      </c>
      <c r="E13" s="43"/>
      <c r="F13" s="43"/>
      <c r="G13" s="43"/>
    </row>
    <row r="14" ht="18.75" customHeight="1">
      <c r="B14" s="15" t="s">
        <v>186</v>
      </c>
      <c r="C14" s="16">
        <f>0.008*(C6/1.64)</f>
        <v>0.3756097561</v>
      </c>
      <c r="D14" s="43" t="s">
        <v>9</v>
      </c>
      <c r="E14" s="43"/>
      <c r="F14" s="43"/>
      <c r="G14" s="43"/>
    </row>
    <row r="15" ht="18.75" customHeight="1">
      <c r="B15" s="15" t="s">
        <v>187</v>
      </c>
      <c r="C15" s="16">
        <f>0.2*(C6/1.64)</f>
        <v>9.390243902</v>
      </c>
      <c r="D15" s="43" t="s">
        <v>9</v>
      </c>
      <c r="E15" s="43"/>
      <c r="F15" s="43"/>
      <c r="G15" s="43"/>
    </row>
    <row r="16" ht="18.75" customHeight="1">
      <c r="B16" s="15" t="s">
        <v>92</v>
      </c>
      <c r="C16" s="16">
        <f>0.35*(C6/1.64)</f>
        <v>16.43292683</v>
      </c>
      <c r="D16" s="43" t="s">
        <v>9</v>
      </c>
      <c r="E16" s="43"/>
      <c r="F16" s="43"/>
      <c r="G16" s="43"/>
    </row>
    <row r="17" ht="18.75" customHeight="1">
      <c r="B17" s="15" t="s">
        <v>16</v>
      </c>
      <c r="C17" s="16">
        <f>0.25*(C6/1.64)</f>
        <v>11.73780488</v>
      </c>
      <c r="D17" s="43" t="s">
        <v>9</v>
      </c>
      <c r="E17" s="43"/>
      <c r="F17" s="43"/>
      <c r="G17" s="43"/>
    </row>
    <row r="18">
      <c r="B18" s="15" t="s">
        <v>94</v>
      </c>
      <c r="C18" s="16">
        <f>0.03*(C6/1.64)</f>
        <v>1.408536585</v>
      </c>
      <c r="D18" s="43" t="s">
        <v>9</v>
      </c>
      <c r="E18" s="43"/>
      <c r="F18" s="43"/>
      <c r="G18" s="43"/>
    </row>
    <row r="21" ht="15.75" customHeight="1">
      <c r="B21" s="40" t="s">
        <v>28</v>
      </c>
    </row>
    <row r="22" ht="15.75" customHeight="1"/>
    <row r="23" ht="15.75" customHeight="1">
      <c r="B23" s="8" t="s">
        <v>30</v>
      </c>
      <c r="C23" s="9">
        <f>18.375*(C6/51)</f>
        <v>27.74264706</v>
      </c>
      <c r="D23" s="42" t="s">
        <v>9</v>
      </c>
      <c r="E23" s="42"/>
      <c r="F23" s="42"/>
      <c r="G23" s="42"/>
      <c r="H23" s="41" t="s">
        <v>180</v>
      </c>
    </row>
    <row r="24" ht="15.75" customHeight="1">
      <c r="B24" s="15" t="s">
        <v>31</v>
      </c>
      <c r="C24" s="16">
        <f>0.340971428571429*(C6/51)</f>
        <v>0.5148</v>
      </c>
      <c r="D24" s="17" t="s">
        <v>9</v>
      </c>
      <c r="E24" s="17"/>
      <c r="F24" s="17"/>
      <c r="G24" s="17"/>
      <c r="H24" s="43" t="s">
        <v>188</v>
      </c>
    </row>
    <row r="25" ht="15.75" customHeight="1">
      <c r="B25" s="15" t="s">
        <v>32</v>
      </c>
      <c r="C25" s="16">
        <f>2.20306885714286*(C6/51)</f>
        <v>3.326202</v>
      </c>
      <c r="D25" s="17" t="s">
        <v>9</v>
      </c>
      <c r="E25" s="17"/>
      <c r="F25" s="17"/>
      <c r="G25" s="17"/>
    </row>
    <row r="26" ht="15.75" customHeight="1">
      <c r="B26" s="15" t="s">
        <v>33</v>
      </c>
      <c r="C26" s="16">
        <f>29.3836062857143*(C6/51)</f>
        <v>44.363484</v>
      </c>
      <c r="D26" s="17" t="s">
        <v>34</v>
      </c>
      <c r="E26" s="17"/>
      <c r="F26" s="17"/>
      <c r="G26" s="17"/>
    </row>
    <row r="27" ht="15.75" customHeight="1">
      <c r="B27" s="15" t="s">
        <v>13</v>
      </c>
      <c r="C27" s="16">
        <f>0.5647995*(C6/51)</f>
        <v>0.8527365</v>
      </c>
      <c r="D27" s="24" t="s">
        <v>9</v>
      </c>
      <c r="E27" s="24"/>
      <c r="F27" s="24"/>
      <c r="G27" s="24"/>
    </row>
    <row r="28" ht="15.75" customHeight="1">
      <c r="B28" s="11"/>
      <c r="C28" s="11"/>
      <c r="D28" s="11"/>
      <c r="E28" s="11"/>
      <c r="F28" s="11"/>
      <c r="G28" s="11"/>
    </row>
    <row r="29" ht="24.0" customHeight="1">
      <c r="B29" s="86" t="s">
        <v>189</v>
      </c>
    </row>
    <row r="30" ht="15.75" customHeight="1"/>
    <row r="31" ht="15.75" customHeight="1">
      <c r="B31" s="8" t="s">
        <v>190</v>
      </c>
      <c r="C31" s="9">
        <f>3.3*(C6/14)</f>
        <v>18.15</v>
      </c>
      <c r="D31" s="42" t="s">
        <v>9</v>
      </c>
      <c r="E31" s="42"/>
      <c r="F31" s="42"/>
      <c r="G31" s="42"/>
      <c r="H31" s="41" t="s">
        <v>180</v>
      </c>
    </row>
    <row r="32" ht="15.75" customHeight="1">
      <c r="B32" s="52" t="s">
        <v>90</v>
      </c>
      <c r="C32" s="172">
        <f>3*(C6/14)</f>
        <v>16.5</v>
      </c>
      <c r="D32" s="54" t="s">
        <v>9</v>
      </c>
      <c r="E32" s="54"/>
      <c r="F32" s="54"/>
      <c r="G32" s="54"/>
      <c r="H32" s="43" t="s">
        <v>191</v>
      </c>
    </row>
    <row r="33" ht="15.75" customHeight="1">
      <c r="B33" s="15" t="s">
        <v>31</v>
      </c>
      <c r="C33" s="16">
        <f>0.08*(C6/14)</f>
        <v>0.44</v>
      </c>
      <c r="D33" s="17" t="s">
        <v>9</v>
      </c>
      <c r="E33" s="17"/>
      <c r="F33" s="17"/>
      <c r="G33" s="17"/>
    </row>
    <row r="34" ht="15.75" customHeight="1">
      <c r="B34" s="15" t="s">
        <v>86</v>
      </c>
      <c r="C34" s="16">
        <f>0.109*(C6/14)</f>
        <v>0.5995</v>
      </c>
      <c r="D34" s="17" t="s">
        <v>9</v>
      </c>
      <c r="E34" s="17"/>
      <c r="F34" s="17"/>
      <c r="G34" s="17"/>
    </row>
    <row r="35" ht="15.75" customHeight="1">
      <c r="B35" s="15" t="s">
        <v>13</v>
      </c>
      <c r="C35" s="16">
        <f>0.06*(C6/14)</f>
        <v>0.33</v>
      </c>
      <c r="D35" s="17" t="s">
        <v>9</v>
      </c>
      <c r="E35" s="17"/>
      <c r="F35" s="17"/>
      <c r="G35" s="17"/>
    </row>
    <row r="36" ht="15.75" customHeight="1"/>
    <row r="37" ht="15.75" customHeight="1"/>
    <row r="38" ht="15.75" customHeight="1">
      <c r="B38" s="38" t="s">
        <v>37</v>
      </c>
      <c r="C38" s="38"/>
    </row>
    <row r="39" ht="15.75" customHeight="1">
      <c r="B39" s="55" t="s">
        <v>38</v>
      </c>
      <c r="C39" s="55">
        <v>20.0</v>
      </c>
    </row>
    <row r="40" ht="15.75" customHeight="1">
      <c r="B40" s="39" t="s">
        <v>153</v>
      </c>
      <c r="C40" s="55">
        <v>210.0</v>
      </c>
    </row>
    <row r="41" ht="15.75" customHeight="1">
      <c r="B41" s="39" t="s">
        <v>30</v>
      </c>
      <c r="C41" s="55">
        <v>360.0</v>
      </c>
    </row>
    <row r="42" ht="15.75" customHeight="1">
      <c r="B42" s="39" t="s">
        <v>192</v>
      </c>
      <c r="C42" s="55">
        <v>420.0</v>
      </c>
    </row>
    <row r="43" ht="15.75" customHeight="1"/>
    <row r="44" ht="15.75" customHeight="1"/>
    <row r="45" ht="15.75" customHeight="1"/>
    <row r="46" ht="15.75" customHeight="1">
      <c r="B46" s="56" t="s">
        <v>41</v>
      </c>
      <c r="C46" s="57" t="s">
        <v>42</v>
      </c>
      <c r="D46" s="58" t="s">
        <v>43</v>
      </c>
      <c r="E46" s="11"/>
      <c r="F46" s="11"/>
      <c r="G46" s="11"/>
    </row>
    <row r="47" ht="15.75" customHeight="1">
      <c r="B47" s="59" t="s">
        <v>44</v>
      </c>
      <c r="C47" s="60">
        <f>10.77*(C6/1.64)</f>
        <v>505.6646341</v>
      </c>
      <c r="D47" s="61"/>
    </row>
    <row r="48" ht="15.75" customHeight="1"/>
    <row r="49" ht="15.75" customHeight="1"/>
    <row r="50" ht="15.75" customHeight="1">
      <c r="D50" s="62" t="s">
        <v>45</v>
      </c>
      <c r="E50" s="63"/>
      <c r="F50" s="63"/>
      <c r="G50" s="64"/>
    </row>
    <row r="51" ht="15.75" customHeight="1">
      <c r="D51" s="65" t="s">
        <v>46</v>
      </c>
      <c r="E51" s="66"/>
      <c r="F51" s="66"/>
      <c r="G51" s="67"/>
    </row>
    <row r="52" ht="15.75" customHeight="1">
      <c r="D52" s="65" t="s">
        <v>47</v>
      </c>
      <c r="E52" s="66"/>
      <c r="F52" s="66"/>
      <c r="G52" s="67"/>
    </row>
    <row r="53" ht="15.75" customHeight="1">
      <c r="D53" s="65" t="s">
        <v>48</v>
      </c>
      <c r="E53" s="66"/>
      <c r="F53" s="66"/>
      <c r="G53" s="67"/>
    </row>
    <row r="54" ht="15.75" customHeight="1">
      <c r="D54" s="68" t="s">
        <v>49</v>
      </c>
      <c r="E54" s="69"/>
      <c r="F54" s="69"/>
      <c r="G54" s="70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4:B5"/>
    <mergeCell ref="C4:C5"/>
    <mergeCell ref="D4:D5"/>
    <mergeCell ref="E4:E5"/>
    <mergeCell ref="F4:F5"/>
    <mergeCell ref="G4:G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30.43"/>
    <col customWidth="1" min="3" max="3" width="10.86"/>
    <col customWidth="1" min="4" max="4" width="12.0"/>
    <col customWidth="1" min="5" max="5" width="13.0"/>
    <col customWidth="1" min="6" max="8" width="8.71"/>
    <col customWidth="1" min="9" max="9" width="12.86"/>
    <col customWidth="1" min="10" max="10" width="10.86"/>
    <col customWidth="1" min="11" max="26" width="8.71"/>
  </cols>
  <sheetData>
    <row r="1">
      <c r="K1" s="93"/>
    </row>
    <row r="2" ht="23.25" customHeight="1">
      <c r="B2" s="1" t="s">
        <v>193</v>
      </c>
      <c r="C2" s="1"/>
      <c r="D2" s="1"/>
    </row>
    <row r="3" ht="23.25" customHeight="1">
      <c r="B3" s="1"/>
      <c r="C3" s="1"/>
      <c r="D3" s="1"/>
    </row>
    <row r="4" ht="15.0" customHeight="1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 ht="15.0" customHeight="1">
      <c r="B5" s="6"/>
      <c r="C5" s="6"/>
      <c r="D5" s="6"/>
      <c r="E5" s="6"/>
      <c r="F5" s="6"/>
      <c r="G5" s="6"/>
    </row>
    <row r="6" ht="15.0" customHeight="1">
      <c r="B6" s="8" t="s">
        <v>194</v>
      </c>
      <c r="C6" s="9">
        <v>40.0</v>
      </c>
      <c r="D6" s="41" t="s">
        <v>9</v>
      </c>
      <c r="E6" s="41"/>
      <c r="F6" s="41">
        <f>60*(C6/45)</f>
        <v>53.33333333</v>
      </c>
      <c r="G6" s="41"/>
      <c r="H6" s="41" t="s">
        <v>180</v>
      </c>
    </row>
    <row r="7" ht="15.0" customHeight="1">
      <c r="B7" s="15" t="s">
        <v>13</v>
      </c>
      <c r="C7" s="16">
        <f>0.52*(C6/40)</f>
        <v>0.52</v>
      </c>
      <c r="D7" s="43" t="s">
        <v>9</v>
      </c>
      <c r="E7" s="43"/>
      <c r="F7" s="43"/>
      <c r="G7" s="43"/>
      <c r="H7" s="43" t="s">
        <v>124</v>
      </c>
    </row>
    <row r="8" ht="15.0" customHeight="1">
      <c r="B8" s="15" t="s">
        <v>14</v>
      </c>
      <c r="C8" s="16">
        <f>0.2*(C6/40)</f>
        <v>0.2</v>
      </c>
      <c r="D8" s="43" t="s">
        <v>9</v>
      </c>
      <c r="E8" s="43"/>
      <c r="F8" s="43"/>
      <c r="G8" s="43"/>
    </row>
    <row r="9" ht="15.0" customHeight="1">
      <c r="B9" s="15" t="s">
        <v>77</v>
      </c>
      <c r="C9" s="16">
        <f>0.2*(C6/40)</f>
        <v>0.2</v>
      </c>
      <c r="D9" s="43" t="s">
        <v>9</v>
      </c>
      <c r="E9" s="43"/>
      <c r="F9" s="43"/>
      <c r="G9" s="43"/>
    </row>
    <row r="10" ht="15.0" customHeight="1">
      <c r="B10" s="15" t="s">
        <v>86</v>
      </c>
      <c r="C10" s="16">
        <f>0.5*(C6/40)</f>
        <v>0.5</v>
      </c>
      <c r="D10" s="43" t="s">
        <v>9</v>
      </c>
      <c r="E10" s="43"/>
      <c r="F10" s="43"/>
      <c r="G10" s="43"/>
    </row>
    <row r="11" ht="15.0" customHeight="1">
      <c r="B11" s="15" t="s">
        <v>79</v>
      </c>
      <c r="C11" s="16">
        <f>100*(C6/40)</f>
        <v>100</v>
      </c>
      <c r="D11" s="43" t="s">
        <v>4</v>
      </c>
      <c r="E11" s="43"/>
      <c r="F11" s="43"/>
      <c r="G11" s="43"/>
    </row>
    <row r="12" ht="15.0" customHeight="1">
      <c r="B12" s="15" t="s">
        <v>56</v>
      </c>
      <c r="C12" s="16">
        <f>7*(C6/40)</f>
        <v>7</v>
      </c>
      <c r="D12" s="43" t="s">
        <v>9</v>
      </c>
      <c r="E12" s="43"/>
      <c r="F12" s="43"/>
      <c r="G12" s="43"/>
    </row>
    <row r="13" ht="15.0" customHeight="1">
      <c r="B13" s="15" t="s">
        <v>55</v>
      </c>
      <c r="C13" s="16">
        <f>6*(C6/40)</f>
        <v>6</v>
      </c>
      <c r="D13" s="43" t="s">
        <v>9</v>
      </c>
      <c r="E13" s="43"/>
      <c r="F13" s="43"/>
      <c r="G13" s="43"/>
    </row>
    <row r="14" ht="15.0" customHeight="1">
      <c r="B14" s="15" t="s">
        <v>81</v>
      </c>
      <c r="C14" s="16">
        <f>1*(C6/40)</f>
        <v>1</v>
      </c>
      <c r="D14" s="43" t="s">
        <v>9</v>
      </c>
      <c r="E14" s="43"/>
      <c r="F14" s="43"/>
      <c r="G14" s="43"/>
    </row>
    <row r="15" ht="15.0" customHeight="1"/>
    <row r="16" ht="15.0" customHeight="1"/>
    <row r="17" ht="15.0" customHeight="1">
      <c r="B17" s="40" t="s">
        <v>28</v>
      </c>
    </row>
    <row r="18" ht="15.0" customHeight="1">
      <c r="B18" s="4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</row>
    <row r="19" ht="15.0" customHeight="1">
      <c r="B19" s="6"/>
      <c r="C19" s="6"/>
      <c r="D19" s="6"/>
      <c r="E19" s="6"/>
      <c r="F19" s="6"/>
      <c r="G19" s="6"/>
    </row>
    <row r="20" ht="15.0" customHeight="1">
      <c r="B20" s="21" t="s">
        <v>30</v>
      </c>
      <c r="C20" s="94">
        <f>28.5238954*(C6/40)</f>
        <v>28.5238954</v>
      </c>
      <c r="D20" s="24" t="s">
        <v>9</v>
      </c>
      <c r="E20" s="43"/>
      <c r="F20" s="43"/>
      <c r="G20" s="43"/>
      <c r="H20" s="41" t="s">
        <v>180</v>
      </c>
    </row>
    <row r="21" ht="15.0" customHeight="1">
      <c r="B21" s="15" t="s">
        <v>31</v>
      </c>
      <c r="C21" s="16">
        <f>0.5963804*(C6/40)</f>
        <v>0.5963804</v>
      </c>
      <c r="D21" s="17" t="s">
        <v>9</v>
      </c>
      <c r="E21" s="43"/>
      <c r="F21" s="43"/>
      <c r="G21" s="43"/>
      <c r="H21" s="43" t="s">
        <v>188</v>
      </c>
    </row>
    <row r="22" ht="15.0" customHeight="1">
      <c r="B22" s="15" t="s">
        <v>32</v>
      </c>
      <c r="C22" s="16">
        <f>3.4180608*(C6/40)</f>
        <v>3.4180608</v>
      </c>
      <c r="D22" s="17" t="s">
        <v>9</v>
      </c>
      <c r="E22" s="43"/>
      <c r="F22" s="43"/>
      <c r="G22" s="43"/>
    </row>
    <row r="23" ht="15.0" customHeight="1">
      <c r="B23" s="15" t="s">
        <v>33</v>
      </c>
      <c r="C23" s="16">
        <f>45.6141994*(C6/40)</f>
        <v>45.6141994</v>
      </c>
      <c r="D23" s="17" t="s">
        <v>34</v>
      </c>
      <c r="E23" s="43"/>
      <c r="F23" s="43"/>
      <c r="G23" s="43"/>
    </row>
    <row r="24" ht="15.0" customHeight="1">
      <c r="B24" s="15" t="s">
        <v>13</v>
      </c>
      <c r="C24" s="16">
        <f>0.8812188*(C6/40)</f>
        <v>0.8812188</v>
      </c>
      <c r="D24" s="24" t="s">
        <v>9</v>
      </c>
      <c r="E24" s="43"/>
      <c r="F24" s="43"/>
      <c r="G24" s="43"/>
    </row>
    <row r="25" ht="15.0" customHeight="1"/>
    <row r="26" ht="26.25" customHeight="1">
      <c r="B26" s="198" t="s">
        <v>195</v>
      </c>
    </row>
    <row r="27" ht="15.0" customHeight="1">
      <c r="B27" s="4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</row>
    <row r="28" ht="15.75" customHeight="1">
      <c r="B28" s="6"/>
      <c r="C28" s="6"/>
      <c r="D28" s="6"/>
      <c r="E28" s="6"/>
      <c r="F28" s="6"/>
      <c r="G28" s="6"/>
    </row>
    <row r="29" ht="15.75" customHeight="1">
      <c r="B29" s="199" t="s">
        <v>196</v>
      </c>
      <c r="C29" s="200">
        <f>8.18125*(C6/35)</f>
        <v>9.35</v>
      </c>
      <c r="D29" s="201" t="s">
        <v>9</v>
      </c>
      <c r="E29" s="43"/>
      <c r="F29" s="43">
        <f t="shared" ref="F29:F44" si="1">C29*0.85</f>
        <v>7.9475</v>
      </c>
      <c r="G29" s="43"/>
      <c r="H29" s="41" t="s">
        <v>180</v>
      </c>
      <c r="J29" s="93"/>
    </row>
    <row r="30" ht="15.75" customHeight="1">
      <c r="B30" s="199" t="s">
        <v>197</v>
      </c>
      <c r="C30" s="29">
        <f>8.18125*(C6/35)</f>
        <v>9.35</v>
      </c>
      <c r="D30" s="201" t="s">
        <v>9</v>
      </c>
      <c r="E30" s="43"/>
      <c r="F30" s="43">
        <f t="shared" si="1"/>
        <v>7.9475</v>
      </c>
      <c r="G30" s="43"/>
      <c r="H30" s="43" t="s">
        <v>198</v>
      </c>
      <c r="J30" s="93"/>
    </row>
    <row r="31" ht="15.75" customHeight="1">
      <c r="B31" s="199" t="s">
        <v>199</v>
      </c>
      <c r="C31" s="29">
        <f>3.71875*(C6/35)</f>
        <v>4.25</v>
      </c>
      <c r="D31" s="201" t="s">
        <v>9</v>
      </c>
      <c r="E31" s="43"/>
      <c r="F31" s="43">
        <f t="shared" si="1"/>
        <v>3.6125</v>
      </c>
      <c r="G31" s="43"/>
      <c r="J31" s="93"/>
    </row>
    <row r="32" ht="15.75" customHeight="1">
      <c r="B32" s="199" t="s">
        <v>200</v>
      </c>
      <c r="C32" s="29">
        <f>3.71875*(C6/35)</f>
        <v>4.25</v>
      </c>
      <c r="D32" s="201" t="s">
        <v>9</v>
      </c>
      <c r="E32" s="43"/>
      <c r="F32" s="43">
        <f t="shared" si="1"/>
        <v>3.6125</v>
      </c>
      <c r="G32" s="43"/>
      <c r="J32" s="93"/>
    </row>
    <row r="33" ht="15.75" customHeight="1">
      <c r="B33" s="199" t="s">
        <v>201</v>
      </c>
      <c r="C33" s="29">
        <f>3.71875*(C6/35)</f>
        <v>4.25</v>
      </c>
      <c r="D33" s="201" t="s">
        <v>9</v>
      </c>
      <c r="E33" s="43"/>
      <c r="F33" s="43">
        <f t="shared" si="1"/>
        <v>3.6125</v>
      </c>
      <c r="G33" s="43"/>
      <c r="J33" s="93"/>
    </row>
    <row r="34" ht="15.75" customHeight="1">
      <c r="B34" s="199" t="s">
        <v>202</v>
      </c>
      <c r="C34" s="29">
        <f>3.71875*(C6/35)</f>
        <v>4.25</v>
      </c>
      <c r="D34" s="201" t="s">
        <v>9</v>
      </c>
      <c r="E34" s="43"/>
      <c r="F34" s="43">
        <f t="shared" si="1"/>
        <v>3.6125</v>
      </c>
      <c r="G34" s="43"/>
      <c r="J34" s="93"/>
    </row>
    <row r="35" ht="15.75" customHeight="1">
      <c r="B35" s="199" t="s">
        <v>203</v>
      </c>
      <c r="C35" s="29">
        <f>3.71875*(C6/35)</f>
        <v>4.25</v>
      </c>
      <c r="D35" s="201" t="s">
        <v>9</v>
      </c>
      <c r="E35" s="43"/>
      <c r="F35" s="43">
        <f t="shared" si="1"/>
        <v>3.6125</v>
      </c>
      <c r="G35" s="43"/>
      <c r="J35" s="93"/>
    </row>
    <row r="36" ht="15.75" customHeight="1">
      <c r="B36" s="199" t="s">
        <v>204</v>
      </c>
      <c r="C36" s="29">
        <f>2.49062121*(C6/35)</f>
        <v>2.84642424</v>
      </c>
      <c r="D36" s="201" t="s">
        <v>9</v>
      </c>
      <c r="E36" s="43"/>
      <c r="F36" s="43">
        <f t="shared" si="1"/>
        <v>2.419460604</v>
      </c>
      <c r="G36" s="43"/>
      <c r="J36" s="93"/>
    </row>
    <row r="37" ht="15.75" customHeight="1">
      <c r="B37" s="199" t="s">
        <v>205</v>
      </c>
      <c r="C37" s="29">
        <f>2.49062121*(C6/35)</f>
        <v>2.84642424</v>
      </c>
      <c r="D37" s="201" t="s">
        <v>9</v>
      </c>
      <c r="E37" s="43"/>
      <c r="F37" s="43">
        <f t="shared" si="1"/>
        <v>2.419460604</v>
      </c>
      <c r="G37" s="43"/>
      <c r="J37" s="93"/>
    </row>
    <row r="38" ht="15.75" customHeight="1">
      <c r="B38" s="199" t="s">
        <v>206</v>
      </c>
      <c r="C38" s="29">
        <f>1.079269191*(C6/35)</f>
        <v>1.233450504</v>
      </c>
      <c r="D38" s="201" t="s">
        <v>9</v>
      </c>
      <c r="E38" s="43"/>
      <c r="F38" s="43">
        <f t="shared" si="1"/>
        <v>1.048432928</v>
      </c>
      <c r="G38" s="43"/>
      <c r="J38" s="93"/>
    </row>
    <row r="39" ht="15.75" customHeight="1">
      <c r="B39" s="199" t="s">
        <v>207</v>
      </c>
      <c r="C39" s="29">
        <f>0.332082828*(C6/35)</f>
        <v>0.379523232</v>
      </c>
      <c r="D39" s="201" t="s">
        <v>9</v>
      </c>
      <c r="E39" s="43"/>
      <c r="F39" s="43">
        <f t="shared" si="1"/>
        <v>0.3225947472</v>
      </c>
      <c r="G39" s="43"/>
      <c r="J39" s="93"/>
    </row>
    <row r="40" ht="15.75" customHeight="1">
      <c r="B40" s="199" t="s">
        <v>208</v>
      </c>
      <c r="C40" s="29">
        <f>17.43434847*(C6/35)</f>
        <v>19.92496968</v>
      </c>
      <c r="D40" s="201" t="s">
        <v>9</v>
      </c>
      <c r="E40" s="43"/>
      <c r="F40" s="43">
        <f t="shared" si="1"/>
        <v>16.93622423</v>
      </c>
      <c r="G40" s="43"/>
      <c r="J40" s="93"/>
    </row>
    <row r="41" ht="15.75" customHeight="1">
      <c r="B41" s="199" t="s">
        <v>209</v>
      </c>
      <c r="C41" s="29">
        <f>1.245310605*(C6/35)</f>
        <v>1.42321212</v>
      </c>
      <c r="D41" s="201" t="s">
        <v>9</v>
      </c>
      <c r="E41" s="43"/>
      <c r="F41" s="43">
        <f t="shared" si="1"/>
        <v>1.209730302</v>
      </c>
      <c r="G41" s="43"/>
      <c r="J41" s="93"/>
    </row>
    <row r="42" ht="15.75" customHeight="1">
      <c r="B42" s="199" t="s">
        <v>210</v>
      </c>
      <c r="C42" s="29">
        <f>0.6226553025*(C6/35)</f>
        <v>0.71160606</v>
      </c>
      <c r="D42" s="201" t="s">
        <v>9</v>
      </c>
      <c r="E42" s="43"/>
      <c r="F42" s="43">
        <f t="shared" si="1"/>
        <v>0.604865151</v>
      </c>
      <c r="G42" s="43"/>
      <c r="J42" s="93"/>
    </row>
    <row r="43" ht="15.75" customHeight="1">
      <c r="B43" s="199" t="s">
        <v>211</v>
      </c>
      <c r="C43" s="29">
        <f>0.259439709375*(C6/35)</f>
        <v>0.296502525</v>
      </c>
      <c r="D43" s="201" t="s">
        <v>9</v>
      </c>
      <c r="E43" s="43"/>
      <c r="F43" s="43">
        <f t="shared" si="1"/>
        <v>0.2520271463</v>
      </c>
      <c r="G43" s="43"/>
      <c r="J43" s="93"/>
    </row>
    <row r="44" ht="15.75" customHeight="1">
      <c r="B44" s="199" t="s">
        <v>212</v>
      </c>
      <c r="C44" s="29">
        <f>0.259439709375*(C6/35)</f>
        <v>0.296502525</v>
      </c>
      <c r="D44" s="201" t="s">
        <v>9</v>
      </c>
      <c r="E44" s="43"/>
      <c r="F44" s="43">
        <f t="shared" si="1"/>
        <v>0.2520271463</v>
      </c>
      <c r="G44" s="43"/>
      <c r="J44" s="93"/>
    </row>
    <row r="45" ht="15.75" customHeight="1"/>
    <row r="46" ht="15.75" customHeight="1"/>
    <row r="47" ht="15.75" customHeight="1"/>
    <row r="48" ht="15.75" customHeight="1">
      <c r="B48" s="57" t="s">
        <v>41</v>
      </c>
      <c r="C48" s="57" t="s">
        <v>42</v>
      </c>
      <c r="D48" s="57" t="s">
        <v>43</v>
      </c>
      <c r="E48" s="11"/>
      <c r="F48" s="11"/>
      <c r="G48" s="11"/>
    </row>
    <row r="49" ht="15.75" customHeight="1">
      <c r="B49" s="55" t="s">
        <v>44</v>
      </c>
      <c r="C49" s="202">
        <f>385*(C6/35)</f>
        <v>440</v>
      </c>
      <c r="D49" s="55"/>
    </row>
    <row r="50" ht="15.75" customHeight="1"/>
    <row r="51" ht="15.75" customHeight="1"/>
    <row r="52" ht="15.75" customHeight="1"/>
    <row r="53" ht="15.75" customHeight="1">
      <c r="B53" s="57" t="s">
        <v>100</v>
      </c>
      <c r="C53" s="57" t="s">
        <v>107</v>
      </c>
    </row>
    <row r="54" ht="15.75" customHeight="1">
      <c r="B54" s="55" t="s">
        <v>38</v>
      </c>
      <c r="C54" s="55">
        <v>20.0</v>
      </c>
    </row>
    <row r="55" ht="15.75" customHeight="1">
      <c r="B55" s="55" t="s">
        <v>213</v>
      </c>
      <c r="C55" s="55">
        <v>130.0</v>
      </c>
    </row>
    <row r="56" ht="15.75" customHeight="1">
      <c r="B56" s="55" t="s">
        <v>30</v>
      </c>
      <c r="C56" s="55">
        <v>280.0</v>
      </c>
    </row>
    <row r="57" ht="15.75" customHeight="1">
      <c r="B57" s="55" t="s">
        <v>214</v>
      </c>
      <c r="C57" s="55">
        <v>420.0</v>
      </c>
    </row>
    <row r="58" ht="15.75" customHeight="1"/>
    <row r="59" ht="15.75" customHeight="1"/>
    <row r="60" ht="15.75" customHeight="1">
      <c r="D60" s="62" t="s">
        <v>45</v>
      </c>
      <c r="E60" s="63"/>
      <c r="F60" s="63"/>
      <c r="G60" s="64"/>
    </row>
    <row r="61" ht="15.75" customHeight="1">
      <c r="D61" s="65" t="s">
        <v>46</v>
      </c>
      <c r="E61" s="66"/>
      <c r="F61" s="66"/>
      <c r="G61" s="67"/>
    </row>
    <row r="62" ht="15.75" customHeight="1">
      <c r="D62" s="65" t="s">
        <v>47</v>
      </c>
      <c r="E62" s="66"/>
      <c r="F62" s="66"/>
      <c r="G62" s="67"/>
    </row>
    <row r="63" ht="15.75" customHeight="1">
      <c r="D63" s="65" t="s">
        <v>48</v>
      </c>
      <c r="E63" s="66"/>
      <c r="F63" s="66"/>
      <c r="G63" s="67"/>
    </row>
    <row r="64" ht="15.75" customHeight="1">
      <c r="D64" s="68" t="s">
        <v>49</v>
      </c>
      <c r="E64" s="69"/>
      <c r="F64" s="69"/>
      <c r="G64" s="70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8:C19"/>
    <mergeCell ref="D18:D19"/>
    <mergeCell ref="B27:B28"/>
    <mergeCell ref="C27:C28"/>
    <mergeCell ref="D27:D28"/>
    <mergeCell ref="E27:E28"/>
    <mergeCell ref="F27:F28"/>
    <mergeCell ref="G27:G28"/>
    <mergeCell ref="E18:E19"/>
    <mergeCell ref="F18:F19"/>
    <mergeCell ref="B4:B5"/>
    <mergeCell ref="C4:C5"/>
    <mergeCell ref="D4:D5"/>
    <mergeCell ref="E4:E5"/>
    <mergeCell ref="F4:F5"/>
    <mergeCell ref="G4:G5"/>
    <mergeCell ref="B18:B19"/>
    <mergeCell ref="G18:G1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29.29"/>
    <col customWidth="1" min="3" max="3" width="14.71"/>
    <col customWidth="1" min="4" max="5" width="11.43"/>
    <col customWidth="1" min="6" max="26" width="8.71"/>
  </cols>
  <sheetData>
    <row r="1">
      <c r="B1" s="1" t="s">
        <v>215</v>
      </c>
      <c r="C1" s="1"/>
      <c r="D1" s="1"/>
      <c r="E1" s="1"/>
      <c r="F1" s="1"/>
      <c r="G1" s="1"/>
    </row>
    <row r="2">
      <c r="B2" s="1"/>
      <c r="C2" s="3" t="s">
        <v>58</v>
      </c>
      <c r="D2" s="1"/>
      <c r="E2" s="1"/>
      <c r="F2" s="1"/>
      <c r="G2" s="1"/>
    </row>
    <row r="3">
      <c r="B3" s="2"/>
      <c r="C3" s="47"/>
      <c r="D3" s="47"/>
      <c r="E3" s="47"/>
      <c r="F3" s="47"/>
      <c r="G3" s="47"/>
    </row>
    <row r="4" ht="15.75" customHeight="1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 ht="15.75" customHeight="1">
      <c r="B5" s="6"/>
      <c r="C5" s="6"/>
      <c r="D5" s="6"/>
      <c r="E5" s="6"/>
      <c r="F5" s="6"/>
      <c r="G5" s="6"/>
    </row>
    <row r="6" ht="15.0" customHeight="1">
      <c r="B6" s="8" t="s">
        <v>216</v>
      </c>
      <c r="C6" s="41">
        <v>70.0</v>
      </c>
      <c r="D6" s="41" t="s">
        <v>9</v>
      </c>
      <c r="E6" s="41"/>
      <c r="F6" s="41"/>
      <c r="G6" s="41"/>
    </row>
    <row r="7" ht="12.0" customHeight="1">
      <c r="D7" s="165"/>
      <c r="E7" s="165"/>
      <c r="F7" s="165"/>
      <c r="G7" s="165"/>
    </row>
    <row r="8" ht="18.75" customHeight="1">
      <c r="B8" s="166" t="s">
        <v>217</v>
      </c>
      <c r="C8" s="118" t="s">
        <v>160</v>
      </c>
      <c r="D8" s="166"/>
      <c r="E8" s="166"/>
      <c r="F8" s="166"/>
      <c r="G8" s="166"/>
    </row>
    <row r="9" ht="9.75" customHeight="1">
      <c r="B9" s="2"/>
      <c r="C9" s="75"/>
      <c r="D9" s="47"/>
      <c r="E9" s="47"/>
      <c r="F9" s="47"/>
      <c r="G9" s="47"/>
    </row>
    <row r="10" ht="26.25" customHeight="1">
      <c r="B10" s="4" t="s">
        <v>2</v>
      </c>
      <c r="C10" s="76" t="s">
        <v>3</v>
      </c>
      <c r="D10" s="5" t="s">
        <v>4</v>
      </c>
      <c r="E10" s="5" t="s">
        <v>5</v>
      </c>
      <c r="F10" s="5" t="s">
        <v>6</v>
      </c>
      <c r="G10" s="5" t="s">
        <v>7</v>
      </c>
    </row>
    <row r="11" ht="15.75" customHeight="1">
      <c r="B11" s="167"/>
      <c r="C11" s="168"/>
      <c r="D11" s="164"/>
      <c r="E11" s="6"/>
      <c r="F11" s="6"/>
      <c r="G11" s="6"/>
    </row>
    <row r="12" ht="15.75" customHeight="1">
      <c r="B12" s="8" t="s">
        <v>123</v>
      </c>
      <c r="C12" s="169">
        <f>14.45*(C6/70)</f>
        <v>14.45</v>
      </c>
      <c r="D12" s="10" t="s">
        <v>9</v>
      </c>
      <c r="E12" s="10"/>
      <c r="F12" s="10"/>
      <c r="G12" s="10"/>
    </row>
    <row r="13" ht="15.0" customHeight="1">
      <c r="B13" s="15" t="s">
        <v>33</v>
      </c>
      <c r="C13" s="161">
        <f>42.5*(C6/70)</f>
        <v>42.5</v>
      </c>
      <c r="D13" s="17" t="s">
        <v>34</v>
      </c>
      <c r="E13" s="17"/>
      <c r="F13" s="17"/>
      <c r="G13" s="17"/>
    </row>
    <row r="14" ht="20.25" customHeight="1">
      <c r="B14" s="15" t="s">
        <v>31</v>
      </c>
      <c r="C14" s="161">
        <f>0.357*(C6/70)</f>
        <v>0.357</v>
      </c>
      <c r="D14" s="17" t="s">
        <v>9</v>
      </c>
      <c r="E14" s="17"/>
      <c r="F14" s="17"/>
      <c r="G14" s="17"/>
    </row>
    <row r="15" ht="22.5" customHeight="1">
      <c r="B15" s="15" t="s">
        <v>81</v>
      </c>
      <c r="C15" s="161">
        <f>0.682539375*(C6/70)</f>
        <v>0.682539375</v>
      </c>
      <c r="D15" s="17" t="s">
        <v>9</v>
      </c>
      <c r="E15" s="17"/>
      <c r="F15" s="17"/>
      <c r="G15" s="17"/>
    </row>
    <row r="16">
      <c r="B16" s="15" t="s">
        <v>13</v>
      </c>
      <c r="C16" s="161">
        <f>0.375396656249999*(C6/70)</f>
        <v>0.3753966562</v>
      </c>
      <c r="D16" s="17" t="s">
        <v>9</v>
      </c>
      <c r="E16" s="17"/>
      <c r="F16" s="17"/>
      <c r="G16" s="17"/>
    </row>
    <row r="17" ht="9.0" customHeight="1"/>
    <row r="18">
      <c r="B18" s="40" t="s">
        <v>28</v>
      </c>
      <c r="C18" s="3" t="s">
        <v>102</v>
      </c>
    </row>
    <row r="19" ht="7.5" customHeight="1"/>
    <row r="20">
      <c r="B20" s="8" t="s">
        <v>30</v>
      </c>
      <c r="C20" s="9">
        <f>21.328295625*(C6/70)</f>
        <v>21.32829563</v>
      </c>
      <c r="D20" s="42" t="s">
        <v>9</v>
      </c>
      <c r="E20" s="114"/>
      <c r="F20" s="114"/>
      <c r="G20" s="114"/>
    </row>
    <row r="21" ht="15.75" customHeight="1">
      <c r="B21" s="15" t="s">
        <v>31</v>
      </c>
      <c r="C21" s="16">
        <f>0.447630895833333*(C6/70)</f>
        <v>0.4476308958</v>
      </c>
      <c r="D21" s="17" t="s">
        <v>9</v>
      </c>
      <c r="E21" s="17"/>
      <c r="F21" s="17"/>
      <c r="G21" s="17"/>
    </row>
    <row r="22" ht="15.75" customHeight="1">
      <c r="B22" s="15" t="s">
        <v>32</v>
      </c>
      <c r="C22" s="16">
        <f>2.63312291666667*(C6/70)</f>
        <v>2.633122917</v>
      </c>
      <c r="D22" s="17" t="s">
        <v>9</v>
      </c>
      <c r="E22" s="17"/>
      <c r="F22" s="17"/>
      <c r="G22" s="17"/>
    </row>
    <row r="23" ht="15.75" customHeight="1">
      <c r="B23" s="15" t="s">
        <v>33</v>
      </c>
      <c r="C23" s="16">
        <f>34.4939102083333*(C6/70)</f>
        <v>34.49391021</v>
      </c>
      <c r="D23" s="17" t="s">
        <v>34</v>
      </c>
      <c r="E23" s="17"/>
      <c r="F23" s="17"/>
      <c r="G23" s="17"/>
    </row>
    <row r="24" ht="15.75" customHeight="1">
      <c r="B24" s="15" t="s">
        <v>13</v>
      </c>
      <c r="C24" s="16">
        <f>0.63984886875*(C6/70)</f>
        <v>0.6398488688</v>
      </c>
      <c r="D24" s="24" t="s">
        <v>9</v>
      </c>
      <c r="E24" s="24"/>
      <c r="F24" s="24"/>
      <c r="G24" s="24"/>
    </row>
    <row r="25" ht="8.25" customHeight="1"/>
    <row r="26" ht="15.75" customHeight="1">
      <c r="B26" s="95" t="s">
        <v>140</v>
      </c>
      <c r="C26" s="118" t="s">
        <v>218</v>
      </c>
    </row>
    <row r="27" ht="6.75" customHeight="1">
      <c r="B27" s="11"/>
      <c r="C27" s="7"/>
      <c r="D27" s="11"/>
      <c r="E27" s="11"/>
      <c r="F27" s="11"/>
      <c r="G27" s="11"/>
    </row>
    <row r="28" ht="15.75" customHeight="1">
      <c r="B28" s="8" t="s">
        <v>125</v>
      </c>
      <c r="C28" s="9">
        <f>13.2366666666667*(C6/80)</f>
        <v>11.58208333</v>
      </c>
      <c r="D28" s="114" t="s">
        <v>9</v>
      </c>
      <c r="E28" s="114"/>
      <c r="F28" s="114"/>
      <c r="G28" s="114"/>
    </row>
    <row r="29" ht="15.75" customHeight="1">
      <c r="B29" s="15" t="s">
        <v>31</v>
      </c>
      <c r="C29" s="16">
        <f>0.209*(C6/80)</f>
        <v>0.182875</v>
      </c>
      <c r="D29" s="17" t="s">
        <v>9</v>
      </c>
      <c r="E29" s="17"/>
      <c r="F29" s="17"/>
      <c r="G29" s="17"/>
    </row>
    <row r="30" ht="15.75" customHeight="1">
      <c r="B30" s="15" t="s">
        <v>86</v>
      </c>
      <c r="C30" s="16">
        <f>6.96666666666667*(C6/80)</f>
        <v>6.095833333</v>
      </c>
      <c r="D30" s="17" t="s">
        <v>9</v>
      </c>
      <c r="E30" s="17"/>
      <c r="F30" s="17"/>
      <c r="G30" s="17"/>
    </row>
    <row r="31" ht="15.75" customHeight="1">
      <c r="B31" s="15" t="s">
        <v>13</v>
      </c>
      <c r="C31" s="16">
        <f>0.110352*(C6/80)</f>
        <v>0.096558</v>
      </c>
      <c r="D31" s="24" t="s">
        <v>9</v>
      </c>
      <c r="E31" s="24"/>
      <c r="F31" s="24"/>
      <c r="G31" s="24"/>
    </row>
    <row r="32" ht="8.25" customHeight="1"/>
    <row r="33" ht="15.75" customHeight="1">
      <c r="B33" s="95" t="s">
        <v>126</v>
      </c>
      <c r="C33" s="118" t="s">
        <v>218</v>
      </c>
    </row>
    <row r="34" ht="8.25" customHeight="1">
      <c r="B34" s="11"/>
      <c r="C34" s="7"/>
      <c r="D34" s="11"/>
      <c r="E34" s="11"/>
      <c r="F34" s="11"/>
      <c r="G34" s="11"/>
    </row>
    <row r="35" ht="15.75" customHeight="1">
      <c r="B35" s="8" t="s">
        <v>127</v>
      </c>
      <c r="C35" s="41">
        <f>22*(C6/70)</f>
        <v>22</v>
      </c>
      <c r="D35" s="114" t="s">
        <v>9</v>
      </c>
      <c r="E35" s="114"/>
      <c r="F35" s="114"/>
      <c r="G35" s="114"/>
    </row>
    <row r="36" ht="15.75" customHeight="1">
      <c r="B36" s="15" t="s">
        <v>31</v>
      </c>
      <c r="C36" s="16">
        <f>0.46816*(C6/120)</f>
        <v>0.2730933333</v>
      </c>
      <c r="D36" s="17" t="s">
        <v>9</v>
      </c>
      <c r="E36" s="17"/>
      <c r="F36" s="17"/>
      <c r="G36" s="17"/>
    </row>
    <row r="37" ht="15.75" customHeight="1">
      <c r="B37" s="15" t="s">
        <v>86</v>
      </c>
      <c r="C37" s="43">
        <f>1.7556*(C6/120)</f>
        <v>1.0241</v>
      </c>
      <c r="D37" s="17" t="s">
        <v>9</v>
      </c>
      <c r="E37" s="17"/>
      <c r="F37" s="17"/>
      <c r="G37" s="17"/>
    </row>
    <row r="38" ht="15.75" customHeight="1">
      <c r="B38" s="15" t="s">
        <v>13</v>
      </c>
      <c r="C38" s="16">
        <f>0.36*(C6/120)</f>
        <v>0.21</v>
      </c>
      <c r="D38" s="24" t="s">
        <v>9</v>
      </c>
      <c r="E38" s="24"/>
      <c r="F38" s="24"/>
      <c r="G38" s="24"/>
    </row>
    <row r="39" ht="15.75" customHeight="1"/>
    <row r="40" ht="15.75" customHeight="1">
      <c r="B40" s="38" t="s">
        <v>37</v>
      </c>
      <c r="C40" s="38"/>
    </row>
    <row r="41" ht="15.75" customHeight="1">
      <c r="B41" s="55" t="s">
        <v>38</v>
      </c>
      <c r="C41" s="55">
        <v>20.0</v>
      </c>
    </row>
    <row r="42" ht="15.75" customHeight="1">
      <c r="B42" s="39" t="s">
        <v>216</v>
      </c>
      <c r="C42" s="55">
        <v>110.0</v>
      </c>
    </row>
    <row r="43" ht="15.75" customHeight="1">
      <c r="B43" s="39" t="s">
        <v>30</v>
      </c>
      <c r="C43" s="55">
        <v>240.0</v>
      </c>
    </row>
    <row r="44" ht="15.75" customHeight="1">
      <c r="B44" s="39" t="s">
        <v>140</v>
      </c>
      <c r="C44" s="55">
        <v>275.0</v>
      </c>
    </row>
    <row r="45" ht="15.75" customHeight="1">
      <c r="B45" s="39" t="s">
        <v>127</v>
      </c>
      <c r="C45" s="55">
        <v>310.0</v>
      </c>
    </row>
    <row r="46" ht="15.75" customHeight="1">
      <c r="B46" s="39" t="s">
        <v>219</v>
      </c>
      <c r="C46" s="55">
        <v>420.0</v>
      </c>
    </row>
    <row r="47" ht="15.75" customHeight="1"/>
    <row r="48" ht="15.75" customHeight="1"/>
    <row r="49" ht="15.75" customHeight="1">
      <c r="B49" s="56" t="s">
        <v>41</v>
      </c>
      <c r="C49" s="57" t="s">
        <v>42</v>
      </c>
      <c r="D49" s="58" t="s">
        <v>43</v>
      </c>
      <c r="E49" s="11"/>
      <c r="F49" s="11"/>
    </row>
    <row r="50" ht="15.75" customHeight="1">
      <c r="B50" s="59" t="s">
        <v>44</v>
      </c>
      <c r="C50" s="60">
        <f>423*(C6/70)</f>
        <v>423</v>
      </c>
      <c r="D50" s="61"/>
    </row>
    <row r="51" ht="15.75" customHeight="1"/>
    <row r="52" ht="15.75" customHeight="1"/>
    <row r="53" ht="15.75" customHeight="1">
      <c r="D53" s="62" t="s">
        <v>45</v>
      </c>
      <c r="E53" s="63"/>
      <c r="F53" s="64"/>
      <c r="G53" s="157"/>
    </row>
    <row r="54" ht="15.75" customHeight="1">
      <c r="D54" s="65" t="s">
        <v>46</v>
      </c>
      <c r="E54" s="66"/>
      <c r="F54" s="67"/>
      <c r="G54" s="158"/>
    </row>
    <row r="55" ht="15.75" customHeight="1">
      <c r="D55" s="65" t="s">
        <v>47</v>
      </c>
      <c r="E55" s="66"/>
      <c r="F55" s="67"/>
      <c r="G55" s="158"/>
    </row>
    <row r="56" ht="15.75" customHeight="1">
      <c r="D56" s="65" t="s">
        <v>48</v>
      </c>
      <c r="E56" s="66"/>
      <c r="F56" s="67"/>
      <c r="G56" s="158"/>
    </row>
    <row r="57" ht="15.75" customHeight="1">
      <c r="D57" s="68" t="s">
        <v>49</v>
      </c>
      <c r="E57" s="69"/>
      <c r="F57" s="70"/>
      <c r="G57" s="15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F10:F11"/>
    <mergeCell ref="G10:G11"/>
    <mergeCell ref="B4:B5"/>
    <mergeCell ref="C4:C5"/>
    <mergeCell ref="D4:D5"/>
    <mergeCell ref="E4:E5"/>
    <mergeCell ref="F4:F5"/>
    <mergeCell ref="G4:G5"/>
    <mergeCell ref="E10:E1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0"/>
    <col customWidth="1" min="2" max="2" width="28.57"/>
    <col customWidth="1" min="3" max="3" width="8.71"/>
    <col customWidth="1" min="4" max="4" width="12.14"/>
    <col customWidth="1" min="5" max="7" width="9.57"/>
    <col customWidth="1" min="8" max="8" width="13.0"/>
    <col customWidth="1" min="9" max="9" width="19.43"/>
    <col customWidth="1" min="10" max="26" width="8.71"/>
  </cols>
  <sheetData>
    <row r="1">
      <c r="B1" s="1" t="s">
        <v>220</v>
      </c>
      <c r="C1" s="1"/>
      <c r="D1" s="1"/>
      <c r="E1" s="1"/>
      <c r="F1" s="1"/>
      <c r="G1" s="1"/>
    </row>
    <row r="2">
      <c r="B2" s="1"/>
      <c r="C2" s="1"/>
      <c r="D2" s="3" t="s">
        <v>96</v>
      </c>
      <c r="E2" s="1"/>
      <c r="F2" s="1"/>
      <c r="G2" s="1"/>
      <c r="H2" s="71">
        <f>SUM(C6:C16)</f>
        <v>35.70220588</v>
      </c>
      <c r="I2" s="73">
        <v>357.0</v>
      </c>
    </row>
    <row r="3">
      <c r="B3" s="2"/>
      <c r="C3" s="47"/>
      <c r="D3" s="47"/>
      <c r="E3" s="47"/>
      <c r="F3" s="47"/>
      <c r="G3" s="47"/>
      <c r="I3" s="74">
        <f>H2/I2</f>
        <v>0.1000061789</v>
      </c>
    </row>
    <row r="4" ht="21.75" customHeight="1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 ht="17.25" customHeight="1">
      <c r="B5" s="6"/>
      <c r="C5" s="6"/>
      <c r="D5" s="6"/>
      <c r="E5" s="6"/>
      <c r="F5" s="6"/>
      <c r="G5" s="6"/>
    </row>
    <row r="6">
      <c r="B6" s="203" t="s">
        <v>221</v>
      </c>
      <c r="C6" s="78">
        <v>25.0</v>
      </c>
      <c r="D6" s="41" t="s">
        <v>9</v>
      </c>
      <c r="E6" s="41">
        <f>C6*0.0951</f>
        <v>2.3775</v>
      </c>
      <c r="F6" s="41"/>
      <c r="G6" s="41"/>
    </row>
    <row r="7">
      <c r="B7" s="15" t="s">
        <v>54</v>
      </c>
      <c r="C7" s="16">
        <f>C6*0.065</f>
        <v>1.625</v>
      </c>
      <c r="D7" s="43" t="s">
        <v>80</v>
      </c>
      <c r="E7" s="43"/>
      <c r="F7" s="43"/>
      <c r="G7" s="43"/>
    </row>
    <row r="8">
      <c r="B8" s="15" t="s">
        <v>55</v>
      </c>
      <c r="C8" s="16">
        <f>0.34*(C6/8.5)</f>
        <v>1</v>
      </c>
      <c r="D8" s="43" t="s">
        <v>9</v>
      </c>
      <c r="E8" s="43"/>
      <c r="F8" s="43"/>
      <c r="G8" s="43"/>
    </row>
    <row r="9" ht="16.5" customHeight="1">
      <c r="B9" s="15" t="s">
        <v>56</v>
      </c>
      <c r="C9" s="16">
        <f>0.34*(C6/8.5)</f>
        <v>1</v>
      </c>
      <c r="D9" s="43" t="s">
        <v>9</v>
      </c>
      <c r="E9" s="43"/>
      <c r="F9" s="43"/>
      <c r="G9" s="43"/>
    </row>
    <row r="10" ht="14.25" customHeight="1">
      <c r="B10" s="15" t="s">
        <v>91</v>
      </c>
      <c r="C10" s="16">
        <f>0.6*(C6/8.5)</f>
        <v>1.764705882</v>
      </c>
      <c r="D10" s="43" t="s">
        <v>9</v>
      </c>
      <c r="E10" s="43">
        <v>0.17</v>
      </c>
      <c r="F10" s="43"/>
      <c r="G10" s="43"/>
    </row>
    <row r="11">
      <c r="B11" s="15" t="s">
        <v>16</v>
      </c>
      <c r="C11" s="16">
        <f>1.0625*(C6/8.5)</f>
        <v>3.125</v>
      </c>
      <c r="D11" s="43" t="s">
        <v>9</v>
      </c>
      <c r="E11" s="43"/>
      <c r="F11" s="43"/>
      <c r="G11" s="43"/>
    </row>
    <row r="12">
      <c r="B12" s="15" t="s">
        <v>14</v>
      </c>
      <c r="C12" s="16">
        <f>0.15*(C6/32)</f>
        <v>0.1171875</v>
      </c>
      <c r="D12" s="43" t="s">
        <v>9</v>
      </c>
      <c r="E12" s="43"/>
      <c r="F12" s="43"/>
      <c r="G12" s="43"/>
    </row>
    <row r="13">
      <c r="B13" s="15" t="s">
        <v>60</v>
      </c>
      <c r="C13" s="16">
        <f>0.15*(C6/32)</f>
        <v>0.1171875</v>
      </c>
      <c r="D13" s="43" t="s">
        <v>9</v>
      </c>
      <c r="E13" s="43"/>
      <c r="F13" s="43"/>
      <c r="G13" s="43"/>
    </row>
    <row r="14" ht="18.0" customHeight="1">
      <c r="B14" s="15" t="s">
        <v>61</v>
      </c>
      <c r="C14" s="16">
        <f>0.5525*(C6/8.5)</f>
        <v>1.625</v>
      </c>
      <c r="D14" s="43" t="s">
        <v>9</v>
      </c>
      <c r="E14" s="43"/>
      <c r="F14" s="43"/>
      <c r="G14" s="43"/>
    </row>
    <row r="15" ht="18.0" customHeight="1">
      <c r="B15" s="15" t="s">
        <v>13</v>
      </c>
      <c r="C15" s="16">
        <f>0.1*(C6/32)</f>
        <v>0.078125</v>
      </c>
      <c r="D15" s="43" t="s">
        <v>9</v>
      </c>
      <c r="E15" s="43"/>
      <c r="F15" s="43"/>
      <c r="G15" s="43"/>
    </row>
    <row r="16" ht="17.25" customHeight="1">
      <c r="B16" s="15" t="s">
        <v>62</v>
      </c>
      <c r="C16" s="16">
        <f>0.085*(C6/8.5)</f>
        <v>0.25</v>
      </c>
      <c r="D16" s="43" t="s">
        <v>9</v>
      </c>
      <c r="E16" s="43"/>
      <c r="F16" s="43"/>
      <c r="G16" s="43"/>
    </row>
    <row r="17">
      <c r="B17" s="15" t="s">
        <v>18</v>
      </c>
      <c r="C17" s="16">
        <f>12.3*(C6/48)</f>
        <v>6.40625</v>
      </c>
      <c r="D17" s="43" t="s">
        <v>9</v>
      </c>
      <c r="E17" s="43"/>
      <c r="F17" s="43"/>
      <c r="G17" s="43"/>
    </row>
    <row r="18">
      <c r="E18" s="47"/>
      <c r="F18" s="47"/>
      <c r="G18" s="47"/>
    </row>
    <row r="19" ht="15.0" customHeight="1">
      <c r="B19" s="40" t="s">
        <v>28</v>
      </c>
      <c r="C19" s="3" t="s">
        <v>222</v>
      </c>
    </row>
    <row r="21" ht="15.0" customHeight="1">
      <c r="B21" s="8" t="s">
        <v>30</v>
      </c>
      <c r="C21" s="9">
        <f>13.3*(C6/23.79)</f>
        <v>13.9764607</v>
      </c>
      <c r="D21" s="42" t="s">
        <v>9</v>
      </c>
      <c r="E21" s="204"/>
      <c r="F21" s="204"/>
      <c r="G21" s="204"/>
    </row>
    <row r="22" ht="15.75" customHeight="1">
      <c r="B22" s="15" t="s">
        <v>31</v>
      </c>
      <c r="C22" s="16">
        <f>0.27*(C6/23.79)</f>
        <v>0.2837326608</v>
      </c>
      <c r="D22" s="17" t="s">
        <v>9</v>
      </c>
      <c r="E22" s="43"/>
      <c r="F22" s="43"/>
      <c r="G22" s="43"/>
    </row>
    <row r="23" ht="15.75" customHeight="1">
      <c r="B23" s="15" t="s">
        <v>32</v>
      </c>
      <c r="C23" s="16">
        <f>1.6*(C6/23.79)</f>
        <v>1.681378731</v>
      </c>
      <c r="D23" s="17" t="s">
        <v>9</v>
      </c>
      <c r="E23" s="43"/>
      <c r="F23" s="43"/>
      <c r="G23" s="43"/>
    </row>
    <row r="24" ht="15.75" customHeight="1">
      <c r="B24" s="15" t="s">
        <v>33</v>
      </c>
      <c r="C24" s="16">
        <f>21.36*(C6/23.79)</f>
        <v>22.44640605</v>
      </c>
      <c r="D24" s="17" t="s">
        <v>34</v>
      </c>
      <c r="E24" s="205"/>
      <c r="F24" s="205"/>
      <c r="G24" s="205"/>
    </row>
    <row r="25" ht="15.75" customHeight="1">
      <c r="B25" s="15" t="s">
        <v>13</v>
      </c>
      <c r="C25" s="16">
        <f>0.412*(C6/23.79)</f>
        <v>0.4329550231</v>
      </c>
      <c r="D25" s="24" t="s">
        <v>9</v>
      </c>
      <c r="E25" s="87"/>
      <c r="F25" s="87"/>
      <c r="G25" s="87"/>
    </row>
    <row r="26" ht="15.75" customHeight="1"/>
    <row r="27" ht="15.75" customHeight="1">
      <c r="B27" s="166" t="s">
        <v>223</v>
      </c>
      <c r="C27" s="118" t="s">
        <v>160</v>
      </c>
      <c r="D27" s="166"/>
    </row>
    <row r="28" ht="15.75" customHeight="1">
      <c r="B28" s="2"/>
      <c r="C28" s="75"/>
      <c r="D28" s="47"/>
    </row>
    <row r="29" ht="15.75" customHeight="1">
      <c r="B29" s="4" t="s">
        <v>2</v>
      </c>
      <c r="C29" s="76" t="s">
        <v>3</v>
      </c>
      <c r="D29" s="5" t="s">
        <v>4</v>
      </c>
      <c r="E29" s="5" t="s">
        <v>5</v>
      </c>
      <c r="F29" s="5" t="s">
        <v>5</v>
      </c>
      <c r="G29" s="5" t="s">
        <v>5</v>
      </c>
    </row>
    <row r="30" ht="15.75" customHeight="1">
      <c r="B30" s="167"/>
      <c r="C30" s="168"/>
      <c r="D30" s="164"/>
      <c r="E30" s="6"/>
      <c r="F30" s="6"/>
      <c r="G30" s="6"/>
    </row>
    <row r="31" ht="15.75" customHeight="1">
      <c r="B31" s="8" t="s">
        <v>123</v>
      </c>
      <c r="C31" s="169">
        <f>18.5*(C6/45)</f>
        <v>10.27777778</v>
      </c>
      <c r="D31" s="10" t="s">
        <v>9</v>
      </c>
      <c r="E31" s="41"/>
      <c r="F31" s="41"/>
      <c r="G31" s="41"/>
    </row>
    <row r="32" ht="15.75" customHeight="1">
      <c r="B32" s="15" t="s">
        <v>33</v>
      </c>
      <c r="C32" s="161">
        <f>54.2117647058824*(C6/48)</f>
        <v>28.23529412</v>
      </c>
      <c r="D32" s="17" t="s">
        <v>34</v>
      </c>
      <c r="E32" s="43"/>
      <c r="F32" s="43"/>
      <c r="G32" s="43"/>
    </row>
    <row r="33" ht="15.75" customHeight="1">
      <c r="B33" s="15" t="s">
        <v>31</v>
      </c>
      <c r="C33" s="161">
        <f>0.530597647058824*(C6/48)</f>
        <v>0.2763529412</v>
      </c>
      <c r="D33" s="17" t="s">
        <v>9</v>
      </c>
      <c r="E33" s="43"/>
      <c r="F33" s="43"/>
      <c r="G33" s="43"/>
    </row>
    <row r="34" ht="15.75" customHeight="1">
      <c r="B34" s="15" t="s">
        <v>139</v>
      </c>
      <c r="C34" s="161">
        <f>13.5529411764706*(C6/48)</f>
        <v>7.058823529</v>
      </c>
      <c r="D34" s="17" t="s">
        <v>4</v>
      </c>
      <c r="E34" s="43"/>
      <c r="F34" s="43"/>
      <c r="G34" s="43"/>
    </row>
    <row r="35" ht="15.75" customHeight="1">
      <c r="B35" s="15" t="s">
        <v>81</v>
      </c>
      <c r="C35" s="161">
        <f>0.908047058823529*(C6/48)</f>
        <v>0.4729411765</v>
      </c>
      <c r="D35" s="17" t="s">
        <v>9</v>
      </c>
      <c r="E35" s="43"/>
      <c r="F35" s="43"/>
      <c r="G35" s="43"/>
    </row>
    <row r="36" ht="15.75" customHeight="1">
      <c r="B36" s="15" t="s">
        <v>13</v>
      </c>
      <c r="C36" s="161">
        <f>0.589552941176471*(C6/48)</f>
        <v>0.3070588235</v>
      </c>
      <c r="D36" s="17" t="s">
        <v>9</v>
      </c>
      <c r="E36" s="43"/>
      <c r="F36" s="43"/>
      <c r="G36" s="43"/>
    </row>
    <row r="37" ht="15.75" customHeight="1"/>
    <row r="38" ht="17.25" customHeight="1">
      <c r="B38" s="95" t="s">
        <v>224</v>
      </c>
      <c r="C38" s="118" t="s">
        <v>99</v>
      </c>
    </row>
    <row r="39" ht="15.75" customHeight="1">
      <c r="B39" s="11"/>
      <c r="C39" s="7"/>
      <c r="D39" s="11"/>
    </row>
    <row r="40" ht="15.75" customHeight="1">
      <c r="B40" s="8" t="s">
        <v>225</v>
      </c>
      <c r="C40" s="9">
        <f>43*(C6/45)</f>
        <v>23.88888889</v>
      </c>
      <c r="D40" s="114" t="s">
        <v>9</v>
      </c>
      <c r="E40" s="42">
        <f>6*(C6/45)</f>
        <v>3.333333333</v>
      </c>
      <c r="F40" s="42"/>
      <c r="G40" s="42"/>
    </row>
    <row r="41" ht="15.75" customHeight="1">
      <c r="B41" s="15" t="s">
        <v>31</v>
      </c>
      <c r="C41" s="16">
        <f>0.15*(C6/45)</f>
        <v>0.08333333333</v>
      </c>
      <c r="D41" s="17" t="s">
        <v>9</v>
      </c>
      <c r="E41" s="24"/>
      <c r="F41" s="24"/>
      <c r="G41" s="24"/>
    </row>
    <row r="42" ht="15.75" customHeight="1">
      <c r="B42" s="15" t="s">
        <v>86</v>
      </c>
      <c r="C42" s="16">
        <f>0.4*(C6/45)</f>
        <v>0.2222222222</v>
      </c>
      <c r="D42" s="17" t="s">
        <v>9</v>
      </c>
      <c r="E42" s="24"/>
      <c r="F42" s="24"/>
      <c r="G42" s="24"/>
    </row>
    <row r="43" ht="15.75" customHeight="1">
      <c r="B43" s="15" t="s">
        <v>13</v>
      </c>
      <c r="C43" s="16">
        <f>0.25*(C6/45)</f>
        <v>0.1388888889</v>
      </c>
      <c r="D43" s="24" t="s">
        <v>9</v>
      </c>
      <c r="E43" s="24"/>
      <c r="F43" s="24"/>
      <c r="G43" s="24"/>
    </row>
    <row r="44" ht="15.75" customHeight="1"/>
    <row r="45" ht="15.75" customHeight="1"/>
    <row r="46" ht="15.75" customHeight="1">
      <c r="B46" s="38" t="s">
        <v>37</v>
      </c>
      <c r="C46" s="38"/>
      <c r="D46" s="38"/>
    </row>
    <row r="47" ht="15.75" customHeight="1">
      <c r="B47" s="39" t="s">
        <v>226</v>
      </c>
      <c r="C47" s="55"/>
      <c r="D47" s="55" t="s">
        <v>96</v>
      </c>
    </row>
    <row r="48" ht="15.75" customHeight="1">
      <c r="B48" s="39" t="s">
        <v>18</v>
      </c>
      <c r="C48" s="55"/>
      <c r="D48" s="55" t="s">
        <v>35</v>
      </c>
    </row>
    <row r="49" ht="15.75" customHeight="1"/>
    <row r="50" ht="15.75" customHeight="1">
      <c r="B50" s="56" t="s">
        <v>41</v>
      </c>
      <c r="C50" s="57" t="s">
        <v>42</v>
      </c>
      <c r="D50" s="58" t="s">
        <v>43</v>
      </c>
    </row>
    <row r="51" ht="15.75" customHeight="1">
      <c r="B51" s="59" t="s">
        <v>44</v>
      </c>
      <c r="C51" s="60">
        <f>516*(C6/45)</f>
        <v>286.6666667</v>
      </c>
      <c r="D51" s="61"/>
    </row>
    <row r="52" ht="15.75" customHeight="1"/>
    <row r="53" ht="15.75" customHeight="1"/>
    <row r="54" ht="15.75" customHeight="1">
      <c r="B54" s="38" t="s">
        <v>37</v>
      </c>
      <c r="C54" s="38"/>
    </row>
    <row r="55" ht="15.75" customHeight="1">
      <c r="A55" s="11"/>
      <c r="B55" s="55" t="s">
        <v>38</v>
      </c>
      <c r="C55" s="55">
        <v>20.0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B56" s="39" t="s">
        <v>227</v>
      </c>
      <c r="C56" s="55">
        <v>110.0</v>
      </c>
    </row>
    <row r="57" ht="15.75" customHeight="1">
      <c r="B57" s="39" t="s">
        <v>18</v>
      </c>
      <c r="C57" s="55">
        <v>140.0</v>
      </c>
    </row>
    <row r="58" ht="15.75" customHeight="1">
      <c r="B58" s="39" t="s">
        <v>30</v>
      </c>
      <c r="C58" s="55">
        <v>265.0</v>
      </c>
    </row>
    <row r="59" ht="15.75" customHeight="1">
      <c r="B59" s="39" t="s">
        <v>225</v>
      </c>
      <c r="C59" s="55">
        <v>310.0</v>
      </c>
    </row>
    <row r="60" ht="15.75" customHeight="1">
      <c r="B60" s="39" t="s">
        <v>219</v>
      </c>
      <c r="C60" s="55">
        <v>420.0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F29:F30"/>
    <mergeCell ref="G29:G30"/>
    <mergeCell ref="B4:B5"/>
    <mergeCell ref="C4:C5"/>
    <mergeCell ref="D4:D5"/>
    <mergeCell ref="E4:E5"/>
    <mergeCell ref="F4:F5"/>
    <mergeCell ref="G4:G5"/>
    <mergeCell ref="E29:E3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2.57"/>
    <col customWidth="1" min="3" max="3" width="15.43"/>
    <col customWidth="1" min="4" max="4" width="13.14"/>
    <col customWidth="1" min="5" max="5" width="12.57"/>
    <col customWidth="1" min="6" max="6" width="2.43"/>
    <col customWidth="1" min="7" max="7" width="14.86"/>
    <col customWidth="1" min="8" max="8" width="8.71"/>
    <col customWidth="1" min="9" max="9" width="3.71"/>
    <col customWidth="1" min="10" max="26" width="8.71"/>
  </cols>
  <sheetData>
    <row r="1" ht="23.25" customHeight="1">
      <c r="B1" s="1" t="s">
        <v>228</v>
      </c>
      <c r="C1" s="1"/>
      <c r="D1" s="1"/>
      <c r="E1" s="2"/>
      <c r="F1" s="2"/>
      <c r="G1" s="2"/>
    </row>
    <row r="2">
      <c r="B2" s="1"/>
      <c r="C2" s="1"/>
      <c r="D2" s="3" t="s">
        <v>96</v>
      </c>
      <c r="E2" s="2"/>
      <c r="F2" s="2"/>
      <c r="G2" s="2"/>
    </row>
    <row r="3">
      <c r="B3" s="2"/>
      <c r="C3" s="47"/>
      <c r="D3" s="47"/>
      <c r="E3" s="2"/>
      <c r="F3" s="2"/>
      <c r="G3" s="2"/>
    </row>
    <row r="4">
      <c r="B4" s="4" t="s">
        <v>2</v>
      </c>
      <c r="C4" s="5" t="s">
        <v>3</v>
      </c>
      <c r="D4" s="5" t="s">
        <v>4</v>
      </c>
      <c r="E4" s="2"/>
      <c r="F4" s="2"/>
    </row>
    <row r="5">
      <c r="B5" s="6"/>
      <c r="C5" s="6"/>
      <c r="D5" s="6"/>
      <c r="E5" s="24" t="s">
        <v>51</v>
      </c>
      <c r="F5" s="77"/>
    </row>
    <row r="6">
      <c r="B6" s="8" t="s">
        <v>153</v>
      </c>
      <c r="C6" s="9">
        <v>140.0</v>
      </c>
      <c r="D6" s="10" t="s">
        <v>9</v>
      </c>
      <c r="E6" s="140"/>
      <c r="F6" s="206"/>
    </row>
    <row r="7">
      <c r="B7" s="15" t="s">
        <v>14</v>
      </c>
      <c r="C7" s="16">
        <f>0.12*(C6/10)</f>
        <v>1.68</v>
      </c>
      <c r="D7" s="17" t="s">
        <v>9</v>
      </c>
      <c r="E7" s="140">
        <f>C7*0.1</f>
        <v>0.168</v>
      </c>
      <c r="F7" s="206"/>
      <c r="G7" s="2"/>
    </row>
    <row r="8">
      <c r="B8" s="15" t="s">
        <v>77</v>
      </c>
      <c r="C8" s="16">
        <f>0.05*(C6/10)</f>
        <v>0.7</v>
      </c>
      <c r="D8" s="17" t="s">
        <v>9</v>
      </c>
      <c r="E8" s="140"/>
      <c r="F8" s="206"/>
      <c r="G8" s="2"/>
    </row>
    <row r="9" ht="18.0" customHeight="1">
      <c r="B9" s="15" t="s">
        <v>61</v>
      </c>
      <c r="C9" s="16">
        <f>0.1*(C6/10)</f>
        <v>1.4</v>
      </c>
      <c r="D9" s="25" t="s">
        <v>9</v>
      </c>
      <c r="E9" s="140"/>
      <c r="F9" s="206"/>
      <c r="G9" s="2"/>
    </row>
    <row r="10" ht="19.5" customHeight="1">
      <c r="B10" s="15" t="s">
        <v>86</v>
      </c>
      <c r="C10" s="16">
        <f>0.11*(C6/10)</f>
        <v>1.54</v>
      </c>
      <c r="D10" s="24" t="s">
        <v>9</v>
      </c>
      <c r="E10" s="140"/>
      <c r="F10" s="206"/>
      <c r="G10" s="2"/>
    </row>
    <row r="11">
      <c r="B11" s="15" t="s">
        <v>13</v>
      </c>
      <c r="C11" s="16">
        <f>0.024*(C6/10)</f>
        <v>0.336</v>
      </c>
      <c r="D11" s="24" t="s">
        <v>9</v>
      </c>
      <c r="E11" s="140"/>
      <c r="F11" s="206"/>
      <c r="G11" s="2"/>
    </row>
    <row r="12" ht="17.25" customHeight="1">
      <c r="B12" s="2"/>
      <c r="C12" s="47"/>
      <c r="D12" s="47"/>
      <c r="E12" s="2"/>
      <c r="F12" s="2"/>
      <c r="G12" s="2"/>
    </row>
    <row r="13" ht="21.0" customHeight="1">
      <c r="B13" s="44" t="s">
        <v>229</v>
      </c>
      <c r="C13" s="1"/>
      <c r="D13" s="3" t="s">
        <v>96</v>
      </c>
      <c r="E13" s="2"/>
      <c r="F13" s="2"/>
      <c r="G13" s="2"/>
    </row>
    <row r="14" ht="18.75" customHeight="1">
      <c r="B14" s="46"/>
      <c r="C14" s="47"/>
      <c r="D14" s="47"/>
      <c r="E14" s="2"/>
      <c r="F14" s="2"/>
      <c r="G14" s="2"/>
    </row>
    <row r="15" ht="20.25" customHeight="1">
      <c r="B15" s="137" t="s">
        <v>2</v>
      </c>
      <c r="C15" s="49" t="s">
        <v>3</v>
      </c>
      <c r="D15" s="49" t="s">
        <v>4</v>
      </c>
      <c r="E15" s="2"/>
      <c r="F15" s="2"/>
    </row>
    <row r="16">
      <c r="B16" s="6"/>
      <c r="C16" s="51"/>
      <c r="D16" s="51"/>
      <c r="E16" s="24" t="s">
        <v>51</v>
      </c>
      <c r="F16" s="77"/>
    </row>
    <row r="17">
      <c r="B17" s="12" t="s">
        <v>230</v>
      </c>
      <c r="C17" s="97"/>
      <c r="D17" s="10"/>
      <c r="E17" s="140"/>
      <c r="F17" s="206"/>
      <c r="G17" s="7"/>
    </row>
    <row r="18">
      <c r="B18" s="15" t="s">
        <v>231</v>
      </c>
      <c r="C18" s="98">
        <f>22.572*(C6/70)</f>
        <v>45.144</v>
      </c>
      <c r="D18" s="17" t="s">
        <v>9</v>
      </c>
      <c r="E18" s="140"/>
      <c r="F18" s="206"/>
      <c r="G18" s="2"/>
    </row>
    <row r="19">
      <c r="B19" s="15" t="s">
        <v>14</v>
      </c>
      <c r="C19" s="98">
        <f>0.3267*(C6/70)</f>
        <v>0.6534</v>
      </c>
      <c r="D19" s="17" t="s">
        <v>9</v>
      </c>
      <c r="E19" s="140"/>
      <c r="F19" s="206"/>
      <c r="G19" s="2"/>
    </row>
    <row r="20">
      <c r="B20" s="15" t="s">
        <v>86</v>
      </c>
      <c r="C20" s="98">
        <f>0.4158*(C6/70)</f>
        <v>0.8316</v>
      </c>
      <c r="D20" s="17" t="s">
        <v>9</v>
      </c>
      <c r="E20" s="140"/>
      <c r="F20" s="206"/>
      <c r="G20" s="38" t="s">
        <v>232</v>
      </c>
      <c r="H20" s="38" t="s">
        <v>107</v>
      </c>
    </row>
    <row r="21" ht="15.75" customHeight="1">
      <c r="B21" s="15" t="s">
        <v>13</v>
      </c>
      <c r="C21" s="98">
        <f>0.16038*(C6/70)</f>
        <v>0.32076</v>
      </c>
      <c r="D21" s="17" t="s">
        <v>9</v>
      </c>
      <c r="E21" s="140"/>
      <c r="F21" s="206"/>
      <c r="G21" s="55" t="s">
        <v>233</v>
      </c>
      <c r="H21" s="55">
        <v>60.0</v>
      </c>
    </row>
    <row r="22" ht="15.75" customHeight="1">
      <c r="B22" s="12" t="s">
        <v>24</v>
      </c>
      <c r="C22" s="97"/>
      <c r="D22" s="10"/>
      <c r="E22" s="140"/>
      <c r="F22" s="206"/>
      <c r="G22" s="55" t="s">
        <v>24</v>
      </c>
      <c r="H22" s="55">
        <v>55.0</v>
      </c>
    </row>
    <row r="23" ht="15.75" customHeight="1">
      <c r="B23" s="15" t="s">
        <v>166</v>
      </c>
      <c r="C23" s="98">
        <f>24.1302857142857*(C6/120)</f>
        <v>28.152</v>
      </c>
      <c r="D23" s="17" t="s">
        <v>9</v>
      </c>
      <c r="E23" s="24"/>
      <c r="F23" s="77"/>
      <c r="G23" s="55" t="s">
        <v>21</v>
      </c>
      <c r="H23" s="55">
        <v>5.0</v>
      </c>
    </row>
    <row r="24" ht="15.75" customHeight="1">
      <c r="B24" s="15" t="s">
        <v>69</v>
      </c>
      <c r="C24" s="98">
        <f>0.635446944*(C6/120)</f>
        <v>0.741354768</v>
      </c>
      <c r="D24" s="17" t="s">
        <v>9</v>
      </c>
      <c r="E24" s="140"/>
      <c r="F24" s="206"/>
    </row>
    <row r="25" ht="15.75" customHeight="1">
      <c r="B25" s="15" t="s">
        <v>16</v>
      </c>
      <c r="C25" s="98">
        <f>0.635446944*(C6/120)</f>
        <v>0.741354768</v>
      </c>
      <c r="D25" s="17" t="s">
        <v>9</v>
      </c>
      <c r="E25" s="207">
        <f>C25*0.15</f>
        <v>0.1112032152</v>
      </c>
      <c r="F25" s="206"/>
    </row>
    <row r="26" ht="15.75" customHeight="1">
      <c r="B26" s="15" t="s">
        <v>234</v>
      </c>
      <c r="C26" s="98">
        <f>0.603257142857143*(C6/120)</f>
        <v>0.7038</v>
      </c>
      <c r="D26" s="17" t="s">
        <v>9</v>
      </c>
      <c r="E26" s="140"/>
      <c r="F26" s="206"/>
    </row>
    <row r="27" ht="15.75" customHeight="1">
      <c r="B27" s="15" t="s">
        <v>13</v>
      </c>
      <c r="C27" s="98">
        <f>0.0477779657142857*(C6/120)</f>
        <v>0.05574096</v>
      </c>
      <c r="D27" s="17" t="s">
        <v>9</v>
      </c>
      <c r="E27" s="140"/>
      <c r="F27" s="206"/>
    </row>
    <row r="28" ht="15.75" customHeight="1">
      <c r="B28" s="15" t="s">
        <v>21</v>
      </c>
      <c r="C28" s="98">
        <f>4.77779657142857*(C6/120)</f>
        <v>5.574096</v>
      </c>
      <c r="D28" s="17" t="s">
        <v>9</v>
      </c>
      <c r="E28" s="140"/>
      <c r="F28" s="206"/>
    </row>
    <row r="29" ht="15.75" customHeight="1">
      <c r="B29" s="15" t="s">
        <v>146</v>
      </c>
      <c r="C29" s="98">
        <f>3.61954285714286*(C6/120)</f>
        <v>4.2228</v>
      </c>
      <c r="D29" s="17" t="s">
        <v>9</v>
      </c>
      <c r="E29" s="140"/>
      <c r="F29" s="206"/>
    </row>
    <row r="30" ht="15.75" customHeight="1">
      <c r="B30" s="15" t="s">
        <v>168</v>
      </c>
      <c r="C30" s="98">
        <f>3.61954285714286*(C6/120)</f>
        <v>4.2228</v>
      </c>
      <c r="D30" s="17" t="s">
        <v>9</v>
      </c>
      <c r="E30" s="24"/>
      <c r="F30" s="77"/>
    </row>
    <row r="31" ht="15.75" customHeight="1">
      <c r="B31" s="15" t="s">
        <v>235</v>
      </c>
      <c r="C31" s="98">
        <f>2.65433142857143*(C6/120)</f>
        <v>3.09672</v>
      </c>
      <c r="D31" s="17" t="s">
        <v>9</v>
      </c>
      <c r="E31" s="140"/>
      <c r="F31" s="206"/>
    </row>
    <row r="32" ht="15.75" customHeight="1"/>
    <row r="33" ht="15.75" customHeight="1">
      <c r="B33" s="141" t="s">
        <v>109</v>
      </c>
      <c r="D33" s="87" t="s">
        <v>236</v>
      </c>
    </row>
    <row r="34" ht="15.75" customHeight="1">
      <c r="C34" s="2"/>
    </row>
    <row r="35" ht="15.75" customHeight="1">
      <c r="B35" s="208" t="s">
        <v>2</v>
      </c>
      <c r="C35" s="121" t="s">
        <v>237</v>
      </c>
      <c r="D35" s="209" t="s">
        <v>238</v>
      </c>
      <c r="E35" s="24" t="s">
        <v>51</v>
      </c>
      <c r="F35" s="77"/>
    </row>
    <row r="36" ht="15.75" customHeight="1">
      <c r="B36" s="18" t="s">
        <v>30</v>
      </c>
      <c r="C36" s="142">
        <f>18.4985562749735*(C6/90)</f>
        <v>28.77553198</v>
      </c>
      <c r="D36" s="20" t="s">
        <v>9</v>
      </c>
      <c r="E36" s="140"/>
      <c r="F36" s="206"/>
    </row>
    <row r="37" ht="15.75" customHeight="1">
      <c r="B37" s="143" t="s">
        <v>31</v>
      </c>
      <c r="C37" s="144">
        <f>0.3898224*(C6/90)</f>
        <v>0.6063904</v>
      </c>
      <c r="D37" s="145" t="s">
        <v>9</v>
      </c>
      <c r="E37" s="140"/>
      <c r="F37" s="206"/>
    </row>
    <row r="38" ht="15.75" customHeight="1">
      <c r="B38" s="15" t="s">
        <v>32</v>
      </c>
      <c r="C38" s="16">
        <f>2.21855172327079*(C6/90)</f>
        <v>3.451080458</v>
      </c>
      <c r="D38" s="146" t="s">
        <v>9</v>
      </c>
      <c r="E38" s="140"/>
      <c r="F38" s="206"/>
    </row>
    <row r="39" ht="15.75" customHeight="1">
      <c r="B39" s="15" t="s">
        <v>33</v>
      </c>
      <c r="C39" s="16">
        <f>29.5806896436105*(C6/90)</f>
        <v>46.01440611</v>
      </c>
      <c r="D39" s="146" t="s">
        <v>34</v>
      </c>
      <c r="E39" s="140"/>
      <c r="F39" s="206"/>
    </row>
    <row r="40" ht="15.75" customHeight="1">
      <c r="B40" s="15" t="s">
        <v>13</v>
      </c>
      <c r="C40" s="16">
        <f>0.5716383271646*(C6/90)</f>
        <v>0.8892151756</v>
      </c>
      <c r="D40" s="147" t="s">
        <v>9</v>
      </c>
      <c r="E40" s="140"/>
      <c r="F40" s="206"/>
    </row>
    <row r="41" ht="15.75" customHeight="1">
      <c r="B41" s="36" t="s">
        <v>91</v>
      </c>
      <c r="C41" s="142">
        <f>5.14565568*(C6/90)</f>
        <v>8.00435328</v>
      </c>
      <c r="D41" s="133" t="s">
        <v>9</v>
      </c>
      <c r="E41" s="210">
        <f>C41*0.1</f>
        <v>0.800435328</v>
      </c>
      <c r="F41" s="206"/>
    </row>
    <row r="42" ht="15.75" customHeight="1">
      <c r="B42" s="36" t="s">
        <v>111</v>
      </c>
      <c r="C42" s="142">
        <f>5.14565568*(C6/90)</f>
        <v>8.00435328</v>
      </c>
      <c r="D42" s="133" t="s">
        <v>9</v>
      </c>
      <c r="E42" s="24">
        <v>0.8</v>
      </c>
      <c r="F42" s="77"/>
    </row>
    <row r="43" ht="15.75" customHeight="1">
      <c r="B43" s="36" t="s">
        <v>112</v>
      </c>
      <c r="C43" s="142">
        <f>3.898224*(C6/90)</f>
        <v>6.063904</v>
      </c>
      <c r="D43" s="133" t="s">
        <v>9</v>
      </c>
      <c r="E43" s="24"/>
      <c r="F43" s="77"/>
    </row>
    <row r="44" ht="15.75" customHeight="1">
      <c r="B44" s="36" t="s">
        <v>113</v>
      </c>
      <c r="C44" s="142">
        <f>3.898224*(C6/90)</f>
        <v>6.063904</v>
      </c>
      <c r="D44" s="133" t="s">
        <v>9</v>
      </c>
      <c r="E44" s="24"/>
      <c r="F44" s="77"/>
    </row>
    <row r="45" ht="15.75" customHeight="1">
      <c r="B45" s="36" t="s">
        <v>114</v>
      </c>
      <c r="C45" s="142">
        <f>2.3389344*(C6/90)</f>
        <v>3.6383424</v>
      </c>
      <c r="D45" s="133" t="s">
        <v>9</v>
      </c>
      <c r="E45" s="24"/>
      <c r="F45" s="77"/>
    </row>
    <row r="46" ht="15.75" customHeight="1"/>
    <row r="47" ht="15.75" customHeight="1">
      <c r="B47" s="38" t="s">
        <v>232</v>
      </c>
      <c r="C47" s="38" t="s">
        <v>239</v>
      </c>
    </row>
    <row r="48" ht="15.75" customHeight="1">
      <c r="B48" s="39" t="s">
        <v>240</v>
      </c>
      <c r="C48" s="39">
        <v>20.0</v>
      </c>
    </row>
    <row r="49" ht="15.75" customHeight="1">
      <c r="B49" s="55" t="s">
        <v>153</v>
      </c>
      <c r="C49" s="55">
        <v>140.0</v>
      </c>
    </row>
    <row r="50" ht="15.75" customHeight="1">
      <c r="B50" s="55" t="s">
        <v>30</v>
      </c>
      <c r="C50" s="55">
        <v>300.0</v>
      </c>
    </row>
    <row r="51" ht="15.75" customHeight="1">
      <c r="B51" s="55" t="s">
        <v>233</v>
      </c>
      <c r="C51" s="55">
        <v>360.0</v>
      </c>
    </row>
    <row r="52" ht="15.75" customHeight="1">
      <c r="B52" s="55" t="s">
        <v>24</v>
      </c>
      <c r="C52" s="55">
        <v>415.0</v>
      </c>
    </row>
    <row r="53" ht="15.75" customHeight="1">
      <c r="B53" s="55" t="s">
        <v>21</v>
      </c>
      <c r="C53" s="55">
        <v>420.0</v>
      </c>
    </row>
    <row r="54" ht="15.75" customHeight="1"/>
    <row r="55" ht="15.75" customHeight="1">
      <c r="B55" s="56" t="s">
        <v>41</v>
      </c>
      <c r="C55" s="57" t="s">
        <v>42</v>
      </c>
      <c r="D55" s="58" t="s">
        <v>43</v>
      </c>
      <c r="G55" s="11"/>
      <c r="H55" s="11"/>
      <c r="I55" s="11"/>
    </row>
    <row r="56" ht="15.75" customHeight="1">
      <c r="B56" s="59" t="s">
        <v>44</v>
      </c>
      <c r="C56" s="211">
        <f>507*(C6/120)</f>
        <v>591.5</v>
      </c>
      <c r="D56" s="61"/>
    </row>
    <row r="57" ht="15.75" customHeight="1"/>
    <row r="58" ht="15.75" customHeight="1">
      <c r="E58" s="62" t="s">
        <v>45</v>
      </c>
      <c r="F58" s="63"/>
      <c r="G58" s="63"/>
      <c r="H58" s="63"/>
      <c r="I58" s="64"/>
    </row>
    <row r="59" ht="15.75" customHeight="1">
      <c r="E59" s="65" t="s">
        <v>46</v>
      </c>
      <c r="F59" s="66"/>
      <c r="G59" s="66"/>
      <c r="H59" s="66"/>
      <c r="I59" s="67"/>
    </row>
    <row r="60" ht="15.75" customHeight="1">
      <c r="E60" s="65" t="s">
        <v>47</v>
      </c>
      <c r="F60" s="66"/>
      <c r="G60" s="66"/>
      <c r="H60" s="66"/>
      <c r="I60" s="67"/>
    </row>
    <row r="61" ht="15.75" customHeight="1">
      <c r="E61" s="65" t="s">
        <v>48</v>
      </c>
      <c r="F61" s="66"/>
      <c r="G61" s="66"/>
      <c r="H61" s="66"/>
      <c r="I61" s="67"/>
    </row>
    <row r="62" ht="15.75" customHeight="1">
      <c r="E62" s="68" t="s">
        <v>49</v>
      </c>
      <c r="F62" s="69"/>
      <c r="G62" s="69"/>
      <c r="H62" s="69"/>
      <c r="I62" s="70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4:B5"/>
    <mergeCell ref="C4:C5"/>
    <mergeCell ref="D4:D5"/>
    <mergeCell ref="B15:B1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27.86"/>
    <col customWidth="1" min="3" max="3" width="10.71"/>
    <col customWidth="1" min="4" max="4" width="12.43"/>
    <col customWidth="1" min="5" max="5" width="15.86"/>
    <col customWidth="1" min="6" max="6" width="12.29"/>
    <col customWidth="1" min="7" max="7" width="11.71"/>
    <col customWidth="1" min="8" max="26" width="8.71"/>
  </cols>
  <sheetData>
    <row r="1" ht="23.25" customHeight="1">
      <c r="B1" s="212" t="s">
        <v>241</v>
      </c>
      <c r="C1" s="125"/>
      <c r="D1" s="125"/>
      <c r="E1" s="125"/>
      <c r="F1" s="213"/>
    </row>
    <row r="2" ht="15.0" customHeight="1">
      <c r="B2" s="214"/>
      <c r="C2" s="215"/>
      <c r="D2" s="215"/>
      <c r="E2" s="215"/>
      <c r="F2" s="213"/>
    </row>
    <row r="3" ht="15.0" customHeight="1">
      <c r="B3" s="216" t="s">
        <v>2</v>
      </c>
      <c r="C3" s="217" t="s">
        <v>3</v>
      </c>
      <c r="D3" s="217" t="s">
        <v>4</v>
      </c>
      <c r="E3" s="218"/>
      <c r="F3" s="219" t="s">
        <v>160</v>
      </c>
    </row>
    <row r="4" ht="15.0" customHeight="1">
      <c r="B4" s="6"/>
      <c r="C4" s="6"/>
      <c r="D4" s="6"/>
      <c r="E4" s="220" t="s">
        <v>51</v>
      </c>
      <c r="F4" s="213"/>
    </row>
    <row r="5" ht="15.0" customHeight="1">
      <c r="B5" s="221" t="s">
        <v>242</v>
      </c>
      <c r="C5" s="222"/>
      <c r="D5" s="223"/>
      <c r="E5" s="224"/>
      <c r="F5" s="213"/>
    </row>
    <row r="6" ht="15.0" customHeight="1">
      <c r="B6" s="225" t="s">
        <v>243</v>
      </c>
      <c r="C6" s="226">
        <v>60.0</v>
      </c>
      <c r="D6" s="227" t="s">
        <v>9</v>
      </c>
      <c r="E6" s="228">
        <f>46.5*(C6/36.5)</f>
        <v>76.43835616</v>
      </c>
      <c r="F6" s="229" t="s">
        <v>244</v>
      </c>
      <c r="G6" s="82"/>
    </row>
    <row r="7" ht="15.0" customHeight="1">
      <c r="B7" s="230" t="s">
        <v>13</v>
      </c>
      <c r="C7" s="231">
        <f>0.475*(C6/36.5)</f>
        <v>0.7808219178</v>
      </c>
      <c r="D7" s="232" t="s">
        <v>9</v>
      </c>
      <c r="E7" s="233"/>
      <c r="F7" s="213"/>
      <c r="H7" s="2"/>
    </row>
    <row r="8" ht="15.0" customHeight="1">
      <c r="B8" s="230" t="s">
        <v>60</v>
      </c>
      <c r="C8" s="231">
        <f>0.263461538461538*(C6/36.5)</f>
        <v>0.4330874605</v>
      </c>
      <c r="D8" s="232" t="s">
        <v>9</v>
      </c>
      <c r="E8" s="233"/>
      <c r="F8" s="213"/>
      <c r="H8" s="11"/>
    </row>
    <row r="9" ht="15.0" customHeight="1">
      <c r="B9" s="230" t="s">
        <v>14</v>
      </c>
      <c r="C9" s="231">
        <f>0.348383500557414*(C6/36.5)</f>
        <v>0.5726852064</v>
      </c>
      <c r="D9" s="232" t="s">
        <v>9</v>
      </c>
      <c r="E9" s="233"/>
      <c r="F9" s="213"/>
    </row>
    <row r="10" ht="15.0" customHeight="1">
      <c r="B10" s="230" t="s">
        <v>16</v>
      </c>
      <c r="C10" s="231">
        <f>5.70930880713489*(C6/36.5)</f>
        <v>9.385165162</v>
      </c>
      <c r="D10" s="232" t="s">
        <v>9</v>
      </c>
      <c r="E10" s="233"/>
      <c r="F10" s="213"/>
    </row>
    <row r="11" ht="15.0" customHeight="1">
      <c r="B11" s="230" t="s">
        <v>20</v>
      </c>
      <c r="C11" s="231">
        <f>7*(C6/36.5)</f>
        <v>11.50684932</v>
      </c>
      <c r="D11" s="232" t="s">
        <v>9</v>
      </c>
      <c r="E11" s="234"/>
      <c r="F11" s="213"/>
    </row>
    <row r="12" ht="16.5" customHeight="1">
      <c r="B12" s="230" t="s">
        <v>245</v>
      </c>
      <c r="C12" s="231">
        <f>1.90356744704571*(C6/36.5)</f>
        <v>3.129151968</v>
      </c>
      <c r="D12" s="232" t="s">
        <v>9</v>
      </c>
      <c r="E12" s="233"/>
      <c r="F12" s="213"/>
    </row>
    <row r="13" ht="15.0" customHeight="1">
      <c r="B13" s="230" t="s">
        <v>62</v>
      </c>
      <c r="C13" s="231">
        <f>0.666109253065775*(C6/36.5)</f>
        <v>1.094974115</v>
      </c>
      <c r="D13" s="232" t="s">
        <v>9</v>
      </c>
      <c r="E13" s="233"/>
      <c r="F13" s="213"/>
    </row>
    <row r="14" ht="15.0" customHeight="1">
      <c r="B14" s="230" t="s">
        <v>246</v>
      </c>
      <c r="C14" s="231">
        <f>0.760869565217391*(C6/36.5)</f>
        <v>1.250744491</v>
      </c>
      <c r="D14" s="232" t="s">
        <v>9</v>
      </c>
      <c r="E14" s="235"/>
      <c r="F14" s="213"/>
    </row>
    <row r="15" ht="15.0" customHeight="1">
      <c r="B15" s="230" t="s">
        <v>90</v>
      </c>
      <c r="C15" s="231">
        <f>5.70930880713489*(C6/36.5)</f>
        <v>9.385165162</v>
      </c>
      <c r="D15" s="232" t="s">
        <v>9</v>
      </c>
      <c r="E15" s="233"/>
      <c r="F15" s="213"/>
    </row>
    <row r="16" ht="15.0" customHeight="1">
      <c r="B16" s="230" t="s">
        <v>247</v>
      </c>
      <c r="C16" s="231">
        <f>0.3*(C6/36.5)</f>
        <v>0.4931506849</v>
      </c>
      <c r="D16" s="232" t="s">
        <v>9</v>
      </c>
      <c r="E16" s="235"/>
      <c r="F16" s="213"/>
    </row>
    <row r="17" ht="15.0" customHeight="1">
      <c r="B17" s="236" t="s">
        <v>192</v>
      </c>
      <c r="C17" s="237"/>
      <c r="D17" s="238"/>
      <c r="E17" s="235"/>
      <c r="F17" s="213"/>
    </row>
    <row r="18" ht="15.0" customHeight="1">
      <c r="B18" s="230" t="s">
        <v>16</v>
      </c>
      <c r="C18" s="231">
        <f>3.5*(C6/36.5)</f>
        <v>5.753424658</v>
      </c>
      <c r="D18" s="232" t="s">
        <v>9</v>
      </c>
      <c r="E18" s="239"/>
      <c r="F18" s="213"/>
    </row>
    <row r="19" ht="15.0" customHeight="1">
      <c r="B19" s="230" t="s">
        <v>14</v>
      </c>
      <c r="C19" s="231">
        <f>0.4*(C6/36.5)</f>
        <v>0.6575342466</v>
      </c>
      <c r="D19" s="232" t="s">
        <v>9</v>
      </c>
      <c r="E19" s="234"/>
      <c r="F19" s="213"/>
    </row>
    <row r="20" ht="15.0" customHeight="1">
      <c r="B20" s="230" t="s">
        <v>17</v>
      </c>
      <c r="C20" s="231">
        <f>10*(C6/36.5)</f>
        <v>16.43835616</v>
      </c>
      <c r="D20" s="232" t="s">
        <v>9</v>
      </c>
      <c r="E20" s="239"/>
      <c r="F20" s="213"/>
    </row>
    <row r="21" ht="15.0" customHeight="1">
      <c r="B21" s="230" t="s">
        <v>248</v>
      </c>
      <c r="C21" s="231">
        <f>8*(C6/36.5)</f>
        <v>13.15068493</v>
      </c>
      <c r="D21" s="232" t="s">
        <v>9</v>
      </c>
      <c r="E21" s="234"/>
      <c r="F21" s="213"/>
    </row>
    <row r="22" ht="15.0" customHeight="1">
      <c r="B22" s="230" t="s">
        <v>13</v>
      </c>
      <c r="C22" s="231">
        <f>0.0666126672240803*(C6/36.5)</f>
        <v>0.1095002749</v>
      </c>
      <c r="D22" s="232" t="s">
        <v>9</v>
      </c>
      <c r="E22" s="234"/>
      <c r="F22" s="213"/>
    </row>
    <row r="23" ht="15.0" customHeight="1">
      <c r="B23" s="230" t="s">
        <v>77</v>
      </c>
      <c r="C23" s="231">
        <f>0.079933110367893*(C6/36.5)</f>
        <v>0.1313968938</v>
      </c>
      <c r="D23" s="232" t="s">
        <v>9</v>
      </c>
      <c r="E23" s="234"/>
      <c r="F23" s="213"/>
    </row>
    <row r="24" ht="15.0" customHeight="1">
      <c r="B24" s="230" t="s">
        <v>62</v>
      </c>
      <c r="C24" s="231">
        <f>0.286371237458194*(C6/36.5)</f>
        <v>0.4707472397</v>
      </c>
      <c r="D24" s="232" t="s">
        <v>9</v>
      </c>
      <c r="E24" s="239"/>
      <c r="F24" s="213"/>
    </row>
    <row r="25" ht="15.0" customHeight="1">
      <c r="B25" s="240"/>
      <c r="C25" s="241"/>
      <c r="D25" s="241"/>
      <c r="E25" s="234"/>
      <c r="F25" s="213"/>
    </row>
    <row r="26" ht="15.0" customHeight="1">
      <c r="B26" s="242" t="s">
        <v>249</v>
      </c>
      <c r="C26" s="243"/>
      <c r="D26" s="244"/>
      <c r="E26" s="234"/>
      <c r="F26" s="213"/>
    </row>
    <row r="27" ht="15.0" customHeight="1">
      <c r="B27" s="230" t="s">
        <v>16</v>
      </c>
      <c r="C27" s="231">
        <f>6*(C6/40)</f>
        <v>9</v>
      </c>
      <c r="D27" s="232" t="s">
        <v>9</v>
      </c>
      <c r="E27" s="239"/>
      <c r="F27" s="213"/>
    </row>
    <row r="28" ht="15.0" customHeight="1">
      <c r="B28" s="230" t="s">
        <v>245</v>
      </c>
      <c r="C28" s="231">
        <f>2.25*(C6/40)</f>
        <v>3.375</v>
      </c>
      <c r="D28" s="232" t="s">
        <v>9</v>
      </c>
      <c r="E28" s="239"/>
      <c r="F28" s="213"/>
    </row>
    <row r="29" ht="15.0" customHeight="1">
      <c r="B29" s="230" t="s">
        <v>62</v>
      </c>
      <c r="C29" s="231">
        <f>0.5625*(C6/40)</f>
        <v>0.84375</v>
      </c>
      <c r="D29" s="232" t="s">
        <v>9</v>
      </c>
      <c r="E29" s="239"/>
      <c r="F29" s="213"/>
    </row>
    <row r="30" ht="15.0" customHeight="1">
      <c r="B30" s="230" t="s">
        <v>246</v>
      </c>
      <c r="C30" s="231">
        <f>0.5625*(C6/40)</f>
        <v>0.84375</v>
      </c>
      <c r="D30" s="232" t="s">
        <v>9</v>
      </c>
      <c r="E30" s="239"/>
      <c r="F30" s="213"/>
    </row>
    <row r="31" ht="15.0" customHeight="1">
      <c r="B31" s="230" t="s">
        <v>90</v>
      </c>
      <c r="C31" s="231">
        <f>6*(C6/40)</f>
        <v>9</v>
      </c>
      <c r="D31" s="232" t="s">
        <v>9</v>
      </c>
      <c r="E31" s="239"/>
      <c r="F31" s="213"/>
    </row>
    <row r="32" ht="15.0" customHeight="1">
      <c r="B32" s="230" t="s">
        <v>92</v>
      </c>
      <c r="C32" s="231">
        <f>60*(C6/40)</f>
        <v>90</v>
      </c>
      <c r="D32" s="232" t="s">
        <v>9</v>
      </c>
      <c r="E32" s="239"/>
      <c r="F32" s="213"/>
    </row>
    <row r="33" ht="15.0" customHeight="1">
      <c r="B33" s="213"/>
      <c r="C33" s="213"/>
      <c r="D33" s="213"/>
      <c r="E33" s="213"/>
      <c r="F33" s="213"/>
    </row>
    <row r="34" ht="15.75" customHeight="1">
      <c r="B34" s="245" t="s">
        <v>250</v>
      </c>
      <c r="C34" s="213"/>
      <c r="D34" s="213"/>
      <c r="E34" s="213"/>
      <c r="F34" s="213"/>
    </row>
    <row r="35" ht="15.75" customHeight="1">
      <c r="B35" s="213"/>
      <c r="C35" s="213"/>
      <c r="D35" s="213"/>
      <c r="E35" s="213"/>
      <c r="F35" s="213"/>
    </row>
    <row r="36" ht="15.75" customHeight="1">
      <c r="B36" s="225" t="s">
        <v>251</v>
      </c>
      <c r="C36" s="246">
        <f>5.47945205479452*(C6/40)</f>
        <v>8.219178082</v>
      </c>
      <c r="D36" s="247" t="s">
        <v>9</v>
      </c>
      <c r="E36" s="248"/>
      <c r="F36" s="213"/>
    </row>
    <row r="37" ht="15.75" customHeight="1">
      <c r="B37" s="230" t="s">
        <v>31</v>
      </c>
      <c r="C37" s="231">
        <f>0.376712328767123*(C6/40)</f>
        <v>0.5650684932</v>
      </c>
      <c r="D37" s="249" t="s">
        <v>9</v>
      </c>
      <c r="E37" s="248"/>
      <c r="F37" s="219" t="s">
        <v>25</v>
      </c>
    </row>
    <row r="38" ht="15.75" customHeight="1">
      <c r="B38" s="230" t="s">
        <v>86</v>
      </c>
      <c r="C38" s="231">
        <f>0.821917808219178*(C6/40)</f>
        <v>1.232876712</v>
      </c>
      <c r="D38" s="249" t="s">
        <v>9</v>
      </c>
      <c r="E38" s="248"/>
      <c r="F38" s="250"/>
    </row>
    <row r="39" ht="15.75" customHeight="1">
      <c r="B39" s="230" t="s">
        <v>249</v>
      </c>
      <c r="C39" s="231">
        <f>51.3698630136986*(C6/40)</f>
        <v>77.05479452</v>
      </c>
      <c r="D39" s="249" t="s">
        <v>9</v>
      </c>
      <c r="E39" s="248"/>
      <c r="F39" s="213"/>
    </row>
    <row r="40" ht="15.75" customHeight="1">
      <c r="B40" s="230" t="s">
        <v>13</v>
      </c>
      <c r="C40" s="231">
        <f>0.36986301369863*(C6/40)</f>
        <v>0.5547945205</v>
      </c>
      <c r="D40" s="220" t="s">
        <v>9</v>
      </c>
      <c r="E40" s="248"/>
      <c r="F40" s="213"/>
    </row>
    <row r="41" ht="15.75" customHeight="1">
      <c r="B41" s="230" t="s">
        <v>21</v>
      </c>
      <c r="C41" s="231">
        <f>6.36986301369863*(C6/40)</f>
        <v>9.554794521</v>
      </c>
      <c r="D41" s="220" t="s">
        <v>9</v>
      </c>
      <c r="E41" s="248"/>
      <c r="F41" s="213"/>
    </row>
    <row r="42" ht="15.75" customHeight="1">
      <c r="B42" s="230" t="s">
        <v>69</v>
      </c>
      <c r="C42" s="231">
        <f>1.16438356164384*(C6/40)</f>
        <v>1.746575342</v>
      </c>
      <c r="D42" s="220" t="s">
        <v>9</v>
      </c>
      <c r="E42" s="248"/>
      <c r="F42" s="213"/>
    </row>
    <row r="43" ht="15.75" customHeight="1">
      <c r="B43" s="251" t="s">
        <v>252</v>
      </c>
      <c r="C43" s="213"/>
      <c r="D43" s="213"/>
      <c r="E43" s="213"/>
      <c r="F43" s="213"/>
    </row>
    <row r="44" ht="15.75" customHeight="1">
      <c r="B44" s="213"/>
      <c r="C44" s="213"/>
      <c r="D44" s="213"/>
      <c r="E44" s="220" t="s">
        <v>51</v>
      </c>
      <c r="F44" s="219" t="s">
        <v>253</v>
      </c>
    </row>
    <row r="45" ht="15.75" customHeight="1">
      <c r="B45" s="225" t="s">
        <v>254</v>
      </c>
      <c r="C45" s="246">
        <f>17.5*(C6/36.5)</f>
        <v>28.76712329</v>
      </c>
      <c r="D45" s="247" t="s">
        <v>9</v>
      </c>
      <c r="E45" s="213"/>
      <c r="F45" s="250"/>
    </row>
    <row r="46" ht="15.75" customHeight="1">
      <c r="B46" s="230" t="s">
        <v>31</v>
      </c>
      <c r="C46" s="231">
        <f>0.301003344481605*(C6/36.5)</f>
        <v>0.4948000183</v>
      </c>
      <c r="D46" s="249" t="s">
        <v>9</v>
      </c>
      <c r="E46" s="213"/>
      <c r="F46" s="213"/>
    </row>
    <row r="47" ht="15.75" customHeight="1">
      <c r="B47" s="230" t="s">
        <v>86</v>
      </c>
      <c r="C47" s="231">
        <f>1*(C6/36.5)</f>
        <v>1.643835616</v>
      </c>
      <c r="D47" s="249" t="s">
        <v>9</v>
      </c>
      <c r="E47" s="213"/>
      <c r="F47" s="213"/>
    </row>
    <row r="48" ht="15.75" customHeight="1">
      <c r="B48" s="230" t="s">
        <v>13</v>
      </c>
      <c r="C48" s="231">
        <f>0.2*(C6/36.5)</f>
        <v>0.3287671233</v>
      </c>
      <c r="D48" s="249" t="s">
        <v>9</v>
      </c>
      <c r="E48" s="213"/>
      <c r="F48" s="213"/>
    </row>
    <row r="49" ht="15.75" customHeight="1">
      <c r="B49" s="230" t="s">
        <v>121</v>
      </c>
      <c r="C49" s="231">
        <f>1.5*(C6/36.5)</f>
        <v>2.465753425</v>
      </c>
      <c r="D49" s="249" t="s">
        <v>9</v>
      </c>
      <c r="E49" s="213"/>
      <c r="F49" s="213"/>
    </row>
    <row r="50" ht="9.75" customHeight="1">
      <c r="B50" s="213"/>
      <c r="C50" s="213"/>
      <c r="D50" s="213"/>
      <c r="E50" s="213"/>
      <c r="F50" s="213"/>
    </row>
    <row r="51" ht="15.75" customHeight="1">
      <c r="B51" s="245" t="s">
        <v>28</v>
      </c>
      <c r="C51" s="213"/>
      <c r="D51" s="213"/>
      <c r="E51" s="213"/>
      <c r="F51" s="213"/>
    </row>
    <row r="52" ht="15.75" customHeight="1">
      <c r="B52" s="225" t="s">
        <v>30</v>
      </c>
      <c r="C52" s="246">
        <f>16.0049813200498*(C6/40)</f>
        <v>24.00747198</v>
      </c>
      <c r="D52" s="247" t="s">
        <v>9</v>
      </c>
      <c r="E52" s="213"/>
      <c r="F52" s="213"/>
    </row>
    <row r="53" ht="15.75" customHeight="1">
      <c r="B53" s="230" t="s">
        <v>31</v>
      </c>
      <c r="C53" s="231">
        <f>0.362779576587796*(C6/40)</f>
        <v>0.5441693649</v>
      </c>
      <c r="D53" s="249" t="s">
        <v>9</v>
      </c>
      <c r="E53" s="213"/>
      <c r="F53" s="219" t="s">
        <v>255</v>
      </c>
    </row>
    <row r="54" ht="15.75" customHeight="1">
      <c r="B54" s="230" t="s">
        <v>32</v>
      </c>
      <c r="C54" s="231">
        <f>2.16443364881694*(C6/40)</f>
        <v>3.246650473</v>
      </c>
      <c r="D54" s="249" t="s">
        <v>9</v>
      </c>
      <c r="E54" s="213"/>
      <c r="F54" s="250"/>
    </row>
    <row r="55" ht="15.75" customHeight="1">
      <c r="B55" s="230" t="s">
        <v>33</v>
      </c>
      <c r="C55" s="231">
        <f>28.9178402615193*(C6/40)</f>
        <v>43.37676039</v>
      </c>
      <c r="D55" s="249" t="s">
        <v>34</v>
      </c>
      <c r="E55" s="213"/>
      <c r="F55" s="213"/>
    </row>
    <row r="56" ht="15.75" customHeight="1">
      <c r="B56" s="230" t="s">
        <v>13</v>
      </c>
      <c r="C56" s="231">
        <f>0.543625195516811*(C6/40)</f>
        <v>0.8154377933</v>
      </c>
      <c r="D56" s="220" t="s">
        <v>9</v>
      </c>
      <c r="E56" s="213"/>
      <c r="F56" s="213"/>
    </row>
    <row r="57" ht="15.75" customHeight="1">
      <c r="B57" s="213"/>
      <c r="C57" s="213"/>
      <c r="D57" s="213"/>
      <c r="E57" s="213"/>
      <c r="F57" s="213"/>
    </row>
    <row r="58" ht="15.75" customHeight="1">
      <c r="B58" s="252" t="s">
        <v>100</v>
      </c>
      <c r="C58" s="252" t="s">
        <v>107</v>
      </c>
      <c r="D58" s="213"/>
      <c r="E58" s="213"/>
      <c r="F58" s="213"/>
    </row>
    <row r="59" ht="15.75" customHeight="1">
      <c r="B59" s="253" t="s">
        <v>38</v>
      </c>
      <c r="C59" s="253">
        <v>20.0</v>
      </c>
      <c r="D59" s="213"/>
      <c r="E59" s="213"/>
      <c r="F59" s="213"/>
    </row>
    <row r="60" ht="15.75" customHeight="1">
      <c r="B60" s="253" t="s">
        <v>256</v>
      </c>
      <c r="C60" s="253">
        <v>160.0</v>
      </c>
      <c r="D60" s="213"/>
      <c r="E60" s="254" t="s">
        <v>41</v>
      </c>
      <c r="F60" s="252" t="s">
        <v>42</v>
      </c>
      <c r="G60" s="58" t="s">
        <v>43</v>
      </c>
    </row>
    <row r="61" ht="15.75" customHeight="1">
      <c r="B61" s="253" t="s">
        <v>57</v>
      </c>
      <c r="C61" s="253">
        <v>270.0</v>
      </c>
      <c r="D61" s="213"/>
      <c r="E61" s="255" t="s">
        <v>44</v>
      </c>
      <c r="F61" s="250">
        <f>380*(C6/40)</f>
        <v>570</v>
      </c>
      <c r="G61" s="61"/>
    </row>
    <row r="62" ht="15.75" customHeight="1">
      <c r="B62" s="253" t="s">
        <v>30</v>
      </c>
      <c r="C62" s="253">
        <v>370.0</v>
      </c>
      <c r="D62" s="213"/>
      <c r="E62" s="213"/>
      <c r="F62" s="213"/>
    </row>
    <row r="63" ht="15.75" customHeight="1">
      <c r="B63" s="253" t="s">
        <v>254</v>
      </c>
      <c r="C63" s="253">
        <v>420.0</v>
      </c>
      <c r="D63" s="213"/>
      <c r="E63" s="213"/>
      <c r="F63" s="213"/>
    </row>
    <row r="64" ht="15.75" customHeight="1">
      <c r="B64" s="213"/>
      <c r="C64" s="213"/>
      <c r="D64" s="213"/>
      <c r="E64" s="213"/>
      <c r="F64" s="213"/>
    </row>
    <row r="65" ht="15.75" customHeight="1">
      <c r="B65" s="213"/>
      <c r="C65" s="213"/>
      <c r="D65" s="256" t="s">
        <v>45</v>
      </c>
      <c r="E65" s="257"/>
      <c r="F65" s="257"/>
      <c r="G65" s="64"/>
    </row>
    <row r="66" ht="15.75" customHeight="1">
      <c r="B66" s="213"/>
      <c r="C66" s="213"/>
      <c r="D66" s="258" t="s">
        <v>46</v>
      </c>
      <c r="E66" s="259"/>
      <c r="F66" s="259"/>
      <c r="G66" s="67"/>
    </row>
    <row r="67" ht="15.75" customHeight="1">
      <c r="B67" s="213"/>
      <c r="C67" s="213"/>
      <c r="D67" s="258" t="s">
        <v>47</v>
      </c>
      <c r="E67" s="259"/>
      <c r="F67" s="259"/>
      <c r="G67" s="67"/>
    </row>
    <row r="68" ht="15.75" customHeight="1">
      <c r="B68" s="213"/>
      <c r="C68" s="213"/>
      <c r="D68" s="258" t="s">
        <v>48</v>
      </c>
      <c r="E68" s="259"/>
      <c r="F68" s="259"/>
      <c r="G68" s="67"/>
    </row>
    <row r="69" ht="15.75" customHeight="1">
      <c r="B69" s="213"/>
      <c r="C69" s="213"/>
      <c r="D69" s="260" t="s">
        <v>49</v>
      </c>
      <c r="E69" s="261"/>
      <c r="F69" s="261"/>
      <c r="G69" s="70"/>
    </row>
    <row r="70" ht="15.75" customHeight="1">
      <c r="B70" s="213"/>
      <c r="C70" s="213"/>
      <c r="D70" s="213"/>
      <c r="E70" s="213"/>
      <c r="F70" s="213"/>
    </row>
    <row r="71" ht="15.75" customHeight="1">
      <c r="B71" s="213"/>
      <c r="C71" s="213"/>
      <c r="D71" s="213"/>
      <c r="E71" s="213"/>
      <c r="F71" s="213"/>
    </row>
    <row r="72" ht="15.75" customHeight="1">
      <c r="B72" s="213"/>
      <c r="C72" s="213"/>
      <c r="D72" s="213"/>
      <c r="E72" s="213"/>
      <c r="F72" s="213"/>
    </row>
    <row r="73" ht="15.75" customHeight="1">
      <c r="B73" s="213"/>
      <c r="C73" s="213"/>
      <c r="D73" s="213"/>
      <c r="E73" s="213"/>
      <c r="F73" s="213"/>
    </row>
    <row r="74" ht="15.75" customHeight="1">
      <c r="B74" s="213"/>
      <c r="C74" s="213"/>
      <c r="D74" s="213"/>
      <c r="E74" s="213"/>
      <c r="F74" s="213"/>
    </row>
    <row r="75" ht="15.75" customHeight="1">
      <c r="B75" s="213"/>
      <c r="C75" s="213"/>
      <c r="D75" s="213"/>
      <c r="E75" s="213"/>
      <c r="F75" s="213"/>
    </row>
    <row r="76" ht="15.75" customHeight="1">
      <c r="B76" s="213"/>
      <c r="C76" s="213"/>
      <c r="D76" s="213"/>
      <c r="E76" s="213"/>
      <c r="F76" s="213"/>
    </row>
    <row r="77" ht="15.75" customHeight="1">
      <c r="B77" s="213"/>
      <c r="C77" s="213"/>
      <c r="D77" s="213"/>
      <c r="E77" s="213"/>
      <c r="F77" s="213"/>
    </row>
    <row r="78" ht="15.75" customHeight="1">
      <c r="B78" s="213"/>
      <c r="C78" s="213"/>
      <c r="D78" s="213"/>
      <c r="E78" s="213"/>
      <c r="F78" s="213"/>
    </row>
    <row r="79" ht="15.75" customHeight="1">
      <c r="B79" s="213"/>
      <c r="C79" s="213"/>
      <c r="D79" s="213"/>
      <c r="E79" s="213"/>
      <c r="F79" s="213"/>
    </row>
    <row r="80" ht="15.75" customHeight="1">
      <c r="B80" s="213"/>
      <c r="C80" s="213"/>
      <c r="D80" s="213"/>
      <c r="E80" s="213"/>
      <c r="F80" s="213"/>
    </row>
    <row r="81" ht="15.75" customHeight="1">
      <c r="B81" s="213"/>
      <c r="C81" s="213"/>
      <c r="D81" s="213"/>
      <c r="E81" s="213"/>
      <c r="F81" s="213"/>
    </row>
    <row r="82" ht="15.75" customHeight="1">
      <c r="B82" s="213"/>
      <c r="C82" s="213"/>
      <c r="D82" s="213"/>
      <c r="E82" s="213"/>
      <c r="F82" s="213"/>
    </row>
    <row r="83" ht="15.75" customHeight="1">
      <c r="B83" s="213"/>
      <c r="C83" s="213"/>
      <c r="D83" s="213"/>
      <c r="E83" s="213"/>
      <c r="F83" s="213"/>
    </row>
    <row r="84" ht="15.75" customHeight="1">
      <c r="B84" s="213"/>
      <c r="C84" s="213"/>
      <c r="D84" s="213"/>
      <c r="E84" s="213"/>
      <c r="F84" s="213"/>
    </row>
    <row r="85" ht="15.75" customHeight="1">
      <c r="B85" s="213"/>
      <c r="C85" s="213"/>
      <c r="D85" s="213"/>
      <c r="E85" s="213"/>
      <c r="F85" s="213"/>
    </row>
    <row r="86" ht="15.75" customHeight="1">
      <c r="B86" s="213"/>
      <c r="C86" s="213"/>
      <c r="D86" s="213"/>
      <c r="E86" s="213"/>
      <c r="F86" s="213"/>
    </row>
    <row r="87" ht="15.75" customHeight="1">
      <c r="B87" s="213"/>
      <c r="C87" s="213"/>
      <c r="D87" s="213"/>
      <c r="E87" s="213"/>
      <c r="F87" s="213"/>
    </row>
    <row r="88" ht="15.75" customHeight="1">
      <c r="B88" s="213"/>
      <c r="C88" s="213"/>
      <c r="D88" s="213"/>
      <c r="E88" s="213"/>
      <c r="F88" s="213"/>
    </row>
    <row r="89" ht="15.75" customHeight="1">
      <c r="B89" s="213"/>
      <c r="C89" s="213"/>
      <c r="D89" s="213"/>
      <c r="E89" s="213"/>
      <c r="F89" s="213"/>
    </row>
    <row r="90" ht="15.75" customHeight="1">
      <c r="B90" s="213"/>
      <c r="C90" s="213"/>
      <c r="D90" s="213"/>
      <c r="E90" s="213"/>
      <c r="F90" s="213"/>
    </row>
    <row r="91" ht="15.75" customHeight="1">
      <c r="B91" s="213"/>
      <c r="C91" s="213"/>
      <c r="D91" s="213"/>
      <c r="E91" s="213"/>
      <c r="F91" s="213"/>
    </row>
    <row r="92" ht="15.75" customHeight="1">
      <c r="B92" s="213"/>
      <c r="C92" s="213"/>
      <c r="D92" s="213"/>
      <c r="E92" s="213"/>
      <c r="F92" s="213"/>
    </row>
    <row r="93" ht="15.75" customHeight="1">
      <c r="B93" s="213"/>
      <c r="C93" s="213"/>
      <c r="D93" s="213"/>
      <c r="E93" s="213"/>
      <c r="F93" s="213"/>
    </row>
    <row r="94" ht="15.75" customHeight="1">
      <c r="B94" s="213"/>
      <c r="C94" s="213"/>
      <c r="D94" s="213"/>
      <c r="E94" s="213"/>
      <c r="F94" s="213"/>
    </row>
    <row r="95" ht="15.75" customHeight="1">
      <c r="B95" s="213"/>
      <c r="C95" s="213"/>
      <c r="D95" s="213"/>
      <c r="E95" s="213"/>
      <c r="F95" s="213"/>
    </row>
    <row r="96" ht="15.75" customHeight="1">
      <c r="B96" s="213"/>
      <c r="C96" s="213"/>
      <c r="D96" s="213"/>
      <c r="E96" s="213"/>
      <c r="F96" s="213"/>
    </row>
    <row r="97" ht="15.75" customHeight="1">
      <c r="B97" s="213"/>
      <c r="C97" s="213"/>
      <c r="D97" s="213"/>
      <c r="E97" s="213"/>
      <c r="F97" s="213"/>
    </row>
    <row r="98" ht="15.75" customHeight="1">
      <c r="B98" s="213"/>
      <c r="C98" s="213"/>
      <c r="D98" s="213"/>
      <c r="E98" s="213"/>
      <c r="F98" s="213"/>
    </row>
    <row r="99" ht="15.75" customHeight="1">
      <c r="B99" s="213"/>
      <c r="C99" s="213"/>
      <c r="D99" s="213"/>
      <c r="E99" s="213"/>
      <c r="F99" s="213"/>
    </row>
    <row r="100" ht="15.75" customHeight="1">
      <c r="B100" s="213"/>
      <c r="C100" s="213"/>
      <c r="D100" s="213"/>
      <c r="E100" s="213"/>
      <c r="F100" s="213"/>
    </row>
    <row r="101" ht="15.75" customHeight="1">
      <c r="B101" s="213"/>
      <c r="C101" s="213"/>
      <c r="D101" s="213"/>
      <c r="E101" s="213"/>
      <c r="F101" s="213"/>
    </row>
    <row r="102" ht="15.75" customHeight="1">
      <c r="B102" s="213"/>
      <c r="C102" s="213"/>
      <c r="D102" s="213"/>
      <c r="E102" s="213"/>
      <c r="F102" s="213"/>
    </row>
    <row r="103" ht="15.75" customHeight="1">
      <c r="B103" s="213"/>
      <c r="C103" s="213"/>
      <c r="D103" s="213"/>
      <c r="E103" s="213"/>
      <c r="F103" s="213"/>
    </row>
    <row r="104" ht="15.75" customHeight="1">
      <c r="B104" s="213"/>
      <c r="C104" s="213"/>
      <c r="D104" s="213"/>
      <c r="E104" s="213"/>
      <c r="F104" s="213"/>
    </row>
    <row r="105" ht="15.75" customHeight="1">
      <c r="B105" s="213"/>
      <c r="C105" s="213"/>
      <c r="D105" s="213"/>
      <c r="E105" s="213"/>
      <c r="F105" s="213"/>
    </row>
    <row r="106" ht="15.75" customHeight="1">
      <c r="B106" s="213"/>
      <c r="C106" s="213"/>
      <c r="D106" s="213"/>
      <c r="E106" s="213"/>
      <c r="F106" s="213"/>
    </row>
    <row r="107" ht="15.75" customHeight="1">
      <c r="B107" s="213"/>
      <c r="C107" s="213"/>
      <c r="D107" s="213"/>
      <c r="E107" s="213"/>
      <c r="F107" s="213"/>
    </row>
    <row r="108" ht="15.75" customHeight="1">
      <c r="B108" s="213"/>
      <c r="C108" s="213"/>
      <c r="D108" s="213"/>
      <c r="E108" s="213"/>
      <c r="F108" s="213"/>
    </row>
    <row r="109" ht="15.75" customHeight="1">
      <c r="B109" s="213"/>
      <c r="C109" s="213"/>
      <c r="D109" s="213"/>
      <c r="E109" s="213"/>
      <c r="F109" s="213"/>
    </row>
    <row r="110" ht="15.75" customHeight="1">
      <c r="B110" s="213"/>
      <c r="C110" s="213"/>
      <c r="D110" s="213"/>
      <c r="E110" s="213"/>
      <c r="F110" s="213"/>
    </row>
    <row r="111" ht="15.75" customHeight="1">
      <c r="B111" s="213"/>
      <c r="C111" s="213"/>
      <c r="D111" s="213"/>
      <c r="E111" s="213"/>
      <c r="F111" s="213"/>
    </row>
    <row r="112" ht="15.75" customHeight="1">
      <c r="B112" s="213"/>
      <c r="C112" s="213"/>
      <c r="D112" s="213"/>
      <c r="E112" s="213"/>
      <c r="F112" s="213"/>
    </row>
    <row r="113" ht="15.75" customHeight="1">
      <c r="B113" s="213"/>
      <c r="C113" s="213"/>
      <c r="D113" s="213"/>
      <c r="E113" s="213"/>
      <c r="F113" s="213"/>
    </row>
    <row r="114" ht="15.75" customHeight="1">
      <c r="B114" s="213"/>
      <c r="C114" s="213"/>
      <c r="D114" s="213"/>
      <c r="E114" s="213"/>
      <c r="F114" s="213"/>
    </row>
    <row r="115" ht="15.75" customHeight="1">
      <c r="B115" s="213"/>
      <c r="C115" s="213"/>
      <c r="D115" s="213"/>
      <c r="E115" s="213"/>
      <c r="F115" s="213"/>
    </row>
    <row r="116" ht="15.75" customHeight="1">
      <c r="B116" s="213"/>
      <c r="C116" s="213"/>
      <c r="D116" s="213"/>
      <c r="E116" s="213"/>
      <c r="F116" s="213"/>
    </row>
    <row r="117" ht="15.75" customHeight="1">
      <c r="B117" s="213"/>
      <c r="C117" s="213"/>
      <c r="D117" s="213"/>
      <c r="E117" s="213"/>
      <c r="F117" s="213"/>
    </row>
    <row r="118" ht="15.75" customHeight="1">
      <c r="B118" s="213"/>
      <c r="C118" s="213"/>
      <c r="D118" s="213"/>
      <c r="E118" s="213"/>
      <c r="F118" s="213"/>
    </row>
    <row r="119" ht="15.75" customHeight="1">
      <c r="B119" s="213"/>
      <c r="C119" s="213"/>
      <c r="D119" s="213"/>
      <c r="E119" s="213"/>
      <c r="F119" s="213"/>
    </row>
    <row r="120" ht="15.75" customHeight="1">
      <c r="B120" s="213"/>
      <c r="C120" s="213"/>
      <c r="D120" s="213"/>
      <c r="E120" s="213"/>
      <c r="F120" s="213"/>
    </row>
    <row r="121" ht="15.75" customHeight="1">
      <c r="B121" s="213"/>
      <c r="C121" s="213"/>
      <c r="D121" s="213"/>
      <c r="E121" s="213"/>
      <c r="F121" s="213"/>
    </row>
    <row r="122" ht="15.75" customHeight="1">
      <c r="B122" s="213"/>
      <c r="C122" s="213"/>
      <c r="D122" s="213"/>
      <c r="E122" s="213"/>
      <c r="F122" s="213"/>
    </row>
    <row r="123" ht="15.75" customHeight="1">
      <c r="B123" s="213"/>
      <c r="C123" s="213"/>
      <c r="D123" s="213"/>
      <c r="E123" s="213"/>
      <c r="F123" s="213"/>
    </row>
    <row r="124" ht="15.75" customHeight="1">
      <c r="B124" s="213"/>
      <c r="C124" s="213"/>
      <c r="D124" s="213"/>
      <c r="E124" s="213"/>
      <c r="F124" s="213"/>
    </row>
    <row r="125" ht="15.75" customHeight="1">
      <c r="B125" s="213"/>
      <c r="C125" s="213"/>
      <c r="D125" s="213"/>
      <c r="E125" s="213"/>
      <c r="F125" s="213"/>
    </row>
    <row r="126" ht="15.75" customHeight="1">
      <c r="B126" s="213"/>
      <c r="C126" s="213"/>
      <c r="D126" s="213"/>
      <c r="E126" s="213"/>
      <c r="F126" s="213"/>
    </row>
    <row r="127" ht="15.75" customHeight="1">
      <c r="B127" s="213"/>
      <c r="C127" s="213"/>
      <c r="D127" s="213"/>
      <c r="E127" s="213"/>
      <c r="F127" s="213"/>
    </row>
    <row r="128" ht="15.75" customHeight="1">
      <c r="B128" s="213"/>
      <c r="C128" s="213"/>
      <c r="D128" s="213"/>
      <c r="E128" s="213"/>
      <c r="F128" s="213"/>
    </row>
    <row r="129" ht="15.75" customHeight="1">
      <c r="B129" s="213"/>
      <c r="C129" s="213"/>
      <c r="D129" s="213"/>
      <c r="E129" s="213"/>
      <c r="F129" s="213"/>
    </row>
    <row r="130" ht="15.75" customHeight="1">
      <c r="B130" s="213"/>
      <c r="C130" s="213"/>
      <c r="D130" s="213"/>
      <c r="E130" s="213"/>
      <c r="F130" s="213"/>
    </row>
    <row r="131" ht="15.75" customHeight="1">
      <c r="B131" s="213"/>
      <c r="C131" s="213"/>
      <c r="D131" s="213"/>
      <c r="E131" s="213"/>
      <c r="F131" s="213"/>
    </row>
    <row r="132" ht="15.75" customHeight="1">
      <c r="B132" s="213"/>
      <c r="C132" s="213"/>
      <c r="D132" s="213"/>
      <c r="E132" s="213"/>
      <c r="F132" s="213"/>
    </row>
    <row r="133" ht="15.75" customHeight="1">
      <c r="B133" s="213"/>
      <c r="C133" s="213"/>
      <c r="D133" s="213"/>
      <c r="E133" s="213"/>
      <c r="F133" s="213"/>
    </row>
    <row r="134" ht="15.75" customHeight="1">
      <c r="B134" s="213"/>
      <c r="C134" s="213"/>
      <c r="D134" s="213"/>
      <c r="E134" s="213"/>
      <c r="F134" s="213"/>
    </row>
    <row r="135" ht="15.75" customHeight="1">
      <c r="B135" s="213"/>
      <c r="C135" s="213"/>
      <c r="D135" s="213"/>
      <c r="E135" s="213"/>
      <c r="F135" s="213"/>
    </row>
    <row r="136" ht="15.75" customHeight="1">
      <c r="B136" s="213"/>
      <c r="C136" s="213"/>
      <c r="D136" s="213"/>
      <c r="E136" s="213"/>
      <c r="F136" s="213"/>
    </row>
    <row r="137" ht="15.75" customHeight="1">
      <c r="B137" s="213"/>
      <c r="C137" s="213"/>
      <c r="D137" s="213"/>
      <c r="E137" s="213"/>
      <c r="F137" s="213"/>
    </row>
    <row r="138" ht="15.75" customHeight="1">
      <c r="B138" s="213"/>
      <c r="C138" s="213"/>
      <c r="D138" s="213"/>
      <c r="E138" s="213"/>
      <c r="F138" s="213"/>
    </row>
    <row r="139" ht="15.75" customHeight="1">
      <c r="B139" s="213"/>
      <c r="C139" s="213"/>
      <c r="D139" s="213"/>
      <c r="E139" s="213"/>
      <c r="F139" s="213"/>
    </row>
    <row r="140" ht="15.75" customHeight="1">
      <c r="B140" s="213"/>
      <c r="C140" s="213"/>
      <c r="D140" s="213"/>
      <c r="E140" s="213"/>
      <c r="F140" s="213"/>
    </row>
    <row r="141" ht="15.75" customHeight="1">
      <c r="B141" s="213"/>
      <c r="C141" s="213"/>
      <c r="D141" s="213"/>
      <c r="E141" s="213"/>
      <c r="F141" s="213"/>
    </row>
    <row r="142" ht="15.75" customHeight="1">
      <c r="B142" s="213"/>
      <c r="C142" s="213"/>
      <c r="D142" s="213"/>
      <c r="E142" s="213"/>
      <c r="F142" s="213"/>
    </row>
    <row r="143" ht="15.75" customHeight="1">
      <c r="B143" s="213"/>
      <c r="C143" s="213"/>
      <c r="D143" s="213"/>
      <c r="E143" s="213"/>
      <c r="F143" s="213"/>
    </row>
    <row r="144" ht="15.75" customHeight="1">
      <c r="B144" s="213"/>
      <c r="C144" s="213"/>
      <c r="D144" s="213"/>
      <c r="E144" s="213"/>
      <c r="F144" s="213"/>
    </row>
    <row r="145" ht="15.75" customHeight="1">
      <c r="B145" s="213"/>
      <c r="C145" s="213"/>
      <c r="D145" s="213"/>
      <c r="E145" s="213"/>
      <c r="F145" s="213"/>
    </row>
    <row r="146" ht="15.75" customHeight="1">
      <c r="B146" s="213"/>
      <c r="C146" s="213"/>
      <c r="D146" s="213"/>
      <c r="E146" s="213"/>
      <c r="F146" s="213"/>
    </row>
    <row r="147" ht="15.75" customHeight="1">
      <c r="B147" s="213"/>
      <c r="C147" s="213"/>
      <c r="D147" s="213"/>
      <c r="E147" s="213"/>
      <c r="F147" s="213"/>
    </row>
    <row r="148" ht="15.75" customHeight="1">
      <c r="B148" s="213"/>
      <c r="C148" s="213"/>
      <c r="D148" s="213"/>
      <c r="E148" s="213"/>
      <c r="F148" s="213"/>
    </row>
    <row r="149" ht="15.75" customHeight="1">
      <c r="B149" s="213"/>
      <c r="C149" s="213"/>
      <c r="D149" s="213"/>
      <c r="E149" s="213"/>
      <c r="F149" s="213"/>
    </row>
    <row r="150" ht="15.75" customHeight="1">
      <c r="B150" s="213"/>
      <c r="C150" s="213"/>
      <c r="D150" s="213"/>
      <c r="E150" s="213"/>
      <c r="F150" s="213"/>
    </row>
    <row r="151" ht="15.75" customHeight="1">
      <c r="B151" s="213"/>
      <c r="C151" s="213"/>
      <c r="D151" s="213"/>
      <c r="E151" s="213"/>
      <c r="F151" s="213"/>
    </row>
    <row r="152" ht="15.75" customHeight="1">
      <c r="B152" s="213"/>
      <c r="C152" s="213"/>
      <c r="D152" s="213"/>
      <c r="E152" s="213"/>
      <c r="F152" s="213"/>
    </row>
    <row r="153" ht="15.75" customHeight="1">
      <c r="B153" s="213"/>
      <c r="C153" s="213"/>
      <c r="D153" s="213"/>
      <c r="E153" s="213"/>
      <c r="F153" s="213"/>
    </row>
    <row r="154" ht="15.75" customHeight="1">
      <c r="B154" s="213"/>
      <c r="C154" s="213"/>
      <c r="D154" s="213"/>
      <c r="E154" s="213"/>
      <c r="F154" s="213"/>
    </row>
    <row r="155" ht="15.75" customHeight="1">
      <c r="B155" s="213"/>
      <c r="C155" s="213"/>
      <c r="D155" s="213"/>
      <c r="E155" s="213"/>
      <c r="F155" s="213"/>
    </row>
    <row r="156" ht="15.75" customHeight="1">
      <c r="B156" s="213"/>
      <c r="C156" s="213"/>
      <c r="D156" s="213"/>
      <c r="E156" s="213"/>
      <c r="F156" s="213"/>
    </row>
    <row r="157" ht="15.75" customHeight="1">
      <c r="B157" s="213"/>
      <c r="C157" s="213"/>
      <c r="D157" s="213"/>
      <c r="E157" s="213"/>
      <c r="F157" s="213"/>
    </row>
    <row r="158" ht="15.75" customHeight="1">
      <c r="B158" s="213"/>
      <c r="C158" s="213"/>
      <c r="D158" s="213"/>
      <c r="E158" s="213"/>
      <c r="F158" s="213"/>
    </row>
    <row r="159" ht="15.75" customHeight="1">
      <c r="B159" s="213"/>
      <c r="C159" s="213"/>
      <c r="D159" s="213"/>
      <c r="E159" s="213"/>
      <c r="F159" s="213"/>
    </row>
    <row r="160" ht="15.75" customHeight="1">
      <c r="B160" s="213"/>
      <c r="C160" s="213"/>
      <c r="D160" s="213"/>
      <c r="E160" s="213"/>
      <c r="F160" s="213"/>
    </row>
    <row r="161" ht="15.75" customHeight="1">
      <c r="B161" s="213"/>
      <c r="C161" s="213"/>
      <c r="D161" s="213"/>
      <c r="E161" s="213"/>
      <c r="F161" s="213"/>
    </row>
    <row r="162" ht="15.75" customHeight="1">
      <c r="B162" s="213"/>
      <c r="C162" s="213"/>
      <c r="D162" s="213"/>
      <c r="E162" s="213"/>
      <c r="F162" s="213"/>
    </row>
    <row r="163" ht="15.75" customHeight="1">
      <c r="B163" s="213"/>
      <c r="C163" s="213"/>
      <c r="D163" s="213"/>
      <c r="E163" s="213"/>
      <c r="F163" s="213"/>
    </row>
    <row r="164" ht="15.75" customHeight="1">
      <c r="B164" s="213"/>
      <c r="C164" s="213"/>
      <c r="D164" s="213"/>
      <c r="E164" s="213"/>
      <c r="F164" s="213"/>
    </row>
    <row r="165" ht="15.75" customHeight="1">
      <c r="B165" s="213"/>
      <c r="C165" s="213"/>
      <c r="D165" s="213"/>
      <c r="E165" s="213"/>
      <c r="F165" s="213"/>
    </row>
    <row r="166" ht="15.75" customHeight="1">
      <c r="B166" s="213"/>
      <c r="C166" s="213"/>
      <c r="D166" s="213"/>
      <c r="E166" s="213"/>
      <c r="F166" s="213"/>
    </row>
    <row r="167" ht="15.75" customHeight="1">
      <c r="B167" s="213"/>
      <c r="C167" s="213"/>
      <c r="D167" s="213"/>
      <c r="E167" s="213"/>
      <c r="F167" s="213"/>
    </row>
    <row r="168" ht="15.75" customHeight="1">
      <c r="B168" s="213"/>
      <c r="C168" s="213"/>
      <c r="D168" s="213"/>
      <c r="E168" s="213"/>
      <c r="F168" s="213"/>
    </row>
    <row r="169" ht="15.75" customHeight="1">
      <c r="B169" s="213"/>
      <c r="C169" s="213"/>
      <c r="D169" s="213"/>
      <c r="E169" s="213"/>
      <c r="F169" s="213"/>
    </row>
    <row r="170" ht="15.75" customHeight="1">
      <c r="B170" s="213"/>
      <c r="C170" s="213"/>
      <c r="D170" s="213"/>
      <c r="E170" s="213"/>
      <c r="F170" s="213"/>
    </row>
    <row r="171" ht="15.75" customHeight="1">
      <c r="B171" s="213"/>
      <c r="C171" s="213"/>
      <c r="D171" s="213"/>
      <c r="E171" s="213"/>
      <c r="F171" s="213"/>
    </row>
    <row r="172" ht="15.75" customHeight="1">
      <c r="B172" s="213"/>
      <c r="C172" s="213"/>
      <c r="D172" s="213"/>
      <c r="E172" s="213"/>
      <c r="F172" s="213"/>
    </row>
    <row r="173" ht="15.75" customHeight="1">
      <c r="B173" s="213"/>
      <c r="C173" s="213"/>
      <c r="D173" s="213"/>
      <c r="E173" s="213"/>
      <c r="F173" s="213"/>
    </row>
    <row r="174" ht="15.75" customHeight="1">
      <c r="B174" s="213"/>
      <c r="C174" s="213"/>
      <c r="D174" s="213"/>
      <c r="E174" s="213"/>
      <c r="F174" s="213"/>
    </row>
    <row r="175" ht="15.75" customHeight="1">
      <c r="B175" s="213"/>
      <c r="C175" s="213"/>
      <c r="D175" s="213"/>
      <c r="E175" s="213"/>
      <c r="F175" s="213"/>
    </row>
    <row r="176" ht="15.75" customHeight="1">
      <c r="B176" s="213"/>
      <c r="C176" s="213"/>
      <c r="D176" s="213"/>
      <c r="E176" s="213"/>
      <c r="F176" s="213"/>
    </row>
    <row r="177" ht="15.75" customHeight="1">
      <c r="B177" s="213"/>
      <c r="C177" s="213"/>
      <c r="D177" s="213"/>
      <c r="E177" s="213"/>
      <c r="F177" s="213"/>
    </row>
    <row r="178" ht="15.75" customHeight="1">
      <c r="B178" s="213"/>
      <c r="C178" s="213"/>
      <c r="D178" s="213"/>
      <c r="E178" s="213"/>
      <c r="F178" s="213"/>
    </row>
    <row r="179" ht="15.75" customHeight="1">
      <c r="B179" s="213"/>
      <c r="C179" s="213"/>
      <c r="D179" s="213"/>
      <c r="E179" s="213"/>
      <c r="F179" s="213"/>
    </row>
    <row r="180" ht="15.75" customHeight="1">
      <c r="B180" s="213"/>
      <c r="C180" s="213"/>
      <c r="D180" s="213"/>
      <c r="E180" s="213"/>
      <c r="F180" s="213"/>
    </row>
    <row r="181" ht="15.75" customHeight="1">
      <c r="B181" s="213"/>
      <c r="C181" s="213"/>
      <c r="D181" s="213"/>
      <c r="E181" s="213"/>
      <c r="F181" s="213"/>
    </row>
    <row r="182" ht="15.75" customHeight="1">
      <c r="B182" s="213"/>
      <c r="C182" s="213"/>
      <c r="D182" s="213"/>
      <c r="E182" s="213"/>
      <c r="F182" s="213"/>
    </row>
    <row r="183" ht="15.75" customHeight="1">
      <c r="B183" s="213"/>
      <c r="C183" s="213"/>
      <c r="D183" s="213"/>
      <c r="E183" s="213"/>
      <c r="F183" s="213"/>
    </row>
    <row r="184" ht="15.75" customHeight="1">
      <c r="B184" s="213"/>
      <c r="C184" s="213"/>
      <c r="D184" s="213"/>
      <c r="E184" s="213"/>
      <c r="F184" s="213"/>
    </row>
    <row r="185" ht="15.75" customHeight="1">
      <c r="B185" s="213"/>
      <c r="C185" s="213"/>
      <c r="D185" s="213"/>
      <c r="E185" s="213"/>
      <c r="F185" s="213"/>
    </row>
    <row r="186" ht="15.75" customHeight="1">
      <c r="B186" s="213"/>
      <c r="C186" s="213"/>
      <c r="D186" s="213"/>
      <c r="E186" s="213"/>
      <c r="F186" s="213"/>
    </row>
    <row r="187" ht="15.75" customHeight="1">
      <c r="B187" s="213"/>
      <c r="C187" s="213"/>
      <c r="D187" s="213"/>
      <c r="E187" s="213"/>
      <c r="F187" s="213"/>
    </row>
    <row r="188" ht="15.75" customHeight="1">
      <c r="B188" s="213"/>
      <c r="C188" s="213"/>
      <c r="D188" s="213"/>
      <c r="E188" s="213"/>
      <c r="F188" s="213"/>
    </row>
    <row r="189" ht="15.75" customHeight="1">
      <c r="B189" s="213"/>
      <c r="C189" s="213"/>
      <c r="D189" s="213"/>
      <c r="E189" s="213"/>
      <c r="F189" s="213"/>
    </row>
    <row r="190" ht="15.75" customHeight="1">
      <c r="B190" s="213"/>
      <c r="C190" s="213"/>
      <c r="D190" s="213"/>
      <c r="E190" s="213"/>
      <c r="F190" s="213"/>
    </row>
    <row r="191" ht="15.75" customHeight="1">
      <c r="B191" s="213"/>
      <c r="C191" s="213"/>
      <c r="D191" s="213"/>
      <c r="E191" s="213"/>
      <c r="F191" s="213"/>
    </row>
    <row r="192" ht="15.75" customHeight="1">
      <c r="B192" s="213"/>
      <c r="C192" s="213"/>
      <c r="D192" s="213"/>
      <c r="E192" s="213"/>
      <c r="F192" s="213"/>
    </row>
    <row r="193" ht="15.75" customHeight="1">
      <c r="B193" s="213"/>
      <c r="C193" s="213"/>
      <c r="D193" s="213"/>
      <c r="E193" s="213"/>
      <c r="F193" s="213"/>
    </row>
    <row r="194" ht="15.75" customHeight="1">
      <c r="B194" s="213"/>
      <c r="C194" s="213"/>
      <c r="D194" s="213"/>
      <c r="E194" s="213"/>
      <c r="F194" s="213"/>
    </row>
    <row r="195" ht="15.75" customHeight="1">
      <c r="B195" s="213"/>
      <c r="C195" s="213"/>
      <c r="D195" s="213"/>
      <c r="E195" s="213"/>
      <c r="F195" s="213"/>
    </row>
    <row r="196" ht="15.75" customHeight="1">
      <c r="B196" s="213"/>
      <c r="C196" s="213"/>
      <c r="D196" s="213"/>
      <c r="E196" s="213"/>
      <c r="F196" s="213"/>
    </row>
    <row r="197" ht="15.75" customHeight="1">
      <c r="B197" s="213"/>
      <c r="C197" s="213"/>
      <c r="D197" s="213"/>
      <c r="E197" s="213"/>
      <c r="F197" s="213"/>
    </row>
    <row r="198" ht="15.75" customHeight="1">
      <c r="B198" s="213"/>
      <c r="C198" s="213"/>
      <c r="D198" s="213"/>
      <c r="E198" s="213"/>
      <c r="F198" s="213"/>
    </row>
    <row r="199" ht="15.75" customHeight="1">
      <c r="B199" s="213"/>
      <c r="C199" s="213"/>
      <c r="D199" s="213"/>
      <c r="E199" s="213"/>
      <c r="F199" s="213"/>
    </row>
    <row r="200" ht="15.75" customHeight="1">
      <c r="B200" s="213"/>
      <c r="C200" s="213"/>
      <c r="D200" s="213"/>
      <c r="E200" s="213"/>
      <c r="F200" s="213"/>
    </row>
    <row r="201" ht="15.75" customHeight="1">
      <c r="B201" s="213"/>
      <c r="C201" s="213"/>
      <c r="D201" s="213"/>
      <c r="E201" s="213"/>
      <c r="F201" s="213"/>
    </row>
    <row r="202" ht="15.75" customHeight="1">
      <c r="B202" s="213"/>
      <c r="C202" s="213"/>
      <c r="D202" s="213"/>
      <c r="E202" s="213"/>
      <c r="F202" s="213"/>
    </row>
    <row r="203" ht="15.75" customHeight="1">
      <c r="B203" s="213"/>
      <c r="C203" s="213"/>
      <c r="D203" s="213"/>
      <c r="E203" s="213"/>
      <c r="F203" s="213"/>
    </row>
    <row r="204" ht="15.75" customHeight="1">
      <c r="B204" s="213"/>
      <c r="C204" s="213"/>
      <c r="D204" s="213"/>
      <c r="E204" s="213"/>
      <c r="F204" s="213"/>
    </row>
    <row r="205" ht="15.75" customHeight="1">
      <c r="B205" s="213"/>
      <c r="C205" s="213"/>
      <c r="D205" s="213"/>
      <c r="E205" s="213"/>
      <c r="F205" s="213"/>
    </row>
    <row r="206" ht="15.75" customHeight="1">
      <c r="B206" s="213"/>
      <c r="C206" s="213"/>
      <c r="D206" s="213"/>
      <c r="E206" s="213"/>
      <c r="F206" s="213"/>
    </row>
    <row r="207" ht="15.75" customHeight="1">
      <c r="B207" s="213"/>
      <c r="C207" s="213"/>
      <c r="D207" s="213"/>
      <c r="E207" s="213"/>
      <c r="F207" s="213"/>
    </row>
    <row r="208" ht="15.75" customHeight="1">
      <c r="B208" s="213"/>
      <c r="C208" s="213"/>
      <c r="D208" s="213"/>
      <c r="E208" s="213"/>
      <c r="F208" s="213"/>
    </row>
    <row r="209" ht="15.75" customHeight="1">
      <c r="B209" s="213"/>
      <c r="C209" s="213"/>
      <c r="D209" s="213"/>
      <c r="E209" s="213"/>
      <c r="F209" s="213"/>
    </row>
    <row r="210" ht="15.75" customHeight="1">
      <c r="B210" s="213"/>
      <c r="C210" s="213"/>
      <c r="D210" s="213"/>
      <c r="E210" s="213"/>
      <c r="F210" s="213"/>
    </row>
    <row r="211" ht="15.75" customHeight="1">
      <c r="B211" s="213"/>
      <c r="C211" s="213"/>
      <c r="D211" s="213"/>
      <c r="E211" s="213"/>
      <c r="F211" s="213"/>
    </row>
    <row r="212" ht="15.75" customHeight="1">
      <c r="B212" s="213"/>
      <c r="C212" s="213"/>
      <c r="D212" s="213"/>
      <c r="E212" s="213"/>
      <c r="F212" s="213"/>
    </row>
    <row r="213" ht="15.75" customHeight="1">
      <c r="B213" s="213"/>
      <c r="C213" s="213"/>
      <c r="D213" s="213"/>
      <c r="E213" s="213"/>
      <c r="F213" s="213"/>
    </row>
    <row r="214" ht="15.75" customHeight="1">
      <c r="B214" s="213"/>
      <c r="C214" s="213"/>
      <c r="D214" s="213"/>
      <c r="E214" s="213"/>
      <c r="F214" s="213"/>
    </row>
    <row r="215" ht="15.75" customHeight="1">
      <c r="B215" s="213"/>
      <c r="C215" s="213"/>
      <c r="D215" s="213"/>
      <c r="E215" s="213"/>
      <c r="F215" s="213"/>
    </row>
    <row r="216" ht="15.75" customHeight="1">
      <c r="B216" s="213"/>
      <c r="C216" s="213"/>
      <c r="D216" s="213"/>
      <c r="E216" s="213"/>
      <c r="F216" s="213"/>
    </row>
    <row r="217" ht="15.75" customHeight="1">
      <c r="B217" s="213"/>
      <c r="C217" s="213"/>
      <c r="D217" s="213"/>
      <c r="E217" s="213"/>
      <c r="F217" s="213"/>
    </row>
    <row r="218" ht="15.75" customHeight="1">
      <c r="B218" s="213"/>
      <c r="C218" s="213"/>
      <c r="D218" s="213"/>
      <c r="E218" s="213"/>
      <c r="F218" s="213"/>
    </row>
    <row r="219" ht="15.75" customHeight="1">
      <c r="B219" s="213"/>
      <c r="C219" s="213"/>
      <c r="D219" s="213"/>
      <c r="E219" s="213"/>
      <c r="F219" s="213"/>
    </row>
    <row r="220" ht="15.75" customHeight="1">
      <c r="B220" s="213"/>
      <c r="C220" s="213"/>
      <c r="D220" s="213"/>
      <c r="E220" s="213"/>
      <c r="F220" s="213"/>
    </row>
    <row r="221" ht="15.75" customHeight="1">
      <c r="B221" s="213"/>
      <c r="C221" s="213"/>
      <c r="D221" s="213"/>
      <c r="E221" s="213"/>
      <c r="F221" s="213"/>
    </row>
    <row r="222" ht="15.75" customHeight="1">
      <c r="B222" s="213"/>
      <c r="C222" s="213"/>
      <c r="D222" s="213"/>
      <c r="E222" s="213"/>
      <c r="F222" s="213"/>
    </row>
    <row r="223" ht="15.75" customHeight="1">
      <c r="B223" s="213"/>
      <c r="C223" s="213"/>
      <c r="D223" s="213"/>
      <c r="E223" s="213"/>
      <c r="F223" s="213"/>
    </row>
    <row r="224" ht="15.75" customHeight="1">
      <c r="B224" s="213"/>
      <c r="C224" s="213"/>
      <c r="D224" s="213"/>
      <c r="E224" s="213"/>
      <c r="F224" s="213"/>
    </row>
    <row r="225" ht="15.75" customHeight="1">
      <c r="B225" s="213"/>
      <c r="C225" s="213"/>
      <c r="D225" s="213"/>
      <c r="E225" s="213"/>
      <c r="F225" s="213"/>
    </row>
    <row r="226" ht="15.75" customHeight="1">
      <c r="B226" s="213"/>
      <c r="C226" s="213"/>
      <c r="D226" s="213"/>
      <c r="E226" s="213"/>
      <c r="F226" s="213"/>
    </row>
    <row r="227" ht="15.75" customHeight="1">
      <c r="B227" s="213"/>
      <c r="C227" s="213"/>
      <c r="D227" s="213"/>
      <c r="E227" s="213"/>
      <c r="F227" s="213"/>
    </row>
    <row r="228" ht="15.75" customHeight="1">
      <c r="B228" s="213"/>
      <c r="C228" s="213"/>
      <c r="D228" s="213"/>
      <c r="E228" s="213"/>
      <c r="F228" s="213"/>
    </row>
    <row r="229" ht="15.75" customHeight="1">
      <c r="B229" s="213"/>
      <c r="C229" s="213"/>
      <c r="D229" s="213"/>
      <c r="E229" s="213"/>
      <c r="F229" s="213"/>
    </row>
    <row r="230" ht="15.75" customHeight="1">
      <c r="B230" s="213"/>
      <c r="C230" s="213"/>
      <c r="D230" s="213"/>
      <c r="E230" s="213"/>
      <c r="F230" s="213"/>
    </row>
    <row r="231" ht="15.75" customHeight="1">
      <c r="B231" s="213"/>
      <c r="C231" s="213"/>
      <c r="D231" s="213"/>
      <c r="E231" s="213"/>
      <c r="F231" s="213"/>
    </row>
    <row r="232" ht="15.75" customHeight="1">
      <c r="B232" s="213"/>
      <c r="C232" s="213"/>
      <c r="D232" s="213"/>
      <c r="E232" s="213"/>
      <c r="F232" s="213"/>
    </row>
    <row r="233" ht="15.75" customHeight="1">
      <c r="B233" s="213"/>
      <c r="C233" s="213"/>
      <c r="D233" s="213"/>
      <c r="E233" s="213"/>
      <c r="F233" s="213"/>
    </row>
    <row r="234" ht="15.75" customHeight="1">
      <c r="B234" s="213"/>
      <c r="C234" s="213"/>
      <c r="D234" s="213"/>
      <c r="E234" s="213"/>
      <c r="F234" s="213"/>
    </row>
    <row r="235" ht="15.75" customHeight="1">
      <c r="B235" s="213"/>
      <c r="C235" s="213"/>
      <c r="D235" s="213"/>
      <c r="E235" s="213"/>
      <c r="F235" s="213"/>
    </row>
    <row r="236" ht="15.75" customHeight="1">
      <c r="B236" s="213"/>
      <c r="C236" s="213"/>
      <c r="D236" s="213"/>
      <c r="E236" s="213"/>
      <c r="F236" s="213"/>
    </row>
    <row r="237" ht="15.75" customHeight="1">
      <c r="B237" s="213"/>
      <c r="C237" s="213"/>
      <c r="D237" s="213"/>
      <c r="E237" s="213"/>
      <c r="F237" s="213"/>
    </row>
    <row r="238" ht="15.75" customHeight="1">
      <c r="B238" s="213"/>
      <c r="C238" s="213"/>
      <c r="D238" s="213"/>
      <c r="E238" s="213"/>
      <c r="F238" s="213"/>
    </row>
    <row r="239" ht="15.75" customHeight="1">
      <c r="B239" s="213"/>
      <c r="C239" s="213"/>
      <c r="D239" s="213"/>
      <c r="E239" s="213"/>
      <c r="F239" s="213"/>
    </row>
    <row r="240" ht="15.75" customHeight="1">
      <c r="B240" s="213"/>
      <c r="C240" s="213"/>
      <c r="D240" s="213"/>
      <c r="E240" s="213"/>
      <c r="F240" s="213"/>
    </row>
    <row r="241" ht="15.75" customHeight="1">
      <c r="B241" s="213"/>
      <c r="C241" s="213"/>
      <c r="D241" s="213"/>
      <c r="E241" s="213"/>
      <c r="F241" s="213"/>
    </row>
    <row r="242" ht="15.75" customHeight="1">
      <c r="B242" s="213"/>
      <c r="C242" s="213"/>
      <c r="D242" s="213"/>
      <c r="E242" s="213"/>
      <c r="F242" s="213"/>
    </row>
    <row r="243" ht="15.75" customHeight="1">
      <c r="B243" s="213"/>
      <c r="C243" s="213"/>
      <c r="D243" s="213"/>
      <c r="E243" s="213"/>
      <c r="F243" s="213"/>
    </row>
    <row r="244" ht="15.75" customHeight="1">
      <c r="B244" s="213"/>
      <c r="C244" s="213"/>
      <c r="D244" s="213"/>
      <c r="E244" s="213"/>
      <c r="F244" s="213"/>
    </row>
    <row r="245" ht="15.75" customHeight="1">
      <c r="B245" s="213"/>
      <c r="C245" s="213"/>
      <c r="D245" s="213"/>
      <c r="E245" s="213"/>
      <c r="F245" s="213"/>
    </row>
    <row r="246" ht="15.75" customHeight="1">
      <c r="B246" s="213"/>
      <c r="C246" s="213"/>
      <c r="D246" s="213"/>
      <c r="E246" s="213"/>
      <c r="F246" s="213"/>
    </row>
    <row r="247" ht="15.75" customHeight="1">
      <c r="B247" s="213"/>
      <c r="C247" s="213"/>
      <c r="D247" s="213"/>
      <c r="E247" s="213"/>
      <c r="F247" s="213"/>
    </row>
    <row r="248" ht="15.75" customHeight="1">
      <c r="B248" s="213"/>
      <c r="C248" s="213"/>
      <c r="D248" s="213"/>
      <c r="E248" s="213"/>
      <c r="F248" s="213"/>
    </row>
    <row r="249" ht="15.75" customHeight="1">
      <c r="B249" s="213"/>
      <c r="C249" s="213"/>
      <c r="D249" s="213"/>
      <c r="E249" s="213"/>
      <c r="F249" s="213"/>
    </row>
    <row r="250" ht="15.75" customHeight="1">
      <c r="B250" s="213"/>
      <c r="C250" s="213"/>
      <c r="D250" s="213"/>
      <c r="E250" s="213"/>
      <c r="F250" s="213"/>
    </row>
    <row r="251" ht="15.75" customHeight="1">
      <c r="B251" s="213"/>
      <c r="C251" s="213"/>
      <c r="D251" s="213"/>
      <c r="E251" s="213"/>
      <c r="F251" s="213"/>
    </row>
    <row r="252" ht="15.75" customHeight="1">
      <c r="B252" s="213"/>
      <c r="C252" s="213"/>
      <c r="D252" s="213"/>
      <c r="E252" s="213"/>
      <c r="F252" s="213"/>
    </row>
    <row r="253" ht="15.75" customHeight="1">
      <c r="B253" s="213"/>
      <c r="C253" s="213"/>
      <c r="D253" s="213"/>
      <c r="E253" s="213"/>
      <c r="F253" s="213"/>
    </row>
    <row r="254" ht="15.75" customHeight="1">
      <c r="B254" s="213"/>
      <c r="C254" s="213"/>
      <c r="D254" s="213"/>
      <c r="E254" s="213"/>
      <c r="F254" s="213"/>
    </row>
    <row r="255" ht="15.75" customHeight="1">
      <c r="B255" s="213"/>
      <c r="C255" s="213"/>
      <c r="D255" s="213"/>
      <c r="E255" s="213"/>
      <c r="F255" s="213"/>
    </row>
    <row r="256" ht="15.75" customHeight="1">
      <c r="B256" s="213"/>
      <c r="C256" s="213"/>
      <c r="D256" s="213"/>
      <c r="E256" s="213"/>
      <c r="F256" s="213"/>
    </row>
    <row r="257" ht="15.75" customHeight="1">
      <c r="B257" s="213"/>
      <c r="C257" s="213"/>
      <c r="D257" s="213"/>
      <c r="E257" s="213"/>
      <c r="F257" s="213"/>
    </row>
    <row r="258" ht="15.75" customHeight="1">
      <c r="B258" s="213"/>
      <c r="C258" s="213"/>
      <c r="D258" s="213"/>
      <c r="E258" s="213"/>
      <c r="F258" s="213"/>
    </row>
    <row r="259" ht="15.75" customHeight="1">
      <c r="B259" s="213"/>
      <c r="C259" s="213"/>
      <c r="D259" s="213"/>
      <c r="E259" s="213"/>
      <c r="F259" s="213"/>
    </row>
    <row r="260" ht="15.75" customHeight="1">
      <c r="B260" s="213"/>
      <c r="C260" s="213"/>
      <c r="D260" s="213"/>
      <c r="E260" s="213"/>
      <c r="F260" s="213"/>
    </row>
    <row r="261" ht="15.75" customHeight="1">
      <c r="B261" s="213"/>
      <c r="C261" s="213"/>
      <c r="D261" s="213"/>
      <c r="E261" s="213"/>
      <c r="F261" s="213"/>
    </row>
    <row r="262" ht="15.75" customHeight="1">
      <c r="B262" s="213"/>
      <c r="C262" s="213"/>
      <c r="D262" s="213"/>
      <c r="E262" s="213"/>
      <c r="F262" s="213"/>
    </row>
    <row r="263" ht="15.75" customHeight="1">
      <c r="B263" s="213"/>
      <c r="C263" s="213"/>
      <c r="D263" s="213"/>
      <c r="E263" s="213"/>
      <c r="F263" s="213"/>
    </row>
    <row r="264" ht="15.75" customHeight="1">
      <c r="B264" s="213"/>
      <c r="C264" s="213"/>
      <c r="D264" s="213"/>
      <c r="E264" s="213"/>
      <c r="F264" s="213"/>
    </row>
    <row r="265" ht="15.75" customHeight="1">
      <c r="B265" s="213"/>
      <c r="C265" s="213"/>
      <c r="D265" s="213"/>
      <c r="E265" s="213"/>
      <c r="F265" s="213"/>
    </row>
    <row r="266" ht="15.75" customHeight="1">
      <c r="B266" s="213"/>
      <c r="C266" s="213"/>
      <c r="D266" s="213"/>
      <c r="E266" s="213"/>
      <c r="F266" s="213"/>
    </row>
    <row r="267" ht="15.75" customHeight="1">
      <c r="B267" s="213"/>
      <c r="C267" s="213"/>
      <c r="D267" s="213"/>
      <c r="E267" s="213"/>
      <c r="F267" s="213"/>
    </row>
    <row r="268" ht="15.75" customHeight="1">
      <c r="B268" s="213"/>
      <c r="C268" s="213"/>
      <c r="D268" s="213"/>
      <c r="E268" s="213"/>
      <c r="F268" s="213"/>
    </row>
    <row r="269" ht="15.75" customHeight="1">
      <c r="B269" s="213"/>
      <c r="C269" s="213"/>
      <c r="D269" s="213"/>
      <c r="E269" s="213"/>
      <c r="F269" s="213"/>
    </row>
    <row r="270" ht="15.75" customHeight="1">
      <c r="B270" s="213"/>
      <c r="C270" s="213"/>
      <c r="D270" s="213"/>
      <c r="E270" s="213"/>
      <c r="F270" s="213"/>
    </row>
    <row r="271" ht="15.75" customHeight="1">
      <c r="B271" s="213"/>
      <c r="C271" s="213"/>
      <c r="D271" s="213"/>
      <c r="E271" s="213"/>
      <c r="F271" s="213"/>
    </row>
    <row r="272" ht="15.75" customHeight="1">
      <c r="B272" s="213"/>
      <c r="C272" s="213"/>
      <c r="D272" s="213"/>
      <c r="E272" s="213"/>
      <c r="F272" s="213"/>
    </row>
    <row r="273" ht="15.75" customHeight="1">
      <c r="B273" s="213"/>
      <c r="C273" s="213"/>
      <c r="D273" s="213"/>
      <c r="E273" s="213"/>
      <c r="F273" s="213"/>
    </row>
    <row r="274" ht="15.75" customHeight="1">
      <c r="B274" s="213"/>
      <c r="C274" s="213"/>
      <c r="D274" s="213"/>
      <c r="E274" s="213"/>
      <c r="F274" s="213"/>
    </row>
    <row r="275" ht="15.75" customHeight="1">
      <c r="B275" s="213"/>
      <c r="C275" s="213"/>
      <c r="D275" s="213"/>
      <c r="E275" s="213"/>
      <c r="F275" s="213"/>
    </row>
    <row r="276" ht="15.75" customHeight="1">
      <c r="B276" s="213"/>
      <c r="C276" s="213"/>
      <c r="D276" s="213"/>
      <c r="E276" s="213"/>
      <c r="F276" s="213"/>
    </row>
    <row r="277" ht="15.75" customHeight="1">
      <c r="B277" s="213"/>
      <c r="C277" s="213"/>
      <c r="D277" s="213"/>
      <c r="E277" s="213"/>
      <c r="F277" s="213"/>
    </row>
    <row r="278" ht="15.75" customHeight="1">
      <c r="B278" s="213"/>
      <c r="C278" s="213"/>
      <c r="D278" s="213"/>
      <c r="E278" s="213"/>
      <c r="F278" s="213"/>
    </row>
    <row r="279" ht="15.75" customHeight="1">
      <c r="B279" s="213"/>
      <c r="C279" s="213"/>
      <c r="D279" s="213"/>
      <c r="E279" s="213"/>
      <c r="F279" s="213"/>
    </row>
    <row r="280" ht="15.75" customHeight="1">
      <c r="B280" s="213"/>
      <c r="C280" s="213"/>
      <c r="D280" s="213"/>
      <c r="E280" s="213"/>
      <c r="F280" s="213"/>
    </row>
    <row r="281" ht="15.75" customHeight="1">
      <c r="B281" s="213"/>
      <c r="C281" s="213"/>
      <c r="D281" s="213"/>
      <c r="E281" s="213"/>
      <c r="F281" s="213"/>
    </row>
    <row r="282" ht="15.75" customHeight="1">
      <c r="B282" s="213"/>
      <c r="C282" s="213"/>
      <c r="D282" s="213"/>
      <c r="E282" s="213"/>
      <c r="F282" s="213"/>
    </row>
    <row r="283" ht="15.75" customHeight="1">
      <c r="B283" s="213"/>
      <c r="C283" s="213"/>
      <c r="D283" s="213"/>
      <c r="E283" s="213"/>
      <c r="F283" s="213"/>
    </row>
    <row r="284" ht="15.75" customHeight="1">
      <c r="B284" s="213"/>
      <c r="C284" s="213"/>
      <c r="D284" s="213"/>
      <c r="E284" s="213"/>
      <c r="F284" s="213"/>
    </row>
    <row r="285" ht="15.75" customHeight="1">
      <c r="B285" s="213"/>
      <c r="C285" s="213"/>
      <c r="D285" s="213"/>
      <c r="E285" s="213"/>
      <c r="F285" s="213"/>
    </row>
    <row r="286" ht="15.75" customHeight="1">
      <c r="B286" s="213"/>
      <c r="C286" s="213"/>
      <c r="D286" s="213"/>
      <c r="E286" s="213"/>
      <c r="F286" s="213"/>
    </row>
    <row r="287" ht="15.75" customHeight="1">
      <c r="B287" s="213"/>
      <c r="C287" s="213"/>
      <c r="D287" s="213"/>
      <c r="E287" s="213"/>
      <c r="F287" s="213"/>
    </row>
    <row r="288" ht="15.75" customHeight="1">
      <c r="B288" s="213"/>
      <c r="C288" s="213"/>
      <c r="D288" s="213"/>
      <c r="E288" s="213"/>
      <c r="F288" s="213"/>
    </row>
    <row r="289" ht="15.75" customHeight="1">
      <c r="B289" s="213"/>
      <c r="C289" s="213"/>
      <c r="D289" s="213"/>
      <c r="E289" s="213"/>
      <c r="F289" s="213"/>
    </row>
    <row r="290" ht="15.75" customHeight="1">
      <c r="B290" s="213"/>
      <c r="C290" s="213"/>
      <c r="D290" s="213"/>
      <c r="E290" s="213"/>
      <c r="F290" s="213"/>
    </row>
    <row r="291" ht="15.75" customHeight="1">
      <c r="B291" s="213"/>
      <c r="C291" s="213"/>
      <c r="D291" s="213"/>
      <c r="E291" s="213"/>
      <c r="F291" s="213"/>
    </row>
    <row r="292" ht="15.75" customHeight="1">
      <c r="B292" s="213"/>
      <c r="C292" s="213"/>
      <c r="D292" s="213"/>
      <c r="E292" s="213"/>
      <c r="F292" s="213"/>
    </row>
    <row r="293" ht="15.75" customHeight="1">
      <c r="B293" s="213"/>
      <c r="C293" s="213"/>
      <c r="D293" s="213"/>
      <c r="E293" s="213"/>
      <c r="F293" s="213"/>
    </row>
    <row r="294" ht="15.75" customHeight="1">
      <c r="B294" s="213"/>
      <c r="C294" s="213"/>
      <c r="D294" s="213"/>
      <c r="E294" s="213"/>
      <c r="F294" s="213"/>
    </row>
    <row r="295" ht="15.75" customHeight="1">
      <c r="B295" s="213"/>
      <c r="C295" s="213"/>
      <c r="D295" s="213"/>
      <c r="E295" s="213"/>
      <c r="F295" s="213"/>
    </row>
    <row r="296" ht="15.75" customHeight="1">
      <c r="B296" s="213"/>
      <c r="C296" s="213"/>
      <c r="D296" s="213"/>
      <c r="E296" s="213"/>
      <c r="F296" s="213"/>
    </row>
    <row r="297" ht="15.75" customHeight="1">
      <c r="B297" s="213"/>
      <c r="C297" s="213"/>
      <c r="D297" s="213"/>
      <c r="E297" s="213"/>
      <c r="F297" s="213"/>
    </row>
    <row r="298" ht="15.75" customHeight="1">
      <c r="B298" s="213"/>
      <c r="C298" s="213"/>
      <c r="D298" s="213"/>
      <c r="E298" s="213"/>
      <c r="F298" s="213"/>
    </row>
    <row r="299" ht="15.75" customHeight="1">
      <c r="B299" s="213"/>
      <c r="C299" s="213"/>
      <c r="D299" s="213"/>
      <c r="E299" s="213"/>
      <c r="F299" s="213"/>
    </row>
    <row r="300" ht="15.75" customHeight="1">
      <c r="B300" s="213"/>
      <c r="C300" s="213"/>
      <c r="D300" s="213"/>
      <c r="E300" s="213"/>
      <c r="F300" s="213"/>
    </row>
    <row r="301" ht="15.75" customHeight="1">
      <c r="B301" s="213"/>
      <c r="C301" s="213"/>
      <c r="D301" s="213"/>
      <c r="E301" s="213"/>
      <c r="F301" s="213"/>
    </row>
    <row r="302" ht="15.75" customHeight="1">
      <c r="B302" s="213"/>
      <c r="C302" s="213"/>
      <c r="D302" s="213"/>
      <c r="E302" s="213"/>
      <c r="F302" s="213"/>
    </row>
    <row r="303" ht="15.75" customHeight="1">
      <c r="B303" s="213"/>
      <c r="C303" s="213"/>
      <c r="D303" s="213"/>
      <c r="E303" s="213"/>
      <c r="F303" s="213"/>
    </row>
    <row r="304" ht="15.75" customHeight="1">
      <c r="B304" s="213"/>
      <c r="C304" s="213"/>
      <c r="D304" s="213"/>
      <c r="E304" s="213"/>
      <c r="F304" s="213"/>
    </row>
    <row r="305" ht="15.75" customHeight="1">
      <c r="B305" s="213"/>
      <c r="C305" s="213"/>
      <c r="D305" s="213"/>
      <c r="E305" s="213"/>
      <c r="F305" s="213"/>
    </row>
    <row r="306" ht="15.75" customHeight="1">
      <c r="B306" s="213"/>
      <c r="C306" s="213"/>
      <c r="D306" s="213"/>
      <c r="E306" s="213"/>
      <c r="F306" s="213"/>
    </row>
    <row r="307" ht="15.75" customHeight="1">
      <c r="B307" s="213"/>
      <c r="C307" s="213"/>
      <c r="D307" s="213"/>
      <c r="E307" s="213"/>
      <c r="F307" s="213"/>
    </row>
    <row r="308" ht="15.75" customHeight="1">
      <c r="B308" s="213"/>
      <c r="C308" s="213"/>
      <c r="D308" s="213"/>
      <c r="E308" s="213"/>
      <c r="F308" s="213"/>
    </row>
    <row r="309" ht="15.75" customHeight="1">
      <c r="B309" s="213"/>
      <c r="C309" s="213"/>
      <c r="D309" s="213"/>
      <c r="E309" s="213"/>
      <c r="F309" s="213"/>
    </row>
    <row r="310" ht="15.75" customHeight="1">
      <c r="B310" s="213"/>
      <c r="C310" s="213"/>
      <c r="D310" s="213"/>
      <c r="E310" s="213"/>
      <c r="F310" s="213"/>
    </row>
    <row r="311" ht="15.75" customHeight="1">
      <c r="B311" s="213"/>
      <c r="C311" s="213"/>
      <c r="D311" s="213"/>
      <c r="E311" s="213"/>
      <c r="F311" s="213"/>
    </row>
    <row r="312" ht="15.75" customHeight="1">
      <c r="B312" s="213"/>
      <c r="C312" s="213"/>
      <c r="D312" s="213"/>
      <c r="E312" s="213"/>
      <c r="F312" s="213"/>
    </row>
    <row r="313" ht="15.75" customHeight="1">
      <c r="B313" s="213"/>
      <c r="C313" s="213"/>
      <c r="D313" s="213"/>
      <c r="E313" s="213"/>
      <c r="F313" s="213"/>
    </row>
    <row r="314" ht="15.75" customHeight="1">
      <c r="B314" s="213"/>
      <c r="C314" s="213"/>
      <c r="D314" s="213"/>
      <c r="E314" s="213"/>
      <c r="F314" s="213"/>
    </row>
    <row r="315" ht="15.75" customHeight="1">
      <c r="B315" s="213"/>
      <c r="C315" s="213"/>
      <c r="D315" s="213"/>
      <c r="E315" s="213"/>
      <c r="F315" s="213"/>
    </row>
    <row r="316" ht="15.75" customHeight="1">
      <c r="B316" s="213"/>
      <c r="C316" s="213"/>
      <c r="D316" s="213"/>
      <c r="E316" s="213"/>
      <c r="F316" s="213"/>
    </row>
    <row r="317" ht="15.75" customHeight="1">
      <c r="B317" s="213"/>
      <c r="C317" s="213"/>
      <c r="D317" s="213"/>
      <c r="E317" s="213"/>
      <c r="F317" s="213"/>
    </row>
    <row r="318" ht="15.75" customHeight="1">
      <c r="B318" s="213"/>
      <c r="C318" s="213"/>
      <c r="D318" s="213"/>
      <c r="E318" s="213"/>
      <c r="F318" s="213"/>
    </row>
    <row r="319" ht="15.75" customHeight="1">
      <c r="B319" s="213"/>
      <c r="C319" s="213"/>
      <c r="D319" s="213"/>
      <c r="E319" s="213"/>
      <c r="F319" s="213"/>
    </row>
    <row r="320" ht="15.75" customHeight="1">
      <c r="B320" s="213"/>
      <c r="C320" s="213"/>
      <c r="D320" s="213"/>
      <c r="E320" s="213"/>
      <c r="F320" s="213"/>
    </row>
    <row r="321" ht="15.75" customHeight="1">
      <c r="B321" s="213"/>
      <c r="C321" s="213"/>
      <c r="D321" s="213"/>
      <c r="E321" s="213"/>
      <c r="F321" s="213"/>
    </row>
    <row r="322" ht="15.75" customHeight="1">
      <c r="B322" s="213"/>
      <c r="C322" s="213"/>
      <c r="D322" s="213"/>
      <c r="E322" s="213"/>
      <c r="F322" s="213"/>
    </row>
    <row r="323" ht="15.75" customHeight="1">
      <c r="B323" s="213"/>
      <c r="C323" s="213"/>
      <c r="D323" s="213"/>
      <c r="E323" s="213"/>
      <c r="F323" s="213"/>
    </row>
    <row r="324" ht="15.75" customHeight="1">
      <c r="B324" s="213"/>
      <c r="C324" s="213"/>
      <c r="D324" s="213"/>
      <c r="E324" s="213"/>
      <c r="F324" s="213"/>
    </row>
    <row r="325" ht="15.75" customHeight="1">
      <c r="B325" s="213"/>
      <c r="C325" s="213"/>
      <c r="D325" s="213"/>
      <c r="E325" s="213"/>
      <c r="F325" s="213"/>
    </row>
    <row r="326" ht="15.75" customHeight="1">
      <c r="B326" s="213"/>
      <c r="C326" s="213"/>
      <c r="D326" s="213"/>
      <c r="E326" s="213"/>
      <c r="F326" s="213"/>
    </row>
    <row r="327" ht="15.75" customHeight="1">
      <c r="B327" s="213"/>
      <c r="C327" s="213"/>
      <c r="D327" s="213"/>
      <c r="E327" s="213"/>
      <c r="F327" s="213"/>
    </row>
    <row r="328" ht="15.75" customHeight="1">
      <c r="B328" s="213"/>
      <c r="C328" s="213"/>
      <c r="D328" s="213"/>
      <c r="E328" s="213"/>
      <c r="F328" s="213"/>
    </row>
    <row r="329" ht="15.75" customHeight="1">
      <c r="B329" s="213"/>
      <c r="C329" s="213"/>
      <c r="D329" s="213"/>
      <c r="E329" s="213"/>
      <c r="F329" s="213"/>
    </row>
    <row r="330" ht="15.75" customHeight="1">
      <c r="B330" s="213"/>
      <c r="C330" s="213"/>
      <c r="D330" s="213"/>
      <c r="E330" s="213"/>
      <c r="F330" s="213"/>
    </row>
    <row r="331" ht="15.75" customHeight="1">
      <c r="B331" s="213"/>
      <c r="C331" s="213"/>
      <c r="D331" s="213"/>
      <c r="E331" s="213"/>
      <c r="F331" s="213"/>
    </row>
    <row r="332" ht="15.75" customHeight="1">
      <c r="B332" s="213"/>
      <c r="C332" s="213"/>
      <c r="D332" s="213"/>
      <c r="E332" s="213"/>
      <c r="F332" s="213"/>
    </row>
    <row r="333" ht="15.75" customHeight="1">
      <c r="B333" s="213"/>
      <c r="C333" s="213"/>
      <c r="D333" s="213"/>
      <c r="E333" s="213"/>
      <c r="F333" s="213"/>
    </row>
    <row r="334" ht="15.75" customHeight="1">
      <c r="B334" s="213"/>
      <c r="C334" s="213"/>
      <c r="D334" s="213"/>
      <c r="E334" s="213"/>
      <c r="F334" s="213"/>
    </row>
    <row r="335" ht="15.75" customHeight="1">
      <c r="B335" s="213"/>
      <c r="C335" s="213"/>
      <c r="D335" s="213"/>
      <c r="E335" s="213"/>
      <c r="F335" s="213"/>
    </row>
    <row r="336" ht="15.75" customHeight="1">
      <c r="B336" s="213"/>
      <c r="C336" s="213"/>
      <c r="D336" s="213"/>
      <c r="E336" s="213"/>
      <c r="F336" s="213"/>
    </row>
    <row r="337" ht="15.75" customHeight="1">
      <c r="B337" s="213"/>
      <c r="C337" s="213"/>
      <c r="D337" s="213"/>
      <c r="E337" s="213"/>
      <c r="F337" s="213"/>
    </row>
    <row r="338" ht="15.75" customHeight="1">
      <c r="B338" s="213"/>
      <c r="C338" s="213"/>
      <c r="D338" s="213"/>
      <c r="E338" s="213"/>
      <c r="F338" s="213"/>
    </row>
    <row r="339" ht="15.75" customHeight="1">
      <c r="B339" s="213"/>
      <c r="C339" s="213"/>
      <c r="D339" s="213"/>
      <c r="E339" s="213"/>
      <c r="F339" s="213"/>
    </row>
    <row r="340" ht="15.75" customHeight="1">
      <c r="B340" s="213"/>
      <c r="C340" s="213"/>
      <c r="D340" s="213"/>
      <c r="E340" s="213"/>
      <c r="F340" s="213"/>
    </row>
    <row r="341" ht="15.75" customHeight="1">
      <c r="B341" s="213"/>
      <c r="C341" s="213"/>
      <c r="D341" s="213"/>
      <c r="E341" s="213"/>
      <c r="F341" s="213"/>
    </row>
    <row r="342" ht="15.75" customHeight="1">
      <c r="B342" s="213"/>
      <c r="C342" s="213"/>
      <c r="D342" s="213"/>
      <c r="E342" s="213"/>
      <c r="F342" s="213"/>
    </row>
    <row r="343" ht="15.75" customHeight="1">
      <c r="B343" s="213"/>
      <c r="C343" s="213"/>
      <c r="D343" s="213"/>
      <c r="E343" s="213"/>
      <c r="F343" s="213"/>
    </row>
    <row r="344" ht="15.75" customHeight="1">
      <c r="B344" s="213"/>
      <c r="C344" s="213"/>
      <c r="D344" s="213"/>
      <c r="E344" s="213"/>
      <c r="F344" s="213"/>
    </row>
    <row r="345" ht="15.75" customHeight="1">
      <c r="B345" s="213"/>
      <c r="C345" s="213"/>
      <c r="D345" s="213"/>
      <c r="E345" s="213"/>
      <c r="F345" s="213"/>
    </row>
    <row r="346" ht="15.75" customHeight="1">
      <c r="B346" s="213"/>
      <c r="C346" s="213"/>
      <c r="D346" s="213"/>
      <c r="E346" s="213"/>
      <c r="F346" s="213"/>
    </row>
    <row r="347" ht="15.75" customHeight="1">
      <c r="B347" s="213"/>
      <c r="C347" s="213"/>
      <c r="D347" s="213"/>
      <c r="E347" s="213"/>
      <c r="F347" s="213"/>
    </row>
    <row r="348" ht="15.75" customHeight="1">
      <c r="B348" s="213"/>
      <c r="C348" s="213"/>
      <c r="D348" s="213"/>
      <c r="E348" s="213"/>
      <c r="F348" s="213"/>
    </row>
    <row r="349" ht="15.75" customHeight="1">
      <c r="B349" s="213"/>
      <c r="C349" s="213"/>
      <c r="D349" s="213"/>
      <c r="E349" s="213"/>
      <c r="F349" s="213"/>
    </row>
    <row r="350" ht="15.75" customHeight="1">
      <c r="B350" s="213"/>
      <c r="C350" s="213"/>
      <c r="D350" s="213"/>
      <c r="E350" s="213"/>
      <c r="F350" s="213"/>
    </row>
    <row r="351" ht="15.75" customHeight="1">
      <c r="B351" s="213"/>
      <c r="C351" s="213"/>
      <c r="D351" s="213"/>
      <c r="E351" s="213"/>
      <c r="F351" s="213"/>
    </row>
    <row r="352" ht="15.75" customHeight="1">
      <c r="B352" s="213"/>
      <c r="C352" s="213"/>
      <c r="D352" s="213"/>
      <c r="E352" s="213"/>
      <c r="F352" s="213"/>
    </row>
    <row r="353" ht="15.75" customHeight="1">
      <c r="B353" s="213"/>
      <c r="C353" s="213"/>
      <c r="D353" s="213"/>
      <c r="E353" s="213"/>
      <c r="F353" s="213"/>
    </row>
    <row r="354" ht="15.75" customHeight="1">
      <c r="B354" s="213"/>
      <c r="C354" s="213"/>
      <c r="D354" s="213"/>
      <c r="E354" s="213"/>
      <c r="F354" s="213"/>
    </row>
    <row r="355" ht="15.75" customHeight="1">
      <c r="B355" s="213"/>
      <c r="C355" s="213"/>
      <c r="D355" s="213"/>
      <c r="E355" s="213"/>
      <c r="F355" s="213"/>
    </row>
    <row r="356" ht="15.75" customHeight="1">
      <c r="B356" s="213"/>
      <c r="C356" s="213"/>
      <c r="D356" s="213"/>
      <c r="E356" s="213"/>
      <c r="F356" s="213"/>
    </row>
    <row r="357" ht="15.75" customHeight="1">
      <c r="B357" s="213"/>
      <c r="C357" s="213"/>
      <c r="D357" s="213"/>
      <c r="E357" s="213"/>
      <c r="F357" s="213"/>
    </row>
    <row r="358" ht="15.75" customHeight="1">
      <c r="B358" s="213"/>
      <c r="C358" s="213"/>
      <c r="D358" s="213"/>
      <c r="E358" s="213"/>
      <c r="F358" s="213"/>
    </row>
    <row r="359" ht="15.75" customHeight="1">
      <c r="B359" s="213"/>
      <c r="C359" s="213"/>
      <c r="D359" s="213"/>
      <c r="E359" s="213"/>
      <c r="F359" s="213"/>
    </row>
    <row r="360" ht="15.75" customHeight="1">
      <c r="B360" s="213"/>
      <c r="C360" s="213"/>
      <c r="D360" s="213"/>
      <c r="E360" s="213"/>
      <c r="F360" s="213"/>
    </row>
    <row r="361" ht="15.75" customHeight="1">
      <c r="B361" s="213"/>
      <c r="C361" s="213"/>
      <c r="D361" s="213"/>
      <c r="E361" s="213"/>
      <c r="F361" s="213"/>
    </row>
    <row r="362" ht="15.75" customHeight="1">
      <c r="B362" s="213"/>
      <c r="C362" s="213"/>
      <c r="D362" s="213"/>
      <c r="E362" s="213"/>
      <c r="F362" s="213"/>
    </row>
    <row r="363" ht="15.75" customHeight="1">
      <c r="B363" s="213"/>
      <c r="C363" s="213"/>
      <c r="D363" s="213"/>
      <c r="E363" s="213"/>
      <c r="F363" s="213"/>
    </row>
    <row r="364" ht="15.75" customHeight="1">
      <c r="B364" s="213"/>
      <c r="C364" s="213"/>
      <c r="D364" s="213"/>
      <c r="E364" s="213"/>
      <c r="F364" s="213"/>
    </row>
    <row r="365" ht="15.75" customHeight="1">
      <c r="B365" s="213"/>
      <c r="C365" s="213"/>
      <c r="D365" s="213"/>
      <c r="E365" s="213"/>
      <c r="F365" s="213"/>
    </row>
    <row r="366" ht="15.75" customHeight="1">
      <c r="B366" s="213"/>
      <c r="C366" s="213"/>
      <c r="D366" s="213"/>
      <c r="E366" s="213"/>
      <c r="F366" s="213"/>
    </row>
    <row r="367" ht="15.75" customHeight="1">
      <c r="B367" s="213"/>
      <c r="C367" s="213"/>
      <c r="D367" s="213"/>
      <c r="E367" s="213"/>
      <c r="F367" s="213"/>
    </row>
    <row r="368" ht="15.75" customHeight="1">
      <c r="B368" s="213"/>
      <c r="C368" s="213"/>
      <c r="D368" s="213"/>
      <c r="E368" s="213"/>
      <c r="F368" s="213"/>
    </row>
    <row r="369" ht="15.75" customHeight="1">
      <c r="B369" s="213"/>
      <c r="C369" s="213"/>
      <c r="D369" s="213"/>
      <c r="E369" s="213"/>
      <c r="F369" s="213"/>
    </row>
    <row r="370" ht="15.75" customHeight="1">
      <c r="B370" s="213"/>
      <c r="C370" s="213"/>
      <c r="D370" s="213"/>
      <c r="E370" s="213"/>
      <c r="F370" s="213"/>
    </row>
    <row r="371" ht="15.75" customHeight="1">
      <c r="B371" s="213"/>
      <c r="C371" s="213"/>
      <c r="D371" s="213"/>
      <c r="E371" s="213"/>
      <c r="F371" s="213"/>
    </row>
    <row r="372" ht="15.75" customHeight="1">
      <c r="B372" s="213"/>
      <c r="C372" s="213"/>
      <c r="D372" s="213"/>
      <c r="E372" s="213"/>
      <c r="F372" s="213"/>
    </row>
    <row r="373" ht="15.75" customHeight="1">
      <c r="B373" s="213"/>
      <c r="C373" s="213"/>
      <c r="D373" s="213"/>
      <c r="E373" s="213"/>
      <c r="F373" s="213"/>
    </row>
    <row r="374" ht="15.75" customHeight="1">
      <c r="B374" s="213"/>
      <c r="C374" s="213"/>
      <c r="D374" s="213"/>
      <c r="E374" s="213"/>
      <c r="F374" s="213"/>
    </row>
    <row r="375" ht="15.75" customHeight="1">
      <c r="B375" s="213"/>
      <c r="C375" s="213"/>
      <c r="D375" s="213"/>
      <c r="E375" s="213"/>
      <c r="F375" s="213"/>
    </row>
    <row r="376" ht="15.75" customHeight="1">
      <c r="B376" s="213"/>
      <c r="C376" s="213"/>
      <c r="D376" s="213"/>
      <c r="E376" s="213"/>
      <c r="F376" s="213"/>
    </row>
    <row r="377" ht="15.75" customHeight="1">
      <c r="B377" s="213"/>
      <c r="C377" s="213"/>
      <c r="D377" s="213"/>
      <c r="E377" s="213"/>
      <c r="F377" s="213"/>
    </row>
    <row r="378" ht="15.75" customHeight="1">
      <c r="B378" s="213"/>
      <c r="C378" s="213"/>
      <c r="D378" s="213"/>
      <c r="E378" s="213"/>
      <c r="F378" s="213"/>
    </row>
    <row r="379" ht="15.75" customHeight="1">
      <c r="B379" s="213"/>
      <c r="C379" s="213"/>
      <c r="D379" s="213"/>
      <c r="E379" s="213"/>
      <c r="F379" s="213"/>
    </row>
    <row r="380" ht="15.75" customHeight="1">
      <c r="B380" s="213"/>
      <c r="C380" s="213"/>
      <c r="D380" s="213"/>
      <c r="E380" s="213"/>
      <c r="F380" s="213"/>
    </row>
    <row r="381" ht="15.75" customHeight="1">
      <c r="B381" s="213"/>
      <c r="C381" s="213"/>
      <c r="D381" s="213"/>
      <c r="E381" s="213"/>
      <c r="F381" s="213"/>
    </row>
    <row r="382" ht="15.75" customHeight="1">
      <c r="B382" s="213"/>
      <c r="C382" s="213"/>
      <c r="D382" s="213"/>
      <c r="E382" s="213"/>
      <c r="F382" s="213"/>
    </row>
    <row r="383" ht="15.75" customHeight="1">
      <c r="B383" s="213"/>
      <c r="C383" s="213"/>
      <c r="D383" s="213"/>
      <c r="E383" s="213"/>
      <c r="F383" s="213"/>
    </row>
    <row r="384" ht="15.75" customHeight="1">
      <c r="B384" s="213"/>
      <c r="C384" s="213"/>
      <c r="D384" s="213"/>
      <c r="E384" s="213"/>
      <c r="F384" s="213"/>
    </row>
    <row r="385" ht="15.75" customHeight="1">
      <c r="B385" s="213"/>
      <c r="C385" s="213"/>
      <c r="D385" s="213"/>
      <c r="E385" s="213"/>
      <c r="F385" s="213"/>
    </row>
    <row r="386" ht="15.75" customHeight="1">
      <c r="B386" s="213"/>
      <c r="C386" s="213"/>
      <c r="D386" s="213"/>
      <c r="E386" s="213"/>
      <c r="F386" s="213"/>
    </row>
    <row r="387" ht="15.75" customHeight="1">
      <c r="B387" s="213"/>
      <c r="C387" s="213"/>
      <c r="D387" s="213"/>
      <c r="E387" s="213"/>
      <c r="F387" s="213"/>
    </row>
    <row r="388" ht="15.75" customHeight="1">
      <c r="B388" s="213"/>
      <c r="C388" s="213"/>
      <c r="D388" s="213"/>
      <c r="E388" s="213"/>
      <c r="F388" s="213"/>
    </row>
    <row r="389" ht="15.75" customHeight="1">
      <c r="B389" s="213"/>
      <c r="C389" s="213"/>
      <c r="D389" s="213"/>
      <c r="E389" s="213"/>
      <c r="F389" s="213"/>
    </row>
    <row r="390" ht="15.75" customHeight="1">
      <c r="B390" s="213"/>
      <c r="C390" s="213"/>
      <c r="D390" s="213"/>
      <c r="E390" s="213"/>
      <c r="F390" s="213"/>
    </row>
    <row r="391" ht="15.75" customHeight="1">
      <c r="B391" s="213"/>
      <c r="C391" s="213"/>
      <c r="D391" s="213"/>
      <c r="E391" s="213"/>
      <c r="F391" s="213"/>
    </row>
    <row r="392" ht="15.75" customHeight="1">
      <c r="B392" s="213"/>
      <c r="C392" s="213"/>
      <c r="D392" s="213"/>
      <c r="E392" s="213"/>
      <c r="F392" s="213"/>
    </row>
    <row r="393" ht="15.75" customHeight="1">
      <c r="B393" s="213"/>
      <c r="C393" s="213"/>
      <c r="D393" s="213"/>
      <c r="E393" s="213"/>
      <c r="F393" s="213"/>
    </row>
    <row r="394" ht="15.75" customHeight="1">
      <c r="B394" s="213"/>
      <c r="C394" s="213"/>
      <c r="D394" s="213"/>
      <c r="E394" s="213"/>
      <c r="F394" s="213"/>
    </row>
    <row r="395" ht="15.75" customHeight="1">
      <c r="B395" s="213"/>
      <c r="C395" s="213"/>
      <c r="D395" s="213"/>
      <c r="E395" s="213"/>
      <c r="F395" s="213"/>
    </row>
    <row r="396" ht="15.75" customHeight="1">
      <c r="B396" s="213"/>
      <c r="C396" s="213"/>
      <c r="D396" s="213"/>
      <c r="E396" s="213"/>
      <c r="F396" s="213"/>
    </row>
    <row r="397" ht="15.75" customHeight="1">
      <c r="B397" s="213"/>
      <c r="C397" s="213"/>
      <c r="D397" s="213"/>
      <c r="E397" s="213"/>
      <c r="F397" s="213"/>
    </row>
    <row r="398" ht="15.75" customHeight="1">
      <c r="B398" s="213"/>
      <c r="C398" s="213"/>
      <c r="D398" s="213"/>
      <c r="E398" s="213"/>
      <c r="F398" s="213"/>
    </row>
    <row r="399" ht="15.75" customHeight="1">
      <c r="B399" s="213"/>
      <c r="C399" s="213"/>
      <c r="D399" s="213"/>
      <c r="E399" s="213"/>
      <c r="F399" s="213"/>
    </row>
    <row r="400" ht="15.75" customHeight="1">
      <c r="B400" s="213"/>
      <c r="C400" s="213"/>
      <c r="D400" s="213"/>
      <c r="E400" s="213"/>
      <c r="F400" s="213"/>
    </row>
    <row r="401" ht="15.75" customHeight="1">
      <c r="B401" s="213"/>
      <c r="C401" s="213"/>
      <c r="D401" s="213"/>
      <c r="E401" s="213"/>
      <c r="F401" s="213"/>
    </row>
    <row r="402" ht="15.75" customHeight="1">
      <c r="B402" s="213"/>
      <c r="C402" s="213"/>
      <c r="D402" s="213"/>
      <c r="E402" s="213"/>
      <c r="F402" s="213"/>
    </row>
    <row r="403" ht="15.75" customHeight="1">
      <c r="B403" s="213"/>
      <c r="C403" s="213"/>
      <c r="D403" s="213"/>
      <c r="E403" s="213"/>
      <c r="F403" s="213"/>
    </row>
    <row r="404" ht="15.75" customHeight="1">
      <c r="B404" s="213"/>
      <c r="C404" s="213"/>
      <c r="D404" s="213"/>
      <c r="E404" s="213"/>
      <c r="F404" s="213"/>
    </row>
    <row r="405" ht="15.75" customHeight="1">
      <c r="B405" s="213"/>
      <c r="C405" s="213"/>
      <c r="D405" s="213"/>
      <c r="E405" s="213"/>
      <c r="F405" s="213"/>
    </row>
    <row r="406" ht="15.75" customHeight="1">
      <c r="B406" s="213"/>
      <c r="C406" s="213"/>
      <c r="D406" s="213"/>
      <c r="E406" s="213"/>
      <c r="F406" s="213"/>
    </row>
    <row r="407" ht="15.75" customHeight="1">
      <c r="B407" s="213"/>
      <c r="C407" s="213"/>
      <c r="D407" s="213"/>
      <c r="E407" s="213"/>
      <c r="F407" s="213"/>
    </row>
    <row r="408" ht="15.75" customHeight="1">
      <c r="B408" s="213"/>
      <c r="C408" s="213"/>
      <c r="D408" s="213"/>
      <c r="E408" s="213"/>
      <c r="F408" s="213"/>
    </row>
    <row r="409" ht="15.75" customHeight="1">
      <c r="B409" s="213"/>
      <c r="C409" s="213"/>
      <c r="D409" s="213"/>
      <c r="E409" s="213"/>
      <c r="F409" s="213"/>
    </row>
    <row r="410" ht="15.75" customHeight="1">
      <c r="B410" s="213"/>
      <c r="C410" s="213"/>
      <c r="D410" s="213"/>
      <c r="E410" s="213"/>
      <c r="F410" s="213"/>
    </row>
    <row r="411" ht="15.75" customHeight="1">
      <c r="B411" s="213"/>
      <c r="C411" s="213"/>
      <c r="D411" s="213"/>
      <c r="E411" s="213"/>
      <c r="F411" s="213"/>
    </row>
    <row r="412" ht="15.75" customHeight="1">
      <c r="B412" s="213"/>
      <c r="C412" s="213"/>
      <c r="D412" s="213"/>
      <c r="E412" s="213"/>
      <c r="F412" s="213"/>
    </row>
    <row r="413" ht="15.75" customHeight="1">
      <c r="B413" s="213"/>
      <c r="C413" s="213"/>
      <c r="D413" s="213"/>
      <c r="E413" s="213"/>
      <c r="F413" s="213"/>
    </row>
    <row r="414" ht="15.75" customHeight="1">
      <c r="B414" s="213"/>
      <c r="C414" s="213"/>
      <c r="D414" s="213"/>
      <c r="E414" s="213"/>
      <c r="F414" s="213"/>
    </row>
    <row r="415" ht="15.75" customHeight="1">
      <c r="B415" s="213"/>
      <c r="C415" s="213"/>
      <c r="D415" s="213"/>
      <c r="E415" s="213"/>
      <c r="F415" s="213"/>
    </row>
    <row r="416" ht="15.75" customHeight="1">
      <c r="B416" s="213"/>
      <c r="C416" s="213"/>
      <c r="D416" s="213"/>
      <c r="E416" s="213"/>
      <c r="F416" s="213"/>
    </row>
    <row r="417" ht="15.75" customHeight="1">
      <c r="B417" s="213"/>
      <c r="C417" s="213"/>
      <c r="D417" s="213"/>
      <c r="E417" s="213"/>
      <c r="F417" s="213"/>
    </row>
    <row r="418" ht="15.75" customHeight="1">
      <c r="B418" s="213"/>
      <c r="C418" s="213"/>
      <c r="D418" s="213"/>
      <c r="E418" s="213"/>
      <c r="F418" s="213"/>
    </row>
    <row r="419" ht="15.75" customHeight="1">
      <c r="B419" s="213"/>
      <c r="C419" s="213"/>
      <c r="D419" s="213"/>
      <c r="E419" s="213"/>
      <c r="F419" s="213"/>
    </row>
    <row r="420" ht="15.75" customHeight="1">
      <c r="B420" s="213"/>
      <c r="C420" s="213"/>
      <c r="D420" s="213"/>
      <c r="E420" s="213"/>
      <c r="F420" s="213"/>
    </row>
    <row r="421" ht="15.75" customHeight="1">
      <c r="B421" s="213"/>
      <c r="C421" s="213"/>
      <c r="D421" s="213"/>
      <c r="E421" s="213"/>
      <c r="F421" s="213"/>
    </row>
    <row r="422" ht="15.75" customHeight="1">
      <c r="B422" s="213"/>
      <c r="C422" s="213"/>
      <c r="D422" s="213"/>
      <c r="E422" s="213"/>
      <c r="F422" s="213"/>
    </row>
    <row r="423" ht="15.75" customHeight="1">
      <c r="B423" s="213"/>
      <c r="C423" s="213"/>
      <c r="D423" s="213"/>
      <c r="E423" s="213"/>
      <c r="F423" s="213"/>
    </row>
    <row r="424" ht="15.75" customHeight="1">
      <c r="B424" s="213"/>
      <c r="C424" s="213"/>
      <c r="D424" s="213"/>
      <c r="E424" s="213"/>
      <c r="F424" s="213"/>
    </row>
    <row r="425" ht="15.75" customHeight="1">
      <c r="B425" s="213"/>
      <c r="C425" s="213"/>
      <c r="D425" s="213"/>
      <c r="E425" s="213"/>
      <c r="F425" s="213"/>
    </row>
    <row r="426" ht="15.75" customHeight="1">
      <c r="B426" s="213"/>
      <c r="C426" s="213"/>
      <c r="D426" s="213"/>
      <c r="E426" s="213"/>
      <c r="F426" s="213"/>
    </row>
    <row r="427" ht="15.75" customHeight="1">
      <c r="B427" s="213"/>
      <c r="C427" s="213"/>
      <c r="D427" s="213"/>
      <c r="E427" s="213"/>
      <c r="F427" s="213"/>
    </row>
    <row r="428" ht="15.75" customHeight="1">
      <c r="B428" s="213"/>
      <c r="C428" s="213"/>
      <c r="D428" s="213"/>
      <c r="E428" s="213"/>
      <c r="F428" s="213"/>
    </row>
    <row r="429" ht="15.75" customHeight="1">
      <c r="B429" s="213"/>
      <c r="C429" s="213"/>
      <c r="D429" s="213"/>
      <c r="E429" s="213"/>
      <c r="F429" s="213"/>
    </row>
    <row r="430" ht="15.75" customHeight="1">
      <c r="B430" s="213"/>
      <c r="C430" s="213"/>
      <c r="D430" s="213"/>
      <c r="E430" s="213"/>
      <c r="F430" s="213"/>
    </row>
    <row r="431" ht="15.75" customHeight="1">
      <c r="B431" s="213"/>
      <c r="C431" s="213"/>
      <c r="D431" s="213"/>
      <c r="E431" s="213"/>
      <c r="F431" s="213"/>
    </row>
    <row r="432" ht="15.75" customHeight="1">
      <c r="B432" s="213"/>
      <c r="C432" s="213"/>
      <c r="D432" s="213"/>
      <c r="E432" s="213"/>
      <c r="F432" s="213"/>
    </row>
    <row r="433" ht="15.75" customHeight="1">
      <c r="B433" s="213"/>
      <c r="C433" s="213"/>
      <c r="D433" s="213"/>
      <c r="E433" s="213"/>
      <c r="F433" s="213"/>
    </row>
    <row r="434" ht="15.75" customHeight="1">
      <c r="B434" s="213"/>
      <c r="C434" s="213"/>
      <c r="D434" s="213"/>
      <c r="E434" s="213"/>
      <c r="F434" s="213"/>
    </row>
    <row r="435" ht="15.75" customHeight="1">
      <c r="B435" s="213"/>
      <c r="C435" s="213"/>
      <c r="D435" s="213"/>
      <c r="E435" s="213"/>
      <c r="F435" s="213"/>
    </row>
    <row r="436" ht="15.75" customHeight="1">
      <c r="B436" s="213"/>
      <c r="C436" s="213"/>
      <c r="D436" s="213"/>
      <c r="E436" s="213"/>
      <c r="F436" s="213"/>
    </row>
    <row r="437" ht="15.75" customHeight="1">
      <c r="B437" s="213"/>
      <c r="C437" s="213"/>
      <c r="D437" s="213"/>
      <c r="E437" s="213"/>
      <c r="F437" s="213"/>
    </row>
    <row r="438" ht="15.75" customHeight="1">
      <c r="B438" s="213"/>
      <c r="C438" s="213"/>
      <c r="D438" s="213"/>
      <c r="E438" s="213"/>
      <c r="F438" s="213"/>
    </row>
    <row r="439" ht="15.75" customHeight="1">
      <c r="B439" s="213"/>
      <c r="C439" s="213"/>
      <c r="D439" s="213"/>
      <c r="E439" s="213"/>
      <c r="F439" s="213"/>
    </row>
    <row r="440" ht="15.75" customHeight="1">
      <c r="B440" s="213"/>
      <c r="C440" s="213"/>
      <c r="D440" s="213"/>
      <c r="E440" s="213"/>
      <c r="F440" s="213"/>
    </row>
    <row r="441" ht="15.75" customHeight="1">
      <c r="B441" s="213"/>
      <c r="C441" s="213"/>
      <c r="D441" s="213"/>
      <c r="E441" s="213"/>
      <c r="F441" s="213"/>
    </row>
    <row r="442" ht="15.75" customHeight="1">
      <c r="B442" s="213"/>
      <c r="C442" s="213"/>
      <c r="D442" s="213"/>
      <c r="E442" s="213"/>
      <c r="F442" s="213"/>
    </row>
    <row r="443" ht="15.75" customHeight="1">
      <c r="B443" s="213"/>
      <c r="C443" s="213"/>
      <c r="D443" s="213"/>
      <c r="E443" s="213"/>
      <c r="F443" s="213"/>
    </row>
    <row r="444" ht="15.75" customHeight="1">
      <c r="B444" s="213"/>
      <c r="C444" s="213"/>
      <c r="D444" s="213"/>
      <c r="E444" s="213"/>
      <c r="F444" s="213"/>
    </row>
    <row r="445" ht="15.75" customHeight="1">
      <c r="B445" s="213"/>
      <c r="C445" s="213"/>
      <c r="D445" s="213"/>
      <c r="E445" s="213"/>
      <c r="F445" s="213"/>
    </row>
    <row r="446" ht="15.75" customHeight="1">
      <c r="B446" s="213"/>
      <c r="C446" s="213"/>
      <c r="D446" s="213"/>
      <c r="E446" s="213"/>
      <c r="F446" s="213"/>
    </row>
    <row r="447" ht="15.75" customHeight="1">
      <c r="B447" s="213"/>
      <c r="C447" s="213"/>
      <c r="D447" s="213"/>
      <c r="E447" s="213"/>
      <c r="F447" s="213"/>
    </row>
    <row r="448" ht="15.75" customHeight="1">
      <c r="B448" s="213"/>
      <c r="C448" s="213"/>
      <c r="D448" s="213"/>
      <c r="E448" s="213"/>
      <c r="F448" s="213"/>
    </row>
    <row r="449" ht="15.75" customHeight="1">
      <c r="B449" s="213"/>
      <c r="C449" s="213"/>
      <c r="D449" s="213"/>
      <c r="E449" s="213"/>
      <c r="F449" s="213"/>
    </row>
    <row r="450" ht="15.75" customHeight="1">
      <c r="B450" s="213"/>
      <c r="C450" s="213"/>
      <c r="D450" s="213"/>
      <c r="E450" s="213"/>
      <c r="F450" s="213"/>
    </row>
    <row r="451" ht="15.75" customHeight="1">
      <c r="B451" s="213"/>
      <c r="C451" s="213"/>
      <c r="D451" s="213"/>
      <c r="E451" s="213"/>
      <c r="F451" s="213"/>
    </row>
    <row r="452" ht="15.75" customHeight="1">
      <c r="B452" s="213"/>
      <c r="C452" s="213"/>
      <c r="D452" s="213"/>
      <c r="E452" s="213"/>
      <c r="F452" s="213"/>
    </row>
    <row r="453" ht="15.75" customHeight="1">
      <c r="B453" s="213"/>
      <c r="C453" s="213"/>
      <c r="D453" s="213"/>
      <c r="E453" s="213"/>
      <c r="F453" s="213"/>
    </row>
    <row r="454" ht="15.75" customHeight="1">
      <c r="B454" s="213"/>
      <c r="C454" s="213"/>
      <c r="D454" s="213"/>
      <c r="E454" s="213"/>
      <c r="F454" s="213"/>
    </row>
    <row r="455" ht="15.75" customHeight="1">
      <c r="B455" s="213"/>
      <c r="C455" s="213"/>
      <c r="D455" s="213"/>
      <c r="E455" s="213"/>
      <c r="F455" s="213"/>
    </row>
    <row r="456" ht="15.75" customHeight="1">
      <c r="B456" s="213"/>
      <c r="C456" s="213"/>
      <c r="D456" s="213"/>
      <c r="E456" s="213"/>
      <c r="F456" s="213"/>
    </row>
    <row r="457" ht="15.75" customHeight="1">
      <c r="B457" s="213"/>
      <c r="C457" s="213"/>
      <c r="D457" s="213"/>
      <c r="E457" s="213"/>
      <c r="F457" s="213"/>
    </row>
    <row r="458" ht="15.75" customHeight="1">
      <c r="B458" s="213"/>
      <c r="C458" s="213"/>
      <c r="D458" s="213"/>
      <c r="E458" s="213"/>
      <c r="F458" s="213"/>
    </row>
    <row r="459" ht="15.75" customHeight="1">
      <c r="B459" s="213"/>
      <c r="C459" s="213"/>
      <c r="D459" s="213"/>
      <c r="E459" s="213"/>
      <c r="F459" s="213"/>
    </row>
    <row r="460" ht="15.75" customHeight="1">
      <c r="B460" s="213"/>
      <c r="C460" s="213"/>
      <c r="D460" s="213"/>
      <c r="E460" s="213"/>
      <c r="F460" s="213"/>
    </row>
    <row r="461" ht="15.75" customHeight="1">
      <c r="B461" s="213"/>
      <c r="C461" s="213"/>
      <c r="D461" s="213"/>
      <c r="E461" s="213"/>
      <c r="F461" s="213"/>
    </row>
    <row r="462" ht="15.75" customHeight="1">
      <c r="B462" s="213"/>
      <c r="C462" s="213"/>
      <c r="D462" s="213"/>
      <c r="E462" s="213"/>
      <c r="F462" s="213"/>
    </row>
    <row r="463" ht="15.75" customHeight="1">
      <c r="B463" s="213"/>
      <c r="C463" s="213"/>
      <c r="D463" s="213"/>
      <c r="E463" s="213"/>
      <c r="F463" s="213"/>
    </row>
    <row r="464" ht="15.75" customHeight="1">
      <c r="B464" s="213"/>
      <c r="C464" s="213"/>
      <c r="D464" s="213"/>
      <c r="E464" s="213"/>
      <c r="F464" s="213"/>
    </row>
    <row r="465" ht="15.75" customHeight="1">
      <c r="B465" s="213"/>
      <c r="C465" s="213"/>
      <c r="D465" s="213"/>
      <c r="E465" s="213"/>
      <c r="F465" s="213"/>
    </row>
    <row r="466" ht="15.75" customHeight="1">
      <c r="B466" s="213"/>
      <c r="C466" s="213"/>
      <c r="D466" s="213"/>
      <c r="E466" s="213"/>
      <c r="F466" s="213"/>
    </row>
    <row r="467" ht="15.75" customHeight="1">
      <c r="B467" s="213"/>
      <c r="C467" s="213"/>
      <c r="D467" s="213"/>
      <c r="E467" s="213"/>
      <c r="F467" s="213"/>
    </row>
    <row r="468" ht="15.75" customHeight="1">
      <c r="B468" s="213"/>
      <c r="C468" s="213"/>
      <c r="D468" s="213"/>
      <c r="E468" s="213"/>
      <c r="F468" s="213"/>
    </row>
    <row r="469" ht="15.75" customHeight="1">
      <c r="B469" s="213"/>
      <c r="C469" s="213"/>
      <c r="D469" s="213"/>
      <c r="E469" s="213"/>
      <c r="F469" s="213"/>
    </row>
    <row r="470" ht="15.75" customHeight="1">
      <c r="B470" s="213"/>
      <c r="C470" s="213"/>
      <c r="D470" s="213"/>
      <c r="E470" s="213"/>
      <c r="F470" s="213"/>
    </row>
    <row r="471" ht="15.75" customHeight="1">
      <c r="B471" s="213"/>
      <c r="C471" s="213"/>
      <c r="D471" s="213"/>
      <c r="E471" s="213"/>
      <c r="F471" s="213"/>
    </row>
    <row r="472" ht="15.75" customHeight="1">
      <c r="B472" s="213"/>
      <c r="C472" s="213"/>
      <c r="D472" s="213"/>
      <c r="E472" s="213"/>
      <c r="F472" s="213"/>
    </row>
    <row r="473" ht="15.75" customHeight="1">
      <c r="B473" s="213"/>
      <c r="C473" s="213"/>
      <c r="D473" s="213"/>
      <c r="E473" s="213"/>
      <c r="F473" s="213"/>
    </row>
    <row r="474" ht="15.75" customHeight="1">
      <c r="B474" s="213"/>
      <c r="C474" s="213"/>
      <c r="D474" s="213"/>
      <c r="E474" s="213"/>
      <c r="F474" s="213"/>
    </row>
    <row r="475" ht="15.75" customHeight="1">
      <c r="B475" s="213"/>
      <c r="C475" s="213"/>
      <c r="D475" s="213"/>
      <c r="E475" s="213"/>
      <c r="F475" s="213"/>
    </row>
    <row r="476" ht="15.75" customHeight="1">
      <c r="B476" s="213"/>
      <c r="C476" s="213"/>
      <c r="D476" s="213"/>
      <c r="E476" s="213"/>
      <c r="F476" s="213"/>
    </row>
    <row r="477" ht="15.75" customHeight="1">
      <c r="B477" s="213"/>
      <c r="C477" s="213"/>
      <c r="D477" s="213"/>
      <c r="E477" s="213"/>
      <c r="F477" s="213"/>
    </row>
    <row r="478" ht="15.75" customHeight="1">
      <c r="B478" s="213"/>
      <c r="C478" s="213"/>
      <c r="D478" s="213"/>
      <c r="E478" s="213"/>
      <c r="F478" s="213"/>
    </row>
    <row r="479" ht="15.75" customHeight="1">
      <c r="B479" s="213"/>
      <c r="C479" s="213"/>
      <c r="D479" s="213"/>
      <c r="E479" s="213"/>
      <c r="F479" s="213"/>
    </row>
    <row r="480" ht="15.75" customHeight="1">
      <c r="B480" s="213"/>
      <c r="C480" s="213"/>
      <c r="D480" s="213"/>
      <c r="E480" s="213"/>
      <c r="F480" s="213"/>
    </row>
    <row r="481" ht="15.75" customHeight="1">
      <c r="B481" s="213"/>
      <c r="C481" s="213"/>
      <c r="D481" s="213"/>
      <c r="E481" s="213"/>
      <c r="F481" s="213"/>
    </row>
    <row r="482" ht="15.75" customHeight="1">
      <c r="B482" s="213"/>
      <c r="C482" s="213"/>
      <c r="D482" s="213"/>
      <c r="E482" s="213"/>
      <c r="F482" s="213"/>
    </row>
    <row r="483" ht="15.75" customHeight="1">
      <c r="B483" s="213"/>
      <c r="C483" s="213"/>
      <c r="D483" s="213"/>
      <c r="E483" s="213"/>
      <c r="F483" s="213"/>
    </row>
    <row r="484" ht="15.75" customHeight="1">
      <c r="B484" s="213"/>
      <c r="C484" s="213"/>
      <c r="D484" s="213"/>
      <c r="E484" s="213"/>
      <c r="F484" s="213"/>
    </row>
    <row r="485" ht="15.75" customHeight="1">
      <c r="B485" s="213"/>
      <c r="C485" s="213"/>
      <c r="D485" s="213"/>
      <c r="E485" s="213"/>
      <c r="F485" s="213"/>
    </row>
    <row r="486" ht="15.75" customHeight="1">
      <c r="B486" s="213"/>
      <c r="C486" s="213"/>
      <c r="D486" s="213"/>
      <c r="E486" s="213"/>
      <c r="F486" s="213"/>
    </row>
    <row r="487" ht="15.75" customHeight="1">
      <c r="B487" s="213"/>
      <c r="C487" s="213"/>
      <c r="D487" s="213"/>
      <c r="E487" s="213"/>
      <c r="F487" s="213"/>
    </row>
    <row r="488" ht="15.75" customHeight="1">
      <c r="B488" s="213"/>
      <c r="C488" s="213"/>
      <c r="D488" s="213"/>
      <c r="E488" s="213"/>
      <c r="F488" s="213"/>
    </row>
    <row r="489" ht="15.75" customHeight="1">
      <c r="B489" s="213"/>
      <c r="C489" s="213"/>
      <c r="D489" s="213"/>
      <c r="E489" s="213"/>
      <c r="F489" s="213"/>
    </row>
    <row r="490" ht="15.75" customHeight="1">
      <c r="B490" s="213"/>
      <c r="C490" s="213"/>
      <c r="D490" s="213"/>
      <c r="E490" s="213"/>
      <c r="F490" s="213"/>
    </row>
    <row r="491" ht="15.75" customHeight="1">
      <c r="B491" s="213"/>
      <c r="C491" s="213"/>
      <c r="D491" s="213"/>
      <c r="E491" s="213"/>
      <c r="F491" s="213"/>
    </row>
    <row r="492" ht="15.75" customHeight="1">
      <c r="B492" s="213"/>
      <c r="C492" s="213"/>
      <c r="D492" s="213"/>
      <c r="E492" s="213"/>
      <c r="F492" s="213"/>
    </row>
    <row r="493" ht="15.75" customHeight="1">
      <c r="B493" s="213"/>
      <c r="C493" s="213"/>
      <c r="D493" s="213"/>
      <c r="E493" s="213"/>
      <c r="F493" s="213"/>
    </row>
    <row r="494" ht="15.75" customHeight="1">
      <c r="B494" s="213"/>
      <c r="C494" s="213"/>
      <c r="D494" s="213"/>
      <c r="E494" s="213"/>
      <c r="F494" s="213"/>
    </row>
    <row r="495" ht="15.75" customHeight="1">
      <c r="B495" s="213"/>
      <c r="C495" s="213"/>
      <c r="D495" s="213"/>
      <c r="E495" s="213"/>
      <c r="F495" s="213"/>
    </row>
    <row r="496" ht="15.75" customHeight="1">
      <c r="B496" s="213"/>
      <c r="C496" s="213"/>
      <c r="D496" s="213"/>
      <c r="E496" s="213"/>
      <c r="F496" s="213"/>
    </row>
    <row r="497" ht="15.75" customHeight="1">
      <c r="B497" s="213"/>
      <c r="C497" s="213"/>
      <c r="D497" s="213"/>
      <c r="E497" s="213"/>
      <c r="F497" s="213"/>
    </row>
    <row r="498" ht="15.75" customHeight="1">
      <c r="B498" s="213"/>
      <c r="C498" s="213"/>
      <c r="D498" s="213"/>
      <c r="E498" s="213"/>
      <c r="F498" s="213"/>
    </row>
    <row r="499" ht="15.75" customHeight="1">
      <c r="B499" s="213"/>
      <c r="C499" s="213"/>
      <c r="D499" s="213"/>
      <c r="E499" s="213"/>
      <c r="F499" s="213"/>
    </row>
    <row r="500" ht="15.75" customHeight="1">
      <c r="B500" s="213"/>
      <c r="C500" s="213"/>
      <c r="D500" s="213"/>
      <c r="E500" s="213"/>
      <c r="F500" s="213"/>
    </row>
    <row r="501" ht="15.75" customHeight="1">
      <c r="B501" s="213"/>
      <c r="C501" s="213"/>
      <c r="D501" s="213"/>
      <c r="E501" s="213"/>
      <c r="F501" s="213"/>
    </row>
    <row r="502" ht="15.75" customHeight="1">
      <c r="B502" s="213"/>
      <c r="C502" s="213"/>
      <c r="D502" s="213"/>
      <c r="E502" s="213"/>
      <c r="F502" s="213"/>
    </row>
    <row r="503" ht="15.75" customHeight="1">
      <c r="B503" s="213"/>
      <c r="C503" s="213"/>
      <c r="D503" s="213"/>
      <c r="E503" s="213"/>
      <c r="F503" s="213"/>
    </row>
    <row r="504" ht="15.75" customHeight="1">
      <c r="B504" s="213"/>
      <c r="C504" s="213"/>
      <c r="D504" s="213"/>
      <c r="E504" s="213"/>
      <c r="F504" s="213"/>
    </row>
    <row r="505" ht="15.75" customHeight="1">
      <c r="B505" s="213"/>
      <c r="C505" s="213"/>
      <c r="D505" s="213"/>
      <c r="E505" s="213"/>
      <c r="F505" s="213"/>
    </row>
    <row r="506" ht="15.75" customHeight="1">
      <c r="B506" s="213"/>
      <c r="C506" s="213"/>
      <c r="D506" s="213"/>
      <c r="E506" s="213"/>
      <c r="F506" s="213"/>
    </row>
    <row r="507" ht="15.75" customHeight="1">
      <c r="B507" s="213"/>
      <c r="C507" s="213"/>
      <c r="D507" s="213"/>
      <c r="E507" s="213"/>
      <c r="F507" s="213"/>
    </row>
    <row r="508" ht="15.75" customHeight="1">
      <c r="B508" s="213"/>
      <c r="C508" s="213"/>
      <c r="D508" s="213"/>
      <c r="E508" s="213"/>
      <c r="F508" s="213"/>
    </row>
    <row r="509" ht="15.75" customHeight="1">
      <c r="B509" s="213"/>
      <c r="C509" s="213"/>
      <c r="D509" s="213"/>
      <c r="E509" s="213"/>
      <c r="F509" s="213"/>
    </row>
    <row r="510" ht="15.75" customHeight="1">
      <c r="B510" s="213"/>
      <c r="C510" s="213"/>
      <c r="D510" s="213"/>
      <c r="E510" s="213"/>
      <c r="F510" s="213"/>
    </row>
    <row r="511" ht="15.75" customHeight="1">
      <c r="B511" s="213"/>
      <c r="C511" s="213"/>
      <c r="D511" s="213"/>
      <c r="E511" s="213"/>
      <c r="F511" s="213"/>
    </row>
    <row r="512" ht="15.75" customHeight="1">
      <c r="B512" s="213"/>
      <c r="C512" s="213"/>
      <c r="D512" s="213"/>
      <c r="E512" s="213"/>
      <c r="F512" s="213"/>
    </row>
    <row r="513" ht="15.75" customHeight="1">
      <c r="B513" s="213"/>
      <c r="C513" s="213"/>
      <c r="D513" s="213"/>
      <c r="E513" s="213"/>
      <c r="F513" s="213"/>
    </row>
    <row r="514" ht="15.75" customHeight="1">
      <c r="B514" s="213"/>
      <c r="C514" s="213"/>
      <c r="D514" s="213"/>
      <c r="E514" s="213"/>
      <c r="F514" s="213"/>
    </row>
    <row r="515" ht="15.75" customHeight="1">
      <c r="B515" s="213"/>
      <c r="C515" s="213"/>
      <c r="D515" s="213"/>
      <c r="E515" s="213"/>
      <c r="F515" s="213"/>
    </row>
    <row r="516" ht="15.75" customHeight="1">
      <c r="B516" s="213"/>
      <c r="C516" s="213"/>
      <c r="D516" s="213"/>
      <c r="E516" s="213"/>
      <c r="F516" s="213"/>
    </row>
    <row r="517" ht="15.75" customHeight="1">
      <c r="B517" s="213"/>
      <c r="C517" s="213"/>
      <c r="D517" s="213"/>
      <c r="E517" s="213"/>
      <c r="F517" s="213"/>
    </row>
    <row r="518" ht="15.75" customHeight="1">
      <c r="B518" s="213"/>
      <c r="C518" s="213"/>
      <c r="D518" s="213"/>
      <c r="E518" s="213"/>
      <c r="F518" s="213"/>
    </row>
    <row r="519" ht="15.75" customHeight="1">
      <c r="B519" s="213"/>
      <c r="C519" s="213"/>
      <c r="D519" s="213"/>
      <c r="E519" s="213"/>
      <c r="F519" s="213"/>
    </row>
    <row r="520" ht="15.75" customHeight="1">
      <c r="B520" s="213"/>
      <c r="C520" s="213"/>
      <c r="D520" s="213"/>
      <c r="E520" s="213"/>
      <c r="F520" s="213"/>
    </row>
    <row r="521" ht="15.75" customHeight="1">
      <c r="B521" s="213"/>
      <c r="C521" s="213"/>
      <c r="D521" s="213"/>
      <c r="E521" s="213"/>
      <c r="F521" s="213"/>
    </row>
    <row r="522" ht="15.75" customHeight="1">
      <c r="B522" s="213"/>
      <c r="C522" s="213"/>
      <c r="D522" s="213"/>
      <c r="E522" s="213"/>
      <c r="F522" s="213"/>
    </row>
    <row r="523" ht="15.75" customHeight="1">
      <c r="B523" s="213"/>
      <c r="C523" s="213"/>
      <c r="D523" s="213"/>
      <c r="E523" s="213"/>
      <c r="F523" s="213"/>
    </row>
    <row r="524" ht="15.75" customHeight="1">
      <c r="B524" s="213"/>
      <c r="C524" s="213"/>
      <c r="D524" s="213"/>
      <c r="E524" s="213"/>
      <c r="F524" s="213"/>
    </row>
    <row r="525" ht="15.75" customHeight="1">
      <c r="B525" s="213"/>
      <c r="C525" s="213"/>
      <c r="D525" s="213"/>
      <c r="E525" s="213"/>
      <c r="F525" s="213"/>
    </row>
    <row r="526" ht="15.75" customHeight="1">
      <c r="B526" s="213"/>
      <c r="C526" s="213"/>
      <c r="D526" s="213"/>
      <c r="E526" s="213"/>
      <c r="F526" s="213"/>
    </row>
    <row r="527" ht="15.75" customHeight="1">
      <c r="B527" s="213"/>
      <c r="C527" s="213"/>
      <c r="D527" s="213"/>
      <c r="E527" s="213"/>
      <c r="F527" s="213"/>
    </row>
    <row r="528" ht="15.75" customHeight="1">
      <c r="B528" s="213"/>
      <c r="C528" s="213"/>
      <c r="D528" s="213"/>
      <c r="E528" s="213"/>
      <c r="F528" s="213"/>
    </row>
    <row r="529" ht="15.75" customHeight="1">
      <c r="B529" s="213"/>
      <c r="C529" s="213"/>
      <c r="D529" s="213"/>
      <c r="E529" s="213"/>
      <c r="F529" s="213"/>
    </row>
    <row r="530" ht="15.75" customHeight="1">
      <c r="B530" s="213"/>
      <c r="C530" s="213"/>
      <c r="D530" s="213"/>
      <c r="E530" s="213"/>
      <c r="F530" s="213"/>
    </row>
    <row r="531" ht="15.75" customHeight="1">
      <c r="B531" s="213"/>
      <c r="C531" s="213"/>
      <c r="D531" s="213"/>
      <c r="E531" s="213"/>
      <c r="F531" s="213"/>
    </row>
    <row r="532" ht="15.75" customHeight="1">
      <c r="B532" s="213"/>
      <c r="C532" s="213"/>
      <c r="D532" s="213"/>
      <c r="E532" s="213"/>
      <c r="F532" s="213"/>
    </row>
    <row r="533" ht="15.75" customHeight="1">
      <c r="B533" s="213"/>
      <c r="C533" s="213"/>
      <c r="D533" s="213"/>
      <c r="E533" s="213"/>
      <c r="F533" s="213"/>
    </row>
    <row r="534" ht="15.75" customHeight="1">
      <c r="B534" s="213"/>
      <c r="C534" s="213"/>
      <c r="D534" s="213"/>
      <c r="E534" s="213"/>
      <c r="F534" s="213"/>
    </row>
    <row r="535" ht="15.75" customHeight="1">
      <c r="B535" s="213"/>
      <c r="C535" s="213"/>
      <c r="D535" s="213"/>
      <c r="E535" s="213"/>
      <c r="F535" s="213"/>
    </row>
    <row r="536" ht="15.75" customHeight="1">
      <c r="B536" s="213"/>
      <c r="C536" s="213"/>
      <c r="D536" s="213"/>
      <c r="E536" s="213"/>
      <c r="F536" s="213"/>
    </row>
    <row r="537" ht="15.75" customHeight="1">
      <c r="B537" s="213"/>
      <c r="C537" s="213"/>
      <c r="D537" s="213"/>
      <c r="E537" s="213"/>
      <c r="F537" s="213"/>
    </row>
    <row r="538" ht="15.75" customHeight="1">
      <c r="B538" s="213"/>
      <c r="C538" s="213"/>
      <c r="D538" s="213"/>
      <c r="E538" s="213"/>
      <c r="F538" s="213"/>
    </row>
    <row r="539" ht="15.75" customHeight="1">
      <c r="B539" s="213"/>
      <c r="C539" s="213"/>
      <c r="D539" s="213"/>
      <c r="E539" s="213"/>
      <c r="F539" s="213"/>
    </row>
    <row r="540" ht="15.75" customHeight="1">
      <c r="B540" s="213"/>
      <c r="C540" s="213"/>
      <c r="D540" s="213"/>
      <c r="E540" s="213"/>
      <c r="F540" s="213"/>
    </row>
    <row r="541" ht="15.75" customHeight="1">
      <c r="B541" s="213"/>
      <c r="C541" s="213"/>
      <c r="D541" s="213"/>
      <c r="E541" s="213"/>
      <c r="F541" s="213"/>
    </row>
    <row r="542" ht="15.75" customHeight="1">
      <c r="B542" s="213"/>
      <c r="C542" s="213"/>
      <c r="D542" s="213"/>
      <c r="E542" s="213"/>
      <c r="F542" s="213"/>
    </row>
    <row r="543" ht="15.75" customHeight="1">
      <c r="B543" s="213"/>
      <c r="C543" s="213"/>
      <c r="D543" s="213"/>
      <c r="E543" s="213"/>
      <c r="F543" s="213"/>
    </row>
    <row r="544" ht="15.75" customHeight="1">
      <c r="B544" s="213"/>
      <c r="C544" s="213"/>
      <c r="D544" s="213"/>
      <c r="E544" s="213"/>
      <c r="F544" s="213"/>
    </row>
    <row r="545" ht="15.75" customHeight="1">
      <c r="B545" s="213"/>
      <c r="C545" s="213"/>
      <c r="D545" s="213"/>
      <c r="E545" s="213"/>
      <c r="F545" s="213"/>
    </row>
    <row r="546" ht="15.75" customHeight="1">
      <c r="B546" s="213"/>
      <c r="C546" s="213"/>
      <c r="D546" s="213"/>
      <c r="E546" s="213"/>
      <c r="F546" s="213"/>
    </row>
    <row r="547" ht="15.75" customHeight="1">
      <c r="B547" s="213"/>
      <c r="C547" s="213"/>
      <c r="D547" s="213"/>
      <c r="E547" s="213"/>
      <c r="F547" s="213"/>
    </row>
    <row r="548" ht="15.75" customHeight="1">
      <c r="B548" s="213"/>
      <c r="C548" s="213"/>
      <c r="D548" s="213"/>
      <c r="E548" s="213"/>
      <c r="F548" s="213"/>
    </row>
    <row r="549" ht="15.75" customHeight="1">
      <c r="B549" s="213"/>
      <c r="C549" s="213"/>
      <c r="D549" s="213"/>
      <c r="E549" s="213"/>
      <c r="F549" s="213"/>
    </row>
    <row r="550" ht="15.75" customHeight="1">
      <c r="B550" s="213"/>
      <c r="C550" s="213"/>
      <c r="D550" s="213"/>
      <c r="E550" s="213"/>
      <c r="F550" s="213"/>
    </row>
    <row r="551" ht="15.75" customHeight="1">
      <c r="B551" s="213"/>
      <c r="C551" s="213"/>
      <c r="D551" s="213"/>
      <c r="E551" s="213"/>
      <c r="F551" s="213"/>
    </row>
    <row r="552" ht="15.75" customHeight="1">
      <c r="B552" s="213"/>
      <c r="C552" s="213"/>
      <c r="D552" s="213"/>
      <c r="E552" s="213"/>
      <c r="F552" s="213"/>
    </row>
    <row r="553" ht="15.75" customHeight="1">
      <c r="B553" s="213"/>
      <c r="C553" s="213"/>
      <c r="D553" s="213"/>
      <c r="E553" s="213"/>
      <c r="F553" s="213"/>
    </row>
    <row r="554" ht="15.75" customHeight="1">
      <c r="B554" s="213"/>
      <c r="C554" s="213"/>
      <c r="D554" s="213"/>
      <c r="E554" s="213"/>
      <c r="F554" s="213"/>
    </row>
    <row r="555" ht="15.75" customHeight="1">
      <c r="B555" s="213"/>
      <c r="C555" s="213"/>
      <c r="D555" s="213"/>
      <c r="E555" s="213"/>
      <c r="F555" s="213"/>
    </row>
    <row r="556" ht="15.75" customHeight="1">
      <c r="B556" s="213"/>
      <c r="C556" s="213"/>
      <c r="D556" s="213"/>
      <c r="E556" s="213"/>
      <c r="F556" s="213"/>
    </row>
    <row r="557" ht="15.75" customHeight="1">
      <c r="B557" s="213"/>
      <c r="C557" s="213"/>
      <c r="D557" s="213"/>
      <c r="E557" s="213"/>
      <c r="F557" s="213"/>
    </row>
    <row r="558" ht="15.75" customHeight="1">
      <c r="B558" s="213"/>
      <c r="C558" s="213"/>
      <c r="D558" s="213"/>
      <c r="E558" s="213"/>
      <c r="F558" s="213"/>
    </row>
    <row r="559" ht="15.75" customHeight="1">
      <c r="B559" s="213"/>
      <c r="C559" s="213"/>
      <c r="D559" s="213"/>
      <c r="E559" s="213"/>
      <c r="F559" s="213"/>
    </row>
    <row r="560" ht="15.75" customHeight="1">
      <c r="B560" s="213"/>
      <c r="C560" s="213"/>
      <c r="D560" s="213"/>
      <c r="E560" s="213"/>
      <c r="F560" s="213"/>
    </row>
    <row r="561" ht="15.75" customHeight="1">
      <c r="B561" s="213"/>
      <c r="C561" s="213"/>
      <c r="D561" s="213"/>
      <c r="E561" s="213"/>
      <c r="F561" s="213"/>
    </row>
    <row r="562" ht="15.75" customHeight="1">
      <c r="B562" s="213"/>
      <c r="C562" s="213"/>
      <c r="D562" s="213"/>
      <c r="E562" s="213"/>
      <c r="F562" s="213"/>
    </row>
    <row r="563" ht="15.75" customHeight="1">
      <c r="B563" s="213"/>
      <c r="C563" s="213"/>
      <c r="D563" s="213"/>
      <c r="E563" s="213"/>
      <c r="F563" s="213"/>
    </row>
    <row r="564" ht="15.75" customHeight="1">
      <c r="B564" s="213"/>
      <c r="C564" s="213"/>
      <c r="D564" s="213"/>
      <c r="E564" s="213"/>
      <c r="F564" s="213"/>
    </row>
    <row r="565" ht="15.75" customHeight="1">
      <c r="B565" s="213"/>
      <c r="C565" s="213"/>
      <c r="D565" s="213"/>
      <c r="E565" s="213"/>
      <c r="F565" s="213"/>
    </row>
    <row r="566" ht="15.75" customHeight="1">
      <c r="B566" s="213"/>
      <c r="C566" s="213"/>
      <c r="D566" s="213"/>
      <c r="E566" s="213"/>
      <c r="F566" s="213"/>
    </row>
    <row r="567" ht="15.75" customHeight="1">
      <c r="B567" s="213"/>
      <c r="C567" s="213"/>
      <c r="D567" s="213"/>
      <c r="E567" s="213"/>
      <c r="F567" s="213"/>
    </row>
    <row r="568" ht="15.75" customHeight="1">
      <c r="B568" s="213"/>
      <c r="C568" s="213"/>
      <c r="D568" s="213"/>
      <c r="E568" s="213"/>
      <c r="F568" s="213"/>
    </row>
    <row r="569" ht="15.75" customHeight="1">
      <c r="B569" s="213"/>
      <c r="C569" s="213"/>
      <c r="D569" s="213"/>
      <c r="E569" s="213"/>
      <c r="F569" s="213"/>
    </row>
    <row r="570" ht="15.75" customHeight="1">
      <c r="B570" s="213"/>
      <c r="C570" s="213"/>
      <c r="D570" s="213"/>
      <c r="E570" s="213"/>
      <c r="F570" s="213"/>
    </row>
    <row r="571" ht="15.75" customHeight="1">
      <c r="B571" s="213"/>
      <c r="C571" s="213"/>
      <c r="D571" s="213"/>
      <c r="E571" s="213"/>
      <c r="F571" s="213"/>
    </row>
    <row r="572" ht="15.75" customHeight="1">
      <c r="B572" s="213"/>
      <c r="C572" s="213"/>
      <c r="D572" s="213"/>
      <c r="E572" s="213"/>
      <c r="F572" s="213"/>
    </row>
    <row r="573" ht="15.75" customHeight="1">
      <c r="B573" s="213"/>
      <c r="C573" s="213"/>
      <c r="D573" s="213"/>
      <c r="E573" s="213"/>
      <c r="F573" s="213"/>
    </row>
    <row r="574" ht="15.75" customHeight="1">
      <c r="B574" s="213"/>
      <c r="C574" s="213"/>
      <c r="D574" s="213"/>
      <c r="E574" s="213"/>
      <c r="F574" s="213"/>
    </row>
    <row r="575" ht="15.75" customHeight="1">
      <c r="B575" s="213"/>
      <c r="C575" s="213"/>
      <c r="D575" s="213"/>
      <c r="E575" s="213"/>
      <c r="F575" s="213"/>
    </row>
    <row r="576" ht="15.75" customHeight="1">
      <c r="B576" s="213"/>
      <c r="C576" s="213"/>
      <c r="D576" s="213"/>
      <c r="E576" s="213"/>
      <c r="F576" s="213"/>
    </row>
    <row r="577" ht="15.75" customHeight="1">
      <c r="B577" s="213"/>
      <c r="C577" s="213"/>
      <c r="D577" s="213"/>
      <c r="E577" s="213"/>
      <c r="F577" s="213"/>
    </row>
    <row r="578" ht="15.75" customHeight="1">
      <c r="B578" s="213"/>
      <c r="C578" s="213"/>
      <c r="D578" s="213"/>
      <c r="E578" s="213"/>
      <c r="F578" s="213"/>
    </row>
    <row r="579" ht="15.75" customHeight="1">
      <c r="B579" s="213"/>
      <c r="C579" s="213"/>
      <c r="D579" s="213"/>
      <c r="E579" s="213"/>
      <c r="F579" s="213"/>
    </row>
    <row r="580" ht="15.75" customHeight="1">
      <c r="B580" s="213"/>
      <c r="C580" s="213"/>
      <c r="D580" s="213"/>
      <c r="E580" s="213"/>
      <c r="F580" s="213"/>
    </row>
    <row r="581" ht="15.75" customHeight="1">
      <c r="B581" s="213"/>
      <c r="C581" s="213"/>
      <c r="D581" s="213"/>
      <c r="E581" s="213"/>
      <c r="F581" s="213"/>
    </row>
    <row r="582" ht="15.75" customHeight="1">
      <c r="B582" s="213"/>
      <c r="C582" s="213"/>
      <c r="D582" s="213"/>
      <c r="E582" s="213"/>
      <c r="F582" s="213"/>
    </row>
    <row r="583" ht="15.75" customHeight="1">
      <c r="B583" s="213"/>
      <c r="C583" s="213"/>
      <c r="D583" s="213"/>
      <c r="E583" s="213"/>
      <c r="F583" s="213"/>
    </row>
    <row r="584" ht="15.75" customHeight="1">
      <c r="B584" s="213"/>
      <c r="C584" s="213"/>
      <c r="D584" s="213"/>
      <c r="E584" s="213"/>
      <c r="F584" s="213"/>
    </row>
    <row r="585" ht="15.75" customHeight="1">
      <c r="B585" s="213"/>
      <c r="C585" s="213"/>
      <c r="D585" s="213"/>
      <c r="E585" s="213"/>
      <c r="F585" s="213"/>
    </row>
    <row r="586" ht="15.75" customHeight="1">
      <c r="B586" s="213"/>
      <c r="C586" s="213"/>
      <c r="D586" s="213"/>
      <c r="E586" s="213"/>
      <c r="F586" s="213"/>
    </row>
    <row r="587" ht="15.75" customHeight="1">
      <c r="B587" s="213"/>
      <c r="C587" s="213"/>
      <c r="D587" s="213"/>
      <c r="E587" s="213"/>
      <c r="F587" s="213"/>
    </row>
    <row r="588" ht="15.75" customHeight="1">
      <c r="B588" s="213"/>
      <c r="C588" s="213"/>
      <c r="D588" s="213"/>
      <c r="E588" s="213"/>
      <c r="F588" s="213"/>
    </row>
    <row r="589" ht="15.75" customHeight="1">
      <c r="B589" s="213"/>
      <c r="C589" s="213"/>
      <c r="D589" s="213"/>
      <c r="E589" s="213"/>
      <c r="F589" s="213"/>
    </row>
    <row r="590" ht="15.75" customHeight="1">
      <c r="B590" s="213"/>
      <c r="C590" s="213"/>
      <c r="D590" s="213"/>
      <c r="E590" s="213"/>
      <c r="F590" s="213"/>
    </row>
    <row r="591" ht="15.75" customHeight="1">
      <c r="B591" s="213"/>
      <c r="C591" s="213"/>
      <c r="D591" s="213"/>
      <c r="E591" s="213"/>
      <c r="F591" s="213"/>
    </row>
    <row r="592" ht="15.75" customHeight="1">
      <c r="B592" s="213"/>
      <c r="C592" s="213"/>
      <c r="D592" s="213"/>
      <c r="E592" s="213"/>
      <c r="F592" s="213"/>
    </row>
    <row r="593" ht="15.75" customHeight="1">
      <c r="B593" s="213"/>
      <c r="C593" s="213"/>
      <c r="D593" s="213"/>
      <c r="E593" s="213"/>
      <c r="F593" s="213"/>
    </row>
    <row r="594" ht="15.75" customHeight="1">
      <c r="B594" s="213"/>
      <c r="C594" s="213"/>
      <c r="D594" s="213"/>
      <c r="E594" s="213"/>
      <c r="F594" s="213"/>
    </row>
    <row r="595" ht="15.75" customHeight="1">
      <c r="B595" s="213"/>
      <c r="C595" s="213"/>
      <c r="D595" s="213"/>
      <c r="E595" s="213"/>
      <c r="F595" s="213"/>
    </row>
    <row r="596" ht="15.75" customHeight="1">
      <c r="B596" s="213"/>
      <c r="C596" s="213"/>
      <c r="D596" s="213"/>
      <c r="E596" s="213"/>
      <c r="F596" s="213"/>
    </row>
    <row r="597" ht="15.75" customHeight="1">
      <c r="B597" s="213"/>
      <c r="C597" s="213"/>
      <c r="D597" s="213"/>
      <c r="E597" s="213"/>
      <c r="F597" s="213"/>
    </row>
    <row r="598" ht="15.75" customHeight="1">
      <c r="B598" s="213"/>
      <c r="C598" s="213"/>
      <c r="D598" s="213"/>
      <c r="E598" s="213"/>
      <c r="F598" s="213"/>
    </row>
    <row r="599" ht="15.75" customHeight="1">
      <c r="B599" s="213"/>
      <c r="C599" s="213"/>
      <c r="D599" s="213"/>
      <c r="E599" s="213"/>
      <c r="F599" s="213"/>
    </row>
    <row r="600" ht="15.75" customHeight="1">
      <c r="B600" s="213"/>
      <c r="C600" s="213"/>
      <c r="D600" s="213"/>
      <c r="E600" s="213"/>
      <c r="F600" s="213"/>
    </row>
    <row r="601" ht="15.75" customHeight="1">
      <c r="B601" s="213"/>
      <c r="C601" s="213"/>
      <c r="D601" s="213"/>
      <c r="E601" s="213"/>
      <c r="F601" s="213"/>
    </row>
    <row r="602" ht="15.75" customHeight="1">
      <c r="B602" s="213"/>
      <c r="C602" s="213"/>
      <c r="D602" s="213"/>
      <c r="E602" s="213"/>
      <c r="F602" s="213"/>
    </row>
    <row r="603" ht="15.75" customHeight="1">
      <c r="B603" s="213"/>
      <c r="C603" s="213"/>
      <c r="D603" s="213"/>
      <c r="E603" s="213"/>
      <c r="F603" s="213"/>
    </row>
    <row r="604" ht="15.75" customHeight="1">
      <c r="B604" s="213"/>
      <c r="C604" s="213"/>
      <c r="D604" s="213"/>
      <c r="E604" s="213"/>
      <c r="F604" s="213"/>
    </row>
    <row r="605" ht="15.75" customHeight="1">
      <c r="B605" s="213"/>
      <c r="C605" s="213"/>
      <c r="D605" s="213"/>
      <c r="E605" s="213"/>
      <c r="F605" s="213"/>
    </row>
    <row r="606" ht="15.75" customHeight="1">
      <c r="B606" s="213"/>
      <c r="C606" s="213"/>
      <c r="D606" s="213"/>
      <c r="E606" s="213"/>
      <c r="F606" s="213"/>
    </row>
    <row r="607" ht="15.75" customHeight="1">
      <c r="B607" s="213"/>
      <c r="C607" s="213"/>
      <c r="D607" s="213"/>
      <c r="E607" s="213"/>
      <c r="F607" s="213"/>
    </row>
    <row r="608" ht="15.75" customHeight="1">
      <c r="B608" s="213"/>
      <c r="C608" s="213"/>
      <c r="D608" s="213"/>
      <c r="E608" s="213"/>
      <c r="F608" s="213"/>
    </row>
    <row r="609" ht="15.75" customHeight="1">
      <c r="B609" s="213"/>
      <c r="C609" s="213"/>
      <c r="D609" s="213"/>
      <c r="E609" s="213"/>
      <c r="F609" s="213"/>
    </row>
    <row r="610" ht="15.75" customHeight="1">
      <c r="B610" s="213"/>
      <c r="C610" s="213"/>
      <c r="D610" s="213"/>
      <c r="E610" s="213"/>
      <c r="F610" s="213"/>
    </row>
    <row r="611" ht="15.75" customHeight="1">
      <c r="B611" s="213"/>
      <c r="C611" s="213"/>
      <c r="D611" s="213"/>
      <c r="E611" s="213"/>
      <c r="F611" s="213"/>
    </row>
    <row r="612" ht="15.75" customHeight="1">
      <c r="B612" s="213"/>
      <c r="C612" s="213"/>
      <c r="D612" s="213"/>
      <c r="E612" s="213"/>
      <c r="F612" s="213"/>
    </row>
    <row r="613" ht="15.75" customHeight="1">
      <c r="B613" s="213"/>
      <c r="C613" s="213"/>
      <c r="D613" s="213"/>
      <c r="E613" s="213"/>
      <c r="F613" s="213"/>
    </row>
    <row r="614" ht="15.75" customHeight="1">
      <c r="B614" s="213"/>
      <c r="C614" s="213"/>
      <c r="D614" s="213"/>
      <c r="E614" s="213"/>
      <c r="F614" s="213"/>
    </row>
    <row r="615" ht="15.75" customHeight="1">
      <c r="B615" s="213"/>
      <c r="C615" s="213"/>
      <c r="D615" s="213"/>
      <c r="E615" s="213"/>
      <c r="F615" s="213"/>
    </row>
    <row r="616" ht="15.75" customHeight="1">
      <c r="B616" s="213"/>
      <c r="C616" s="213"/>
      <c r="D616" s="213"/>
      <c r="E616" s="213"/>
      <c r="F616" s="213"/>
    </row>
    <row r="617" ht="15.75" customHeight="1">
      <c r="B617" s="213"/>
      <c r="C617" s="213"/>
      <c r="D617" s="213"/>
      <c r="E617" s="213"/>
      <c r="F617" s="213"/>
    </row>
    <row r="618" ht="15.75" customHeight="1">
      <c r="B618" s="213"/>
      <c r="C618" s="213"/>
      <c r="D618" s="213"/>
      <c r="E618" s="213"/>
      <c r="F618" s="213"/>
    </row>
    <row r="619" ht="15.75" customHeight="1">
      <c r="B619" s="213"/>
      <c r="C619" s="213"/>
      <c r="D619" s="213"/>
      <c r="E619" s="213"/>
      <c r="F619" s="213"/>
    </row>
    <row r="620" ht="15.75" customHeight="1">
      <c r="B620" s="213"/>
      <c r="C620" s="213"/>
      <c r="D620" s="213"/>
      <c r="E620" s="213"/>
      <c r="F620" s="213"/>
    </row>
    <row r="621" ht="15.75" customHeight="1">
      <c r="B621" s="213"/>
      <c r="C621" s="213"/>
      <c r="D621" s="213"/>
      <c r="E621" s="213"/>
      <c r="F621" s="213"/>
    </row>
    <row r="622" ht="15.75" customHeight="1">
      <c r="B622" s="213"/>
      <c r="C622" s="213"/>
      <c r="D622" s="213"/>
      <c r="E622" s="213"/>
      <c r="F622" s="213"/>
    </row>
    <row r="623" ht="15.75" customHeight="1">
      <c r="B623" s="213"/>
      <c r="C623" s="213"/>
      <c r="D623" s="213"/>
      <c r="E623" s="213"/>
      <c r="F623" s="213"/>
    </row>
    <row r="624" ht="15.75" customHeight="1">
      <c r="B624" s="213"/>
      <c r="C624" s="213"/>
      <c r="D624" s="213"/>
      <c r="E624" s="213"/>
      <c r="F624" s="213"/>
    </row>
    <row r="625" ht="15.75" customHeight="1">
      <c r="B625" s="213"/>
      <c r="C625" s="213"/>
      <c r="D625" s="213"/>
      <c r="E625" s="213"/>
      <c r="F625" s="213"/>
    </row>
    <row r="626" ht="15.75" customHeight="1">
      <c r="B626" s="213"/>
      <c r="C626" s="213"/>
      <c r="D626" s="213"/>
      <c r="E626" s="213"/>
      <c r="F626" s="213"/>
    </row>
    <row r="627" ht="15.75" customHeight="1">
      <c r="B627" s="213"/>
      <c r="C627" s="213"/>
      <c r="D627" s="213"/>
      <c r="E627" s="213"/>
      <c r="F627" s="213"/>
    </row>
    <row r="628" ht="15.75" customHeight="1">
      <c r="B628" s="213"/>
      <c r="C628" s="213"/>
      <c r="D628" s="213"/>
      <c r="E628" s="213"/>
      <c r="F628" s="213"/>
    </row>
    <row r="629" ht="15.75" customHeight="1">
      <c r="B629" s="213"/>
      <c r="C629" s="213"/>
      <c r="D629" s="213"/>
      <c r="E629" s="213"/>
      <c r="F629" s="213"/>
    </row>
    <row r="630" ht="15.75" customHeight="1">
      <c r="B630" s="213"/>
      <c r="C630" s="213"/>
      <c r="D630" s="213"/>
      <c r="E630" s="213"/>
      <c r="F630" s="213"/>
    </row>
    <row r="631" ht="15.75" customHeight="1">
      <c r="B631" s="213"/>
      <c r="C631" s="213"/>
      <c r="D631" s="213"/>
      <c r="E631" s="213"/>
      <c r="F631" s="213"/>
    </row>
    <row r="632" ht="15.75" customHeight="1">
      <c r="B632" s="213"/>
      <c r="C632" s="213"/>
      <c r="D632" s="213"/>
      <c r="E632" s="213"/>
      <c r="F632" s="213"/>
    </row>
    <row r="633" ht="15.75" customHeight="1">
      <c r="B633" s="213"/>
      <c r="C633" s="213"/>
      <c r="D633" s="213"/>
      <c r="E633" s="213"/>
      <c r="F633" s="213"/>
    </row>
    <row r="634" ht="15.75" customHeight="1">
      <c r="B634" s="213"/>
      <c r="C634" s="213"/>
      <c r="D634" s="213"/>
      <c r="E634" s="213"/>
      <c r="F634" s="213"/>
    </row>
    <row r="635" ht="15.75" customHeight="1">
      <c r="B635" s="213"/>
      <c r="C635" s="213"/>
      <c r="D635" s="213"/>
      <c r="E635" s="213"/>
      <c r="F635" s="213"/>
    </row>
    <row r="636" ht="15.75" customHeight="1">
      <c r="B636" s="213"/>
      <c r="C636" s="213"/>
      <c r="D636" s="213"/>
      <c r="E636" s="213"/>
      <c r="F636" s="213"/>
    </row>
    <row r="637" ht="15.75" customHeight="1">
      <c r="B637" s="213"/>
      <c r="C637" s="213"/>
      <c r="D637" s="213"/>
      <c r="E637" s="213"/>
      <c r="F637" s="213"/>
    </row>
    <row r="638" ht="15.75" customHeight="1">
      <c r="B638" s="213"/>
      <c r="C638" s="213"/>
      <c r="D638" s="213"/>
      <c r="E638" s="213"/>
      <c r="F638" s="213"/>
    </row>
    <row r="639" ht="15.75" customHeight="1">
      <c r="B639" s="213"/>
      <c r="C639" s="213"/>
      <c r="D639" s="213"/>
      <c r="E639" s="213"/>
      <c r="F639" s="213"/>
    </row>
    <row r="640" ht="15.75" customHeight="1">
      <c r="B640" s="213"/>
      <c r="C640" s="213"/>
      <c r="D640" s="213"/>
      <c r="E640" s="213"/>
      <c r="F640" s="213"/>
    </row>
    <row r="641" ht="15.75" customHeight="1">
      <c r="B641" s="213"/>
      <c r="C641" s="213"/>
      <c r="D641" s="213"/>
      <c r="E641" s="213"/>
      <c r="F641" s="213"/>
    </row>
    <row r="642" ht="15.75" customHeight="1">
      <c r="B642" s="213"/>
      <c r="C642" s="213"/>
      <c r="D642" s="213"/>
      <c r="E642" s="213"/>
      <c r="F642" s="213"/>
    </row>
    <row r="643" ht="15.75" customHeight="1">
      <c r="B643" s="213"/>
      <c r="C643" s="213"/>
      <c r="D643" s="213"/>
      <c r="E643" s="213"/>
      <c r="F643" s="213"/>
    </row>
    <row r="644" ht="15.75" customHeight="1">
      <c r="B644" s="213"/>
      <c r="C644" s="213"/>
      <c r="D644" s="213"/>
      <c r="E644" s="213"/>
      <c r="F644" s="213"/>
    </row>
    <row r="645" ht="15.75" customHeight="1">
      <c r="B645" s="213"/>
      <c r="C645" s="213"/>
      <c r="D645" s="213"/>
      <c r="E645" s="213"/>
      <c r="F645" s="213"/>
    </row>
    <row r="646" ht="15.75" customHeight="1">
      <c r="B646" s="213"/>
      <c r="C646" s="213"/>
      <c r="D646" s="213"/>
      <c r="E646" s="213"/>
      <c r="F646" s="213"/>
    </row>
    <row r="647" ht="15.75" customHeight="1">
      <c r="B647" s="213"/>
      <c r="C647" s="213"/>
      <c r="D647" s="213"/>
      <c r="E647" s="213"/>
      <c r="F647" s="213"/>
    </row>
    <row r="648" ht="15.75" customHeight="1">
      <c r="B648" s="213"/>
      <c r="C648" s="213"/>
      <c r="D648" s="213"/>
      <c r="E648" s="213"/>
      <c r="F648" s="213"/>
    </row>
    <row r="649" ht="15.75" customHeight="1">
      <c r="B649" s="213"/>
      <c r="C649" s="213"/>
      <c r="D649" s="213"/>
      <c r="E649" s="213"/>
      <c r="F649" s="213"/>
    </row>
    <row r="650" ht="15.75" customHeight="1">
      <c r="B650" s="213"/>
      <c r="C650" s="213"/>
      <c r="D650" s="213"/>
      <c r="E650" s="213"/>
      <c r="F650" s="213"/>
    </row>
    <row r="651" ht="15.75" customHeight="1">
      <c r="B651" s="213"/>
      <c r="C651" s="213"/>
      <c r="D651" s="213"/>
      <c r="E651" s="213"/>
      <c r="F651" s="213"/>
    </row>
    <row r="652" ht="15.75" customHeight="1">
      <c r="B652" s="213"/>
      <c r="C652" s="213"/>
      <c r="D652" s="213"/>
      <c r="E652" s="213"/>
      <c r="F652" s="213"/>
    </row>
    <row r="653" ht="15.75" customHeight="1">
      <c r="B653" s="213"/>
      <c r="C653" s="213"/>
      <c r="D653" s="213"/>
      <c r="E653" s="213"/>
      <c r="F653" s="213"/>
    </row>
    <row r="654" ht="15.75" customHeight="1">
      <c r="B654" s="213"/>
      <c r="C654" s="213"/>
      <c r="D654" s="213"/>
      <c r="E654" s="213"/>
      <c r="F654" s="213"/>
    </row>
    <row r="655" ht="15.75" customHeight="1">
      <c r="B655" s="213"/>
      <c r="C655" s="213"/>
      <c r="D655" s="213"/>
      <c r="E655" s="213"/>
      <c r="F655" s="213"/>
    </row>
    <row r="656" ht="15.75" customHeight="1">
      <c r="B656" s="213"/>
      <c r="C656" s="213"/>
      <c r="D656" s="213"/>
      <c r="E656" s="213"/>
      <c r="F656" s="213"/>
    </row>
    <row r="657" ht="15.75" customHeight="1">
      <c r="B657" s="213"/>
      <c r="C657" s="213"/>
      <c r="D657" s="213"/>
      <c r="E657" s="213"/>
      <c r="F657" s="213"/>
    </row>
    <row r="658" ht="15.75" customHeight="1">
      <c r="B658" s="213"/>
      <c r="C658" s="213"/>
      <c r="D658" s="213"/>
      <c r="E658" s="213"/>
      <c r="F658" s="213"/>
    </row>
    <row r="659" ht="15.75" customHeight="1">
      <c r="B659" s="213"/>
      <c r="C659" s="213"/>
      <c r="D659" s="213"/>
      <c r="E659" s="213"/>
      <c r="F659" s="213"/>
    </row>
    <row r="660" ht="15.75" customHeight="1">
      <c r="B660" s="213"/>
      <c r="C660" s="213"/>
      <c r="D660" s="213"/>
      <c r="E660" s="213"/>
      <c r="F660" s="213"/>
    </row>
    <row r="661" ht="15.75" customHeight="1">
      <c r="B661" s="213"/>
      <c r="C661" s="213"/>
      <c r="D661" s="213"/>
      <c r="E661" s="213"/>
      <c r="F661" s="213"/>
    </row>
    <row r="662" ht="15.75" customHeight="1">
      <c r="B662" s="213"/>
      <c r="C662" s="213"/>
      <c r="D662" s="213"/>
      <c r="E662" s="213"/>
      <c r="F662" s="213"/>
    </row>
    <row r="663" ht="15.75" customHeight="1">
      <c r="B663" s="213"/>
      <c r="C663" s="213"/>
      <c r="D663" s="213"/>
      <c r="E663" s="213"/>
      <c r="F663" s="213"/>
    </row>
    <row r="664" ht="15.75" customHeight="1">
      <c r="B664" s="213"/>
      <c r="C664" s="213"/>
      <c r="D664" s="213"/>
      <c r="E664" s="213"/>
      <c r="F664" s="213"/>
    </row>
    <row r="665" ht="15.75" customHeight="1">
      <c r="B665" s="213"/>
      <c r="C665" s="213"/>
      <c r="D665" s="213"/>
      <c r="E665" s="213"/>
      <c r="F665" s="213"/>
    </row>
    <row r="666" ht="15.75" customHeight="1">
      <c r="B666" s="213"/>
      <c r="C666" s="213"/>
      <c r="D666" s="213"/>
      <c r="E666" s="213"/>
      <c r="F666" s="213"/>
    </row>
    <row r="667" ht="15.75" customHeight="1">
      <c r="B667" s="213"/>
      <c r="C667" s="213"/>
      <c r="D667" s="213"/>
      <c r="E667" s="213"/>
      <c r="F667" s="213"/>
    </row>
    <row r="668" ht="15.75" customHeight="1">
      <c r="B668" s="213"/>
      <c r="C668" s="213"/>
      <c r="D668" s="213"/>
      <c r="E668" s="213"/>
      <c r="F668" s="213"/>
    </row>
    <row r="669" ht="15.75" customHeight="1">
      <c r="B669" s="213"/>
      <c r="C669" s="213"/>
      <c r="D669" s="213"/>
      <c r="E669" s="213"/>
      <c r="F669" s="213"/>
    </row>
    <row r="670" ht="15.75" customHeight="1">
      <c r="B670" s="213"/>
      <c r="C670" s="213"/>
      <c r="D670" s="213"/>
      <c r="E670" s="213"/>
      <c r="F670" s="213"/>
    </row>
    <row r="671" ht="15.75" customHeight="1">
      <c r="B671" s="213"/>
      <c r="C671" s="213"/>
      <c r="D671" s="213"/>
      <c r="E671" s="213"/>
      <c r="F671" s="213"/>
    </row>
    <row r="672" ht="15.75" customHeight="1">
      <c r="B672" s="213"/>
      <c r="C672" s="213"/>
      <c r="D672" s="213"/>
      <c r="E672" s="213"/>
      <c r="F672" s="213"/>
    </row>
    <row r="673" ht="15.75" customHeight="1">
      <c r="B673" s="213"/>
      <c r="C673" s="213"/>
      <c r="D673" s="213"/>
      <c r="E673" s="213"/>
      <c r="F673" s="213"/>
    </row>
    <row r="674" ht="15.75" customHeight="1">
      <c r="B674" s="213"/>
      <c r="C674" s="213"/>
      <c r="D674" s="213"/>
      <c r="E674" s="213"/>
      <c r="F674" s="213"/>
    </row>
    <row r="675" ht="15.75" customHeight="1">
      <c r="B675" s="213"/>
      <c r="C675" s="213"/>
      <c r="D675" s="213"/>
      <c r="E675" s="213"/>
      <c r="F675" s="213"/>
    </row>
    <row r="676" ht="15.75" customHeight="1">
      <c r="B676" s="213"/>
      <c r="C676" s="213"/>
      <c r="D676" s="213"/>
      <c r="E676" s="213"/>
      <c r="F676" s="213"/>
    </row>
    <row r="677" ht="15.75" customHeight="1">
      <c r="B677" s="213"/>
      <c r="C677" s="213"/>
      <c r="D677" s="213"/>
      <c r="E677" s="213"/>
      <c r="F677" s="213"/>
    </row>
    <row r="678" ht="15.75" customHeight="1">
      <c r="B678" s="213"/>
      <c r="C678" s="213"/>
      <c r="D678" s="213"/>
      <c r="E678" s="213"/>
      <c r="F678" s="213"/>
    </row>
    <row r="679" ht="15.75" customHeight="1">
      <c r="B679" s="213"/>
      <c r="C679" s="213"/>
      <c r="D679" s="213"/>
      <c r="E679" s="213"/>
      <c r="F679" s="213"/>
    </row>
    <row r="680" ht="15.75" customHeight="1">
      <c r="B680" s="213"/>
      <c r="C680" s="213"/>
      <c r="D680" s="213"/>
      <c r="E680" s="213"/>
      <c r="F680" s="213"/>
    </row>
    <row r="681" ht="15.75" customHeight="1">
      <c r="B681" s="213"/>
      <c r="C681" s="213"/>
      <c r="D681" s="213"/>
      <c r="E681" s="213"/>
      <c r="F681" s="213"/>
    </row>
    <row r="682" ht="15.75" customHeight="1">
      <c r="B682" s="213"/>
      <c r="C682" s="213"/>
      <c r="D682" s="213"/>
      <c r="E682" s="213"/>
      <c r="F682" s="213"/>
    </row>
    <row r="683" ht="15.75" customHeight="1">
      <c r="B683" s="213"/>
      <c r="C683" s="213"/>
      <c r="D683" s="213"/>
      <c r="E683" s="213"/>
      <c r="F683" s="213"/>
    </row>
    <row r="684" ht="15.75" customHeight="1">
      <c r="B684" s="213"/>
      <c r="C684" s="213"/>
      <c r="D684" s="213"/>
      <c r="E684" s="213"/>
      <c r="F684" s="213"/>
    </row>
    <row r="685" ht="15.75" customHeight="1">
      <c r="B685" s="213"/>
      <c r="C685" s="213"/>
      <c r="D685" s="213"/>
      <c r="E685" s="213"/>
      <c r="F685" s="213"/>
    </row>
    <row r="686" ht="15.75" customHeight="1">
      <c r="B686" s="213"/>
      <c r="C686" s="213"/>
      <c r="D686" s="213"/>
      <c r="E686" s="213"/>
      <c r="F686" s="213"/>
    </row>
    <row r="687" ht="15.75" customHeight="1">
      <c r="B687" s="213"/>
      <c r="C687" s="213"/>
      <c r="D687" s="213"/>
      <c r="E687" s="213"/>
      <c r="F687" s="213"/>
    </row>
    <row r="688" ht="15.75" customHeight="1">
      <c r="B688" s="213"/>
      <c r="C688" s="213"/>
      <c r="D688" s="213"/>
      <c r="E688" s="213"/>
      <c r="F688" s="213"/>
    </row>
    <row r="689" ht="15.75" customHeight="1">
      <c r="B689" s="213"/>
      <c r="C689" s="213"/>
      <c r="D689" s="213"/>
      <c r="E689" s="213"/>
      <c r="F689" s="213"/>
    </row>
    <row r="690" ht="15.75" customHeight="1">
      <c r="B690" s="213"/>
      <c r="C690" s="213"/>
      <c r="D690" s="213"/>
      <c r="E690" s="213"/>
      <c r="F690" s="213"/>
    </row>
    <row r="691" ht="15.75" customHeight="1">
      <c r="B691" s="213"/>
      <c r="C691" s="213"/>
      <c r="D691" s="213"/>
      <c r="E691" s="213"/>
      <c r="F691" s="213"/>
    </row>
    <row r="692" ht="15.75" customHeight="1">
      <c r="B692" s="213"/>
      <c r="C692" s="213"/>
      <c r="D692" s="213"/>
      <c r="E692" s="213"/>
      <c r="F692" s="213"/>
    </row>
    <row r="693" ht="15.75" customHeight="1">
      <c r="B693" s="213"/>
      <c r="C693" s="213"/>
      <c r="D693" s="213"/>
      <c r="E693" s="213"/>
      <c r="F693" s="213"/>
    </row>
    <row r="694" ht="15.75" customHeight="1">
      <c r="B694" s="213"/>
      <c r="C694" s="213"/>
      <c r="D694" s="213"/>
      <c r="E694" s="213"/>
      <c r="F694" s="213"/>
    </row>
    <row r="695" ht="15.75" customHeight="1">
      <c r="B695" s="213"/>
      <c r="C695" s="213"/>
      <c r="D695" s="213"/>
      <c r="E695" s="213"/>
      <c r="F695" s="213"/>
    </row>
    <row r="696" ht="15.75" customHeight="1">
      <c r="B696" s="213"/>
      <c r="C696" s="213"/>
      <c r="D696" s="213"/>
      <c r="E696" s="213"/>
      <c r="F696" s="213"/>
    </row>
    <row r="697" ht="15.75" customHeight="1">
      <c r="B697" s="213"/>
      <c r="C697" s="213"/>
      <c r="D697" s="213"/>
      <c r="E697" s="213"/>
      <c r="F697" s="213"/>
    </row>
    <row r="698" ht="15.75" customHeight="1">
      <c r="B698" s="213"/>
      <c r="C698" s="213"/>
      <c r="D698" s="213"/>
      <c r="E698" s="213"/>
      <c r="F698" s="213"/>
    </row>
    <row r="699" ht="15.75" customHeight="1">
      <c r="B699" s="213"/>
      <c r="C699" s="213"/>
      <c r="D699" s="213"/>
      <c r="E699" s="213"/>
      <c r="F699" s="213"/>
    </row>
    <row r="700" ht="15.75" customHeight="1">
      <c r="B700" s="213"/>
      <c r="C700" s="213"/>
      <c r="D700" s="213"/>
      <c r="E700" s="213"/>
      <c r="F700" s="213"/>
    </row>
    <row r="701" ht="15.75" customHeight="1">
      <c r="B701" s="213"/>
      <c r="C701" s="213"/>
      <c r="D701" s="213"/>
      <c r="E701" s="213"/>
      <c r="F701" s="213"/>
    </row>
    <row r="702" ht="15.75" customHeight="1">
      <c r="B702" s="213"/>
      <c r="C702" s="213"/>
      <c r="D702" s="213"/>
      <c r="E702" s="213"/>
      <c r="F702" s="213"/>
    </row>
    <row r="703" ht="15.75" customHeight="1">
      <c r="B703" s="213"/>
      <c r="C703" s="213"/>
      <c r="D703" s="213"/>
      <c r="E703" s="213"/>
      <c r="F703" s="213"/>
    </row>
    <row r="704" ht="15.75" customHeight="1">
      <c r="B704" s="213"/>
      <c r="C704" s="213"/>
      <c r="D704" s="213"/>
      <c r="E704" s="213"/>
      <c r="F704" s="213"/>
    </row>
    <row r="705" ht="15.75" customHeight="1">
      <c r="B705" s="213"/>
      <c r="C705" s="213"/>
      <c r="D705" s="213"/>
      <c r="E705" s="213"/>
      <c r="F705" s="213"/>
    </row>
    <row r="706" ht="15.75" customHeight="1">
      <c r="B706" s="213"/>
      <c r="C706" s="213"/>
      <c r="D706" s="213"/>
      <c r="E706" s="213"/>
      <c r="F706" s="213"/>
    </row>
    <row r="707" ht="15.75" customHeight="1">
      <c r="B707" s="213"/>
      <c r="C707" s="213"/>
      <c r="D707" s="213"/>
      <c r="E707" s="213"/>
      <c r="F707" s="213"/>
    </row>
    <row r="708" ht="15.75" customHeight="1">
      <c r="B708" s="213"/>
      <c r="C708" s="213"/>
      <c r="D708" s="213"/>
      <c r="E708" s="213"/>
      <c r="F708" s="213"/>
    </row>
    <row r="709" ht="15.75" customHeight="1">
      <c r="B709" s="213"/>
      <c r="C709" s="213"/>
      <c r="D709" s="213"/>
      <c r="E709" s="213"/>
      <c r="F709" s="213"/>
    </row>
    <row r="710" ht="15.75" customHeight="1">
      <c r="B710" s="213"/>
      <c r="C710" s="213"/>
      <c r="D710" s="213"/>
      <c r="E710" s="213"/>
      <c r="F710" s="213"/>
    </row>
    <row r="711" ht="15.75" customHeight="1">
      <c r="B711" s="213"/>
      <c r="C711" s="213"/>
      <c r="D711" s="213"/>
      <c r="E711" s="213"/>
      <c r="F711" s="213"/>
    </row>
    <row r="712" ht="15.75" customHeight="1">
      <c r="B712" s="213"/>
      <c r="C712" s="213"/>
      <c r="D712" s="213"/>
      <c r="E712" s="213"/>
      <c r="F712" s="213"/>
    </row>
    <row r="713" ht="15.75" customHeight="1">
      <c r="B713" s="213"/>
      <c r="C713" s="213"/>
      <c r="D713" s="213"/>
      <c r="E713" s="213"/>
      <c r="F713" s="213"/>
    </row>
    <row r="714" ht="15.75" customHeight="1">
      <c r="B714" s="213"/>
      <c r="C714" s="213"/>
      <c r="D714" s="213"/>
      <c r="E714" s="213"/>
      <c r="F714" s="213"/>
    </row>
    <row r="715" ht="15.75" customHeight="1">
      <c r="B715" s="213"/>
      <c r="C715" s="213"/>
      <c r="D715" s="213"/>
      <c r="E715" s="213"/>
      <c r="F715" s="213"/>
    </row>
    <row r="716" ht="15.75" customHeight="1">
      <c r="B716" s="213"/>
      <c r="C716" s="213"/>
      <c r="D716" s="213"/>
      <c r="E716" s="213"/>
      <c r="F716" s="213"/>
    </row>
    <row r="717" ht="15.75" customHeight="1">
      <c r="B717" s="213"/>
      <c r="C717" s="213"/>
      <c r="D717" s="213"/>
      <c r="E717" s="213"/>
      <c r="F717" s="213"/>
    </row>
    <row r="718" ht="15.75" customHeight="1">
      <c r="B718" s="213"/>
      <c r="C718" s="213"/>
      <c r="D718" s="213"/>
      <c r="E718" s="213"/>
      <c r="F718" s="213"/>
    </row>
    <row r="719" ht="15.75" customHeight="1">
      <c r="B719" s="213"/>
      <c r="C719" s="213"/>
      <c r="D719" s="213"/>
      <c r="E719" s="213"/>
      <c r="F719" s="213"/>
    </row>
    <row r="720" ht="15.75" customHeight="1">
      <c r="B720" s="213"/>
      <c r="C720" s="213"/>
      <c r="D720" s="213"/>
      <c r="E720" s="213"/>
      <c r="F720" s="213"/>
    </row>
    <row r="721" ht="15.75" customHeight="1">
      <c r="B721" s="213"/>
      <c r="C721" s="213"/>
      <c r="D721" s="213"/>
      <c r="E721" s="213"/>
      <c r="F721" s="213"/>
    </row>
    <row r="722" ht="15.75" customHeight="1">
      <c r="B722" s="213"/>
      <c r="C722" s="213"/>
      <c r="D722" s="213"/>
      <c r="E722" s="213"/>
      <c r="F722" s="213"/>
    </row>
    <row r="723" ht="15.75" customHeight="1">
      <c r="B723" s="213"/>
      <c r="C723" s="213"/>
      <c r="D723" s="213"/>
      <c r="E723" s="213"/>
      <c r="F723" s="213"/>
    </row>
    <row r="724" ht="15.75" customHeight="1">
      <c r="B724" s="213"/>
      <c r="C724" s="213"/>
      <c r="D724" s="213"/>
      <c r="E724" s="213"/>
      <c r="F724" s="213"/>
    </row>
    <row r="725" ht="15.75" customHeight="1">
      <c r="B725" s="213"/>
      <c r="C725" s="213"/>
      <c r="D725" s="213"/>
      <c r="E725" s="213"/>
      <c r="F725" s="213"/>
    </row>
    <row r="726" ht="15.75" customHeight="1">
      <c r="B726" s="213"/>
      <c r="C726" s="213"/>
      <c r="D726" s="213"/>
      <c r="E726" s="213"/>
      <c r="F726" s="213"/>
    </row>
    <row r="727" ht="15.75" customHeight="1">
      <c r="B727" s="213"/>
      <c r="C727" s="213"/>
      <c r="D727" s="213"/>
      <c r="E727" s="213"/>
      <c r="F727" s="213"/>
    </row>
    <row r="728" ht="15.75" customHeight="1">
      <c r="B728" s="213"/>
      <c r="C728" s="213"/>
      <c r="D728" s="213"/>
      <c r="E728" s="213"/>
      <c r="F728" s="213"/>
    </row>
    <row r="729" ht="15.75" customHeight="1">
      <c r="B729" s="213"/>
      <c r="C729" s="213"/>
      <c r="D729" s="213"/>
      <c r="E729" s="213"/>
      <c r="F729" s="213"/>
    </row>
    <row r="730" ht="15.75" customHeight="1">
      <c r="B730" s="213"/>
      <c r="C730" s="213"/>
      <c r="D730" s="213"/>
      <c r="E730" s="213"/>
      <c r="F730" s="213"/>
    </row>
    <row r="731" ht="15.75" customHeight="1">
      <c r="B731" s="213"/>
      <c r="C731" s="213"/>
      <c r="D731" s="213"/>
      <c r="E731" s="213"/>
      <c r="F731" s="213"/>
    </row>
    <row r="732" ht="15.75" customHeight="1">
      <c r="B732" s="213"/>
      <c r="C732" s="213"/>
      <c r="D732" s="213"/>
      <c r="E732" s="213"/>
      <c r="F732" s="213"/>
    </row>
    <row r="733" ht="15.75" customHeight="1">
      <c r="B733" s="213"/>
      <c r="C733" s="213"/>
      <c r="D733" s="213"/>
      <c r="E733" s="213"/>
      <c r="F733" s="213"/>
    </row>
    <row r="734" ht="15.75" customHeight="1">
      <c r="B734" s="213"/>
      <c r="C734" s="213"/>
      <c r="D734" s="213"/>
      <c r="E734" s="213"/>
      <c r="F734" s="213"/>
    </row>
    <row r="735" ht="15.75" customHeight="1">
      <c r="B735" s="213"/>
      <c r="C735" s="213"/>
      <c r="D735" s="213"/>
      <c r="E735" s="213"/>
      <c r="F735" s="213"/>
    </row>
    <row r="736" ht="15.75" customHeight="1">
      <c r="B736" s="213"/>
      <c r="C736" s="213"/>
      <c r="D736" s="213"/>
      <c r="E736" s="213"/>
      <c r="F736" s="213"/>
    </row>
    <row r="737" ht="15.75" customHeight="1">
      <c r="B737" s="213"/>
      <c r="C737" s="213"/>
      <c r="D737" s="213"/>
      <c r="E737" s="213"/>
      <c r="F737" s="213"/>
    </row>
    <row r="738" ht="15.75" customHeight="1">
      <c r="B738" s="213"/>
      <c r="C738" s="213"/>
      <c r="D738" s="213"/>
      <c r="E738" s="213"/>
      <c r="F738" s="213"/>
    </row>
    <row r="739" ht="15.75" customHeight="1">
      <c r="B739" s="213"/>
      <c r="C739" s="213"/>
      <c r="D739" s="213"/>
      <c r="E739" s="213"/>
      <c r="F739" s="213"/>
    </row>
    <row r="740" ht="15.75" customHeight="1">
      <c r="B740" s="213"/>
      <c r="C740" s="213"/>
      <c r="D740" s="213"/>
      <c r="E740" s="213"/>
      <c r="F740" s="213"/>
    </row>
    <row r="741" ht="15.75" customHeight="1">
      <c r="B741" s="213"/>
      <c r="C741" s="213"/>
      <c r="D741" s="213"/>
      <c r="E741" s="213"/>
      <c r="F741" s="213"/>
    </row>
    <row r="742" ht="15.75" customHeight="1">
      <c r="B742" s="213"/>
      <c r="C742" s="213"/>
      <c r="D742" s="213"/>
      <c r="E742" s="213"/>
      <c r="F742" s="213"/>
    </row>
    <row r="743" ht="15.75" customHeight="1">
      <c r="B743" s="213"/>
      <c r="C743" s="213"/>
      <c r="D743" s="213"/>
      <c r="E743" s="213"/>
      <c r="F743" s="213"/>
    </row>
    <row r="744" ht="15.75" customHeight="1">
      <c r="B744" s="213"/>
      <c r="C744" s="213"/>
      <c r="D744" s="213"/>
      <c r="E744" s="213"/>
      <c r="F744" s="213"/>
    </row>
    <row r="745" ht="15.75" customHeight="1">
      <c r="B745" s="213"/>
      <c r="C745" s="213"/>
      <c r="D745" s="213"/>
      <c r="E745" s="213"/>
      <c r="F745" s="213"/>
    </row>
    <row r="746" ht="15.75" customHeight="1">
      <c r="B746" s="213"/>
      <c r="C746" s="213"/>
      <c r="D746" s="213"/>
      <c r="E746" s="213"/>
      <c r="F746" s="213"/>
    </row>
    <row r="747" ht="15.75" customHeight="1">
      <c r="B747" s="213"/>
      <c r="C747" s="213"/>
      <c r="D747" s="213"/>
      <c r="E747" s="213"/>
      <c r="F747" s="213"/>
    </row>
    <row r="748" ht="15.75" customHeight="1">
      <c r="B748" s="213"/>
      <c r="C748" s="213"/>
      <c r="D748" s="213"/>
      <c r="E748" s="213"/>
      <c r="F748" s="213"/>
    </row>
    <row r="749" ht="15.75" customHeight="1">
      <c r="B749" s="213"/>
      <c r="C749" s="213"/>
      <c r="D749" s="213"/>
      <c r="E749" s="213"/>
      <c r="F749" s="213"/>
    </row>
    <row r="750" ht="15.75" customHeight="1">
      <c r="B750" s="213"/>
      <c r="C750" s="213"/>
      <c r="D750" s="213"/>
      <c r="E750" s="213"/>
      <c r="F750" s="213"/>
    </row>
    <row r="751" ht="15.75" customHeight="1">
      <c r="B751" s="213"/>
      <c r="C751" s="213"/>
      <c r="D751" s="213"/>
      <c r="E751" s="213"/>
      <c r="F751" s="213"/>
    </row>
    <row r="752" ht="15.75" customHeight="1">
      <c r="B752" s="213"/>
      <c r="C752" s="213"/>
      <c r="D752" s="213"/>
      <c r="E752" s="213"/>
      <c r="F752" s="213"/>
    </row>
    <row r="753" ht="15.75" customHeight="1">
      <c r="B753" s="213"/>
      <c r="C753" s="213"/>
      <c r="D753" s="213"/>
      <c r="E753" s="213"/>
      <c r="F753" s="213"/>
    </row>
    <row r="754" ht="15.75" customHeight="1">
      <c r="B754" s="213"/>
      <c r="C754" s="213"/>
      <c r="D754" s="213"/>
      <c r="E754" s="213"/>
      <c r="F754" s="213"/>
    </row>
    <row r="755" ht="15.75" customHeight="1">
      <c r="B755" s="213"/>
      <c r="C755" s="213"/>
      <c r="D755" s="213"/>
      <c r="E755" s="213"/>
      <c r="F755" s="213"/>
    </row>
    <row r="756" ht="15.75" customHeight="1">
      <c r="B756" s="213"/>
      <c r="C756" s="213"/>
      <c r="D756" s="213"/>
      <c r="E756" s="213"/>
      <c r="F756" s="213"/>
    </row>
    <row r="757" ht="15.75" customHeight="1">
      <c r="B757" s="213"/>
      <c r="C757" s="213"/>
      <c r="D757" s="213"/>
      <c r="E757" s="213"/>
      <c r="F757" s="213"/>
    </row>
    <row r="758" ht="15.75" customHeight="1">
      <c r="B758" s="213"/>
      <c r="C758" s="213"/>
      <c r="D758" s="213"/>
      <c r="E758" s="213"/>
      <c r="F758" s="213"/>
    </row>
    <row r="759" ht="15.75" customHeight="1">
      <c r="B759" s="213"/>
      <c r="C759" s="213"/>
      <c r="D759" s="213"/>
      <c r="E759" s="213"/>
      <c r="F759" s="213"/>
    </row>
    <row r="760" ht="15.75" customHeight="1">
      <c r="B760" s="213"/>
      <c r="C760" s="213"/>
      <c r="D760" s="213"/>
      <c r="E760" s="213"/>
      <c r="F760" s="213"/>
    </row>
    <row r="761" ht="15.75" customHeight="1">
      <c r="B761" s="213"/>
      <c r="C761" s="213"/>
      <c r="D761" s="213"/>
      <c r="E761" s="213"/>
      <c r="F761" s="213"/>
    </row>
    <row r="762" ht="15.75" customHeight="1">
      <c r="B762" s="213"/>
      <c r="C762" s="213"/>
      <c r="D762" s="213"/>
      <c r="E762" s="213"/>
      <c r="F762" s="213"/>
    </row>
    <row r="763" ht="15.75" customHeight="1">
      <c r="B763" s="213"/>
      <c r="C763" s="213"/>
      <c r="D763" s="213"/>
      <c r="E763" s="213"/>
      <c r="F763" s="213"/>
    </row>
    <row r="764" ht="15.75" customHeight="1">
      <c r="B764" s="213"/>
      <c r="C764" s="213"/>
      <c r="D764" s="213"/>
      <c r="E764" s="213"/>
      <c r="F764" s="213"/>
    </row>
    <row r="765" ht="15.75" customHeight="1">
      <c r="B765" s="213"/>
      <c r="C765" s="213"/>
      <c r="D765" s="213"/>
      <c r="E765" s="213"/>
      <c r="F765" s="213"/>
    </row>
    <row r="766" ht="15.75" customHeight="1">
      <c r="B766" s="213"/>
      <c r="C766" s="213"/>
      <c r="D766" s="213"/>
      <c r="E766" s="213"/>
      <c r="F766" s="213"/>
    </row>
    <row r="767" ht="15.75" customHeight="1">
      <c r="B767" s="213"/>
      <c r="C767" s="213"/>
      <c r="D767" s="213"/>
      <c r="E767" s="213"/>
      <c r="F767" s="213"/>
    </row>
    <row r="768" ht="15.75" customHeight="1">
      <c r="B768" s="213"/>
      <c r="C768" s="213"/>
      <c r="D768" s="213"/>
      <c r="E768" s="213"/>
      <c r="F768" s="213"/>
    </row>
    <row r="769" ht="15.75" customHeight="1">
      <c r="B769" s="213"/>
      <c r="C769" s="213"/>
      <c r="D769" s="213"/>
      <c r="E769" s="213"/>
      <c r="F769" s="213"/>
    </row>
    <row r="770" ht="15.75" customHeight="1">
      <c r="B770" s="213"/>
      <c r="C770" s="213"/>
      <c r="D770" s="213"/>
      <c r="E770" s="213"/>
      <c r="F770" s="213"/>
    </row>
    <row r="771" ht="15.75" customHeight="1">
      <c r="B771" s="213"/>
      <c r="C771" s="213"/>
      <c r="D771" s="213"/>
      <c r="E771" s="213"/>
      <c r="F771" s="213"/>
    </row>
    <row r="772" ht="15.75" customHeight="1">
      <c r="B772" s="213"/>
      <c r="C772" s="213"/>
      <c r="D772" s="213"/>
      <c r="E772" s="213"/>
      <c r="F772" s="213"/>
    </row>
    <row r="773" ht="15.75" customHeight="1">
      <c r="B773" s="213"/>
      <c r="C773" s="213"/>
      <c r="D773" s="213"/>
      <c r="E773" s="213"/>
      <c r="F773" s="213"/>
    </row>
    <row r="774" ht="15.75" customHeight="1">
      <c r="B774" s="213"/>
      <c r="C774" s="213"/>
      <c r="D774" s="213"/>
      <c r="E774" s="213"/>
      <c r="F774" s="213"/>
    </row>
    <row r="775" ht="15.75" customHeight="1">
      <c r="B775" s="213"/>
      <c r="C775" s="213"/>
      <c r="D775" s="213"/>
      <c r="E775" s="213"/>
      <c r="F775" s="213"/>
    </row>
    <row r="776" ht="15.75" customHeight="1">
      <c r="B776" s="213"/>
      <c r="C776" s="213"/>
      <c r="D776" s="213"/>
      <c r="E776" s="213"/>
      <c r="F776" s="213"/>
    </row>
    <row r="777" ht="15.75" customHeight="1">
      <c r="B777" s="213"/>
      <c r="C777" s="213"/>
      <c r="D777" s="213"/>
      <c r="E777" s="213"/>
      <c r="F777" s="213"/>
    </row>
    <row r="778" ht="15.75" customHeight="1">
      <c r="B778" s="213"/>
      <c r="C778" s="213"/>
      <c r="D778" s="213"/>
      <c r="E778" s="213"/>
      <c r="F778" s="213"/>
    </row>
    <row r="779" ht="15.75" customHeight="1">
      <c r="B779" s="213"/>
      <c r="C779" s="213"/>
      <c r="D779" s="213"/>
      <c r="E779" s="213"/>
      <c r="F779" s="213"/>
    </row>
    <row r="780" ht="15.75" customHeight="1">
      <c r="B780" s="213"/>
      <c r="C780" s="213"/>
      <c r="D780" s="213"/>
      <c r="E780" s="213"/>
      <c r="F780" s="213"/>
    </row>
    <row r="781" ht="15.75" customHeight="1">
      <c r="B781" s="213"/>
      <c r="C781" s="213"/>
      <c r="D781" s="213"/>
      <c r="E781" s="213"/>
      <c r="F781" s="213"/>
    </row>
    <row r="782" ht="15.75" customHeight="1">
      <c r="B782" s="213"/>
      <c r="C782" s="213"/>
      <c r="D782" s="213"/>
      <c r="E782" s="213"/>
      <c r="F782" s="213"/>
    </row>
    <row r="783" ht="15.75" customHeight="1">
      <c r="B783" s="213"/>
      <c r="C783" s="213"/>
      <c r="D783" s="213"/>
      <c r="E783" s="213"/>
      <c r="F783" s="213"/>
    </row>
    <row r="784" ht="15.75" customHeight="1">
      <c r="B784" s="213"/>
      <c r="C784" s="213"/>
      <c r="D784" s="213"/>
      <c r="E784" s="213"/>
      <c r="F784" s="213"/>
    </row>
    <row r="785" ht="15.75" customHeight="1">
      <c r="B785" s="213"/>
      <c r="C785" s="213"/>
      <c r="D785" s="213"/>
      <c r="E785" s="213"/>
      <c r="F785" s="213"/>
    </row>
    <row r="786" ht="15.75" customHeight="1">
      <c r="B786" s="213"/>
      <c r="C786" s="213"/>
      <c r="D786" s="213"/>
      <c r="E786" s="213"/>
      <c r="F786" s="213"/>
    </row>
    <row r="787" ht="15.75" customHeight="1">
      <c r="B787" s="213"/>
      <c r="C787" s="213"/>
      <c r="D787" s="213"/>
      <c r="E787" s="213"/>
      <c r="F787" s="213"/>
    </row>
    <row r="788" ht="15.75" customHeight="1">
      <c r="B788" s="213"/>
      <c r="C788" s="213"/>
      <c r="D788" s="213"/>
      <c r="E788" s="213"/>
      <c r="F788" s="213"/>
    </row>
    <row r="789" ht="15.75" customHeight="1">
      <c r="B789" s="213"/>
      <c r="C789" s="213"/>
      <c r="D789" s="213"/>
      <c r="E789" s="213"/>
      <c r="F789" s="213"/>
    </row>
    <row r="790" ht="15.75" customHeight="1">
      <c r="B790" s="213"/>
      <c r="C790" s="213"/>
      <c r="D790" s="213"/>
      <c r="E790" s="213"/>
      <c r="F790" s="213"/>
    </row>
    <row r="791" ht="15.75" customHeight="1">
      <c r="B791" s="213"/>
      <c r="C791" s="213"/>
      <c r="D791" s="213"/>
      <c r="E791" s="213"/>
      <c r="F791" s="213"/>
    </row>
    <row r="792" ht="15.75" customHeight="1">
      <c r="B792" s="213"/>
      <c r="C792" s="213"/>
      <c r="D792" s="213"/>
      <c r="E792" s="213"/>
      <c r="F792" s="213"/>
    </row>
    <row r="793" ht="15.75" customHeight="1">
      <c r="B793" s="213"/>
      <c r="C793" s="213"/>
      <c r="D793" s="213"/>
      <c r="E793" s="213"/>
      <c r="F793" s="213"/>
    </row>
    <row r="794" ht="15.75" customHeight="1">
      <c r="B794" s="213"/>
      <c r="C794" s="213"/>
      <c r="D794" s="213"/>
      <c r="E794" s="213"/>
      <c r="F794" s="213"/>
    </row>
    <row r="795" ht="15.75" customHeight="1">
      <c r="B795" s="213"/>
      <c r="C795" s="213"/>
      <c r="D795" s="213"/>
      <c r="E795" s="213"/>
      <c r="F795" s="213"/>
    </row>
    <row r="796" ht="15.75" customHeight="1">
      <c r="B796" s="213"/>
      <c r="C796" s="213"/>
      <c r="D796" s="213"/>
      <c r="E796" s="213"/>
      <c r="F796" s="213"/>
    </row>
    <row r="797" ht="15.75" customHeight="1">
      <c r="B797" s="213"/>
      <c r="C797" s="213"/>
      <c r="D797" s="213"/>
      <c r="E797" s="213"/>
      <c r="F797" s="213"/>
    </row>
    <row r="798" ht="15.75" customHeight="1">
      <c r="B798" s="213"/>
      <c r="C798" s="213"/>
      <c r="D798" s="213"/>
      <c r="E798" s="213"/>
      <c r="F798" s="213"/>
    </row>
    <row r="799" ht="15.75" customHeight="1">
      <c r="B799" s="213"/>
      <c r="C799" s="213"/>
      <c r="D799" s="213"/>
      <c r="E799" s="213"/>
      <c r="F799" s="213"/>
    </row>
    <row r="800" ht="15.75" customHeight="1">
      <c r="B800" s="213"/>
      <c r="C800" s="213"/>
      <c r="D800" s="213"/>
      <c r="E800" s="213"/>
      <c r="F800" s="213"/>
    </row>
    <row r="801" ht="15.75" customHeight="1">
      <c r="B801" s="213"/>
      <c r="C801" s="213"/>
      <c r="D801" s="213"/>
      <c r="E801" s="213"/>
      <c r="F801" s="213"/>
    </row>
    <row r="802" ht="15.75" customHeight="1">
      <c r="B802" s="213"/>
      <c r="C802" s="213"/>
      <c r="D802" s="213"/>
      <c r="E802" s="213"/>
      <c r="F802" s="213"/>
    </row>
    <row r="803" ht="15.75" customHeight="1">
      <c r="B803" s="213"/>
      <c r="C803" s="213"/>
      <c r="D803" s="213"/>
      <c r="E803" s="213"/>
      <c r="F803" s="213"/>
    </row>
    <row r="804" ht="15.75" customHeight="1">
      <c r="B804" s="213"/>
      <c r="C804" s="213"/>
      <c r="D804" s="213"/>
      <c r="E804" s="213"/>
      <c r="F804" s="213"/>
    </row>
    <row r="805" ht="15.75" customHeight="1">
      <c r="B805" s="213"/>
      <c r="C805" s="213"/>
      <c r="D805" s="213"/>
      <c r="E805" s="213"/>
      <c r="F805" s="213"/>
    </row>
    <row r="806" ht="15.75" customHeight="1">
      <c r="B806" s="213"/>
      <c r="C806" s="213"/>
      <c r="D806" s="213"/>
      <c r="E806" s="213"/>
      <c r="F806" s="213"/>
    </row>
    <row r="807" ht="15.75" customHeight="1">
      <c r="B807" s="213"/>
      <c r="C807" s="213"/>
      <c r="D807" s="213"/>
      <c r="E807" s="213"/>
      <c r="F807" s="213"/>
    </row>
    <row r="808" ht="15.75" customHeight="1">
      <c r="B808" s="213"/>
      <c r="C808" s="213"/>
      <c r="D808" s="213"/>
      <c r="E808" s="213"/>
      <c r="F808" s="213"/>
    </row>
    <row r="809" ht="15.75" customHeight="1">
      <c r="B809" s="213"/>
      <c r="C809" s="213"/>
      <c r="D809" s="213"/>
      <c r="E809" s="213"/>
      <c r="F809" s="213"/>
    </row>
    <row r="810" ht="15.75" customHeight="1">
      <c r="B810" s="213"/>
      <c r="C810" s="213"/>
      <c r="D810" s="213"/>
      <c r="E810" s="213"/>
      <c r="F810" s="213"/>
    </row>
    <row r="811" ht="15.75" customHeight="1">
      <c r="B811" s="213"/>
      <c r="C811" s="213"/>
      <c r="D811" s="213"/>
      <c r="E811" s="213"/>
      <c r="F811" s="213"/>
    </row>
    <row r="812" ht="15.75" customHeight="1">
      <c r="B812" s="213"/>
      <c r="C812" s="213"/>
      <c r="D812" s="213"/>
      <c r="E812" s="213"/>
      <c r="F812" s="213"/>
    </row>
    <row r="813" ht="15.75" customHeight="1">
      <c r="B813" s="213"/>
      <c r="C813" s="213"/>
      <c r="D813" s="213"/>
      <c r="E813" s="213"/>
      <c r="F813" s="213"/>
    </row>
    <row r="814" ht="15.75" customHeight="1">
      <c r="B814" s="213"/>
      <c r="C814" s="213"/>
      <c r="D814" s="213"/>
      <c r="E814" s="213"/>
      <c r="F814" s="213"/>
    </row>
    <row r="815" ht="15.75" customHeight="1">
      <c r="B815" s="213"/>
      <c r="C815" s="213"/>
      <c r="D815" s="213"/>
      <c r="E815" s="213"/>
      <c r="F815" s="213"/>
    </row>
    <row r="816" ht="15.75" customHeight="1">
      <c r="B816" s="213"/>
      <c r="C816" s="213"/>
      <c r="D816" s="213"/>
      <c r="E816" s="213"/>
      <c r="F816" s="213"/>
    </row>
    <row r="817" ht="15.75" customHeight="1">
      <c r="B817" s="213"/>
      <c r="C817" s="213"/>
      <c r="D817" s="213"/>
      <c r="E817" s="213"/>
      <c r="F817" s="213"/>
    </row>
    <row r="818" ht="15.75" customHeight="1">
      <c r="B818" s="213"/>
      <c r="C818" s="213"/>
      <c r="D818" s="213"/>
      <c r="E818" s="213"/>
      <c r="F818" s="213"/>
    </row>
    <row r="819" ht="15.75" customHeight="1">
      <c r="B819" s="213"/>
      <c r="C819" s="213"/>
      <c r="D819" s="213"/>
      <c r="E819" s="213"/>
      <c r="F819" s="213"/>
    </row>
    <row r="820" ht="15.75" customHeight="1">
      <c r="B820" s="213"/>
      <c r="C820" s="213"/>
      <c r="D820" s="213"/>
      <c r="E820" s="213"/>
      <c r="F820" s="213"/>
    </row>
    <row r="821" ht="15.75" customHeight="1">
      <c r="B821" s="213"/>
      <c r="C821" s="213"/>
      <c r="D821" s="213"/>
      <c r="E821" s="213"/>
      <c r="F821" s="213"/>
    </row>
    <row r="822" ht="15.75" customHeight="1">
      <c r="B822" s="213"/>
      <c r="C822" s="213"/>
      <c r="D822" s="213"/>
      <c r="E822" s="213"/>
      <c r="F822" s="213"/>
    </row>
    <row r="823" ht="15.75" customHeight="1">
      <c r="B823" s="213"/>
      <c r="C823" s="213"/>
      <c r="D823" s="213"/>
      <c r="E823" s="213"/>
      <c r="F823" s="213"/>
    </row>
    <row r="824" ht="15.75" customHeight="1">
      <c r="B824" s="213"/>
      <c r="C824" s="213"/>
      <c r="D824" s="213"/>
      <c r="E824" s="213"/>
      <c r="F824" s="213"/>
    </row>
    <row r="825" ht="15.75" customHeight="1">
      <c r="B825" s="213"/>
      <c r="C825" s="213"/>
      <c r="D825" s="213"/>
      <c r="E825" s="213"/>
      <c r="F825" s="213"/>
    </row>
    <row r="826" ht="15.75" customHeight="1">
      <c r="B826" s="213"/>
      <c r="C826" s="213"/>
      <c r="D826" s="213"/>
      <c r="E826" s="213"/>
      <c r="F826" s="213"/>
    </row>
    <row r="827" ht="15.75" customHeight="1">
      <c r="B827" s="213"/>
      <c r="C827" s="213"/>
      <c r="D827" s="213"/>
      <c r="E827" s="213"/>
      <c r="F827" s="213"/>
    </row>
    <row r="828" ht="15.75" customHeight="1">
      <c r="B828" s="213"/>
      <c r="C828" s="213"/>
      <c r="D828" s="213"/>
      <c r="E828" s="213"/>
      <c r="F828" s="213"/>
    </row>
    <row r="829" ht="15.75" customHeight="1">
      <c r="B829" s="213"/>
      <c r="C829" s="213"/>
      <c r="D829" s="213"/>
      <c r="E829" s="213"/>
      <c r="F829" s="213"/>
    </row>
    <row r="830" ht="15.75" customHeight="1">
      <c r="B830" s="213"/>
      <c r="C830" s="213"/>
      <c r="D830" s="213"/>
      <c r="E830" s="213"/>
      <c r="F830" s="213"/>
    </row>
    <row r="831" ht="15.75" customHeight="1">
      <c r="B831" s="213"/>
      <c r="C831" s="213"/>
      <c r="D831" s="213"/>
      <c r="E831" s="213"/>
      <c r="F831" s="213"/>
    </row>
    <row r="832" ht="15.75" customHeight="1">
      <c r="B832" s="213"/>
      <c r="C832" s="213"/>
      <c r="D832" s="213"/>
      <c r="E832" s="213"/>
      <c r="F832" s="213"/>
    </row>
    <row r="833" ht="15.75" customHeight="1">
      <c r="B833" s="213"/>
      <c r="C833" s="213"/>
      <c r="D833" s="213"/>
      <c r="E833" s="213"/>
      <c r="F833" s="213"/>
    </row>
    <row r="834" ht="15.75" customHeight="1">
      <c r="B834" s="213"/>
      <c r="C834" s="213"/>
      <c r="D834" s="213"/>
      <c r="E834" s="213"/>
      <c r="F834" s="213"/>
    </row>
    <row r="835" ht="15.75" customHeight="1">
      <c r="B835" s="213"/>
      <c r="C835" s="213"/>
      <c r="D835" s="213"/>
      <c r="E835" s="213"/>
      <c r="F835" s="213"/>
    </row>
    <row r="836" ht="15.75" customHeight="1">
      <c r="B836" s="213"/>
      <c r="C836" s="213"/>
      <c r="D836" s="213"/>
      <c r="E836" s="213"/>
      <c r="F836" s="213"/>
    </row>
    <row r="837" ht="15.75" customHeight="1">
      <c r="B837" s="213"/>
      <c r="C837" s="213"/>
      <c r="D837" s="213"/>
      <c r="E837" s="213"/>
      <c r="F837" s="213"/>
    </row>
    <row r="838" ht="15.75" customHeight="1">
      <c r="B838" s="213"/>
      <c r="C838" s="213"/>
      <c r="D838" s="213"/>
      <c r="E838" s="213"/>
      <c r="F838" s="213"/>
    </row>
    <row r="839" ht="15.75" customHeight="1">
      <c r="B839" s="213"/>
      <c r="C839" s="213"/>
      <c r="D839" s="213"/>
      <c r="E839" s="213"/>
      <c r="F839" s="213"/>
    </row>
    <row r="840" ht="15.75" customHeight="1">
      <c r="B840" s="213"/>
      <c r="C840" s="213"/>
      <c r="D840" s="213"/>
      <c r="E840" s="213"/>
      <c r="F840" s="213"/>
    </row>
    <row r="841" ht="15.75" customHeight="1">
      <c r="B841" s="213"/>
      <c r="C841" s="213"/>
      <c r="D841" s="213"/>
      <c r="E841" s="213"/>
      <c r="F841" s="213"/>
    </row>
    <row r="842" ht="15.75" customHeight="1">
      <c r="B842" s="213"/>
      <c r="C842" s="213"/>
      <c r="D842" s="213"/>
      <c r="E842" s="213"/>
      <c r="F842" s="213"/>
    </row>
    <row r="843" ht="15.75" customHeight="1">
      <c r="B843" s="213"/>
      <c r="C843" s="213"/>
      <c r="D843" s="213"/>
      <c r="E843" s="213"/>
      <c r="F843" s="213"/>
    </row>
    <row r="844" ht="15.75" customHeight="1">
      <c r="B844" s="213"/>
      <c r="C844" s="213"/>
      <c r="D844" s="213"/>
      <c r="E844" s="213"/>
      <c r="F844" s="213"/>
    </row>
    <row r="845" ht="15.75" customHeight="1">
      <c r="B845" s="213"/>
      <c r="C845" s="213"/>
      <c r="D845" s="213"/>
      <c r="E845" s="213"/>
      <c r="F845" s="213"/>
    </row>
    <row r="846" ht="15.75" customHeight="1">
      <c r="B846" s="213"/>
      <c r="C846" s="213"/>
      <c r="D846" s="213"/>
      <c r="E846" s="213"/>
      <c r="F846" s="213"/>
    </row>
    <row r="847" ht="15.75" customHeight="1">
      <c r="B847" s="213"/>
      <c r="C847" s="213"/>
      <c r="D847" s="213"/>
      <c r="E847" s="213"/>
      <c r="F847" s="213"/>
    </row>
    <row r="848" ht="15.75" customHeight="1">
      <c r="B848" s="213"/>
      <c r="C848" s="213"/>
      <c r="D848" s="213"/>
      <c r="E848" s="213"/>
      <c r="F848" s="213"/>
    </row>
    <row r="849" ht="15.75" customHeight="1">
      <c r="B849" s="213"/>
      <c r="C849" s="213"/>
      <c r="D849" s="213"/>
      <c r="E849" s="213"/>
      <c r="F849" s="213"/>
    </row>
    <row r="850" ht="15.75" customHeight="1">
      <c r="B850" s="213"/>
      <c r="C850" s="213"/>
      <c r="D850" s="213"/>
      <c r="E850" s="213"/>
      <c r="F850" s="213"/>
    </row>
    <row r="851" ht="15.75" customHeight="1">
      <c r="B851" s="213"/>
      <c r="C851" s="213"/>
      <c r="D851" s="213"/>
      <c r="E851" s="213"/>
      <c r="F851" s="213"/>
    </row>
    <row r="852" ht="15.75" customHeight="1">
      <c r="B852" s="213"/>
      <c r="C852" s="213"/>
      <c r="D852" s="213"/>
      <c r="E852" s="213"/>
      <c r="F852" s="213"/>
    </row>
    <row r="853" ht="15.75" customHeight="1">
      <c r="B853" s="213"/>
      <c r="C853" s="213"/>
      <c r="D853" s="213"/>
      <c r="E853" s="213"/>
      <c r="F853" s="213"/>
    </row>
    <row r="854" ht="15.75" customHeight="1">
      <c r="B854" s="213"/>
      <c r="C854" s="213"/>
      <c r="D854" s="213"/>
      <c r="E854" s="213"/>
      <c r="F854" s="213"/>
    </row>
    <row r="855" ht="15.75" customHeight="1">
      <c r="B855" s="213"/>
      <c r="C855" s="213"/>
      <c r="D855" s="213"/>
      <c r="E855" s="213"/>
      <c r="F855" s="213"/>
    </row>
    <row r="856" ht="15.75" customHeight="1">
      <c r="B856" s="213"/>
      <c r="C856" s="213"/>
      <c r="D856" s="213"/>
      <c r="E856" s="213"/>
      <c r="F856" s="213"/>
    </row>
    <row r="857" ht="15.75" customHeight="1">
      <c r="B857" s="213"/>
      <c r="C857" s="213"/>
      <c r="D857" s="213"/>
      <c r="E857" s="213"/>
      <c r="F857" s="213"/>
    </row>
    <row r="858" ht="15.75" customHeight="1">
      <c r="B858" s="213"/>
      <c r="C858" s="213"/>
      <c r="D858" s="213"/>
      <c r="E858" s="213"/>
      <c r="F858" s="213"/>
    </row>
    <row r="859" ht="15.75" customHeight="1">
      <c r="B859" s="213"/>
      <c r="C859" s="213"/>
      <c r="D859" s="213"/>
      <c r="E859" s="213"/>
      <c r="F859" s="213"/>
    </row>
    <row r="860" ht="15.75" customHeight="1">
      <c r="B860" s="213"/>
      <c r="C860" s="213"/>
      <c r="D860" s="213"/>
      <c r="E860" s="213"/>
      <c r="F860" s="213"/>
    </row>
    <row r="861" ht="15.75" customHeight="1">
      <c r="B861" s="213"/>
      <c r="C861" s="213"/>
      <c r="D861" s="213"/>
      <c r="E861" s="213"/>
      <c r="F861" s="213"/>
    </row>
    <row r="862" ht="15.75" customHeight="1">
      <c r="B862" s="213"/>
      <c r="C862" s="213"/>
      <c r="D862" s="213"/>
      <c r="E862" s="213"/>
      <c r="F862" s="213"/>
    </row>
    <row r="863" ht="15.75" customHeight="1">
      <c r="B863" s="213"/>
      <c r="C863" s="213"/>
      <c r="D863" s="213"/>
      <c r="E863" s="213"/>
      <c r="F863" s="213"/>
    </row>
    <row r="864" ht="15.75" customHeight="1">
      <c r="B864" s="213"/>
      <c r="C864" s="213"/>
      <c r="D864" s="213"/>
      <c r="E864" s="213"/>
      <c r="F864" s="213"/>
    </row>
    <row r="865" ht="15.75" customHeight="1">
      <c r="B865" s="213"/>
      <c r="C865" s="213"/>
      <c r="D865" s="213"/>
      <c r="E865" s="213"/>
      <c r="F865" s="213"/>
    </row>
    <row r="866" ht="15.75" customHeight="1">
      <c r="B866" s="213"/>
      <c r="C866" s="213"/>
      <c r="D866" s="213"/>
      <c r="E866" s="213"/>
      <c r="F866" s="213"/>
    </row>
    <row r="867" ht="15.75" customHeight="1">
      <c r="B867" s="213"/>
      <c r="C867" s="213"/>
      <c r="D867" s="213"/>
      <c r="E867" s="213"/>
      <c r="F867" s="213"/>
    </row>
    <row r="868" ht="15.75" customHeight="1">
      <c r="B868" s="213"/>
      <c r="C868" s="213"/>
      <c r="D868" s="213"/>
      <c r="E868" s="213"/>
      <c r="F868" s="213"/>
    </row>
    <row r="869" ht="15.75" customHeight="1">
      <c r="B869" s="213"/>
      <c r="C869" s="213"/>
      <c r="D869" s="213"/>
      <c r="E869" s="213"/>
      <c r="F869" s="213"/>
    </row>
    <row r="870" ht="15.75" customHeight="1">
      <c r="B870" s="213"/>
      <c r="C870" s="213"/>
      <c r="D870" s="213"/>
      <c r="E870" s="213"/>
      <c r="F870" s="213"/>
    </row>
    <row r="871" ht="15.75" customHeight="1">
      <c r="B871" s="213"/>
      <c r="C871" s="213"/>
      <c r="D871" s="213"/>
      <c r="E871" s="213"/>
      <c r="F871" s="213"/>
    </row>
    <row r="872" ht="15.75" customHeight="1">
      <c r="B872" s="213"/>
      <c r="C872" s="213"/>
      <c r="D872" s="213"/>
      <c r="E872" s="213"/>
      <c r="F872" s="213"/>
    </row>
    <row r="873" ht="15.75" customHeight="1">
      <c r="B873" s="213"/>
      <c r="C873" s="213"/>
      <c r="D873" s="213"/>
      <c r="E873" s="213"/>
      <c r="F873" s="213"/>
    </row>
    <row r="874" ht="15.75" customHeight="1">
      <c r="B874" s="213"/>
      <c r="C874" s="213"/>
      <c r="D874" s="213"/>
      <c r="E874" s="213"/>
      <c r="F874" s="213"/>
    </row>
    <row r="875" ht="15.75" customHeight="1">
      <c r="B875" s="213"/>
      <c r="C875" s="213"/>
      <c r="D875" s="213"/>
      <c r="E875" s="213"/>
      <c r="F875" s="213"/>
    </row>
    <row r="876" ht="15.75" customHeight="1">
      <c r="B876" s="213"/>
      <c r="C876" s="213"/>
      <c r="D876" s="213"/>
      <c r="E876" s="213"/>
      <c r="F876" s="213"/>
    </row>
    <row r="877" ht="15.75" customHeight="1">
      <c r="B877" s="213"/>
      <c r="C877" s="213"/>
      <c r="D877" s="213"/>
      <c r="E877" s="213"/>
      <c r="F877" s="213"/>
    </row>
    <row r="878" ht="15.75" customHeight="1">
      <c r="B878" s="213"/>
      <c r="C878" s="213"/>
      <c r="D878" s="213"/>
      <c r="E878" s="213"/>
      <c r="F878" s="213"/>
    </row>
    <row r="879" ht="15.75" customHeight="1">
      <c r="B879" s="213"/>
      <c r="C879" s="213"/>
      <c r="D879" s="213"/>
      <c r="E879" s="213"/>
      <c r="F879" s="213"/>
    </row>
    <row r="880" ht="15.75" customHeight="1">
      <c r="B880" s="213"/>
      <c r="C880" s="213"/>
      <c r="D880" s="213"/>
      <c r="E880" s="213"/>
      <c r="F880" s="213"/>
    </row>
    <row r="881" ht="15.75" customHeight="1">
      <c r="B881" s="213"/>
      <c r="C881" s="213"/>
      <c r="D881" s="213"/>
      <c r="E881" s="213"/>
      <c r="F881" s="213"/>
    </row>
    <row r="882" ht="15.75" customHeight="1">
      <c r="B882" s="213"/>
      <c r="C882" s="213"/>
      <c r="D882" s="213"/>
      <c r="E882" s="213"/>
      <c r="F882" s="213"/>
    </row>
    <row r="883" ht="15.75" customHeight="1">
      <c r="B883" s="213"/>
      <c r="C883" s="213"/>
      <c r="D883" s="213"/>
      <c r="E883" s="213"/>
      <c r="F883" s="213"/>
    </row>
    <row r="884" ht="15.75" customHeight="1">
      <c r="B884" s="213"/>
      <c r="C884" s="213"/>
      <c r="D884" s="213"/>
      <c r="E884" s="213"/>
      <c r="F884" s="213"/>
    </row>
    <row r="885" ht="15.75" customHeight="1">
      <c r="B885" s="213"/>
      <c r="C885" s="213"/>
      <c r="D885" s="213"/>
      <c r="E885" s="213"/>
      <c r="F885" s="213"/>
    </row>
    <row r="886" ht="15.75" customHeight="1">
      <c r="B886" s="213"/>
      <c r="C886" s="213"/>
      <c r="D886" s="213"/>
      <c r="E886" s="213"/>
      <c r="F886" s="213"/>
    </row>
    <row r="887" ht="15.75" customHeight="1">
      <c r="B887" s="213"/>
      <c r="C887" s="213"/>
      <c r="D887" s="213"/>
      <c r="E887" s="213"/>
      <c r="F887" s="213"/>
    </row>
    <row r="888" ht="15.75" customHeight="1">
      <c r="B888" s="213"/>
      <c r="C888" s="213"/>
      <c r="D888" s="213"/>
      <c r="E888" s="213"/>
      <c r="F888" s="213"/>
    </row>
    <row r="889" ht="15.75" customHeight="1">
      <c r="B889" s="213"/>
      <c r="C889" s="213"/>
      <c r="D889" s="213"/>
      <c r="E889" s="213"/>
      <c r="F889" s="213"/>
    </row>
    <row r="890" ht="15.75" customHeight="1">
      <c r="B890" s="213"/>
      <c r="C890" s="213"/>
      <c r="D890" s="213"/>
      <c r="E890" s="213"/>
      <c r="F890" s="213"/>
    </row>
    <row r="891" ht="15.75" customHeight="1">
      <c r="B891" s="213"/>
      <c r="C891" s="213"/>
      <c r="D891" s="213"/>
      <c r="E891" s="213"/>
      <c r="F891" s="213"/>
    </row>
    <row r="892" ht="15.75" customHeight="1">
      <c r="B892" s="213"/>
      <c r="C892" s="213"/>
      <c r="D892" s="213"/>
      <c r="E892" s="213"/>
      <c r="F892" s="213"/>
    </row>
    <row r="893" ht="15.75" customHeight="1">
      <c r="B893" s="213"/>
      <c r="C893" s="213"/>
      <c r="D893" s="213"/>
      <c r="E893" s="213"/>
      <c r="F893" s="213"/>
    </row>
    <row r="894" ht="15.75" customHeight="1">
      <c r="B894" s="213"/>
      <c r="C894" s="213"/>
      <c r="D894" s="213"/>
      <c r="E894" s="213"/>
      <c r="F894" s="213"/>
    </row>
    <row r="895" ht="15.75" customHeight="1">
      <c r="B895" s="213"/>
      <c r="C895" s="213"/>
      <c r="D895" s="213"/>
      <c r="E895" s="213"/>
      <c r="F895" s="213"/>
    </row>
    <row r="896" ht="15.75" customHeight="1">
      <c r="B896" s="213"/>
      <c r="C896" s="213"/>
      <c r="D896" s="213"/>
      <c r="E896" s="213"/>
      <c r="F896" s="213"/>
    </row>
    <row r="897" ht="15.75" customHeight="1">
      <c r="B897" s="213"/>
      <c r="C897" s="213"/>
      <c r="D897" s="213"/>
      <c r="E897" s="213"/>
      <c r="F897" s="213"/>
    </row>
    <row r="898" ht="15.75" customHeight="1">
      <c r="B898" s="213"/>
      <c r="C898" s="213"/>
      <c r="D898" s="213"/>
      <c r="E898" s="213"/>
      <c r="F898" s="213"/>
    </row>
    <row r="899" ht="15.75" customHeight="1">
      <c r="B899" s="213"/>
      <c r="C899" s="213"/>
      <c r="D899" s="213"/>
      <c r="E899" s="213"/>
      <c r="F899" s="213"/>
    </row>
    <row r="900" ht="15.75" customHeight="1">
      <c r="B900" s="213"/>
      <c r="C900" s="213"/>
      <c r="D900" s="213"/>
      <c r="E900" s="213"/>
      <c r="F900" s="213"/>
    </row>
    <row r="901" ht="15.75" customHeight="1">
      <c r="B901" s="213"/>
      <c r="C901" s="213"/>
      <c r="D901" s="213"/>
      <c r="E901" s="213"/>
      <c r="F901" s="213"/>
    </row>
    <row r="902" ht="15.75" customHeight="1">
      <c r="B902" s="213"/>
      <c r="C902" s="213"/>
      <c r="D902" s="213"/>
      <c r="E902" s="213"/>
      <c r="F902" s="213"/>
    </row>
    <row r="903" ht="15.75" customHeight="1">
      <c r="B903" s="213"/>
      <c r="C903" s="213"/>
      <c r="D903" s="213"/>
      <c r="E903" s="213"/>
      <c r="F903" s="213"/>
    </row>
    <row r="904" ht="15.75" customHeight="1">
      <c r="B904" s="213"/>
      <c r="C904" s="213"/>
      <c r="D904" s="213"/>
      <c r="E904" s="213"/>
      <c r="F904" s="213"/>
    </row>
    <row r="905" ht="15.75" customHeight="1">
      <c r="B905" s="213"/>
      <c r="C905" s="213"/>
      <c r="D905" s="213"/>
      <c r="E905" s="213"/>
      <c r="F905" s="213"/>
    </row>
    <row r="906" ht="15.75" customHeight="1">
      <c r="B906" s="213"/>
      <c r="C906" s="213"/>
      <c r="D906" s="213"/>
      <c r="E906" s="213"/>
      <c r="F906" s="213"/>
    </row>
    <row r="907" ht="15.75" customHeight="1">
      <c r="B907" s="213"/>
      <c r="C907" s="213"/>
      <c r="D907" s="213"/>
      <c r="E907" s="213"/>
      <c r="F907" s="213"/>
    </row>
    <row r="908" ht="15.75" customHeight="1">
      <c r="B908" s="213"/>
      <c r="C908" s="213"/>
      <c r="D908" s="213"/>
      <c r="E908" s="213"/>
      <c r="F908" s="213"/>
    </row>
    <row r="909" ht="15.75" customHeight="1">
      <c r="B909" s="213"/>
      <c r="C909" s="213"/>
      <c r="D909" s="213"/>
      <c r="E909" s="213"/>
      <c r="F909" s="213"/>
    </row>
    <row r="910" ht="15.75" customHeight="1">
      <c r="B910" s="213"/>
      <c r="C910" s="213"/>
      <c r="D910" s="213"/>
      <c r="E910" s="213"/>
      <c r="F910" s="213"/>
    </row>
    <row r="911" ht="15.75" customHeight="1">
      <c r="B911" s="213"/>
      <c r="C911" s="213"/>
      <c r="D911" s="213"/>
      <c r="E911" s="213"/>
      <c r="F911" s="213"/>
    </row>
    <row r="912" ht="15.75" customHeight="1">
      <c r="B912" s="213"/>
      <c r="C912" s="213"/>
      <c r="D912" s="213"/>
      <c r="E912" s="213"/>
      <c r="F912" s="213"/>
    </row>
    <row r="913" ht="15.75" customHeight="1">
      <c r="B913" s="213"/>
      <c r="C913" s="213"/>
      <c r="D913" s="213"/>
      <c r="E913" s="213"/>
      <c r="F913" s="213"/>
    </row>
    <row r="914" ht="15.75" customHeight="1">
      <c r="B914" s="213"/>
      <c r="C914" s="213"/>
      <c r="D914" s="213"/>
      <c r="E914" s="213"/>
      <c r="F914" s="213"/>
    </row>
    <row r="915" ht="15.75" customHeight="1">
      <c r="B915" s="213"/>
      <c r="C915" s="213"/>
      <c r="D915" s="213"/>
      <c r="E915" s="213"/>
      <c r="F915" s="213"/>
    </row>
    <row r="916" ht="15.75" customHeight="1">
      <c r="B916" s="213"/>
      <c r="C916" s="213"/>
      <c r="D916" s="213"/>
      <c r="E916" s="213"/>
      <c r="F916" s="213"/>
    </row>
    <row r="917" ht="15.75" customHeight="1">
      <c r="B917" s="213"/>
      <c r="C917" s="213"/>
      <c r="D917" s="213"/>
      <c r="E917" s="213"/>
      <c r="F917" s="213"/>
    </row>
    <row r="918" ht="15.75" customHeight="1">
      <c r="B918" s="213"/>
      <c r="C918" s="213"/>
      <c r="D918" s="213"/>
      <c r="E918" s="213"/>
      <c r="F918" s="213"/>
    </row>
    <row r="919" ht="15.75" customHeight="1">
      <c r="B919" s="213"/>
      <c r="C919" s="213"/>
      <c r="D919" s="213"/>
      <c r="E919" s="213"/>
      <c r="F919" s="213"/>
    </row>
    <row r="920" ht="15.75" customHeight="1">
      <c r="B920" s="213"/>
      <c r="C920" s="213"/>
      <c r="D920" s="213"/>
      <c r="E920" s="213"/>
      <c r="F920" s="213"/>
    </row>
    <row r="921" ht="15.75" customHeight="1">
      <c r="B921" s="213"/>
      <c r="C921" s="213"/>
      <c r="D921" s="213"/>
      <c r="E921" s="213"/>
      <c r="F921" s="213"/>
    </row>
    <row r="922" ht="15.75" customHeight="1">
      <c r="B922" s="213"/>
      <c r="C922" s="213"/>
      <c r="D922" s="213"/>
      <c r="E922" s="213"/>
      <c r="F922" s="213"/>
    </row>
    <row r="923" ht="15.75" customHeight="1">
      <c r="B923" s="213"/>
      <c r="C923" s="213"/>
      <c r="D923" s="213"/>
      <c r="E923" s="213"/>
      <c r="F923" s="213"/>
    </row>
    <row r="924" ht="15.75" customHeight="1">
      <c r="B924" s="213"/>
      <c r="C924" s="213"/>
      <c r="D924" s="213"/>
      <c r="E924" s="213"/>
      <c r="F924" s="213"/>
    </row>
    <row r="925" ht="15.75" customHeight="1">
      <c r="B925" s="213"/>
      <c r="C925" s="213"/>
      <c r="D925" s="213"/>
      <c r="E925" s="213"/>
      <c r="F925" s="213"/>
    </row>
    <row r="926" ht="15.75" customHeight="1">
      <c r="B926" s="213"/>
      <c r="C926" s="213"/>
      <c r="D926" s="213"/>
      <c r="E926" s="213"/>
      <c r="F926" s="213"/>
    </row>
    <row r="927" ht="15.75" customHeight="1">
      <c r="B927" s="213"/>
      <c r="C927" s="213"/>
      <c r="D927" s="213"/>
      <c r="E927" s="213"/>
      <c r="F927" s="213"/>
    </row>
    <row r="928" ht="15.75" customHeight="1">
      <c r="B928" s="213"/>
      <c r="C928" s="213"/>
      <c r="D928" s="213"/>
      <c r="E928" s="213"/>
      <c r="F928" s="213"/>
    </row>
    <row r="929" ht="15.75" customHeight="1">
      <c r="B929" s="213"/>
      <c r="C929" s="213"/>
      <c r="D929" s="213"/>
      <c r="E929" s="213"/>
      <c r="F929" s="213"/>
    </row>
    <row r="930" ht="15.75" customHeight="1">
      <c r="B930" s="213"/>
      <c r="C930" s="213"/>
      <c r="D930" s="213"/>
      <c r="E930" s="213"/>
      <c r="F930" s="213"/>
    </row>
    <row r="931" ht="15.75" customHeight="1">
      <c r="B931" s="213"/>
      <c r="C931" s="213"/>
      <c r="D931" s="213"/>
      <c r="E931" s="213"/>
      <c r="F931" s="213"/>
    </row>
    <row r="932" ht="15.75" customHeight="1">
      <c r="B932" s="213"/>
      <c r="C932" s="213"/>
      <c r="D932" s="213"/>
      <c r="E932" s="213"/>
      <c r="F932" s="213"/>
    </row>
    <row r="933" ht="15.75" customHeight="1">
      <c r="B933" s="213"/>
      <c r="C933" s="213"/>
      <c r="D933" s="213"/>
      <c r="E933" s="213"/>
      <c r="F933" s="213"/>
    </row>
    <row r="934" ht="15.75" customHeight="1">
      <c r="B934" s="213"/>
      <c r="C934" s="213"/>
      <c r="D934" s="213"/>
      <c r="E934" s="213"/>
      <c r="F934" s="213"/>
    </row>
    <row r="935" ht="15.75" customHeight="1">
      <c r="B935" s="213"/>
      <c r="C935" s="213"/>
      <c r="D935" s="213"/>
      <c r="E935" s="213"/>
      <c r="F935" s="213"/>
    </row>
    <row r="936" ht="15.75" customHeight="1">
      <c r="B936" s="213"/>
      <c r="C936" s="213"/>
      <c r="D936" s="213"/>
      <c r="E936" s="213"/>
      <c r="F936" s="213"/>
    </row>
    <row r="937" ht="15.75" customHeight="1">
      <c r="B937" s="213"/>
      <c r="C937" s="213"/>
      <c r="D937" s="213"/>
      <c r="E937" s="213"/>
      <c r="F937" s="213"/>
    </row>
    <row r="938" ht="15.75" customHeight="1">
      <c r="B938" s="213"/>
      <c r="C938" s="213"/>
      <c r="D938" s="213"/>
      <c r="E938" s="213"/>
      <c r="F938" s="213"/>
    </row>
    <row r="939" ht="15.75" customHeight="1">
      <c r="B939" s="213"/>
      <c r="C939" s="213"/>
      <c r="D939" s="213"/>
      <c r="E939" s="213"/>
      <c r="F939" s="213"/>
    </row>
    <row r="940" ht="15.75" customHeight="1">
      <c r="B940" s="213"/>
      <c r="C940" s="213"/>
      <c r="D940" s="213"/>
      <c r="E940" s="213"/>
      <c r="F940" s="213"/>
    </row>
    <row r="941" ht="15.75" customHeight="1">
      <c r="B941" s="213"/>
      <c r="C941" s="213"/>
      <c r="D941" s="213"/>
      <c r="E941" s="213"/>
      <c r="F941" s="213"/>
    </row>
    <row r="942" ht="15.75" customHeight="1">
      <c r="B942" s="213"/>
      <c r="C942" s="213"/>
      <c r="D942" s="213"/>
      <c r="E942" s="213"/>
      <c r="F942" s="213"/>
    </row>
    <row r="943" ht="15.75" customHeight="1">
      <c r="B943" s="213"/>
      <c r="C943" s="213"/>
      <c r="D943" s="213"/>
      <c r="E943" s="213"/>
      <c r="F943" s="213"/>
    </row>
    <row r="944" ht="15.75" customHeight="1">
      <c r="B944" s="213"/>
      <c r="C944" s="213"/>
      <c r="D944" s="213"/>
      <c r="E944" s="213"/>
      <c r="F944" s="213"/>
    </row>
    <row r="945" ht="15.75" customHeight="1">
      <c r="B945" s="213"/>
      <c r="C945" s="213"/>
      <c r="D945" s="213"/>
      <c r="E945" s="213"/>
      <c r="F945" s="213"/>
    </row>
    <row r="946" ht="15.75" customHeight="1">
      <c r="B946" s="213"/>
      <c r="C946" s="213"/>
      <c r="D946" s="213"/>
      <c r="E946" s="213"/>
      <c r="F946" s="213"/>
    </row>
    <row r="947" ht="15.75" customHeight="1">
      <c r="B947" s="213"/>
      <c r="C947" s="213"/>
      <c r="D947" s="213"/>
      <c r="E947" s="213"/>
      <c r="F947" s="213"/>
    </row>
    <row r="948" ht="15.75" customHeight="1">
      <c r="B948" s="213"/>
      <c r="C948" s="213"/>
      <c r="D948" s="213"/>
      <c r="E948" s="213"/>
      <c r="F948" s="213"/>
    </row>
    <row r="949" ht="15.75" customHeight="1">
      <c r="B949" s="213"/>
      <c r="C949" s="213"/>
      <c r="D949" s="213"/>
      <c r="E949" s="213"/>
      <c r="F949" s="213"/>
    </row>
    <row r="950" ht="15.75" customHeight="1">
      <c r="B950" s="213"/>
      <c r="C950" s="213"/>
      <c r="D950" s="213"/>
      <c r="E950" s="213"/>
      <c r="F950" s="213"/>
    </row>
    <row r="951" ht="15.75" customHeight="1">
      <c r="B951" s="213"/>
      <c r="C951" s="213"/>
      <c r="D951" s="213"/>
      <c r="E951" s="213"/>
      <c r="F951" s="213"/>
    </row>
    <row r="952" ht="15.75" customHeight="1">
      <c r="B952" s="213"/>
      <c r="C952" s="213"/>
      <c r="D952" s="213"/>
      <c r="E952" s="213"/>
      <c r="F952" s="213"/>
    </row>
    <row r="953" ht="15.75" customHeight="1">
      <c r="B953" s="213"/>
      <c r="C953" s="213"/>
      <c r="D953" s="213"/>
      <c r="E953" s="213"/>
      <c r="F953" s="213"/>
    </row>
    <row r="954" ht="15.75" customHeight="1">
      <c r="B954" s="213"/>
      <c r="C954" s="213"/>
      <c r="D954" s="213"/>
      <c r="E954" s="213"/>
      <c r="F954" s="213"/>
    </row>
    <row r="955" ht="15.75" customHeight="1">
      <c r="B955" s="213"/>
      <c r="C955" s="213"/>
      <c r="D955" s="213"/>
      <c r="E955" s="213"/>
      <c r="F955" s="213"/>
    </row>
    <row r="956" ht="15.75" customHeight="1">
      <c r="B956" s="213"/>
      <c r="C956" s="213"/>
      <c r="D956" s="213"/>
      <c r="E956" s="213"/>
      <c r="F956" s="213"/>
    </row>
    <row r="957" ht="15.75" customHeight="1">
      <c r="B957" s="213"/>
      <c r="C957" s="213"/>
      <c r="D957" s="213"/>
      <c r="E957" s="213"/>
      <c r="F957" s="213"/>
    </row>
    <row r="958" ht="15.75" customHeight="1">
      <c r="B958" s="213"/>
      <c r="C958" s="213"/>
      <c r="D958" s="213"/>
      <c r="E958" s="213"/>
      <c r="F958" s="213"/>
    </row>
    <row r="959" ht="15.75" customHeight="1">
      <c r="B959" s="213"/>
      <c r="C959" s="213"/>
      <c r="D959" s="213"/>
      <c r="E959" s="213"/>
      <c r="F959" s="213"/>
    </row>
    <row r="960" ht="15.75" customHeight="1">
      <c r="B960" s="213"/>
      <c r="C960" s="213"/>
      <c r="D960" s="213"/>
      <c r="E960" s="213"/>
      <c r="F960" s="213"/>
    </row>
    <row r="961" ht="15.75" customHeight="1">
      <c r="B961" s="213"/>
      <c r="C961" s="213"/>
      <c r="D961" s="213"/>
      <c r="E961" s="213"/>
      <c r="F961" s="213"/>
    </row>
    <row r="962" ht="15.75" customHeight="1">
      <c r="B962" s="213"/>
      <c r="C962" s="213"/>
      <c r="D962" s="213"/>
      <c r="E962" s="213"/>
      <c r="F962" s="213"/>
    </row>
    <row r="963" ht="15.75" customHeight="1">
      <c r="B963" s="213"/>
      <c r="C963" s="213"/>
      <c r="D963" s="213"/>
      <c r="E963" s="213"/>
      <c r="F963" s="213"/>
    </row>
    <row r="964" ht="15.75" customHeight="1">
      <c r="B964" s="213"/>
      <c r="C964" s="213"/>
      <c r="D964" s="213"/>
      <c r="E964" s="213"/>
      <c r="F964" s="213"/>
    </row>
    <row r="965" ht="15.75" customHeight="1">
      <c r="B965" s="213"/>
      <c r="C965" s="213"/>
      <c r="D965" s="213"/>
      <c r="E965" s="213"/>
      <c r="F965" s="213"/>
    </row>
    <row r="966" ht="15.75" customHeight="1">
      <c r="B966" s="213"/>
      <c r="C966" s="213"/>
      <c r="D966" s="213"/>
      <c r="E966" s="213"/>
      <c r="F966" s="213"/>
    </row>
    <row r="967" ht="15.75" customHeight="1">
      <c r="B967" s="213"/>
      <c r="C967" s="213"/>
      <c r="D967" s="213"/>
      <c r="E967" s="213"/>
      <c r="F967" s="213"/>
    </row>
    <row r="968" ht="15.75" customHeight="1">
      <c r="B968" s="213"/>
      <c r="C968" s="213"/>
      <c r="D968" s="213"/>
      <c r="E968" s="213"/>
      <c r="F968" s="213"/>
    </row>
    <row r="969" ht="15.75" customHeight="1">
      <c r="B969" s="213"/>
      <c r="C969" s="213"/>
      <c r="D969" s="213"/>
      <c r="E969" s="213"/>
      <c r="F969" s="213"/>
    </row>
    <row r="970" ht="15.75" customHeight="1">
      <c r="B970" s="213"/>
      <c r="C970" s="213"/>
      <c r="D970" s="213"/>
      <c r="E970" s="213"/>
      <c r="F970" s="213"/>
    </row>
    <row r="971" ht="15.75" customHeight="1">
      <c r="B971" s="213"/>
      <c r="C971" s="213"/>
      <c r="D971" s="213"/>
      <c r="E971" s="213"/>
      <c r="F971" s="213"/>
    </row>
    <row r="972" ht="15.75" customHeight="1">
      <c r="B972" s="213"/>
      <c r="C972" s="213"/>
      <c r="D972" s="213"/>
      <c r="E972" s="213"/>
      <c r="F972" s="213"/>
    </row>
    <row r="973" ht="15.75" customHeight="1">
      <c r="B973" s="213"/>
      <c r="C973" s="213"/>
      <c r="D973" s="213"/>
      <c r="E973" s="213"/>
      <c r="F973" s="213"/>
    </row>
    <row r="974" ht="15.75" customHeight="1">
      <c r="B974" s="213"/>
      <c r="C974" s="213"/>
      <c r="D974" s="213"/>
      <c r="E974" s="213"/>
      <c r="F974" s="213"/>
    </row>
    <row r="975" ht="15.75" customHeight="1">
      <c r="B975" s="213"/>
      <c r="C975" s="213"/>
      <c r="D975" s="213"/>
      <c r="E975" s="213"/>
      <c r="F975" s="213"/>
    </row>
    <row r="976" ht="15.75" customHeight="1">
      <c r="B976" s="213"/>
      <c r="C976" s="213"/>
      <c r="D976" s="213"/>
      <c r="E976" s="213"/>
      <c r="F976" s="213"/>
    </row>
    <row r="977" ht="15.75" customHeight="1">
      <c r="B977" s="213"/>
      <c r="C977" s="213"/>
      <c r="D977" s="213"/>
      <c r="E977" s="213"/>
      <c r="F977" s="213"/>
    </row>
    <row r="978" ht="15.75" customHeight="1">
      <c r="B978" s="213"/>
      <c r="C978" s="213"/>
      <c r="D978" s="213"/>
      <c r="E978" s="213"/>
      <c r="F978" s="213"/>
    </row>
    <row r="979" ht="15.75" customHeight="1">
      <c r="B979" s="213"/>
      <c r="C979" s="213"/>
      <c r="D979" s="213"/>
      <c r="E979" s="213"/>
      <c r="F979" s="213"/>
    </row>
    <row r="980" ht="15.75" customHeight="1">
      <c r="B980" s="213"/>
      <c r="C980" s="213"/>
      <c r="D980" s="213"/>
      <c r="E980" s="213"/>
      <c r="F980" s="213"/>
    </row>
    <row r="981" ht="15.75" customHeight="1">
      <c r="B981" s="213"/>
      <c r="C981" s="213"/>
      <c r="D981" s="213"/>
      <c r="E981" s="213"/>
      <c r="F981" s="213"/>
    </row>
    <row r="982" ht="15.75" customHeight="1">
      <c r="B982" s="213"/>
      <c r="C982" s="213"/>
      <c r="D982" s="213"/>
      <c r="E982" s="213"/>
      <c r="F982" s="213"/>
    </row>
    <row r="983" ht="15.75" customHeight="1">
      <c r="B983" s="213"/>
      <c r="C983" s="213"/>
      <c r="D983" s="213"/>
      <c r="E983" s="213"/>
      <c r="F983" s="213"/>
    </row>
    <row r="984" ht="15.75" customHeight="1">
      <c r="B984" s="213"/>
      <c r="C984" s="213"/>
      <c r="D984" s="213"/>
      <c r="E984" s="213"/>
      <c r="F984" s="213"/>
    </row>
    <row r="985" ht="15.75" customHeight="1">
      <c r="B985" s="213"/>
      <c r="C985" s="213"/>
      <c r="D985" s="213"/>
      <c r="E985" s="213"/>
      <c r="F985" s="213"/>
    </row>
    <row r="986" ht="15.75" customHeight="1">
      <c r="B986" s="213"/>
      <c r="C986" s="213"/>
      <c r="D986" s="213"/>
      <c r="E986" s="213"/>
      <c r="F986" s="213"/>
    </row>
    <row r="987" ht="15.75" customHeight="1">
      <c r="B987" s="213"/>
      <c r="C987" s="213"/>
      <c r="D987" s="213"/>
      <c r="E987" s="213"/>
      <c r="F987" s="213"/>
    </row>
    <row r="988" ht="15.75" customHeight="1">
      <c r="B988" s="213"/>
      <c r="C988" s="213"/>
      <c r="D988" s="213"/>
      <c r="E988" s="213"/>
      <c r="F988" s="213"/>
    </row>
    <row r="989" ht="15.75" customHeight="1">
      <c r="B989" s="213"/>
      <c r="C989" s="213"/>
      <c r="D989" s="213"/>
      <c r="E989" s="213"/>
      <c r="F989" s="213"/>
    </row>
    <row r="990" ht="15.75" customHeight="1">
      <c r="B990" s="213"/>
      <c r="C990" s="213"/>
      <c r="D990" s="213"/>
      <c r="E990" s="213"/>
      <c r="F990" s="213"/>
    </row>
    <row r="991" ht="15.75" customHeight="1">
      <c r="B991" s="213"/>
      <c r="C991" s="213"/>
      <c r="D991" s="213"/>
      <c r="E991" s="213"/>
      <c r="F991" s="213"/>
    </row>
    <row r="992" ht="15.75" customHeight="1">
      <c r="B992" s="213"/>
      <c r="C992" s="213"/>
      <c r="D992" s="213"/>
      <c r="E992" s="213"/>
      <c r="F992" s="213"/>
    </row>
    <row r="993" ht="15.75" customHeight="1">
      <c r="B993" s="213"/>
      <c r="C993" s="213"/>
      <c r="D993" s="213"/>
      <c r="E993" s="213"/>
      <c r="F993" s="213"/>
    </row>
    <row r="994" ht="15.75" customHeight="1">
      <c r="B994" s="213"/>
      <c r="C994" s="213"/>
      <c r="D994" s="213"/>
      <c r="E994" s="213"/>
      <c r="F994" s="213"/>
    </row>
    <row r="995" ht="15.75" customHeight="1">
      <c r="B995" s="213"/>
      <c r="C995" s="213"/>
      <c r="D995" s="213"/>
      <c r="E995" s="213"/>
      <c r="F995" s="213"/>
    </row>
    <row r="996" ht="15.75" customHeight="1">
      <c r="B996" s="213"/>
      <c r="C996" s="213"/>
      <c r="D996" s="213"/>
      <c r="E996" s="213"/>
      <c r="F996" s="213"/>
    </row>
    <row r="997" ht="15.75" customHeight="1">
      <c r="B997" s="213"/>
      <c r="C997" s="213"/>
      <c r="D997" s="213"/>
      <c r="E997" s="213"/>
      <c r="F997" s="213"/>
    </row>
    <row r="998" ht="15.75" customHeight="1">
      <c r="B998" s="213"/>
      <c r="C998" s="213"/>
      <c r="D998" s="213"/>
      <c r="E998" s="213"/>
      <c r="F998" s="213"/>
    </row>
    <row r="999" ht="15.75" customHeight="1">
      <c r="B999" s="213"/>
      <c r="C999" s="213"/>
      <c r="D999" s="213"/>
      <c r="E999" s="213"/>
      <c r="F999" s="213"/>
    </row>
    <row r="1000" ht="15.75" customHeight="1">
      <c r="B1000" s="213"/>
      <c r="C1000" s="213"/>
      <c r="D1000" s="213"/>
      <c r="E1000" s="213"/>
      <c r="F1000" s="213"/>
    </row>
  </sheetData>
  <mergeCells count="3">
    <mergeCell ref="B3:B4"/>
    <mergeCell ref="C3:C4"/>
    <mergeCell ref="D3:D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43"/>
    <col customWidth="1" min="3" max="3" width="11.57"/>
    <col customWidth="1" min="4" max="4" width="12.29"/>
    <col customWidth="1" min="5" max="5" width="13.57"/>
    <col customWidth="1" min="6" max="6" width="10.43"/>
    <col customWidth="1" min="7" max="7" width="8.71"/>
    <col customWidth="1" min="8" max="8" width="10.86"/>
    <col customWidth="1" min="9" max="26" width="8.71"/>
  </cols>
  <sheetData>
    <row r="1">
      <c r="B1" s="1" t="s">
        <v>257</v>
      </c>
      <c r="C1" s="1"/>
      <c r="D1" s="1"/>
    </row>
    <row r="2">
      <c r="B2" s="125"/>
      <c r="C2" s="126"/>
      <c r="D2" s="3" t="s">
        <v>258</v>
      </c>
      <c r="E2" s="2"/>
      <c r="F2" s="2"/>
    </row>
    <row r="3" ht="21.0" customHeight="1">
      <c r="B3" s="2"/>
      <c r="C3" s="75"/>
      <c r="D3" s="47"/>
      <c r="E3" s="2"/>
      <c r="F3" s="2"/>
    </row>
    <row r="4" ht="17.25" customHeight="1">
      <c r="B4" s="4" t="s">
        <v>2</v>
      </c>
      <c r="C4" s="76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259</v>
      </c>
    </row>
    <row r="5" ht="18.0" customHeight="1">
      <c r="B5" s="6"/>
      <c r="C5" s="6"/>
      <c r="D5" s="6"/>
      <c r="E5" s="6"/>
      <c r="F5" s="6"/>
      <c r="G5" s="6"/>
      <c r="H5" s="6"/>
      <c r="M5" s="262"/>
      <c r="N5" s="263"/>
      <c r="O5" s="263"/>
      <c r="P5" s="264"/>
      <c r="Q5" s="263"/>
      <c r="R5" s="262"/>
    </row>
    <row r="6" ht="22.5" customHeight="1">
      <c r="B6" s="8" t="s">
        <v>89</v>
      </c>
      <c r="C6" s="265">
        <v>1.0</v>
      </c>
      <c r="D6" s="10" t="s">
        <v>9</v>
      </c>
      <c r="E6" s="42">
        <f>22*(C6/110)</f>
        <v>0.2</v>
      </c>
      <c r="G6" s="42"/>
      <c r="H6" s="42"/>
      <c r="M6" s="262"/>
      <c r="N6" s="263"/>
      <c r="O6" s="263"/>
      <c r="P6" s="264"/>
      <c r="Q6" s="263"/>
      <c r="R6" s="262"/>
    </row>
    <row r="7">
      <c r="B7" s="15" t="s">
        <v>13</v>
      </c>
      <c r="C7" s="98">
        <f>0.772*(C6/60)</f>
        <v>0.01286666667</v>
      </c>
      <c r="D7" s="17" t="s">
        <v>9</v>
      </c>
      <c r="E7" s="140"/>
      <c r="F7" s="266">
        <v>0.012866666666666665</v>
      </c>
      <c r="G7" s="140"/>
      <c r="H7" s="140"/>
      <c r="M7" s="262"/>
      <c r="N7" s="263"/>
      <c r="O7" s="263"/>
      <c r="P7" s="264"/>
      <c r="Q7" s="263"/>
      <c r="R7" s="262"/>
    </row>
    <row r="8">
      <c r="B8" s="15" t="s">
        <v>76</v>
      </c>
      <c r="C8" s="98">
        <f>0.3*(C6/60)</f>
        <v>0.005</v>
      </c>
      <c r="D8" s="17" t="s">
        <v>9</v>
      </c>
      <c r="E8" s="140"/>
      <c r="F8" s="266">
        <v>0.004999999999999999</v>
      </c>
      <c r="G8" s="140"/>
      <c r="H8" s="140"/>
      <c r="M8" s="262"/>
      <c r="N8" s="263"/>
      <c r="O8" s="263"/>
      <c r="P8" s="264"/>
      <c r="Q8" s="263"/>
      <c r="R8" s="262"/>
    </row>
    <row r="9">
      <c r="B9" s="15" t="s">
        <v>77</v>
      </c>
      <c r="C9" s="98">
        <f>0.3*(C6/60)</f>
        <v>0.005</v>
      </c>
      <c r="D9" s="17" t="s">
        <v>9</v>
      </c>
      <c r="E9" s="140"/>
      <c r="F9" s="266">
        <v>0.004999999999999999</v>
      </c>
      <c r="G9" s="140"/>
      <c r="H9" s="140"/>
      <c r="M9" s="262"/>
      <c r="N9" s="263"/>
      <c r="O9" s="263"/>
      <c r="P9" s="264"/>
      <c r="Q9" s="263"/>
      <c r="R9" s="262"/>
    </row>
    <row r="10">
      <c r="B10" s="15" t="s">
        <v>81</v>
      </c>
      <c r="C10" s="98">
        <f>0.8*(C6/60)</f>
        <v>0.01333333333</v>
      </c>
      <c r="D10" s="17" t="s">
        <v>9</v>
      </c>
      <c r="E10" s="140"/>
      <c r="F10" s="266">
        <v>0.013333333333333332</v>
      </c>
      <c r="G10" s="140"/>
      <c r="H10" s="140"/>
      <c r="M10" s="262"/>
      <c r="N10" s="263"/>
      <c r="O10" s="263"/>
      <c r="P10" s="264"/>
      <c r="Q10" s="263"/>
      <c r="R10" s="262"/>
    </row>
    <row r="11">
      <c r="B11" s="15" t="s">
        <v>260</v>
      </c>
      <c r="C11" s="98">
        <f>1*(C6/60)</f>
        <v>0.01666666667</v>
      </c>
      <c r="D11" s="17" t="s">
        <v>9</v>
      </c>
      <c r="E11" s="140"/>
      <c r="F11" s="266">
        <v>0.016666666666666666</v>
      </c>
      <c r="G11" s="207">
        <f>F11+F8</f>
        <v>0.02166666667</v>
      </c>
      <c r="H11" s="140"/>
      <c r="M11" s="262"/>
      <c r="N11" s="263"/>
      <c r="O11" s="263"/>
      <c r="P11" s="264"/>
      <c r="Q11" s="263"/>
      <c r="R11" s="262"/>
    </row>
    <row r="12">
      <c r="B12" s="15" t="s">
        <v>261</v>
      </c>
      <c r="C12" s="98">
        <f>6*(C6/60)</f>
        <v>0.1</v>
      </c>
      <c r="D12" s="17" t="s">
        <v>9</v>
      </c>
      <c r="E12" s="140"/>
      <c r="F12" s="266">
        <v>0.1</v>
      </c>
      <c r="G12" s="140"/>
      <c r="H12" s="140"/>
      <c r="M12" s="262"/>
      <c r="N12" s="263"/>
      <c r="O12" s="263"/>
      <c r="P12" s="264"/>
      <c r="Q12" s="263"/>
      <c r="R12" s="262"/>
    </row>
    <row r="13">
      <c r="B13" s="15" t="s">
        <v>262</v>
      </c>
      <c r="C13" s="98">
        <f>2*(C6/60)</f>
        <v>0.03333333333</v>
      </c>
      <c r="D13" s="17" t="s">
        <v>9</v>
      </c>
      <c r="E13" s="140"/>
      <c r="F13" s="266">
        <v>0.03333333333333333</v>
      </c>
      <c r="G13" s="140"/>
      <c r="H13" s="140"/>
      <c r="M13" s="262"/>
      <c r="N13" s="263"/>
      <c r="O13" s="263"/>
      <c r="P13" s="264"/>
      <c r="Q13" s="263"/>
      <c r="R13" s="262"/>
    </row>
    <row r="14">
      <c r="B14" s="15" t="s">
        <v>263</v>
      </c>
      <c r="C14" s="98">
        <f>0.2*(C6/60)</f>
        <v>0.003333333333</v>
      </c>
      <c r="D14" s="17" t="s">
        <v>9</v>
      </c>
      <c r="E14" s="140"/>
      <c r="F14" s="266"/>
      <c r="G14" s="140"/>
      <c r="H14" s="140"/>
      <c r="M14" s="262"/>
      <c r="N14" s="263"/>
      <c r="O14" s="263"/>
      <c r="P14" s="264"/>
      <c r="Q14" s="263"/>
      <c r="R14" s="262"/>
    </row>
    <row r="15">
      <c r="B15" s="12"/>
      <c r="C15" s="97"/>
      <c r="D15" s="10"/>
      <c r="E15" s="42"/>
      <c r="F15" s="266">
        <v>0.0</v>
      </c>
      <c r="G15" s="42"/>
      <c r="H15" s="42"/>
      <c r="M15" s="262"/>
      <c r="N15" s="263"/>
      <c r="O15" s="263"/>
      <c r="P15" s="264"/>
      <c r="Q15" s="263"/>
      <c r="R15" s="262"/>
    </row>
    <row r="16">
      <c r="B16" s="15" t="s">
        <v>168</v>
      </c>
      <c r="C16" s="98">
        <f>19.5128615881472*(C6/92)</f>
        <v>0.2120963216</v>
      </c>
      <c r="D16" s="17" t="s">
        <v>9</v>
      </c>
      <c r="E16" s="140"/>
      <c r="F16" s="266">
        <v>0.21209632161029565</v>
      </c>
      <c r="G16" s="140"/>
      <c r="H16" s="140"/>
      <c r="M16" s="262"/>
      <c r="N16" s="263"/>
      <c r="O16" s="263"/>
      <c r="P16" s="264"/>
      <c r="Q16" s="263"/>
      <c r="R16" s="262"/>
    </row>
    <row r="17" ht="20.25" customHeight="1">
      <c r="B17" s="15" t="s">
        <v>264</v>
      </c>
      <c r="C17" s="98">
        <f>13.5737704918033*(C6/92)</f>
        <v>0.1475409836</v>
      </c>
      <c r="D17" s="17" t="s">
        <v>9</v>
      </c>
      <c r="E17" s="140"/>
      <c r="F17" s="266">
        <v>0.1475409836065576</v>
      </c>
      <c r="G17" s="140"/>
      <c r="H17" s="140"/>
      <c r="M17" s="262"/>
      <c r="N17" s="263"/>
      <c r="O17" s="263"/>
      <c r="P17" s="264"/>
      <c r="Q17" s="263"/>
      <c r="R17" s="262"/>
    </row>
    <row r="18">
      <c r="B18" s="15" t="s">
        <v>20</v>
      </c>
      <c r="C18" s="98">
        <f>11.1304918032787*(C6/92)</f>
        <v>0.1209836066</v>
      </c>
      <c r="D18" s="17" t="s">
        <v>9</v>
      </c>
      <c r="E18" s="140"/>
      <c r="F18" s="266">
        <v>0.12098360655737717</v>
      </c>
      <c r="G18" s="140"/>
      <c r="H18" s="140"/>
      <c r="M18" s="262"/>
      <c r="N18" s="263"/>
      <c r="O18" s="263"/>
      <c r="P18" s="264"/>
      <c r="Q18" s="263"/>
      <c r="R18" s="262"/>
    </row>
    <row r="19">
      <c r="B19" s="15" t="s">
        <v>265</v>
      </c>
      <c r="C19" s="98">
        <f>0.8*(C6/92)</f>
        <v>0.008695652174</v>
      </c>
      <c r="D19" s="17" t="s">
        <v>9</v>
      </c>
      <c r="E19" s="140"/>
      <c r="F19" s="266">
        <v>0.008695652173913044</v>
      </c>
      <c r="G19" s="140"/>
      <c r="H19" s="140"/>
      <c r="M19" s="262"/>
      <c r="N19" s="263"/>
      <c r="O19" s="263"/>
      <c r="P19" s="264"/>
      <c r="Q19" s="263"/>
      <c r="R19" s="262"/>
    </row>
    <row r="20" ht="18.75" customHeight="1">
      <c r="B20" s="15" t="s">
        <v>266</v>
      </c>
      <c r="C20" s="98">
        <f>3.25179235668119*(C6/92)</f>
        <v>0.03534556909</v>
      </c>
      <c r="D20" s="17" t="s">
        <v>9</v>
      </c>
      <c r="E20" s="140"/>
      <c r="F20" s="266">
        <v>0.035345569094360756</v>
      </c>
      <c r="G20" s="140"/>
      <c r="H20" s="140"/>
      <c r="M20" s="262"/>
      <c r="N20" s="263"/>
      <c r="O20" s="263"/>
      <c r="P20" s="264"/>
      <c r="Q20" s="263"/>
      <c r="R20" s="262"/>
    </row>
    <row r="21" ht="18.75" customHeight="1">
      <c r="B21" s="15" t="s">
        <v>267</v>
      </c>
      <c r="C21" s="267">
        <f>2*(C6/92)</f>
        <v>0.02173913043</v>
      </c>
      <c r="D21" s="17" t="s">
        <v>9</v>
      </c>
      <c r="E21" s="140"/>
      <c r="F21" s="266">
        <v>0.021739130434782608</v>
      </c>
      <c r="G21" s="207">
        <f>F21+F13</f>
        <v>0.05507246377</v>
      </c>
      <c r="H21" s="140"/>
      <c r="M21" s="262"/>
      <c r="N21" s="263"/>
      <c r="O21" s="263"/>
      <c r="P21" s="264"/>
      <c r="Q21" s="263"/>
      <c r="R21" s="262"/>
    </row>
    <row r="22" ht="15.0" customHeight="1">
      <c r="B22" s="15" t="s">
        <v>16</v>
      </c>
      <c r="C22" s="268">
        <f>9.18425864576579*(C6/92)</f>
        <v>0.09982889832</v>
      </c>
      <c r="D22" s="17" t="s">
        <v>9</v>
      </c>
      <c r="E22" s="140"/>
      <c r="F22" s="266">
        <v>0.09982889832354121</v>
      </c>
      <c r="G22" s="140"/>
      <c r="H22" s="140"/>
      <c r="M22" s="262"/>
      <c r="N22" s="263"/>
      <c r="O22" s="263"/>
      <c r="P22" s="264"/>
      <c r="Q22" s="263"/>
      <c r="R22" s="262"/>
    </row>
    <row r="23" ht="15.75" customHeight="1">
      <c r="B23" s="102" t="s">
        <v>149</v>
      </c>
      <c r="C23" s="267">
        <f>0.20632131147541*(C6/92)</f>
        <v>0.002242622951</v>
      </c>
      <c r="D23" s="17" t="s">
        <v>9</v>
      </c>
      <c r="E23" s="140"/>
      <c r="F23" s="266">
        <v>0.0022426229508196735</v>
      </c>
      <c r="G23" s="140"/>
      <c r="H23" s="140"/>
      <c r="M23" s="262"/>
      <c r="N23" s="263"/>
      <c r="O23" s="263"/>
      <c r="P23" s="264"/>
      <c r="Q23" s="263"/>
      <c r="R23" s="262"/>
    </row>
    <row r="24" ht="15.75" customHeight="1">
      <c r="B24" s="15" t="s">
        <v>268</v>
      </c>
      <c r="C24" s="98">
        <f>2.71017820524432*(C6/92)</f>
        <v>0.02945845875</v>
      </c>
      <c r="D24" s="17" t="s">
        <v>9</v>
      </c>
      <c r="E24" s="140"/>
      <c r="F24" s="266">
        <v>0.029458458752655653</v>
      </c>
      <c r="G24" s="140"/>
      <c r="H24" s="140"/>
      <c r="M24" s="262"/>
      <c r="N24" s="263"/>
      <c r="O24" s="263"/>
      <c r="P24" s="264"/>
      <c r="Q24" s="263"/>
      <c r="R24" s="262"/>
    </row>
    <row r="25" ht="15.75" customHeight="1">
      <c r="B25" s="15" t="s">
        <v>92</v>
      </c>
      <c r="C25" s="98">
        <f>6.32234418019672*(C6/92)</f>
        <v>0.06872113239</v>
      </c>
      <c r="D25" s="17" t="s">
        <v>34</v>
      </c>
      <c r="E25" s="140"/>
      <c r="F25" s="266">
        <v>0.0687211323934426</v>
      </c>
      <c r="G25" s="140"/>
      <c r="H25" s="140"/>
      <c r="M25" s="262"/>
      <c r="N25" s="263"/>
      <c r="O25" s="263"/>
      <c r="P25" s="264"/>
      <c r="Q25" s="263"/>
      <c r="R25" s="262"/>
    </row>
    <row r="26" ht="15.75" customHeight="1">
      <c r="B26" s="15" t="s">
        <v>269</v>
      </c>
      <c r="C26" s="98">
        <f>8.13053461573298*(C6/92)</f>
        <v>0.08837537626</v>
      </c>
      <c r="D26" s="17" t="s">
        <v>9</v>
      </c>
      <c r="E26" s="140"/>
      <c r="F26" s="266">
        <v>0.08837537625796718</v>
      </c>
      <c r="G26" s="140"/>
      <c r="H26" s="140"/>
      <c r="M26" s="262"/>
      <c r="N26" s="263"/>
      <c r="O26" s="263"/>
      <c r="P26" s="264"/>
      <c r="Q26" s="263"/>
      <c r="R26" s="262"/>
    </row>
    <row r="27" ht="15.75" customHeight="1">
      <c r="B27" s="21" t="s">
        <v>152</v>
      </c>
      <c r="C27" s="267">
        <f>38.0065573770492*(C6/92)</f>
        <v>0.4131147541</v>
      </c>
      <c r="D27" s="24" t="s">
        <v>34</v>
      </c>
      <c r="E27" s="140"/>
      <c r="F27" s="266">
        <v>0.41311475409836085</v>
      </c>
      <c r="G27" s="140"/>
      <c r="H27" s="140"/>
      <c r="M27" s="262"/>
      <c r="N27" s="263"/>
      <c r="O27" s="263"/>
      <c r="P27" s="264"/>
      <c r="Q27" s="263"/>
      <c r="R27" s="262"/>
    </row>
    <row r="28" ht="15.75" customHeight="1">
      <c r="B28" s="21" t="s">
        <v>55</v>
      </c>
      <c r="C28" s="267">
        <f>3.39344262295082*(C6/92)</f>
        <v>0.0368852459</v>
      </c>
      <c r="D28" s="24" t="s">
        <v>9</v>
      </c>
      <c r="E28" s="140"/>
      <c r="F28" s="266">
        <v>0.036885245901639344</v>
      </c>
      <c r="G28" s="140"/>
      <c r="H28" s="140"/>
      <c r="M28" s="262"/>
      <c r="N28" s="263"/>
      <c r="O28" s="263"/>
      <c r="P28" s="264"/>
      <c r="Q28" s="263"/>
      <c r="R28" s="262"/>
    </row>
    <row r="29" ht="15.75" customHeight="1">
      <c r="C29" s="75"/>
      <c r="D29" s="47"/>
      <c r="M29" s="262"/>
      <c r="N29" s="263"/>
      <c r="O29" s="263"/>
      <c r="P29" s="264"/>
      <c r="Q29" s="263"/>
      <c r="R29" s="262"/>
    </row>
    <row r="30" ht="15.75" customHeight="1">
      <c r="Q30" s="263"/>
      <c r="R30" s="262"/>
    </row>
    <row r="31" ht="15.75" customHeight="1">
      <c r="B31" s="40" t="s">
        <v>28</v>
      </c>
      <c r="C31" s="3" t="s">
        <v>65</v>
      </c>
      <c r="Q31" s="263"/>
      <c r="R31" s="262"/>
    </row>
    <row r="32" ht="15.75" customHeight="1"/>
    <row r="33" ht="15.75" customHeight="1">
      <c r="B33" s="8" t="s">
        <v>30</v>
      </c>
      <c r="C33" s="9">
        <f>39.6458666666667*(C6/92)</f>
        <v>0.4309333333</v>
      </c>
      <c r="D33" s="114" t="s">
        <v>9</v>
      </c>
      <c r="E33" s="140"/>
      <c r="F33" s="140"/>
      <c r="G33" s="140"/>
      <c r="H33" s="140"/>
    </row>
    <row r="34" ht="15.75" customHeight="1">
      <c r="B34" s="15" t="s">
        <v>31</v>
      </c>
      <c r="C34" s="16">
        <f>0.825301333333333*(C6/92)</f>
        <v>0.008970666667</v>
      </c>
      <c r="D34" s="17" t="s">
        <v>9</v>
      </c>
      <c r="E34" s="140"/>
      <c r="F34" s="140"/>
      <c r="G34" s="140"/>
      <c r="H34" s="140"/>
    </row>
    <row r="35" ht="15.75" customHeight="1">
      <c r="B35" s="15" t="s">
        <v>32</v>
      </c>
      <c r="C35" s="16">
        <f>4.75456*(C6/92)</f>
        <v>0.05168</v>
      </c>
      <c r="D35" s="17" t="s">
        <v>9</v>
      </c>
      <c r="E35" s="140"/>
      <c r="F35" s="140"/>
      <c r="G35" s="140"/>
      <c r="H35" s="140"/>
    </row>
    <row r="36" ht="15.75" customHeight="1">
      <c r="B36" s="15" t="s">
        <v>33</v>
      </c>
      <c r="C36" s="16">
        <f>63.39904*(C6/92)</f>
        <v>0.68912</v>
      </c>
      <c r="D36" s="17" t="s">
        <v>34</v>
      </c>
      <c r="E36" s="140"/>
      <c r="F36" s="140"/>
      <c r="G36" s="140"/>
      <c r="H36" s="140"/>
    </row>
    <row r="37" ht="15.75" customHeight="1">
      <c r="B37" s="15" t="s">
        <v>13</v>
      </c>
      <c r="C37" s="16">
        <f>1.22519466666667*(C6/92)</f>
        <v>0.01331733333</v>
      </c>
      <c r="D37" s="24" t="s">
        <v>9</v>
      </c>
      <c r="E37" s="140"/>
      <c r="F37" s="140"/>
      <c r="G37" s="140"/>
      <c r="H37" s="140"/>
    </row>
    <row r="38" ht="15.75" customHeight="1"/>
    <row r="39" ht="15.75" customHeight="1">
      <c r="B39" s="95" t="s">
        <v>36</v>
      </c>
      <c r="C39" s="39" t="s">
        <v>158</v>
      </c>
    </row>
    <row r="40" ht="15.75" customHeight="1">
      <c r="B40" s="11"/>
      <c r="C40" s="7"/>
      <c r="D40" s="11"/>
    </row>
    <row r="41" ht="15.75" customHeight="1">
      <c r="B41" s="8" t="s">
        <v>36</v>
      </c>
      <c r="C41" s="41">
        <f>17.2*(C6/92)</f>
        <v>0.1869565217</v>
      </c>
      <c r="D41" s="114" t="s">
        <v>9</v>
      </c>
    </row>
    <row r="42" ht="15.75" customHeight="1"/>
    <row r="43" ht="15.75" customHeight="1"/>
    <row r="44" ht="15.75" customHeight="1">
      <c r="B44" s="57" t="s">
        <v>100</v>
      </c>
      <c r="C44" s="38" t="s">
        <v>75</v>
      </c>
    </row>
    <row r="45" ht="15.75" customHeight="1">
      <c r="B45" s="55" t="s">
        <v>270</v>
      </c>
      <c r="C45" s="55">
        <v>80.0</v>
      </c>
    </row>
    <row r="46" ht="15.75" customHeight="1">
      <c r="B46" s="55" t="s">
        <v>24</v>
      </c>
      <c r="C46" s="55">
        <v>145.0</v>
      </c>
    </row>
    <row r="47" ht="15.75" customHeight="1">
      <c r="B47" s="55" t="s">
        <v>30</v>
      </c>
      <c r="C47" s="55">
        <v>150.0</v>
      </c>
    </row>
    <row r="48" ht="15.75" customHeight="1">
      <c r="B48" s="55" t="s">
        <v>271</v>
      </c>
      <c r="C48" s="55">
        <v>25.0</v>
      </c>
    </row>
    <row r="49" ht="15.75" customHeight="1"/>
    <row r="50" ht="15.75" customHeight="1">
      <c r="B50" s="56" t="s">
        <v>41</v>
      </c>
      <c r="C50" s="57" t="s">
        <v>42</v>
      </c>
      <c r="D50" s="58" t="s">
        <v>43</v>
      </c>
    </row>
    <row r="51" ht="15.75" customHeight="1">
      <c r="B51" s="59" t="s">
        <v>44</v>
      </c>
      <c r="C51" s="60">
        <f>681*(C6/92)</f>
        <v>7.402173913</v>
      </c>
      <c r="D51" s="6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B5"/>
    <mergeCell ref="C4:C5"/>
    <mergeCell ref="D4:D5"/>
    <mergeCell ref="E4:E5"/>
    <mergeCell ref="F4:F5"/>
    <mergeCell ref="G4:G5"/>
    <mergeCell ref="H4:H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29"/>
    <col customWidth="1" min="3" max="3" width="11.0"/>
    <col customWidth="1" min="4" max="4" width="12.57"/>
    <col customWidth="1" min="5" max="5" width="16.14"/>
    <col customWidth="1" min="6" max="6" width="11.29"/>
    <col customWidth="1" min="7" max="7" width="9.0"/>
    <col customWidth="1" min="8" max="8" width="3.43"/>
    <col customWidth="1" min="9" max="9" width="21.29"/>
    <col customWidth="1" min="10" max="10" width="11.57"/>
    <col customWidth="1" min="11" max="11" width="8.71"/>
    <col customWidth="1" min="12" max="12" width="14.57"/>
    <col customWidth="1" min="13" max="26" width="8.71"/>
  </cols>
  <sheetData>
    <row r="1" ht="18.0" customHeight="1"/>
    <row r="2">
      <c r="B2" s="269" t="s">
        <v>272</v>
      </c>
    </row>
    <row r="3">
      <c r="B3" s="269"/>
      <c r="C3" s="118" t="s">
        <v>258</v>
      </c>
    </row>
    <row r="4" ht="13.5" customHeight="1">
      <c r="B4" s="269"/>
    </row>
    <row r="5" ht="22.5" customHeight="1">
      <c r="B5" s="24" t="s">
        <v>2</v>
      </c>
      <c r="C5" s="24" t="s">
        <v>115</v>
      </c>
      <c r="D5" s="24" t="s">
        <v>273</v>
      </c>
      <c r="E5" s="24" t="s">
        <v>5</v>
      </c>
      <c r="F5" s="24" t="s">
        <v>6</v>
      </c>
      <c r="G5" s="24" t="s">
        <v>7</v>
      </c>
    </row>
    <row r="6">
      <c r="B6" s="8" t="s">
        <v>274</v>
      </c>
      <c r="C6" s="266">
        <v>200.0</v>
      </c>
      <c r="D6" s="114" t="s">
        <v>9</v>
      </c>
      <c r="E6" s="42">
        <f>C6*0.057</f>
        <v>11.4</v>
      </c>
      <c r="F6" s="42"/>
      <c r="G6" s="42"/>
    </row>
    <row r="7">
      <c r="B7" s="21" t="s">
        <v>13</v>
      </c>
      <c r="C7" s="98">
        <f>1.365*(C6/105)</f>
        <v>2.6</v>
      </c>
      <c r="D7" s="17" t="s">
        <v>9</v>
      </c>
      <c r="E7" s="24"/>
      <c r="F7" s="24"/>
      <c r="G7" s="24"/>
      <c r="M7" s="262"/>
      <c r="N7" s="263"/>
      <c r="O7" s="263"/>
      <c r="P7" s="264"/>
      <c r="Q7" s="263"/>
      <c r="R7" s="262"/>
      <c r="S7" s="270"/>
      <c r="T7" s="270"/>
    </row>
    <row r="8">
      <c r="B8" s="15" t="s">
        <v>76</v>
      </c>
      <c r="C8" s="98">
        <f>0.5*(C6/105)</f>
        <v>0.9523809524</v>
      </c>
      <c r="D8" s="17" t="s">
        <v>9</v>
      </c>
      <c r="E8" s="24"/>
      <c r="F8" s="24"/>
      <c r="G8" s="24"/>
      <c r="M8" s="262"/>
      <c r="N8" s="263"/>
      <c r="O8" s="263"/>
      <c r="P8" s="264"/>
      <c r="Q8" s="263"/>
      <c r="R8" s="262"/>
      <c r="S8" s="270"/>
      <c r="T8" s="270"/>
    </row>
    <row r="9">
      <c r="B9" s="15" t="s">
        <v>77</v>
      </c>
      <c r="C9" s="98">
        <f>0.5*(C6/105)</f>
        <v>0.9523809524</v>
      </c>
      <c r="D9" s="17" t="s">
        <v>9</v>
      </c>
      <c r="E9" s="24"/>
      <c r="F9" s="24"/>
      <c r="G9" s="24"/>
      <c r="M9" s="262"/>
      <c r="N9" s="263"/>
      <c r="O9" s="263"/>
      <c r="P9" s="264"/>
      <c r="Q9" s="263"/>
      <c r="R9" s="262"/>
      <c r="S9" s="270"/>
      <c r="T9" s="270"/>
    </row>
    <row r="10">
      <c r="B10" s="15" t="s">
        <v>275</v>
      </c>
      <c r="C10" s="98">
        <f>2.69533055940823*(C6/105)</f>
        <v>5.13396297</v>
      </c>
      <c r="D10" s="17" t="s">
        <v>9</v>
      </c>
      <c r="E10" s="24"/>
      <c r="F10" s="24"/>
      <c r="G10" s="24"/>
      <c r="M10" s="262"/>
      <c r="N10" s="263"/>
      <c r="O10" s="263"/>
      <c r="P10" s="264"/>
      <c r="Q10" s="263"/>
      <c r="R10" s="262"/>
      <c r="S10" s="270"/>
      <c r="T10" s="263"/>
    </row>
    <row r="11">
      <c r="B11" s="15" t="s">
        <v>157</v>
      </c>
      <c r="C11" s="98">
        <f>1*(C6/105)</f>
        <v>1.904761905</v>
      </c>
      <c r="D11" s="17" t="s">
        <v>9</v>
      </c>
      <c r="E11" s="24"/>
      <c r="F11" s="24"/>
      <c r="G11" s="24"/>
      <c r="M11" s="262"/>
      <c r="N11" s="263"/>
      <c r="O11" s="263"/>
      <c r="P11" s="264"/>
      <c r="Q11" s="263"/>
      <c r="R11" s="262"/>
      <c r="S11" s="270"/>
      <c r="T11" s="263"/>
    </row>
    <row r="12">
      <c r="B12" s="15" t="s">
        <v>168</v>
      </c>
      <c r="C12" s="98">
        <f>49.3903792760917*(C6/200)</f>
        <v>49.39037928</v>
      </c>
      <c r="D12" s="17" t="s">
        <v>9</v>
      </c>
      <c r="E12" s="24"/>
      <c r="F12" s="24"/>
      <c r="G12" s="267"/>
      <c r="M12" s="262"/>
      <c r="N12" s="263"/>
      <c r="O12" s="263"/>
      <c r="P12" s="264"/>
      <c r="Q12" s="263"/>
      <c r="R12" s="262"/>
      <c r="S12" s="270"/>
      <c r="T12" s="263"/>
    </row>
    <row r="13">
      <c r="B13" s="15" t="s">
        <v>20</v>
      </c>
      <c r="C13" s="98">
        <f>30.5217219609034*(C6/200)</f>
        <v>30.52172196</v>
      </c>
      <c r="D13" s="17" t="s">
        <v>9</v>
      </c>
      <c r="E13" s="24"/>
      <c r="F13" s="24"/>
      <c r="G13" s="267"/>
      <c r="M13" s="262"/>
      <c r="N13" s="263"/>
      <c r="O13" s="263"/>
      <c r="P13" s="264"/>
      <c r="Q13" s="263"/>
      <c r="R13" s="262"/>
      <c r="S13" s="270"/>
      <c r="T13" s="270"/>
    </row>
    <row r="14">
      <c r="B14" s="15" t="s">
        <v>265</v>
      </c>
      <c r="C14" s="98">
        <f>2.14277938624515*(C6/200)</f>
        <v>2.142779386</v>
      </c>
      <c r="D14" s="17" t="s">
        <v>9</v>
      </c>
      <c r="E14" s="24"/>
      <c r="F14" s="24"/>
      <c r="G14" s="267"/>
      <c r="M14" s="262"/>
      <c r="N14" s="263"/>
      <c r="O14" s="263"/>
      <c r="P14" s="264"/>
      <c r="Q14" s="263"/>
      <c r="R14" s="262"/>
      <c r="S14" s="270"/>
      <c r="T14" s="263"/>
    </row>
    <row r="15">
      <c r="B15" s="15" t="s">
        <v>264</v>
      </c>
      <c r="C15" s="98">
        <f>33.7269625311348*(C6/200)</f>
        <v>33.72696253</v>
      </c>
      <c r="D15" s="17" t="s">
        <v>9</v>
      </c>
      <c r="E15" s="24"/>
      <c r="F15" s="24"/>
      <c r="G15" s="267"/>
      <c r="M15" s="262"/>
      <c r="N15" s="263"/>
      <c r="O15" s="263"/>
      <c r="P15" s="264"/>
      <c r="Q15" s="263"/>
      <c r="R15" s="262"/>
      <c r="S15" s="270"/>
      <c r="T15" s="270"/>
    </row>
    <row r="16">
      <c r="B16" s="15" t="s">
        <v>266</v>
      </c>
      <c r="C16" s="98">
        <f>8.5832059971931*(C6/200)</f>
        <v>8.583205997</v>
      </c>
      <c r="D16" s="17" t="s">
        <v>9</v>
      </c>
      <c r="E16" s="24"/>
      <c r="F16" s="24"/>
      <c r="G16" s="267"/>
      <c r="M16" s="262"/>
      <c r="N16" s="263"/>
      <c r="O16" s="263"/>
      <c r="P16" s="264"/>
      <c r="Q16" s="263"/>
      <c r="R16" s="262"/>
      <c r="S16" s="270"/>
      <c r="T16" s="263"/>
    </row>
    <row r="17">
      <c r="B17" s="15" t="s">
        <v>269</v>
      </c>
      <c r="C17" s="98">
        <f>14.9802729492126*(C6/200)</f>
        <v>14.98027295</v>
      </c>
      <c r="D17" s="17" t="s">
        <v>9</v>
      </c>
      <c r="E17" s="24"/>
      <c r="F17" s="24"/>
      <c r="G17" s="267"/>
      <c r="M17" s="262"/>
      <c r="N17" s="263"/>
      <c r="O17" s="263"/>
      <c r="P17" s="264"/>
      <c r="Q17" s="263"/>
      <c r="R17" s="262"/>
      <c r="S17" s="270"/>
      <c r="T17" s="263"/>
    </row>
    <row r="18">
      <c r="B18" s="15" t="s">
        <v>69</v>
      </c>
      <c r="C18" s="98">
        <f>10.039885824*(C6/200)</f>
        <v>10.03988582</v>
      </c>
      <c r="D18" s="17" t="s">
        <v>9</v>
      </c>
      <c r="E18" s="24"/>
      <c r="F18" s="24"/>
      <c r="G18" s="267"/>
      <c r="M18" s="262"/>
      <c r="N18" s="263"/>
      <c r="O18" s="263"/>
      <c r="P18" s="264"/>
      <c r="Q18" s="263"/>
      <c r="R18" s="262"/>
      <c r="S18" s="270"/>
      <c r="T18" s="263"/>
    </row>
    <row r="19">
      <c r="B19" s="15" t="s">
        <v>16</v>
      </c>
      <c r="C19" s="98">
        <f>26.4193096066619*(C6/200)</f>
        <v>26.41930961</v>
      </c>
      <c r="D19" s="17" t="s">
        <v>9</v>
      </c>
      <c r="E19" s="24"/>
      <c r="F19" s="24"/>
      <c r="G19" s="267"/>
      <c r="M19" s="262"/>
      <c r="N19" s="263"/>
      <c r="O19" s="263"/>
      <c r="P19" s="264"/>
      <c r="Q19" s="263"/>
      <c r="R19" s="262"/>
      <c r="S19" s="270"/>
      <c r="T19" s="270"/>
    </row>
    <row r="20">
      <c r="B20" s="15" t="s">
        <v>92</v>
      </c>
      <c r="C20" s="98">
        <f>13.0090514297224*(C6/200)</f>
        <v>13.00905143</v>
      </c>
      <c r="D20" s="17" t="s">
        <v>34</v>
      </c>
      <c r="E20" s="24"/>
      <c r="F20" s="24"/>
      <c r="G20" s="267"/>
      <c r="M20" s="262"/>
      <c r="N20" s="263"/>
      <c r="O20" s="263"/>
      <c r="P20" s="264"/>
      <c r="Q20" s="263"/>
      <c r="R20" s="262"/>
      <c r="S20" s="270"/>
      <c r="T20" s="263"/>
    </row>
    <row r="21" ht="15.75" customHeight="1">
      <c r="B21" s="15" t="s">
        <v>276</v>
      </c>
      <c r="C21" s="267">
        <f>95.953509633963*(C6/200)</f>
        <v>95.95350963</v>
      </c>
      <c r="D21" s="17" t="s">
        <v>34</v>
      </c>
      <c r="E21" s="24"/>
      <c r="F21" s="24"/>
      <c r="G21" s="267"/>
      <c r="M21" s="262"/>
      <c r="N21" s="263"/>
      <c r="O21" s="263"/>
      <c r="P21" s="264"/>
      <c r="Q21" s="263"/>
      <c r="R21" s="262"/>
      <c r="S21" s="270"/>
      <c r="T21" s="263"/>
    </row>
    <row r="22" ht="15.75" customHeight="1">
      <c r="B22" s="15" t="s">
        <v>151</v>
      </c>
      <c r="C22" s="76">
        <f>7.48947360649076*(C6/200)</f>
        <v>7.489473606</v>
      </c>
      <c r="D22" s="17" t="s">
        <v>9</v>
      </c>
      <c r="E22" s="24"/>
      <c r="F22" s="24"/>
      <c r="G22" s="267"/>
      <c r="M22" s="262"/>
      <c r="N22" s="263"/>
      <c r="O22" s="263"/>
      <c r="P22" s="264"/>
      <c r="Q22" s="263"/>
      <c r="R22" s="262"/>
      <c r="S22" s="270"/>
      <c r="T22" s="263"/>
    </row>
    <row r="23" ht="15.75" customHeight="1">
      <c r="B23" s="102" t="s">
        <v>268</v>
      </c>
      <c r="C23" s="271">
        <f>5.02424380360243*(C6/200)</f>
        <v>5.024243804</v>
      </c>
      <c r="D23" s="17" t="s">
        <v>9</v>
      </c>
      <c r="E23" s="24"/>
      <c r="F23" s="24"/>
      <c r="G23" s="267"/>
      <c r="M23" s="262"/>
      <c r="N23" s="263"/>
      <c r="O23" s="263"/>
      <c r="P23" s="264"/>
      <c r="Q23" s="263"/>
      <c r="R23" s="262"/>
      <c r="S23" s="270"/>
      <c r="T23" s="270"/>
    </row>
    <row r="24" ht="15.75" customHeight="1">
      <c r="B24" s="102" t="s">
        <v>13</v>
      </c>
      <c r="C24" s="271">
        <f>0.884653617637029*(C6/200)</f>
        <v>0.8846536176</v>
      </c>
      <c r="D24" s="17" t="s">
        <v>9</v>
      </c>
      <c r="E24" s="24"/>
      <c r="F24" s="24"/>
      <c r="G24" s="267"/>
      <c r="M24" s="262"/>
      <c r="N24" s="263"/>
      <c r="O24" s="263"/>
      <c r="P24" s="264"/>
      <c r="Q24" s="263"/>
      <c r="R24" s="262"/>
      <c r="S24" s="270"/>
      <c r="T24" s="270"/>
    </row>
    <row r="25" ht="15.75" customHeight="1">
      <c r="B25" s="2"/>
      <c r="C25" s="47"/>
      <c r="D25" s="47"/>
      <c r="E25" s="2"/>
      <c r="M25" s="262"/>
      <c r="N25" s="263"/>
      <c r="O25" s="263"/>
      <c r="P25" s="264"/>
      <c r="Q25" s="263"/>
      <c r="R25" s="262"/>
      <c r="S25" s="270"/>
      <c r="T25" s="270"/>
    </row>
    <row r="26" ht="15.75" customHeight="1">
      <c r="M26" s="262"/>
      <c r="N26" s="263"/>
      <c r="O26" s="263"/>
      <c r="P26" s="264"/>
      <c r="Q26" s="263"/>
      <c r="R26" s="262"/>
      <c r="S26" s="270"/>
      <c r="T26" s="263"/>
    </row>
    <row r="27" ht="15.75" customHeight="1">
      <c r="B27" s="40" t="s">
        <v>28</v>
      </c>
      <c r="C27" s="118" t="s">
        <v>65</v>
      </c>
      <c r="M27" s="262"/>
      <c r="N27" s="263"/>
      <c r="O27" s="263"/>
      <c r="P27" s="264"/>
      <c r="Q27" s="263"/>
      <c r="R27" s="262"/>
      <c r="S27" s="270"/>
      <c r="T27" s="263"/>
    </row>
    <row r="28" ht="15.75" customHeight="1">
      <c r="M28" s="262"/>
      <c r="N28" s="263"/>
      <c r="O28" s="263"/>
      <c r="P28" s="264"/>
      <c r="Q28" s="263"/>
      <c r="R28" s="262"/>
      <c r="S28" s="270"/>
      <c r="T28" s="263"/>
    </row>
    <row r="29" ht="15.75" customHeight="1">
      <c r="B29" s="24" t="s">
        <v>2</v>
      </c>
      <c r="C29" s="24" t="s">
        <v>115</v>
      </c>
      <c r="D29" s="24" t="s">
        <v>273</v>
      </c>
      <c r="E29" s="24" t="s">
        <v>5</v>
      </c>
      <c r="F29" s="24" t="s">
        <v>6</v>
      </c>
      <c r="G29" s="24" t="s">
        <v>7</v>
      </c>
      <c r="M29" s="262"/>
      <c r="N29" s="263"/>
      <c r="O29" s="263"/>
      <c r="P29" s="264"/>
      <c r="Q29" s="263"/>
      <c r="R29" s="262"/>
      <c r="S29" s="270"/>
      <c r="T29" s="263"/>
    </row>
    <row r="30" ht="15.75" customHeight="1">
      <c r="B30" s="8" t="s">
        <v>30</v>
      </c>
      <c r="C30" s="9">
        <f>95.5941959994213*(C6/200)</f>
        <v>95.594196</v>
      </c>
      <c r="D30" s="42" t="s">
        <v>9</v>
      </c>
      <c r="E30" s="42"/>
      <c r="F30" s="42"/>
      <c r="G30" s="42"/>
      <c r="M30" s="263"/>
      <c r="N30" s="263"/>
      <c r="O30" s="272"/>
      <c r="P30" s="273"/>
      <c r="Q30" s="272"/>
      <c r="R30" s="274"/>
      <c r="S30" s="263"/>
      <c r="T30" s="270"/>
    </row>
    <row r="31" ht="15.75" customHeight="1">
      <c r="B31" s="15" t="s">
        <v>31</v>
      </c>
      <c r="C31" s="16">
        <f>1.99745020887726*(C6/200)</f>
        <v>1.997450209</v>
      </c>
      <c r="D31" s="17" t="s">
        <v>9</v>
      </c>
      <c r="E31" s="267">
        <f>C31*0.1</f>
        <v>0.1997450209</v>
      </c>
      <c r="F31" s="24"/>
      <c r="G31" s="24"/>
    </row>
    <row r="32" ht="15.75" customHeight="1">
      <c r="B32" s="15" t="s">
        <v>32</v>
      </c>
      <c r="C32" s="16">
        <f>11.4620645761915*(C6/200)</f>
        <v>11.46206458</v>
      </c>
      <c r="D32" s="17" t="s">
        <v>9</v>
      </c>
      <c r="E32" s="24"/>
      <c r="F32" s="24"/>
      <c r="G32" s="24"/>
    </row>
    <row r="33" ht="15.75" customHeight="1">
      <c r="B33" s="15" t="s">
        <v>33</v>
      </c>
      <c r="C33" s="16">
        <f>152.84677548201*(C6/200)</f>
        <v>152.8467755</v>
      </c>
      <c r="D33" s="17" t="s">
        <v>34</v>
      </c>
      <c r="E33" s="24"/>
      <c r="F33" s="24"/>
      <c r="G33" s="24"/>
    </row>
    <row r="34" ht="15.75" customHeight="1">
      <c r="B34" s="15" t="s">
        <v>13</v>
      </c>
      <c r="C34" s="16">
        <f>2.95068765664174*(C6/200)</f>
        <v>2.950687657</v>
      </c>
      <c r="D34" s="24" t="s">
        <v>9</v>
      </c>
      <c r="E34" s="24"/>
      <c r="F34" s="24"/>
      <c r="G34" s="24"/>
    </row>
    <row r="35" ht="15.75" customHeight="1"/>
    <row r="36" ht="15.75" customHeight="1">
      <c r="B36" s="95" t="s">
        <v>36</v>
      </c>
      <c r="C36" s="118" t="s">
        <v>158</v>
      </c>
    </row>
    <row r="37" ht="15.75" customHeight="1">
      <c r="C37" s="7"/>
    </row>
    <row r="38" ht="15.75" customHeight="1">
      <c r="B38" s="24" t="s">
        <v>2</v>
      </c>
      <c r="C38" s="24" t="s">
        <v>115</v>
      </c>
      <c r="D38" s="24" t="s">
        <v>273</v>
      </c>
      <c r="E38" s="24" t="s">
        <v>5</v>
      </c>
      <c r="F38" s="24" t="s">
        <v>6</v>
      </c>
      <c r="G38" s="24" t="s">
        <v>7</v>
      </c>
    </row>
    <row r="39" ht="15.75" customHeight="1">
      <c r="B39" s="8" t="s">
        <v>36</v>
      </c>
      <c r="C39" s="275">
        <f>44*(C6/200)</f>
        <v>44</v>
      </c>
      <c r="D39" s="114" t="s">
        <v>9</v>
      </c>
      <c r="E39" s="42"/>
      <c r="F39" s="42"/>
      <c r="G39" s="42"/>
    </row>
    <row r="40" ht="15.75" customHeight="1"/>
    <row r="41" ht="15.75" customHeight="1">
      <c r="B41" s="57" t="s">
        <v>100</v>
      </c>
      <c r="C41" s="57" t="s">
        <v>75</v>
      </c>
      <c r="E41" s="57" t="s">
        <v>100</v>
      </c>
      <c r="F41" s="57" t="s">
        <v>75</v>
      </c>
    </row>
    <row r="42" ht="15.75" customHeight="1">
      <c r="B42" s="55" t="s">
        <v>38</v>
      </c>
      <c r="C42" s="55">
        <v>20.0</v>
      </c>
      <c r="E42" s="55" t="s">
        <v>38</v>
      </c>
      <c r="F42" s="55">
        <v>20.0</v>
      </c>
    </row>
    <row r="43" ht="15.75" customHeight="1">
      <c r="B43" s="55" t="s">
        <v>153</v>
      </c>
      <c r="C43" s="55">
        <v>100.0</v>
      </c>
      <c r="E43" s="55" t="s">
        <v>30</v>
      </c>
      <c r="F43" s="55">
        <v>170.0</v>
      </c>
    </row>
    <row r="44" ht="15.75" customHeight="1">
      <c r="B44" s="55" t="s">
        <v>24</v>
      </c>
      <c r="C44" s="55">
        <v>245.0</v>
      </c>
      <c r="E44" s="55" t="s">
        <v>271</v>
      </c>
      <c r="F44" s="55">
        <v>195.0</v>
      </c>
    </row>
    <row r="45" ht="15.75" customHeight="1">
      <c r="B45" s="55" t="s">
        <v>30</v>
      </c>
      <c r="C45" s="55">
        <v>395.0</v>
      </c>
      <c r="E45" s="55" t="s">
        <v>153</v>
      </c>
      <c r="F45" s="55">
        <v>275.0</v>
      </c>
    </row>
    <row r="46" ht="15.75" customHeight="1">
      <c r="B46" s="55" t="s">
        <v>271</v>
      </c>
      <c r="C46" s="55">
        <v>420.0</v>
      </c>
      <c r="E46" s="55" t="s">
        <v>24</v>
      </c>
      <c r="F46" s="55">
        <v>420.0</v>
      </c>
    </row>
    <row r="47" ht="15.75" customHeight="1"/>
    <row r="48" ht="15.75" customHeight="1"/>
    <row r="49" ht="15.75" customHeight="1">
      <c r="B49" s="56" t="s">
        <v>41</v>
      </c>
      <c r="C49" s="57" t="s">
        <v>42</v>
      </c>
      <c r="D49" s="58" t="s">
        <v>43</v>
      </c>
      <c r="E49" s="11"/>
      <c r="F49" s="11"/>
    </row>
    <row r="50" ht="15.75" customHeight="1">
      <c r="B50" s="59" t="s">
        <v>44</v>
      </c>
      <c r="C50" s="60">
        <f>1754*(C6/200)</f>
        <v>1754</v>
      </c>
      <c r="D50" s="61"/>
    </row>
    <row r="51" ht="15.75" customHeight="1"/>
    <row r="52" ht="15.75" customHeight="1"/>
    <row r="53" ht="15.75" customHeight="1">
      <c r="D53" s="62" t="s">
        <v>45</v>
      </c>
      <c r="E53" s="63"/>
      <c r="F53" s="63"/>
      <c r="G53" s="157"/>
    </row>
    <row r="54" ht="15.75" customHeight="1">
      <c r="D54" s="65" t="s">
        <v>46</v>
      </c>
      <c r="E54" s="66"/>
      <c r="F54" s="66"/>
      <c r="G54" s="158"/>
    </row>
    <row r="55" ht="15.75" customHeight="1">
      <c r="D55" s="65" t="s">
        <v>47</v>
      </c>
      <c r="E55" s="66"/>
      <c r="F55" s="66"/>
      <c r="G55" s="158"/>
    </row>
    <row r="56" ht="15.75" customHeight="1">
      <c r="D56" s="65" t="s">
        <v>48</v>
      </c>
      <c r="E56" s="66"/>
      <c r="F56" s="66"/>
      <c r="G56" s="158"/>
    </row>
    <row r="57" ht="15.75" customHeight="1">
      <c r="D57" s="68" t="s">
        <v>49</v>
      </c>
      <c r="E57" s="69"/>
      <c r="F57" s="69"/>
      <c r="G57" s="15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71"/>
    <col customWidth="1" min="3" max="4" width="8.71"/>
    <col customWidth="1" min="5" max="5" width="13.29"/>
    <col customWidth="1" min="6" max="26" width="8.71"/>
  </cols>
  <sheetData>
    <row r="2" ht="24.0" customHeight="1">
      <c r="B2" s="1" t="s">
        <v>277</v>
      </c>
      <c r="C2" s="1"/>
      <c r="D2" s="1"/>
    </row>
    <row r="3" ht="15.75" customHeight="1">
      <c r="B3" s="125"/>
      <c r="C3" s="126"/>
      <c r="D3" s="45"/>
      <c r="E3" s="2"/>
      <c r="F3" s="2"/>
    </row>
    <row r="4" ht="15.75" customHeight="1">
      <c r="B4" s="2"/>
      <c r="C4" s="75"/>
      <c r="D4" s="47"/>
      <c r="E4" s="2"/>
      <c r="F4" s="2"/>
    </row>
    <row r="5" ht="15.75" customHeight="1">
      <c r="B5" s="4" t="s">
        <v>2</v>
      </c>
      <c r="C5" s="76" t="s">
        <v>3</v>
      </c>
      <c r="D5" s="5" t="s">
        <v>4</v>
      </c>
      <c r="E5" s="2"/>
      <c r="F5" s="2"/>
    </row>
    <row r="6" ht="15.75" customHeight="1">
      <c r="B6" s="6"/>
      <c r="C6" s="6"/>
      <c r="D6" s="6"/>
      <c r="E6" s="24" t="s">
        <v>51</v>
      </c>
      <c r="F6" s="3" t="s">
        <v>258</v>
      </c>
    </row>
    <row r="7" ht="15.75" customHeight="1">
      <c r="B7" s="8" t="s">
        <v>278</v>
      </c>
      <c r="C7" s="97">
        <v>15.0</v>
      </c>
      <c r="D7" s="10" t="s">
        <v>9</v>
      </c>
      <c r="E7" s="140">
        <v>0.75</v>
      </c>
      <c r="F7" s="60">
        <f>140*(C7/12)</f>
        <v>175</v>
      </c>
    </row>
    <row r="8" ht="15.75" customHeight="1">
      <c r="B8" s="15" t="s">
        <v>13</v>
      </c>
      <c r="C8" s="98">
        <f>0.07*(C7/10)</f>
        <v>0.105</v>
      </c>
      <c r="D8" s="17" t="s">
        <v>9</v>
      </c>
      <c r="E8" s="2"/>
      <c r="F8" s="2"/>
    </row>
    <row r="9" ht="15.75" customHeight="1">
      <c r="B9" s="15" t="s">
        <v>86</v>
      </c>
      <c r="C9" s="98">
        <f>0.155*(C7/10)</f>
        <v>0.2325</v>
      </c>
      <c r="D9" s="17" t="s">
        <v>9</v>
      </c>
      <c r="E9" s="2"/>
      <c r="F9" s="2"/>
    </row>
    <row r="10" ht="15.75" customHeight="1">
      <c r="B10" s="15" t="s">
        <v>279</v>
      </c>
      <c r="C10" s="98">
        <f>0.005*(C7/10)</f>
        <v>0.0075</v>
      </c>
      <c r="D10" s="17" t="s">
        <v>9</v>
      </c>
      <c r="E10" s="2"/>
      <c r="F10" s="2"/>
    </row>
    <row r="11" ht="15.75" customHeight="1">
      <c r="B11" s="15" t="s">
        <v>168</v>
      </c>
      <c r="C11" s="98">
        <f>4.6*(C7/10)</f>
        <v>6.9</v>
      </c>
      <c r="D11" s="17" t="s">
        <v>9</v>
      </c>
      <c r="E11" s="2"/>
      <c r="F11" s="2"/>
    </row>
    <row r="12" ht="15.75" customHeight="1">
      <c r="B12" s="15" t="s">
        <v>264</v>
      </c>
      <c r="C12" s="98">
        <f>2.33333333333333*(C7/10)</f>
        <v>3.5</v>
      </c>
      <c r="D12" s="17" t="s">
        <v>9</v>
      </c>
      <c r="E12" s="2"/>
      <c r="F12" s="2"/>
    </row>
    <row r="13" ht="15.75" customHeight="1">
      <c r="B13" s="15" t="s">
        <v>20</v>
      </c>
      <c r="C13" s="98">
        <f>2.53*(C7/10)</f>
        <v>3.795</v>
      </c>
      <c r="D13" s="17" t="s">
        <v>9</v>
      </c>
      <c r="E13" s="2"/>
      <c r="F13" s="2"/>
    </row>
    <row r="14" ht="15.75" customHeight="1">
      <c r="B14" s="15" t="s">
        <v>265</v>
      </c>
      <c r="C14" s="98">
        <f>0.2*(C7/10)</f>
        <v>0.3</v>
      </c>
      <c r="D14" s="17" t="s">
        <v>9</v>
      </c>
      <c r="E14" s="2"/>
      <c r="F14" s="2"/>
    </row>
    <row r="15" ht="15.75" customHeight="1">
      <c r="B15" s="15" t="s">
        <v>266</v>
      </c>
      <c r="C15" s="98">
        <f>0.6*(C7/10)</f>
        <v>0.9</v>
      </c>
      <c r="D15" s="17" t="s">
        <v>9</v>
      </c>
      <c r="E15" s="2"/>
      <c r="F15" s="2"/>
    </row>
    <row r="16" ht="15.75" customHeight="1">
      <c r="B16" s="15" t="s">
        <v>16</v>
      </c>
      <c r="C16" s="98">
        <f>1.5*(C7/10)</f>
        <v>2.25</v>
      </c>
      <c r="D16" s="17" t="s">
        <v>9</v>
      </c>
      <c r="E16" s="118"/>
    </row>
    <row r="17" ht="15.75" customHeight="1">
      <c r="B17" s="15" t="s">
        <v>149</v>
      </c>
      <c r="C17" s="98">
        <f>0.08*(C7/10)</f>
        <v>0.12</v>
      </c>
      <c r="D17" s="17" t="s">
        <v>9</v>
      </c>
      <c r="E17" s="2"/>
    </row>
    <row r="18" ht="15.75" customHeight="1">
      <c r="B18" s="15" t="s">
        <v>92</v>
      </c>
      <c r="C18" s="98">
        <f>1*(C7/10)</f>
        <v>1.5</v>
      </c>
      <c r="D18" s="17" t="s">
        <v>34</v>
      </c>
    </row>
    <row r="19" ht="15.75" customHeight="1">
      <c r="B19" s="15" t="s">
        <v>269</v>
      </c>
      <c r="C19" s="98">
        <f>1.5*(C7/10)</f>
        <v>2.25</v>
      </c>
      <c r="D19" s="17" t="s">
        <v>9</v>
      </c>
    </row>
    <row r="20" ht="15.75" customHeight="1">
      <c r="B20" s="21" t="s">
        <v>152</v>
      </c>
      <c r="C20" s="267">
        <f>10*(C7/10)</f>
        <v>15</v>
      </c>
      <c r="D20" s="24" t="s">
        <v>34</v>
      </c>
    </row>
    <row r="21" ht="15.75" customHeight="1">
      <c r="B21" s="21" t="s">
        <v>94</v>
      </c>
      <c r="C21" s="267">
        <f>0.566666666666667*(C7/10)</f>
        <v>0.85</v>
      </c>
      <c r="D21" s="24" t="s">
        <v>9</v>
      </c>
    </row>
    <row r="22" ht="15.75" customHeight="1"/>
    <row r="23" ht="15.75" customHeight="1"/>
    <row r="24" ht="15.75" customHeight="1"/>
    <row r="25" ht="15.75" customHeight="1">
      <c r="B25" s="40" t="s">
        <v>28</v>
      </c>
      <c r="C25" s="3" t="s">
        <v>65</v>
      </c>
    </row>
    <row r="26" ht="15.75" customHeight="1">
      <c r="C26" s="60">
        <f>140*(C7/12)</f>
        <v>175</v>
      </c>
    </row>
    <row r="27" ht="15.75" customHeight="1"/>
    <row r="28" ht="15.75" customHeight="1">
      <c r="B28" s="8" t="s">
        <v>30</v>
      </c>
      <c r="C28" s="9">
        <f>11.25*(C7/15)</f>
        <v>11.25</v>
      </c>
      <c r="D28" s="10" t="s">
        <v>9</v>
      </c>
    </row>
    <row r="29" ht="15.75" customHeight="1">
      <c r="B29" s="15" t="s">
        <v>31</v>
      </c>
      <c r="C29" s="16">
        <f>0.23625*(C7/15)</f>
        <v>0.23625</v>
      </c>
      <c r="D29" s="17" t="s">
        <v>9</v>
      </c>
    </row>
    <row r="30" ht="15.75" customHeight="1">
      <c r="B30" s="15" t="s">
        <v>32</v>
      </c>
      <c r="C30" s="16">
        <f>1.35784672566372*(C7/15)</f>
        <v>1.357846726</v>
      </c>
      <c r="D30" s="17" t="s">
        <v>9</v>
      </c>
    </row>
    <row r="31" ht="15.75" customHeight="1">
      <c r="B31" s="15" t="s">
        <v>33</v>
      </c>
      <c r="C31" s="16">
        <f>18.1046230088496*(C7/15)</f>
        <v>18.10462301</v>
      </c>
      <c r="D31" s="17" t="s">
        <v>34</v>
      </c>
    </row>
    <row r="32" ht="15.75" customHeight="1">
      <c r="B32" s="15" t="s">
        <v>13</v>
      </c>
      <c r="C32" s="16">
        <f>0.349866637168141*(C7/15)</f>
        <v>0.3498666372</v>
      </c>
      <c r="D32" s="24" t="s">
        <v>9</v>
      </c>
    </row>
    <row r="33" ht="15.75" customHeight="1"/>
    <row r="34" ht="15.75" customHeight="1">
      <c r="B34" s="95" t="s">
        <v>36</v>
      </c>
      <c r="C34" s="276" t="s">
        <v>158</v>
      </c>
    </row>
    <row r="35" ht="15.75" customHeight="1">
      <c r="C35" s="121">
        <f>140*(C7/12)</f>
        <v>175</v>
      </c>
    </row>
    <row r="36" ht="15.75" customHeight="1">
      <c r="B36" s="11"/>
      <c r="C36" s="7"/>
      <c r="D36" s="11"/>
    </row>
    <row r="37" ht="15.75" customHeight="1">
      <c r="B37" s="8" t="s">
        <v>36</v>
      </c>
      <c r="C37" s="41">
        <f>3*(C7/10)</f>
        <v>4.5</v>
      </c>
      <c r="D37" s="114" t="s">
        <v>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5:B6"/>
    <mergeCell ref="C5:C6"/>
    <mergeCell ref="D5:D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5">
      <c r="B5" s="277"/>
      <c r="C5" s="277"/>
      <c r="D5" s="277"/>
      <c r="E5" s="2"/>
      <c r="F5" s="2"/>
    </row>
    <row r="6">
      <c r="B6" s="1" t="s">
        <v>280</v>
      </c>
      <c r="C6" s="1"/>
      <c r="D6" s="45"/>
      <c r="E6" s="2"/>
      <c r="F6" s="2"/>
    </row>
    <row r="7">
      <c r="B7" s="1"/>
      <c r="C7" s="1"/>
      <c r="D7" s="45"/>
      <c r="E7" s="2"/>
      <c r="F7" s="2"/>
    </row>
    <row r="8">
      <c r="B8" s="2"/>
      <c r="C8" s="47"/>
      <c r="D8" s="47"/>
      <c r="E8" s="2"/>
      <c r="F8" s="2"/>
    </row>
    <row r="9">
      <c r="B9" s="4" t="s">
        <v>2</v>
      </c>
      <c r="C9" s="5" t="s">
        <v>3</v>
      </c>
      <c r="D9" s="5" t="s">
        <v>4</v>
      </c>
      <c r="E9" s="2"/>
      <c r="F9" s="278" t="s">
        <v>11</v>
      </c>
    </row>
    <row r="10">
      <c r="B10" s="6"/>
      <c r="C10" s="6"/>
      <c r="D10" s="6"/>
      <c r="E10" s="2"/>
      <c r="F10" s="279">
        <f>5.5*(C11/2)</f>
        <v>13.75</v>
      </c>
    </row>
    <row r="11">
      <c r="B11" s="280" t="s">
        <v>30</v>
      </c>
      <c r="C11" s="281">
        <v>5.0</v>
      </c>
      <c r="D11" s="282" t="s">
        <v>9</v>
      </c>
      <c r="E11" s="2"/>
      <c r="F11" s="2"/>
    </row>
    <row r="12">
      <c r="B12" s="15" t="s">
        <v>31</v>
      </c>
      <c r="C12" s="16">
        <v>0.075</v>
      </c>
      <c r="D12" s="17" t="s">
        <v>9</v>
      </c>
      <c r="E12" s="2"/>
      <c r="F12" s="2"/>
    </row>
    <row r="13">
      <c r="B13" s="15" t="s">
        <v>32</v>
      </c>
      <c r="C13" s="43">
        <v>0.3</v>
      </c>
      <c r="D13" s="17" t="s">
        <v>9</v>
      </c>
      <c r="E13" s="2"/>
      <c r="F13" s="2"/>
    </row>
    <row r="14">
      <c r="B14" s="15" t="s">
        <v>33</v>
      </c>
      <c r="C14" s="43">
        <v>2.85</v>
      </c>
      <c r="D14" s="17" t="s">
        <v>34</v>
      </c>
      <c r="E14" s="2"/>
      <c r="F14" s="2"/>
    </row>
    <row r="15">
      <c r="B15" s="15" t="s">
        <v>13</v>
      </c>
      <c r="C15" s="16">
        <v>0.075</v>
      </c>
      <c r="D15" s="24" t="s">
        <v>9</v>
      </c>
      <c r="E15" s="2"/>
      <c r="F15" s="2"/>
    </row>
    <row r="16">
      <c r="B16" s="283"/>
      <c r="C16" s="283"/>
      <c r="D16" s="283"/>
      <c r="E16" s="2"/>
      <c r="F1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9:B10"/>
    <mergeCell ref="C9:C10"/>
    <mergeCell ref="D9:D1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57"/>
    <col customWidth="1" min="3" max="4" width="13.14"/>
    <col customWidth="1" min="5" max="5" width="26.86"/>
    <col customWidth="1" min="6" max="6" width="11.71"/>
    <col customWidth="1" min="7" max="8" width="8.71"/>
    <col customWidth="1" min="9" max="9" width="19.14"/>
    <col customWidth="1" min="10" max="26" width="8.71"/>
  </cols>
  <sheetData>
    <row r="2">
      <c r="B2" s="1" t="s">
        <v>281</v>
      </c>
      <c r="C2" s="1"/>
      <c r="D2" s="1"/>
      <c r="E2" s="2"/>
      <c r="F2" s="3" t="s">
        <v>58</v>
      </c>
      <c r="I2" s="73">
        <v>180.0</v>
      </c>
    </row>
    <row r="3">
      <c r="B3" s="2"/>
      <c r="C3" s="47"/>
      <c r="D3" s="47"/>
      <c r="E3" s="2"/>
      <c r="G3" s="71">
        <f>SUM(C6:C22)</f>
        <v>6.663793817</v>
      </c>
      <c r="I3" s="284"/>
    </row>
    <row r="4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K4" s="74">
        <f>G3/I2</f>
        <v>0.03702107676</v>
      </c>
    </row>
    <row r="5">
      <c r="B5" s="6"/>
      <c r="C5" s="6"/>
      <c r="D5" s="6"/>
      <c r="E5" s="6"/>
      <c r="F5" s="6"/>
    </row>
    <row r="6">
      <c r="B6" s="280" t="s">
        <v>89</v>
      </c>
      <c r="C6" s="285">
        <v>3.0</v>
      </c>
      <c r="D6" s="286" t="s">
        <v>9</v>
      </c>
      <c r="E6" s="286">
        <v>1.1</v>
      </c>
      <c r="F6" s="24"/>
    </row>
    <row r="7">
      <c r="B7" s="15" t="s">
        <v>54</v>
      </c>
      <c r="C7" s="16">
        <f>33.4464*(C6/16.723)*0.065</f>
        <v>0.3900046642</v>
      </c>
      <c r="D7" s="43" t="s">
        <v>80</v>
      </c>
      <c r="E7" s="190"/>
      <c r="F7" s="17"/>
    </row>
    <row r="8">
      <c r="B8" s="15" t="s">
        <v>55</v>
      </c>
      <c r="C8" s="16">
        <f>0.62712*(C6/16.723)</f>
        <v>0.1125013455</v>
      </c>
      <c r="D8" s="43" t="s">
        <v>9</v>
      </c>
      <c r="E8" s="190"/>
      <c r="F8" s="17"/>
      <c r="H8" s="73" t="s">
        <v>282</v>
      </c>
    </row>
    <row r="9">
      <c r="B9" s="15" t="s">
        <v>56</v>
      </c>
      <c r="C9" s="16">
        <f>0.62712*(C6/16.723)</f>
        <v>0.1125013455</v>
      </c>
      <c r="D9" s="43" t="s">
        <v>9</v>
      </c>
      <c r="E9" s="190"/>
      <c r="F9" s="17"/>
    </row>
    <row r="10">
      <c r="B10" s="15" t="s">
        <v>91</v>
      </c>
      <c r="C10" s="16">
        <f>1.67232*(C6/16.723)</f>
        <v>0.3000035879</v>
      </c>
      <c r="D10" s="43" t="s">
        <v>9</v>
      </c>
      <c r="E10" s="190">
        <f>C10*0.1</f>
        <v>0.03000035879</v>
      </c>
      <c r="F10" s="24"/>
    </row>
    <row r="11">
      <c r="B11" s="15" t="s">
        <v>16</v>
      </c>
      <c r="C11" s="16">
        <f>2.29944*(C6/16.723)</f>
        <v>0.4125049333</v>
      </c>
      <c r="D11" s="43" t="s">
        <v>9</v>
      </c>
      <c r="E11" s="190">
        <f>C11*0.2</f>
        <v>0.08250098667</v>
      </c>
      <c r="F11" s="24"/>
    </row>
    <row r="12">
      <c r="B12" s="15" t="s">
        <v>13</v>
      </c>
      <c r="C12" s="16">
        <f>0.083616*(C6/16.723)</f>
        <v>0.01500017939</v>
      </c>
      <c r="D12" s="43" t="s">
        <v>9</v>
      </c>
      <c r="E12" s="190"/>
      <c r="F12" s="24"/>
      <c r="J12" s="71">
        <f>SUM(C6:C15)</f>
        <v>4.597519105</v>
      </c>
    </row>
    <row r="13">
      <c r="B13" s="15" t="s">
        <v>60</v>
      </c>
      <c r="C13" s="16">
        <f>0.083616*(C6/16.723)</f>
        <v>0.01500017939</v>
      </c>
      <c r="D13" s="43" t="s">
        <v>9</v>
      </c>
      <c r="E13" s="190"/>
      <c r="F13" s="24"/>
      <c r="J13" s="71">
        <f>SUM(C17:C22)</f>
        <v>2.066274711</v>
      </c>
      <c r="K13" s="74">
        <f>J12/J13</f>
        <v>2.225028008</v>
      </c>
    </row>
    <row r="14">
      <c r="B14" s="15" t="s">
        <v>61</v>
      </c>
      <c r="C14" s="16">
        <f>1.170624*(C6/16.723)</f>
        <v>0.2100025115</v>
      </c>
      <c r="D14" s="43" t="s">
        <v>9</v>
      </c>
      <c r="E14" s="190"/>
      <c r="F14" s="24"/>
    </row>
    <row r="15">
      <c r="B15" s="15" t="s">
        <v>62</v>
      </c>
      <c r="C15" s="16">
        <f>0.167232*(C6/16.723)</f>
        <v>0.03000035879</v>
      </c>
      <c r="D15" s="43" t="s">
        <v>9</v>
      </c>
      <c r="E15" s="190">
        <f>C15*0.4</f>
        <v>0.01200014351</v>
      </c>
      <c r="F15" s="24"/>
      <c r="L15" s="74">
        <f>J12/K13</f>
        <v>2.066274711</v>
      </c>
    </row>
    <row r="16">
      <c r="B16" s="12" t="s">
        <v>283</v>
      </c>
      <c r="C16" s="287"/>
      <c r="D16" s="288"/>
      <c r="E16" s="288"/>
      <c r="F16" s="24"/>
    </row>
    <row r="17">
      <c r="B17" s="15" t="s">
        <v>18</v>
      </c>
      <c r="C17" s="16">
        <f>3.76272*(C6/16.723)</f>
        <v>0.6750080727</v>
      </c>
      <c r="D17" s="43" t="s">
        <v>9</v>
      </c>
      <c r="E17" s="43"/>
      <c r="F17" s="24"/>
    </row>
    <row r="18">
      <c r="B18" s="15" t="s">
        <v>162</v>
      </c>
      <c r="C18" s="16">
        <f>2.0904*(C6/16.723)</f>
        <v>0.3750044848</v>
      </c>
      <c r="D18" s="43" t="s">
        <v>9</v>
      </c>
      <c r="E18" s="43"/>
      <c r="F18" s="24"/>
    </row>
    <row r="19">
      <c r="B19" s="15" t="s">
        <v>284</v>
      </c>
      <c r="C19" s="16">
        <f>2.92656*(C6/16.723)</f>
        <v>0.5250062788</v>
      </c>
      <c r="D19" s="43" t="s">
        <v>9</v>
      </c>
      <c r="E19" s="43"/>
      <c r="F19" s="24"/>
    </row>
    <row r="20">
      <c r="B20" s="15" t="s">
        <v>17</v>
      </c>
      <c r="C20" s="16">
        <f>1.67232*(C6/16.723)</f>
        <v>0.3000035879</v>
      </c>
      <c r="D20" s="43" t="s">
        <v>9</v>
      </c>
      <c r="E20" s="190">
        <f>C20*0.2</f>
        <v>0.06000071757</v>
      </c>
      <c r="F20" s="24"/>
    </row>
    <row r="21" ht="18.0" customHeight="1">
      <c r="B21" s="15" t="s">
        <v>285</v>
      </c>
      <c r="C21" s="16">
        <f>1.0452*(C6/16.723)</f>
        <v>0.1875022424</v>
      </c>
      <c r="D21" s="43" t="s">
        <v>9</v>
      </c>
      <c r="E21" s="43"/>
      <c r="F21" s="24"/>
    </row>
    <row r="22" ht="15.75" customHeight="1">
      <c r="B22" s="15" t="s">
        <v>286</v>
      </c>
      <c r="C22" s="16">
        <f>0.020904*(C6/16.723)</f>
        <v>0.003750044848</v>
      </c>
      <c r="D22" s="43" t="s">
        <v>9</v>
      </c>
      <c r="E22" s="43"/>
      <c r="F22" s="24"/>
    </row>
    <row r="23" ht="15.75" customHeight="1"/>
    <row r="24" ht="15.75" customHeight="1">
      <c r="B24" s="40" t="s">
        <v>28</v>
      </c>
      <c r="F24" s="3" t="s">
        <v>102</v>
      </c>
    </row>
    <row r="25" ht="15.75" customHeight="1"/>
    <row r="26" ht="15.75" customHeight="1">
      <c r="B26" s="4" t="s">
        <v>2</v>
      </c>
      <c r="C26" s="5"/>
      <c r="D26" s="5" t="s">
        <v>4</v>
      </c>
      <c r="E26" s="5" t="s">
        <v>5</v>
      </c>
      <c r="F26" s="5" t="s">
        <v>6</v>
      </c>
    </row>
    <row r="27" ht="15.75" customHeight="1">
      <c r="B27" s="167"/>
      <c r="C27" s="164"/>
      <c r="D27" s="164"/>
      <c r="E27" s="6"/>
      <c r="F27" s="6"/>
    </row>
    <row r="28" ht="15.75" customHeight="1">
      <c r="B28" s="21" t="s">
        <v>30</v>
      </c>
      <c r="C28" s="94">
        <f>17.89123855376*(C6/16.723)</f>
        <v>3.209574578</v>
      </c>
      <c r="D28" s="24" t="s">
        <v>9</v>
      </c>
      <c r="E28" s="24"/>
      <c r="F28" s="24"/>
    </row>
    <row r="29" ht="15.75" customHeight="1">
      <c r="B29" s="15" t="s">
        <v>31</v>
      </c>
      <c r="C29" s="16">
        <f>0.358825479584*(C6/16.723)</f>
        <v>0.0643710123</v>
      </c>
      <c r="D29" s="17" t="s">
        <v>9</v>
      </c>
      <c r="E29" s="24"/>
      <c r="F29" s="17"/>
    </row>
    <row r="30" ht="15.75" customHeight="1">
      <c r="B30" s="15" t="s">
        <v>32</v>
      </c>
      <c r="C30" s="16">
        <f>2.144375376*(C6/16.723)</f>
        <v>0.3846873245</v>
      </c>
      <c r="D30" s="17" t="s">
        <v>9</v>
      </c>
      <c r="E30" s="24"/>
      <c r="F30" s="17"/>
    </row>
    <row r="31" ht="15.75" customHeight="1">
      <c r="B31" s="15" t="s">
        <v>33</v>
      </c>
      <c r="C31" s="16">
        <f>28.62026335168*(C6/16.723)</f>
        <v>5.134293491</v>
      </c>
      <c r="D31" s="17" t="s">
        <v>34</v>
      </c>
      <c r="E31" s="24"/>
      <c r="F31" s="17"/>
    </row>
    <row r="32" ht="15.75" customHeight="1">
      <c r="B32" s="15" t="s">
        <v>13</v>
      </c>
      <c r="C32" s="16">
        <f>0.55038967984*(C6/16.723)</f>
        <v>0.09873641329</v>
      </c>
      <c r="D32" s="24" t="s">
        <v>9</v>
      </c>
      <c r="E32" s="24"/>
      <c r="F32" s="24"/>
    </row>
    <row r="33" ht="15.75" customHeight="1"/>
    <row r="34" ht="15.75" customHeight="1">
      <c r="B34" s="1" t="s">
        <v>287</v>
      </c>
      <c r="C34" s="1"/>
      <c r="D34" s="45"/>
      <c r="F34" s="3" t="s">
        <v>65</v>
      </c>
    </row>
    <row r="35" ht="15.75" customHeight="1">
      <c r="B35" s="46"/>
      <c r="C35" s="47"/>
      <c r="D35" s="47"/>
      <c r="E35" s="47"/>
      <c r="F35" s="47"/>
    </row>
    <row r="36" ht="15.75" customHeight="1">
      <c r="B36" s="4" t="s">
        <v>2</v>
      </c>
      <c r="C36" s="5"/>
      <c r="D36" s="5" t="s">
        <v>4</v>
      </c>
      <c r="E36" s="5" t="s">
        <v>5</v>
      </c>
      <c r="F36" s="5" t="s">
        <v>6</v>
      </c>
    </row>
    <row r="37" ht="15.75" customHeight="1">
      <c r="B37" s="167"/>
      <c r="C37" s="164"/>
      <c r="D37" s="164"/>
      <c r="E37" s="6"/>
      <c r="F37" s="6"/>
    </row>
    <row r="38" ht="15.75" customHeight="1">
      <c r="B38" s="15" t="s">
        <v>164</v>
      </c>
      <c r="C38" s="92">
        <f>2.000011104*(C6/16.723)</f>
        <v>0.3587892909</v>
      </c>
      <c r="D38" s="179" t="s">
        <v>165</v>
      </c>
      <c r="E38" s="179"/>
      <c r="F38" s="179"/>
    </row>
    <row r="39" ht="15.75" customHeight="1">
      <c r="B39" s="15" t="s">
        <v>174</v>
      </c>
      <c r="C39" s="16">
        <f>0.9895577328*(C6/16.723)</f>
        <v>0.177520373</v>
      </c>
      <c r="D39" s="179" t="s">
        <v>165</v>
      </c>
      <c r="E39" s="179"/>
      <c r="F39" s="179"/>
    </row>
    <row r="40" ht="17.25" customHeight="1">
      <c r="B40" s="15" t="s">
        <v>175</v>
      </c>
      <c r="C40" s="16">
        <f>3.77236800000001*(C6/16.723)</f>
        <v>0.6767388626</v>
      </c>
      <c r="D40" s="179" t="s">
        <v>165</v>
      </c>
      <c r="E40" s="179"/>
      <c r="F40" s="179"/>
    </row>
    <row r="41" ht="15.75" customHeight="1">
      <c r="B41" s="52" t="s">
        <v>176</v>
      </c>
      <c r="C41" s="139">
        <f>28.288*(C6/16.723)</f>
        <v>5.074687556</v>
      </c>
      <c r="D41" s="197" t="s">
        <v>165</v>
      </c>
      <c r="E41" s="197"/>
      <c r="F41" s="197"/>
    </row>
    <row r="42" ht="15.75" customHeight="1">
      <c r="B42" s="52" t="s">
        <v>177</v>
      </c>
      <c r="C42" s="139">
        <f>2.4752*(C6/16.723)</f>
        <v>0.4440351612</v>
      </c>
      <c r="D42" s="197" t="s">
        <v>9</v>
      </c>
      <c r="E42" s="197"/>
      <c r="F42" s="197"/>
    </row>
    <row r="43" ht="15.75" customHeight="1">
      <c r="B43" s="52" t="s">
        <v>178</v>
      </c>
      <c r="C43" s="139">
        <f>8.84*(C6/16.723)</f>
        <v>1.585839861</v>
      </c>
      <c r="D43" s="197" t="s">
        <v>9</v>
      </c>
      <c r="E43" s="197"/>
      <c r="F43" s="197"/>
    </row>
    <row r="44" ht="15.75" customHeight="1">
      <c r="B44" s="52" t="s">
        <v>168</v>
      </c>
      <c r="C44" s="139">
        <f>10.608*(C6/16.723)</f>
        <v>1.903007834</v>
      </c>
      <c r="D44" s="197" t="s">
        <v>9</v>
      </c>
      <c r="E44" s="197"/>
      <c r="F44" s="197"/>
    </row>
    <row r="45" ht="15.75" customHeight="1">
      <c r="B45" s="15" t="s">
        <v>169</v>
      </c>
      <c r="C45" s="16">
        <f>0.42432*(C6/16.723)</f>
        <v>0.07612031334</v>
      </c>
      <c r="D45" s="179" t="s">
        <v>165</v>
      </c>
      <c r="E45" s="179"/>
      <c r="F45" s="179"/>
    </row>
    <row r="46" ht="15.75" customHeight="1">
      <c r="B46" s="104"/>
      <c r="C46" s="105"/>
      <c r="D46" s="289"/>
      <c r="E46" s="289"/>
      <c r="F46" s="289"/>
    </row>
    <row r="47" ht="15.75" customHeight="1">
      <c r="B47" s="1" t="s">
        <v>288</v>
      </c>
      <c r="C47" s="1"/>
      <c r="D47" s="45"/>
      <c r="F47" s="3" t="s">
        <v>35</v>
      </c>
    </row>
    <row r="48" ht="15.75" customHeight="1">
      <c r="B48" s="46"/>
      <c r="C48" s="47"/>
      <c r="D48" s="47"/>
      <c r="E48" s="47"/>
      <c r="F48" s="47"/>
    </row>
    <row r="49" ht="15.75" customHeight="1">
      <c r="B49" s="4" t="s">
        <v>2</v>
      </c>
      <c r="C49" s="5"/>
      <c r="D49" s="5" t="s">
        <v>4</v>
      </c>
      <c r="E49" s="5" t="s">
        <v>5</v>
      </c>
      <c r="F49" s="5" t="s">
        <v>6</v>
      </c>
    </row>
    <row r="50" ht="15.75" customHeight="1">
      <c r="B50" s="167"/>
      <c r="C50" s="164"/>
      <c r="D50" s="164"/>
      <c r="E50" s="6"/>
      <c r="F50" s="6"/>
    </row>
    <row r="51" ht="15.75" customHeight="1">
      <c r="B51" s="15" t="s">
        <v>36</v>
      </c>
      <c r="C51" s="92">
        <f>11*(C6/16.723)</f>
        <v>1.973330144</v>
      </c>
      <c r="D51" s="179" t="s">
        <v>165</v>
      </c>
      <c r="E51" s="179"/>
      <c r="F51" s="179"/>
    </row>
    <row r="52" ht="15.75" customHeight="1">
      <c r="B52" s="104"/>
      <c r="C52" s="105"/>
      <c r="D52" s="289"/>
      <c r="E52" s="289"/>
      <c r="F52" s="289"/>
    </row>
    <row r="53" ht="15.75" customHeight="1">
      <c r="B53" s="104"/>
      <c r="C53" s="105"/>
      <c r="D53" s="289"/>
      <c r="E53" s="289"/>
      <c r="F53" s="289"/>
    </row>
    <row r="54" ht="15.75" customHeight="1"/>
    <row r="55" ht="15.75" customHeight="1">
      <c r="B55" s="38" t="s">
        <v>37</v>
      </c>
      <c r="C55" s="38"/>
      <c r="E55" s="38" t="s">
        <v>289</v>
      </c>
      <c r="F55" s="38"/>
      <c r="G55" s="38"/>
    </row>
    <row r="56" ht="15.75" customHeight="1">
      <c r="B56" s="55" t="s">
        <v>38</v>
      </c>
      <c r="C56" s="55">
        <v>20.0</v>
      </c>
      <c r="E56" s="55" t="s">
        <v>270</v>
      </c>
      <c r="F56" s="89">
        <v>1.2000000000000002</v>
      </c>
      <c r="G56" s="55"/>
    </row>
    <row r="57" ht="15.75" customHeight="1">
      <c r="B57" s="39" t="s">
        <v>57</v>
      </c>
      <c r="C57" s="55">
        <v>110.0</v>
      </c>
      <c r="E57" s="55" t="s">
        <v>290</v>
      </c>
      <c r="F57" s="89">
        <v>0.27999999999999997</v>
      </c>
      <c r="G57" s="55"/>
    </row>
    <row r="58" ht="15.75" customHeight="1">
      <c r="B58" s="39" t="s">
        <v>30</v>
      </c>
      <c r="C58" s="55">
        <v>250.0</v>
      </c>
      <c r="E58" s="55" t="s">
        <v>291</v>
      </c>
      <c r="F58" s="89">
        <v>0.04000000000000001</v>
      </c>
      <c r="G58" s="55"/>
    </row>
    <row r="59" ht="15.75" customHeight="1">
      <c r="B59" s="39" t="s">
        <v>36</v>
      </c>
      <c r="C59" s="55">
        <v>280.0</v>
      </c>
      <c r="E59" s="55" t="s">
        <v>284</v>
      </c>
      <c r="F59" s="89">
        <v>0.12</v>
      </c>
      <c r="G59" s="55"/>
    </row>
    <row r="60" ht="15.75" customHeight="1">
      <c r="B60" s="39" t="s">
        <v>170</v>
      </c>
      <c r="C60" s="55">
        <v>420.0</v>
      </c>
      <c r="E60" s="39" t="s">
        <v>17</v>
      </c>
      <c r="F60" s="89">
        <v>0.064</v>
      </c>
      <c r="G60" s="55"/>
    </row>
    <row r="61" ht="15.75" customHeight="1">
      <c r="E61" s="39" t="s">
        <v>286</v>
      </c>
      <c r="F61" s="89">
        <v>8.0E-4</v>
      </c>
      <c r="G61" s="55"/>
    </row>
    <row r="62" ht="15.75" customHeight="1">
      <c r="E62" s="2"/>
      <c r="F62" s="93"/>
      <c r="G62" s="11"/>
    </row>
    <row r="63" ht="15.75" customHeight="1"/>
    <row r="64" ht="15.75" customHeight="1">
      <c r="B64" s="56" t="s">
        <v>41</v>
      </c>
      <c r="C64" s="57" t="s">
        <v>42</v>
      </c>
      <c r="D64" s="58" t="s">
        <v>43</v>
      </c>
      <c r="E64" s="11"/>
      <c r="F64" s="11"/>
    </row>
    <row r="65" ht="15.75" customHeight="1">
      <c r="B65" s="59" t="s">
        <v>44</v>
      </c>
      <c r="C65" s="119">
        <f>360*(C6/16.723)</f>
        <v>64.58171381</v>
      </c>
      <c r="D65" s="61"/>
    </row>
    <row r="66" ht="15.75" customHeight="1"/>
    <row r="67" ht="15.75" customHeight="1"/>
    <row r="68" ht="15.75" customHeight="1">
      <c r="D68" s="62" t="s">
        <v>45</v>
      </c>
      <c r="E68" s="63"/>
      <c r="F68" s="64"/>
    </row>
    <row r="69" ht="15.75" customHeight="1">
      <c r="D69" s="65" t="s">
        <v>46</v>
      </c>
      <c r="E69" s="66"/>
      <c r="F69" s="67"/>
    </row>
    <row r="70" ht="15.75" customHeight="1">
      <c r="D70" s="65" t="s">
        <v>47</v>
      </c>
      <c r="E70" s="66"/>
      <c r="F70" s="67"/>
    </row>
    <row r="71" ht="15.75" customHeight="1">
      <c r="D71" s="65" t="s">
        <v>48</v>
      </c>
      <c r="E71" s="66"/>
      <c r="F71" s="67"/>
    </row>
    <row r="72" ht="15.75" customHeight="1">
      <c r="D72" s="68" t="s">
        <v>49</v>
      </c>
      <c r="E72" s="69"/>
      <c r="F72" s="70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36:E37"/>
    <mergeCell ref="F36:F37"/>
    <mergeCell ref="E49:E50"/>
    <mergeCell ref="F49:F50"/>
    <mergeCell ref="B4:B5"/>
    <mergeCell ref="C4:C5"/>
    <mergeCell ref="D4:D5"/>
    <mergeCell ref="E4:E5"/>
    <mergeCell ref="F4:F5"/>
    <mergeCell ref="E26:E27"/>
    <mergeCell ref="F26:F2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3" width="14.71"/>
    <col customWidth="1" min="4" max="4" width="11.43"/>
    <col customWidth="1" min="5" max="5" width="12.29"/>
    <col customWidth="1" min="6" max="9" width="8.71"/>
    <col customWidth="1" min="10" max="10" width="17.86"/>
    <col customWidth="1" min="11" max="11" width="8.71"/>
    <col customWidth="1" min="12" max="12" width="11.86"/>
    <col customWidth="1" min="13" max="26" width="8.71"/>
  </cols>
  <sheetData>
    <row r="1">
      <c r="B1" s="290" t="s">
        <v>292</v>
      </c>
      <c r="C1" s="291"/>
      <c r="D1" s="291"/>
      <c r="E1" s="291"/>
      <c r="F1" s="291"/>
      <c r="G1" s="291"/>
      <c r="H1" s="292"/>
      <c r="I1" s="292"/>
      <c r="J1" s="292"/>
      <c r="K1" s="292"/>
      <c r="L1" s="292"/>
    </row>
    <row r="2">
      <c r="B2" s="291"/>
      <c r="C2" s="293" t="s">
        <v>58</v>
      </c>
      <c r="D2" s="291"/>
      <c r="E2" s="291"/>
      <c r="F2" s="291"/>
      <c r="G2" s="291"/>
      <c r="H2" s="292"/>
      <c r="I2" s="292"/>
      <c r="J2" s="294">
        <f>SUM(C5:C14)+SUM(C16:C20)</f>
        <v>47.81257456</v>
      </c>
      <c r="K2" s="295">
        <v>0.95</v>
      </c>
      <c r="L2" s="292"/>
    </row>
    <row r="3">
      <c r="B3" s="296" t="s">
        <v>2</v>
      </c>
      <c r="C3" s="297" t="s">
        <v>3</v>
      </c>
      <c r="D3" s="297" t="s">
        <v>4</v>
      </c>
      <c r="E3" s="297" t="s">
        <v>5</v>
      </c>
      <c r="F3" s="297" t="s">
        <v>6</v>
      </c>
      <c r="G3" s="297" t="s">
        <v>7</v>
      </c>
      <c r="H3" s="292"/>
      <c r="I3" s="292"/>
      <c r="J3" s="295" t="s">
        <v>293</v>
      </c>
      <c r="K3" s="298">
        <v>460.0</v>
      </c>
      <c r="L3" s="292">
        <f>J2/K3</f>
        <v>0.1039403795</v>
      </c>
    </row>
    <row r="4">
      <c r="B4" s="6"/>
      <c r="C4" s="6"/>
      <c r="D4" s="6"/>
      <c r="E4" s="6"/>
      <c r="F4" s="6"/>
      <c r="G4" s="6"/>
      <c r="H4" s="292"/>
      <c r="I4" s="292"/>
      <c r="J4" s="292"/>
      <c r="K4" s="292"/>
      <c r="L4" s="292"/>
    </row>
    <row r="5">
      <c r="B5" s="299" t="s">
        <v>145</v>
      </c>
      <c r="C5" s="300">
        <v>17.0</v>
      </c>
      <c r="D5" s="301" t="s">
        <v>9</v>
      </c>
      <c r="E5" s="302"/>
      <c r="F5" s="301"/>
      <c r="G5" s="303"/>
      <c r="H5" s="292"/>
      <c r="I5" s="292"/>
      <c r="J5" s="292"/>
      <c r="K5" s="292"/>
      <c r="L5" s="292"/>
    </row>
    <row r="6">
      <c r="B6" s="304" t="s">
        <v>111</v>
      </c>
      <c r="C6" s="305">
        <f>0.15*C5</f>
        <v>2.55</v>
      </c>
      <c r="D6" s="306"/>
      <c r="E6" s="306"/>
      <c r="F6" s="306"/>
      <c r="G6" s="307"/>
      <c r="H6" s="292"/>
      <c r="I6" s="292"/>
      <c r="J6" s="292"/>
      <c r="K6" s="292"/>
      <c r="L6" s="292"/>
    </row>
    <row r="7">
      <c r="B7" s="308" t="s">
        <v>54</v>
      </c>
      <c r="C7" s="309">
        <f>(18*(C5/18))</f>
        <v>17</v>
      </c>
      <c r="D7" s="310" t="s">
        <v>80</v>
      </c>
      <c r="E7" s="310"/>
      <c r="F7" s="310"/>
      <c r="G7" s="307"/>
      <c r="H7" s="292"/>
      <c r="I7" s="292"/>
      <c r="J7" s="292"/>
      <c r="K7" s="292"/>
      <c r="L7" s="292"/>
    </row>
    <row r="8">
      <c r="B8" s="311" t="s">
        <v>55</v>
      </c>
      <c r="C8" s="312">
        <f>0.75*(C5/18)</f>
        <v>0.7083333333</v>
      </c>
      <c r="D8" s="313" t="s">
        <v>9</v>
      </c>
      <c r="E8" s="313"/>
      <c r="F8" s="313"/>
      <c r="G8" s="307"/>
      <c r="H8" s="292"/>
      <c r="I8" s="292"/>
      <c r="J8" s="292"/>
      <c r="K8" s="292"/>
      <c r="L8" s="292"/>
    </row>
    <row r="9">
      <c r="B9" s="311"/>
      <c r="C9" s="312"/>
      <c r="D9" s="313" t="s">
        <v>9</v>
      </c>
      <c r="E9" s="313"/>
      <c r="F9" s="313"/>
      <c r="G9" s="307"/>
      <c r="H9" s="292"/>
      <c r="I9" s="292"/>
      <c r="J9" s="294"/>
      <c r="K9" s="292"/>
      <c r="L9" s="292"/>
    </row>
    <row r="10">
      <c r="B10" s="311" t="s">
        <v>16</v>
      </c>
      <c r="C10" s="312">
        <f>1.3125*(C5/18)</f>
        <v>1.239583333</v>
      </c>
      <c r="D10" s="313" t="s">
        <v>9</v>
      </c>
      <c r="E10" s="313"/>
      <c r="F10" s="313"/>
      <c r="G10" s="307"/>
      <c r="H10" s="292"/>
      <c r="I10" s="292"/>
      <c r="J10" s="292"/>
      <c r="K10" s="292"/>
      <c r="L10" s="292"/>
    </row>
    <row r="11">
      <c r="B11" s="311" t="s">
        <v>13</v>
      </c>
      <c r="C11" s="312">
        <f>0.0875*(C5/18)</f>
        <v>0.08263888889</v>
      </c>
      <c r="D11" s="313" t="s">
        <v>9</v>
      </c>
      <c r="E11" s="313"/>
      <c r="F11" s="313"/>
      <c r="G11" s="307"/>
      <c r="H11" s="292"/>
      <c r="I11" s="292"/>
      <c r="J11" s="292"/>
      <c r="K11" s="292"/>
      <c r="L11" s="292"/>
    </row>
    <row r="12">
      <c r="B12" s="311" t="s">
        <v>60</v>
      </c>
      <c r="C12" s="312">
        <f>0.0875*(C5/18)</f>
        <v>0.08263888889</v>
      </c>
      <c r="D12" s="313" t="s">
        <v>9</v>
      </c>
      <c r="E12" s="313"/>
      <c r="F12" s="313"/>
      <c r="G12" s="307"/>
      <c r="H12" s="292"/>
      <c r="I12" s="292"/>
      <c r="J12" s="292"/>
      <c r="K12" s="292"/>
      <c r="L12" s="292"/>
    </row>
    <row r="13">
      <c r="B13" s="311" t="s">
        <v>61</v>
      </c>
      <c r="C13" s="312">
        <f>0.875*(C5/18)</f>
        <v>0.8263888889</v>
      </c>
      <c r="D13" s="313" t="s">
        <v>9</v>
      </c>
      <c r="E13" s="313"/>
      <c r="F13" s="313"/>
      <c r="G13" s="307"/>
      <c r="H13" s="292"/>
      <c r="I13" s="292"/>
      <c r="J13" s="292"/>
      <c r="K13" s="292"/>
      <c r="L13" s="292"/>
    </row>
    <row r="14">
      <c r="B14" s="311" t="s">
        <v>62</v>
      </c>
      <c r="C14" s="312">
        <f>0.131578947368421*(C5/18)</f>
        <v>0.1242690058</v>
      </c>
      <c r="D14" s="313" t="s">
        <v>9</v>
      </c>
      <c r="E14" s="313"/>
      <c r="F14" s="313"/>
      <c r="G14" s="307"/>
      <c r="H14" s="292"/>
      <c r="I14" s="292"/>
      <c r="J14" s="292"/>
      <c r="K14" s="292"/>
      <c r="L14" s="292"/>
    </row>
    <row r="15">
      <c r="B15" s="314" t="s">
        <v>283</v>
      </c>
      <c r="C15" s="315"/>
      <c r="D15" s="316"/>
      <c r="E15" s="316"/>
      <c r="F15" s="316"/>
      <c r="G15" s="316"/>
      <c r="H15" s="292"/>
      <c r="I15" s="292"/>
      <c r="J15" s="292"/>
      <c r="K15" s="292"/>
      <c r="L15" s="292"/>
    </row>
    <row r="16">
      <c r="B16" s="311" t="s">
        <v>17</v>
      </c>
      <c r="C16" s="312">
        <f>1.5*(C5/18)</f>
        <v>1.416666667</v>
      </c>
      <c r="D16" s="313" t="s">
        <v>9</v>
      </c>
      <c r="E16" s="313"/>
      <c r="F16" s="313"/>
      <c r="G16" s="307"/>
      <c r="H16" s="292"/>
      <c r="I16" s="292"/>
      <c r="J16" s="292"/>
      <c r="K16" s="292"/>
      <c r="L16" s="292"/>
    </row>
    <row r="17">
      <c r="B17" s="311" t="s">
        <v>294</v>
      </c>
      <c r="C17" s="317">
        <f>0.65*(C5/18)</f>
        <v>0.6138888889</v>
      </c>
      <c r="D17" s="313" t="s">
        <v>9</v>
      </c>
      <c r="E17" s="318"/>
      <c r="F17" s="318"/>
      <c r="G17" s="307"/>
      <c r="H17" s="292"/>
      <c r="I17" s="292"/>
      <c r="J17" s="292"/>
      <c r="K17" s="292"/>
      <c r="L17" s="292"/>
    </row>
    <row r="18">
      <c r="B18" s="311" t="s">
        <v>18</v>
      </c>
      <c r="C18" s="319">
        <f>4.5*(C5/18)</f>
        <v>4.25</v>
      </c>
      <c r="D18" s="313" t="s">
        <v>9</v>
      </c>
      <c r="E18" s="320"/>
      <c r="F18" s="320"/>
      <c r="G18" s="307"/>
      <c r="H18" s="292"/>
      <c r="I18" s="292"/>
      <c r="J18" s="292"/>
      <c r="K18" s="292"/>
      <c r="L18" s="292"/>
    </row>
    <row r="19">
      <c r="B19" s="308" t="s">
        <v>284</v>
      </c>
      <c r="C19" s="319">
        <f>2*(C5/18)</f>
        <v>1.888888889</v>
      </c>
      <c r="D19" s="313" t="s">
        <v>9</v>
      </c>
      <c r="E19" s="320"/>
      <c r="F19" s="320"/>
      <c r="G19" s="307"/>
      <c r="H19" s="292"/>
      <c r="I19" s="292"/>
      <c r="J19" s="292"/>
      <c r="K19" s="292"/>
      <c r="L19" s="292"/>
    </row>
    <row r="20">
      <c r="B20" s="308" t="s">
        <v>286</v>
      </c>
      <c r="C20" s="319">
        <f>0.031*(C5/18)</f>
        <v>0.02927777778</v>
      </c>
      <c r="D20" s="313" t="s">
        <v>9</v>
      </c>
      <c r="E20" s="320"/>
      <c r="F20" s="320"/>
      <c r="G20" s="307"/>
      <c r="H20" s="292"/>
      <c r="I20" s="292"/>
      <c r="J20" s="292"/>
      <c r="K20" s="292"/>
      <c r="L20" s="292"/>
    </row>
    <row r="21">
      <c r="B21" s="292"/>
      <c r="C21" s="321"/>
      <c r="D21" s="321"/>
      <c r="E21" s="322"/>
      <c r="F21" s="322"/>
      <c r="G21" s="322"/>
      <c r="H21" s="292"/>
      <c r="I21" s="292"/>
      <c r="J21" s="292"/>
      <c r="K21" s="292"/>
      <c r="L21" s="292"/>
    </row>
    <row r="22" ht="15.75" customHeight="1">
      <c r="B22" s="166" t="s">
        <v>295</v>
      </c>
      <c r="C22" s="118" t="s">
        <v>296</v>
      </c>
      <c r="D22" s="166"/>
      <c r="E22" s="166"/>
      <c r="F22" s="166"/>
      <c r="G22" s="166"/>
    </row>
    <row r="23" ht="15.75" customHeight="1">
      <c r="B23" s="2"/>
      <c r="C23" s="75"/>
      <c r="D23" s="47"/>
      <c r="E23" s="47"/>
      <c r="F23" s="47"/>
      <c r="G23" s="47"/>
    </row>
    <row r="24" ht="15.75" customHeight="1">
      <c r="B24" s="4" t="s">
        <v>2</v>
      </c>
      <c r="C24" s="76" t="s">
        <v>3</v>
      </c>
      <c r="D24" s="5" t="s">
        <v>4</v>
      </c>
      <c r="E24" s="5" t="s">
        <v>5</v>
      </c>
      <c r="F24" s="5" t="s">
        <v>6</v>
      </c>
      <c r="G24" s="5" t="s">
        <v>7</v>
      </c>
    </row>
    <row r="25" ht="15.75" customHeight="1">
      <c r="B25" s="167"/>
      <c r="C25" s="168"/>
      <c r="D25" s="164"/>
      <c r="E25" s="6"/>
      <c r="F25" s="6"/>
      <c r="G25" s="6"/>
    </row>
    <row r="26" ht="15.75" customHeight="1">
      <c r="B26" s="8" t="s">
        <v>123</v>
      </c>
      <c r="C26" s="169">
        <f>10.1579049235657*(C5/18)</f>
        <v>9.593576872</v>
      </c>
      <c r="D26" s="10" t="s">
        <v>9</v>
      </c>
      <c r="E26" s="10"/>
      <c r="F26" s="10"/>
      <c r="G26" s="10"/>
    </row>
    <row r="27" ht="15.75" customHeight="1">
      <c r="B27" s="15" t="s">
        <v>33</v>
      </c>
      <c r="C27" s="161">
        <f>31.2231424228356*(C5/18)</f>
        <v>29.4885234</v>
      </c>
      <c r="D27" s="17" t="s">
        <v>34</v>
      </c>
      <c r="E27" s="17"/>
      <c r="F27" s="17"/>
      <c r="G27" s="17"/>
    </row>
    <row r="28" ht="15.75" customHeight="1">
      <c r="B28" s="15" t="s">
        <v>31</v>
      </c>
      <c r="C28" s="161">
        <f>0.288213622364637*(C5/18)</f>
        <v>0.2722017545</v>
      </c>
      <c r="D28" s="17" t="s">
        <v>9</v>
      </c>
      <c r="E28" s="17"/>
      <c r="F28" s="17"/>
      <c r="G28" s="17"/>
    </row>
    <row r="29" ht="15.75" customHeight="1">
      <c r="B29" s="15" t="s">
        <v>81</v>
      </c>
      <c r="C29" s="161">
        <f>0.480356037274395*(C5/18)</f>
        <v>0.4536695908</v>
      </c>
      <c r="D29" s="17" t="s">
        <v>9</v>
      </c>
      <c r="E29" s="17"/>
      <c r="F29" s="17"/>
      <c r="G29" s="17"/>
    </row>
    <row r="30" ht="15.75" customHeight="1">
      <c r="B30" s="15" t="s">
        <v>13</v>
      </c>
      <c r="C30" s="161">
        <f>0.264195820500917*(C5/18)</f>
        <v>0.2495182749</v>
      </c>
      <c r="D30" s="17" t="s">
        <v>9</v>
      </c>
      <c r="E30" s="17"/>
      <c r="F30" s="17"/>
      <c r="G30" s="17"/>
    </row>
    <row r="31" ht="15.75" customHeight="1">
      <c r="B31" s="15" t="s">
        <v>91</v>
      </c>
      <c r="C31" s="161">
        <f>1.674991085625*(C5/18)</f>
        <v>1.581936025</v>
      </c>
      <c r="D31" s="17" t="s">
        <v>9</v>
      </c>
      <c r="E31" s="17"/>
      <c r="F31" s="17"/>
      <c r="G31" s="17"/>
    </row>
    <row r="32" ht="15.75" customHeight="1">
      <c r="B32" s="15" t="s">
        <v>111</v>
      </c>
      <c r="C32" s="161">
        <f>1.674991085625*(C5/18)</f>
        <v>1.581936025</v>
      </c>
      <c r="D32" s="17" t="s">
        <v>9</v>
      </c>
      <c r="E32" s="17"/>
      <c r="F32" s="17"/>
      <c r="G32" s="17"/>
    </row>
    <row r="33" ht="15.75" customHeight="1"/>
    <row r="34" ht="15.75" customHeight="1">
      <c r="B34" s="40" t="s">
        <v>28</v>
      </c>
      <c r="C34" s="3" t="s">
        <v>25</v>
      </c>
    </row>
    <row r="35" ht="15.75" customHeight="1"/>
    <row r="36" ht="15.75" customHeight="1">
      <c r="B36" s="8" t="s">
        <v>30</v>
      </c>
      <c r="C36" s="9">
        <f>15.8610475649743*(C5/18)</f>
        <v>14.97987826</v>
      </c>
      <c r="D36" s="42" t="s">
        <v>9</v>
      </c>
      <c r="E36" s="114"/>
      <c r="F36" s="114"/>
      <c r="G36" s="114"/>
    </row>
    <row r="37" ht="15.75" customHeight="1">
      <c r="B37" s="15" t="s">
        <v>31</v>
      </c>
      <c r="C37" s="16">
        <f>0.332886183462422*(C5/18)</f>
        <v>0.3143925066</v>
      </c>
      <c r="D37" s="17" t="s">
        <v>9</v>
      </c>
      <c r="E37" s="17"/>
      <c r="F37" s="17"/>
      <c r="G37" s="17"/>
    </row>
    <row r="38" ht="15.75" customHeight="1">
      <c r="B38" s="15" t="s">
        <v>32</v>
      </c>
      <c r="C38" s="16">
        <f>1.95815402036719*(C5/18)</f>
        <v>1.849367686</v>
      </c>
      <c r="D38" s="17" t="s">
        <v>9</v>
      </c>
      <c r="E38" s="17"/>
      <c r="F38" s="17"/>
      <c r="G38" s="17"/>
    </row>
    <row r="39" ht="15.75" customHeight="1">
      <c r="B39" s="15" t="s">
        <v>33</v>
      </c>
      <c r="C39" s="16">
        <f>25.6518176668101*(C5/18)</f>
        <v>24.22671669</v>
      </c>
      <c r="D39" s="17" t="s">
        <v>34</v>
      </c>
      <c r="E39" s="17"/>
      <c r="F39" s="17"/>
      <c r="G39" s="17"/>
    </row>
    <row r="40" ht="15.75" customHeight="1">
      <c r="B40" s="15" t="s">
        <v>13</v>
      </c>
      <c r="C40" s="16">
        <f>0.475831426949227*(C5/18)</f>
        <v>0.4493963477</v>
      </c>
      <c r="D40" s="24" t="s">
        <v>9</v>
      </c>
      <c r="E40" s="24"/>
      <c r="F40" s="24"/>
      <c r="G40" s="24"/>
    </row>
    <row r="41" ht="15.75" customHeight="1"/>
    <row r="42" ht="15.75" customHeight="1">
      <c r="B42" s="95" t="s">
        <v>140</v>
      </c>
      <c r="C42" s="118" t="s">
        <v>218</v>
      </c>
    </row>
    <row r="43" ht="15.75" customHeight="1">
      <c r="B43" s="11"/>
      <c r="C43" s="7"/>
      <c r="D43" s="11"/>
      <c r="E43" s="11"/>
      <c r="F43" s="11"/>
      <c r="G43" s="11"/>
    </row>
    <row r="44" ht="15.75" customHeight="1">
      <c r="B44" s="8" t="s">
        <v>125</v>
      </c>
      <c r="C44" s="9">
        <f>7.13277878661564*(C5/18)</f>
        <v>6.736513298</v>
      </c>
      <c r="D44" s="114" t="s">
        <v>9</v>
      </c>
      <c r="E44" s="114"/>
      <c r="F44" s="114"/>
      <c r="G44" s="114"/>
    </row>
    <row r="45" ht="15.75" customHeight="1">
      <c r="B45" s="15" t="s">
        <v>31</v>
      </c>
      <c r="C45" s="16">
        <f>0.112622822946563*(C5/18)</f>
        <v>0.1063659994</v>
      </c>
      <c r="D45" s="17" t="s">
        <v>9</v>
      </c>
      <c r="E45" s="17"/>
      <c r="F45" s="17"/>
      <c r="G45" s="17"/>
    </row>
    <row r="46" ht="15.75" customHeight="1">
      <c r="B46" s="15" t="s">
        <v>86</v>
      </c>
      <c r="C46" s="16">
        <f>3.75409409821875*(C5/18)</f>
        <v>3.545533315</v>
      </c>
      <c r="D46" s="17" t="s">
        <v>9</v>
      </c>
      <c r="E46" s="17"/>
      <c r="F46" s="17"/>
      <c r="G46" s="17"/>
    </row>
    <row r="47" ht="15.75" customHeight="1">
      <c r="B47" s="15" t="s">
        <v>13</v>
      </c>
      <c r="C47" s="16">
        <f>0.059464850515785*(C5/18)</f>
        <v>0.05616124771</v>
      </c>
      <c r="D47" s="24" t="s">
        <v>9</v>
      </c>
      <c r="E47" s="24"/>
      <c r="F47" s="24"/>
      <c r="G47" s="24"/>
    </row>
    <row r="48" ht="15.75" customHeight="1"/>
    <row r="49" ht="15.75" customHeight="1"/>
    <row r="50" ht="15.75" customHeight="1">
      <c r="B50" s="38" t="s">
        <v>37</v>
      </c>
      <c r="C50" s="38"/>
    </row>
    <row r="51" ht="15.75" customHeight="1">
      <c r="B51" s="55" t="s">
        <v>38</v>
      </c>
      <c r="C51" s="55">
        <v>20.0</v>
      </c>
    </row>
    <row r="52" ht="15.75" customHeight="1">
      <c r="B52" s="39" t="s">
        <v>297</v>
      </c>
      <c r="C52" s="55">
        <v>110.0</v>
      </c>
    </row>
    <row r="53" ht="15.75" customHeight="1">
      <c r="B53" s="39" t="s">
        <v>30</v>
      </c>
      <c r="C53" s="55">
        <v>250.0</v>
      </c>
    </row>
    <row r="54" ht="15.75" customHeight="1">
      <c r="B54" s="39" t="s">
        <v>140</v>
      </c>
      <c r="C54" s="55">
        <v>285.0</v>
      </c>
    </row>
    <row r="55" ht="15.75" customHeight="1">
      <c r="B55" s="39" t="s">
        <v>219</v>
      </c>
      <c r="C55" s="55">
        <v>420.0</v>
      </c>
    </row>
    <row r="56" ht="15.75" customHeight="1"/>
    <row r="57" ht="15.75" customHeight="1"/>
    <row r="58" ht="15.75" customHeight="1">
      <c r="B58" s="56" t="s">
        <v>41</v>
      </c>
      <c r="C58" s="57" t="s">
        <v>42</v>
      </c>
      <c r="D58" s="58" t="s">
        <v>43</v>
      </c>
    </row>
    <row r="59" ht="15.75" customHeight="1">
      <c r="B59" s="59" t="s">
        <v>44</v>
      </c>
      <c r="C59" s="60">
        <f>280*(C5/18)</f>
        <v>264.4444444</v>
      </c>
      <c r="D59" s="61"/>
      <c r="E59" s="11"/>
      <c r="F59" s="11"/>
    </row>
    <row r="60" ht="15.75" customHeight="1"/>
    <row r="61" ht="15.75" customHeight="1">
      <c r="B61" s="38" t="s">
        <v>289</v>
      </c>
      <c r="C61" s="38"/>
    </row>
    <row r="62" ht="15.75" customHeight="1">
      <c r="B62" s="55" t="s">
        <v>153</v>
      </c>
      <c r="C62" s="89">
        <v>1.2000000000000002</v>
      </c>
      <c r="E62" s="62" t="s">
        <v>45</v>
      </c>
      <c r="F62" s="63"/>
      <c r="G62" s="64"/>
      <c r="H62" s="157"/>
    </row>
    <row r="63" ht="15.75" customHeight="1">
      <c r="B63" s="55" t="s">
        <v>18</v>
      </c>
      <c r="C63" s="89">
        <v>0.27999999999999997</v>
      </c>
      <c r="E63" s="65" t="s">
        <v>46</v>
      </c>
      <c r="F63" s="66"/>
      <c r="G63" s="67"/>
      <c r="H63" s="158"/>
    </row>
    <row r="64" ht="15.75" customHeight="1">
      <c r="B64" s="55" t="s">
        <v>291</v>
      </c>
      <c r="C64" s="89">
        <v>0.04000000000000001</v>
      </c>
      <c r="E64" s="65" t="s">
        <v>47</v>
      </c>
      <c r="F64" s="66"/>
      <c r="G64" s="67"/>
      <c r="H64" s="158"/>
    </row>
    <row r="65" ht="15.75" customHeight="1">
      <c r="B65" s="55" t="s">
        <v>284</v>
      </c>
      <c r="C65" s="89">
        <v>0.12</v>
      </c>
      <c r="E65" s="65" t="s">
        <v>48</v>
      </c>
      <c r="F65" s="66"/>
      <c r="G65" s="67"/>
      <c r="H65" s="158"/>
    </row>
    <row r="66" ht="15.75" customHeight="1">
      <c r="B66" s="39" t="s">
        <v>17</v>
      </c>
      <c r="C66" s="89">
        <v>0.064</v>
      </c>
      <c r="E66" s="68" t="s">
        <v>49</v>
      </c>
      <c r="F66" s="69"/>
      <c r="G66" s="70"/>
      <c r="H66" s="159"/>
    </row>
    <row r="67" ht="15.75" customHeight="1">
      <c r="B67" s="39" t="s">
        <v>286</v>
      </c>
      <c r="C67" s="89">
        <v>8.0E-4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>
      <c r="C77" s="2"/>
      <c r="D77" s="93"/>
      <c r="E77" s="11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F24:F25"/>
    <mergeCell ref="G24:G25"/>
    <mergeCell ref="B3:B4"/>
    <mergeCell ref="C3:C4"/>
    <mergeCell ref="D3:D4"/>
    <mergeCell ref="E3:E4"/>
    <mergeCell ref="F3:F4"/>
    <mergeCell ref="G3:G4"/>
    <mergeCell ref="E24:E2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1.86"/>
    <col customWidth="1" min="3" max="4" width="13.14"/>
    <col customWidth="1" min="5" max="5" width="26.86"/>
    <col customWidth="1" min="6" max="6" width="11.71"/>
    <col customWidth="1" min="7" max="9" width="8.71"/>
    <col customWidth="1" min="10" max="10" width="14.57"/>
    <col customWidth="1" min="11" max="26" width="8.71"/>
  </cols>
  <sheetData>
    <row r="2">
      <c r="B2" s="1" t="s">
        <v>298</v>
      </c>
      <c r="C2" s="1"/>
      <c r="D2" s="1"/>
      <c r="E2" s="2"/>
      <c r="F2" s="3" t="s">
        <v>96</v>
      </c>
    </row>
    <row r="3">
      <c r="B3" s="2"/>
      <c r="C3" s="47"/>
      <c r="D3" s="47"/>
      <c r="E3" s="2"/>
      <c r="I3" s="73">
        <v>130.0</v>
      </c>
    </row>
    <row r="4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J4" s="74">
        <f>I5/I3</f>
        <v>0.1073091382</v>
      </c>
    </row>
    <row r="5">
      <c r="B5" s="6"/>
      <c r="C5" s="6"/>
      <c r="D5" s="6"/>
      <c r="E5" s="6"/>
      <c r="F5" s="6"/>
      <c r="I5" s="71">
        <f>SUM(C6:C14)</f>
        <v>13.95018797</v>
      </c>
    </row>
    <row r="6">
      <c r="B6" s="280" t="s">
        <v>145</v>
      </c>
      <c r="C6" s="285">
        <v>10.0</v>
      </c>
      <c r="D6" s="286" t="s">
        <v>9</v>
      </c>
      <c r="E6" s="286"/>
      <c r="F6" s="24"/>
    </row>
    <row r="7">
      <c r="B7" s="15" t="s">
        <v>54</v>
      </c>
      <c r="C7" s="16">
        <f>C6*0.065</f>
        <v>0.65</v>
      </c>
      <c r="D7" s="43" t="s">
        <v>80</v>
      </c>
      <c r="E7" s="190"/>
      <c r="F7" s="17"/>
    </row>
    <row r="8">
      <c r="B8" s="15" t="s">
        <v>55</v>
      </c>
      <c r="C8" s="16">
        <f>1.3125*(C6/35)</f>
        <v>0.375</v>
      </c>
      <c r="D8" s="43" t="s">
        <v>9</v>
      </c>
      <c r="E8" s="190"/>
      <c r="F8" s="17"/>
      <c r="I8" s="74">
        <f>C6/I3</f>
        <v>0.07692307692</v>
      </c>
    </row>
    <row r="9">
      <c r="B9" s="15" t="s">
        <v>91</v>
      </c>
      <c r="C9" s="16">
        <f>5.25*(C6/35)</f>
        <v>1.5</v>
      </c>
      <c r="D9" s="43" t="s">
        <v>9</v>
      </c>
      <c r="E9" s="190"/>
      <c r="F9" s="24"/>
    </row>
    <row r="10">
      <c r="B10" s="15" t="s">
        <v>16</v>
      </c>
      <c r="C10" s="16">
        <f>2.625*(C6/35)</f>
        <v>0.75</v>
      </c>
      <c r="D10" s="43" t="s">
        <v>9</v>
      </c>
      <c r="E10" s="190"/>
      <c r="F10" s="24"/>
    </row>
    <row r="11">
      <c r="B11" s="15" t="s">
        <v>13</v>
      </c>
      <c r="C11" s="16">
        <f>0.175*(C6/35)</f>
        <v>0.05</v>
      </c>
      <c r="D11" s="43" t="s">
        <v>9</v>
      </c>
      <c r="E11" s="190"/>
      <c r="F11" s="24"/>
    </row>
    <row r="12">
      <c r="B12" s="15" t="s">
        <v>60</v>
      </c>
      <c r="C12" s="16">
        <f>0.175*(C6/35)</f>
        <v>0.05</v>
      </c>
      <c r="D12" s="43" t="s">
        <v>9</v>
      </c>
      <c r="E12" s="190"/>
      <c r="F12" s="24"/>
    </row>
    <row r="13">
      <c r="B13" s="15" t="s">
        <v>61</v>
      </c>
      <c r="C13" s="16">
        <f>1.75*(C6/35)</f>
        <v>0.5</v>
      </c>
      <c r="D13" s="43" t="s">
        <v>9</v>
      </c>
      <c r="E13" s="190"/>
      <c r="F13" s="24"/>
    </row>
    <row r="14">
      <c r="B14" s="15" t="s">
        <v>62</v>
      </c>
      <c r="C14" s="16">
        <f>0.263157894736842*(C6/35)</f>
        <v>0.07518796992</v>
      </c>
      <c r="D14" s="43" t="s">
        <v>9</v>
      </c>
      <c r="E14" s="190"/>
      <c r="F14" s="24"/>
    </row>
    <row r="15">
      <c r="B15" s="12" t="s">
        <v>299</v>
      </c>
      <c r="C15" s="287"/>
      <c r="D15" s="288"/>
      <c r="E15" s="288"/>
      <c r="F15" s="24"/>
    </row>
    <row r="16">
      <c r="B16" s="15" t="s">
        <v>55</v>
      </c>
      <c r="C16" s="16">
        <f>3.94736842105263*(C6/35)</f>
        <v>1.127819549</v>
      </c>
      <c r="D16" s="43" t="s">
        <v>9</v>
      </c>
      <c r="E16" s="43"/>
      <c r="F16" s="24"/>
    </row>
    <row r="17">
      <c r="B17" s="15" t="s">
        <v>56</v>
      </c>
      <c r="C17" s="16">
        <f>2.63157894736842*(C6/35)</f>
        <v>0.7518796992</v>
      </c>
      <c r="D17" s="43" t="s">
        <v>9</v>
      </c>
      <c r="E17" s="43"/>
      <c r="F17" s="24"/>
    </row>
    <row r="18">
      <c r="B18" s="15" t="s">
        <v>54</v>
      </c>
      <c r="C18" s="16">
        <f>52.6315789473684*(C6/35)</f>
        <v>15.03759398</v>
      </c>
      <c r="D18" s="43" t="s">
        <v>9</v>
      </c>
      <c r="E18" s="43"/>
      <c r="F18" s="24"/>
    </row>
    <row r="19">
      <c r="B19" s="15" t="s">
        <v>157</v>
      </c>
      <c r="C19" s="16">
        <f>0.0394736842105263*(C6/35)</f>
        <v>0.01127819549</v>
      </c>
      <c r="D19" s="43" t="s">
        <v>9</v>
      </c>
      <c r="E19" s="190"/>
      <c r="F19" s="24"/>
    </row>
    <row r="20">
      <c r="B20" s="15" t="s">
        <v>286</v>
      </c>
      <c r="C20" s="16">
        <f>0.00657894736842105*(C6/35)</f>
        <v>0.001879699248</v>
      </c>
      <c r="D20" s="43" t="s">
        <v>9</v>
      </c>
      <c r="E20" s="43"/>
      <c r="F20" s="24"/>
    </row>
    <row r="21" ht="15.75" customHeight="1"/>
    <row r="22" ht="15.75" customHeight="1">
      <c r="B22" s="40" t="s">
        <v>28</v>
      </c>
      <c r="F22" s="3" t="s">
        <v>65</v>
      </c>
    </row>
    <row r="23" ht="15.75" customHeight="1"/>
    <row r="24" ht="15.75" customHeight="1">
      <c r="B24" s="4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ht="15.75" customHeight="1">
      <c r="B25" s="167"/>
      <c r="C25" s="164"/>
      <c r="D25" s="164"/>
      <c r="E25" s="6"/>
      <c r="F25" s="6"/>
    </row>
    <row r="26" ht="15.75" customHeight="1">
      <c r="B26" s="21" t="s">
        <v>30</v>
      </c>
      <c r="C26" s="94">
        <f>29.4959933159204*(C6/35)</f>
        <v>8.427426662</v>
      </c>
      <c r="D26" s="24" t="s">
        <v>9</v>
      </c>
      <c r="E26" s="24"/>
      <c r="F26" s="24"/>
    </row>
    <row r="27" ht="15.75" customHeight="1">
      <c r="B27" s="15" t="s">
        <v>31</v>
      </c>
      <c r="C27" s="16">
        <f>0.591569662189054*(C6/35)</f>
        <v>0.1690199035</v>
      </c>
      <c r="D27" s="17" t="s">
        <v>9</v>
      </c>
      <c r="E27" s="17"/>
      <c r="F27" s="17"/>
    </row>
    <row r="28" ht="15.75" customHeight="1">
      <c r="B28" s="15" t="s">
        <v>32</v>
      </c>
      <c r="C28" s="16">
        <f>3.53527686567165*(C6/35)</f>
        <v>1.010079104</v>
      </c>
      <c r="D28" s="17" t="s">
        <v>9</v>
      </c>
      <c r="E28" s="17"/>
      <c r="F28" s="17"/>
    </row>
    <row r="29" ht="15.75" customHeight="1">
      <c r="B29" s="15" t="s">
        <v>33</v>
      </c>
      <c r="C29" s="16">
        <f>47.1841619004975*(C6/35)</f>
        <v>13.48118911</v>
      </c>
      <c r="D29" s="17" t="s">
        <v>34</v>
      </c>
      <c r="E29" s="17"/>
      <c r="F29" s="17"/>
    </row>
    <row r="30" ht="15.75" customHeight="1">
      <c r="B30" s="15" t="s">
        <v>13</v>
      </c>
      <c r="C30" s="16">
        <f>0.907387728855721*(C6/35)</f>
        <v>0.2592536368</v>
      </c>
      <c r="D30" s="24" t="s">
        <v>9</v>
      </c>
      <c r="E30" s="24"/>
      <c r="F30" s="24"/>
    </row>
    <row r="31" ht="15.75" customHeight="1"/>
    <row r="32" ht="15.75" customHeight="1">
      <c r="B32" s="1" t="s">
        <v>300</v>
      </c>
      <c r="C32" s="1"/>
      <c r="D32" s="45"/>
      <c r="F32" s="3" t="s">
        <v>25</v>
      </c>
    </row>
    <row r="33" ht="15.75" customHeight="1">
      <c r="B33" s="46"/>
      <c r="C33" s="47"/>
      <c r="D33" s="47"/>
      <c r="E33" s="47"/>
      <c r="F33" s="47"/>
    </row>
    <row r="34" ht="15.75" customHeight="1">
      <c r="B34" s="4" t="s">
        <v>2</v>
      </c>
      <c r="C34" s="5" t="s">
        <v>3</v>
      </c>
      <c r="D34" s="5" t="s">
        <v>4</v>
      </c>
      <c r="E34" s="5" t="s">
        <v>5</v>
      </c>
      <c r="F34" s="5" t="s">
        <v>6</v>
      </c>
    </row>
    <row r="35" ht="15.75" customHeight="1">
      <c r="B35" s="167"/>
      <c r="C35" s="164"/>
      <c r="D35" s="164"/>
      <c r="E35" s="6"/>
      <c r="F35" s="6"/>
    </row>
    <row r="36" ht="15.75" customHeight="1">
      <c r="B36" s="15" t="s">
        <v>164</v>
      </c>
      <c r="C36" s="92">
        <f>2.34957744*(C6/35)</f>
        <v>0.67130784</v>
      </c>
      <c r="D36" s="179" t="s">
        <v>165</v>
      </c>
      <c r="E36" s="179">
        <f>2.2*(C12/108)</f>
        <v>0.001018518519</v>
      </c>
      <c r="F36" s="179"/>
    </row>
    <row r="37" ht="15.75" customHeight="1">
      <c r="B37" s="15" t="s">
        <v>174</v>
      </c>
      <c r="C37" s="16">
        <f>1.162514808*(C6/35)</f>
        <v>0.332147088</v>
      </c>
      <c r="D37" s="179" t="s">
        <v>165</v>
      </c>
      <c r="E37" s="179"/>
      <c r="F37" s="179"/>
    </row>
    <row r="38" ht="15.75" customHeight="1">
      <c r="B38" s="15" t="s">
        <v>175</v>
      </c>
      <c r="C38" s="16">
        <f>4.43171076923077*(C6/35)</f>
        <v>1.266203077</v>
      </c>
      <c r="D38" s="179" t="s">
        <v>165</v>
      </c>
      <c r="E38" s="179"/>
      <c r="F38" s="179"/>
    </row>
    <row r="39" ht="15.75" customHeight="1">
      <c r="B39" s="52" t="s">
        <v>176</v>
      </c>
      <c r="C39" s="139">
        <f>29.82*(C6/35)</f>
        <v>8.52</v>
      </c>
      <c r="D39" s="197" t="s">
        <v>165</v>
      </c>
      <c r="E39" s="197"/>
      <c r="F39" s="197"/>
    </row>
    <row r="40" ht="15.75" customHeight="1">
      <c r="B40" s="52" t="s">
        <v>233</v>
      </c>
      <c r="C40" s="139">
        <f>14.91*(C6/35)</f>
        <v>4.26</v>
      </c>
      <c r="D40" s="197" t="s">
        <v>9</v>
      </c>
      <c r="E40" s="197"/>
      <c r="F40" s="197"/>
    </row>
    <row r="41" ht="15.75" customHeight="1">
      <c r="B41" s="52" t="s">
        <v>301</v>
      </c>
      <c r="C41" s="139">
        <f>0.19383*(C6/35)</f>
        <v>0.05538</v>
      </c>
      <c r="D41" s="197" t="s">
        <v>9</v>
      </c>
      <c r="E41" s="197"/>
      <c r="F41" s="197"/>
    </row>
    <row r="42" ht="15.75" customHeight="1">
      <c r="B42" s="52" t="s">
        <v>302</v>
      </c>
      <c r="C42" s="139">
        <f>0.07455*(C6/35)</f>
        <v>0.0213</v>
      </c>
      <c r="D42" s="197" t="s">
        <v>9</v>
      </c>
      <c r="E42" s="197"/>
      <c r="F42" s="197"/>
    </row>
    <row r="43" ht="15.75" customHeight="1">
      <c r="B43" s="52" t="s">
        <v>303</v>
      </c>
      <c r="C43" s="139">
        <f>0.2982*(C6/35)</f>
        <v>0.0852</v>
      </c>
      <c r="D43" s="197" t="s">
        <v>9</v>
      </c>
      <c r="E43" s="197"/>
      <c r="F43" s="197"/>
    </row>
    <row r="44" ht="15.75" customHeight="1">
      <c r="B44" s="52" t="s">
        <v>168</v>
      </c>
      <c r="C44" s="139">
        <f>8.946*(C6/35)</f>
        <v>2.556</v>
      </c>
      <c r="D44" s="197" t="s">
        <v>9</v>
      </c>
      <c r="E44" s="197"/>
      <c r="F44" s="197"/>
    </row>
    <row r="45" ht="15.75" customHeight="1">
      <c r="B45" s="52" t="s">
        <v>146</v>
      </c>
      <c r="C45" s="139">
        <f>5.964*(C6/35)</f>
        <v>1.704</v>
      </c>
      <c r="D45" s="197" t="s">
        <v>9</v>
      </c>
      <c r="E45" s="197"/>
      <c r="F45" s="197"/>
    </row>
    <row r="46" ht="15.75" customHeight="1">
      <c r="B46" s="15" t="s">
        <v>169</v>
      </c>
      <c r="C46" s="16">
        <f>0.187615512*(C6/35)</f>
        <v>0.053604432</v>
      </c>
      <c r="D46" s="197" t="s">
        <v>9</v>
      </c>
      <c r="E46" s="179"/>
      <c r="F46" s="179"/>
    </row>
    <row r="47" ht="15.75" customHeight="1"/>
    <row r="48" ht="15.75" customHeight="1">
      <c r="B48" s="38" t="s">
        <v>37</v>
      </c>
      <c r="C48" s="38"/>
    </row>
    <row r="49" ht="15.75" customHeight="1">
      <c r="B49" s="55" t="s">
        <v>38</v>
      </c>
      <c r="C49" s="55">
        <v>20.0</v>
      </c>
      <c r="E49" s="38" t="s">
        <v>304</v>
      </c>
      <c r="F49" s="38"/>
    </row>
    <row r="50" ht="15.75" customHeight="1">
      <c r="B50" s="39" t="s">
        <v>153</v>
      </c>
      <c r="C50" s="55">
        <v>130.0</v>
      </c>
      <c r="E50" s="39" t="s">
        <v>153</v>
      </c>
      <c r="F50" s="55" t="s">
        <v>160</v>
      </c>
    </row>
    <row r="51" ht="15.75" customHeight="1">
      <c r="B51" s="39" t="s">
        <v>30</v>
      </c>
      <c r="C51" s="55">
        <v>270.0</v>
      </c>
    </row>
    <row r="52" ht="15.75" customHeight="1">
      <c r="B52" s="39" t="s">
        <v>170</v>
      </c>
      <c r="C52" s="55">
        <v>420.0</v>
      </c>
    </row>
    <row r="53" ht="15.75" customHeight="1"/>
    <row r="54" ht="15.75" customHeight="1"/>
    <row r="55" ht="15.75" customHeight="1">
      <c r="B55" s="56" t="s">
        <v>41</v>
      </c>
      <c r="C55" s="57" t="s">
        <v>42</v>
      </c>
      <c r="D55" s="58" t="s">
        <v>43</v>
      </c>
    </row>
    <row r="56" ht="15.75" customHeight="1">
      <c r="B56" s="59" t="s">
        <v>44</v>
      </c>
      <c r="C56" s="119">
        <f>405*(C6/35)</f>
        <v>115.7142857</v>
      </c>
      <c r="D56" s="61"/>
    </row>
    <row r="57" ht="15.75" customHeight="1"/>
    <row r="58" ht="15.75" customHeight="1">
      <c r="D58" s="62" t="s">
        <v>45</v>
      </c>
      <c r="E58" s="63"/>
      <c r="F58" s="64"/>
    </row>
    <row r="59" ht="15.75" customHeight="1">
      <c r="D59" s="65" t="s">
        <v>46</v>
      </c>
      <c r="E59" s="66"/>
      <c r="F59" s="67"/>
    </row>
    <row r="60" ht="15.75" customHeight="1">
      <c r="D60" s="65" t="s">
        <v>47</v>
      </c>
      <c r="E60" s="66"/>
      <c r="F60" s="67"/>
    </row>
    <row r="61" ht="15.75" customHeight="1">
      <c r="D61" s="65" t="s">
        <v>48</v>
      </c>
      <c r="E61" s="66"/>
      <c r="F61" s="67"/>
    </row>
    <row r="62" ht="15.75" customHeight="1">
      <c r="D62" s="68" t="s">
        <v>49</v>
      </c>
      <c r="E62" s="69"/>
      <c r="F62" s="70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34:E35"/>
    <mergeCell ref="F34:F35"/>
    <mergeCell ref="B4:B5"/>
    <mergeCell ref="C4:C5"/>
    <mergeCell ref="D4:D5"/>
    <mergeCell ref="E4:E5"/>
    <mergeCell ref="F4:F5"/>
    <mergeCell ref="E24:E25"/>
    <mergeCell ref="F24:F2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1.86"/>
    <col customWidth="1" min="3" max="4" width="13.14"/>
    <col customWidth="1" min="5" max="5" width="26.86"/>
    <col customWidth="1" min="6" max="6" width="11.71"/>
    <col customWidth="1" min="7" max="9" width="8.71"/>
    <col customWidth="1" min="10" max="10" width="11.29"/>
    <col customWidth="1" min="11" max="26" width="8.71"/>
  </cols>
  <sheetData>
    <row r="2">
      <c r="B2" s="1" t="s">
        <v>305</v>
      </c>
      <c r="C2" s="1"/>
      <c r="D2" s="1"/>
      <c r="E2" s="2"/>
      <c r="F2" s="3" t="s">
        <v>96</v>
      </c>
    </row>
    <row r="3">
      <c r="B3" s="2"/>
      <c r="C3" s="47"/>
      <c r="D3" s="47"/>
      <c r="E3" s="2"/>
    </row>
    <row r="4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</row>
    <row r="5">
      <c r="B5" s="6"/>
      <c r="C5" s="6"/>
      <c r="D5" s="6"/>
      <c r="E5" s="6"/>
      <c r="F5" s="6"/>
      <c r="I5" s="71">
        <f>SUM(C6:C14)</f>
        <v>22.32030075</v>
      </c>
    </row>
    <row r="6">
      <c r="B6" s="323" t="s">
        <v>306</v>
      </c>
      <c r="C6" s="285">
        <v>16.0</v>
      </c>
      <c r="D6" s="286" t="s">
        <v>9</v>
      </c>
      <c r="E6" s="286"/>
      <c r="F6" s="24"/>
    </row>
    <row r="7">
      <c r="B7" s="15" t="s">
        <v>54</v>
      </c>
      <c r="C7" s="16">
        <f>C6*0.065</f>
        <v>1.04</v>
      </c>
      <c r="D7" s="43" t="s">
        <v>80</v>
      </c>
      <c r="E7" s="190"/>
      <c r="F7" s="17"/>
    </row>
    <row r="8">
      <c r="B8" s="15" t="s">
        <v>55</v>
      </c>
      <c r="C8" s="16">
        <f>1.3125*(C6/35)</f>
        <v>0.6</v>
      </c>
      <c r="D8" s="43" t="s">
        <v>9</v>
      </c>
      <c r="E8" s="190"/>
      <c r="F8" s="17"/>
    </row>
    <row r="9">
      <c r="B9" s="15" t="s">
        <v>91</v>
      </c>
      <c r="C9" s="16">
        <f>5.25*(C6/35)</f>
        <v>2.4</v>
      </c>
      <c r="D9" s="43" t="s">
        <v>9</v>
      </c>
      <c r="E9" s="190"/>
      <c r="F9" s="24"/>
    </row>
    <row r="10">
      <c r="B10" s="15" t="s">
        <v>16</v>
      </c>
      <c r="C10" s="16">
        <f>2.625*(C6/35)</f>
        <v>1.2</v>
      </c>
      <c r="D10" s="43" t="s">
        <v>9</v>
      </c>
      <c r="E10" s="190"/>
      <c r="F10" s="24"/>
    </row>
    <row r="11">
      <c r="B11" s="15" t="s">
        <v>13</v>
      </c>
      <c r="C11" s="16">
        <f>0.175*(C6/35)</f>
        <v>0.08</v>
      </c>
      <c r="D11" s="43" t="s">
        <v>9</v>
      </c>
      <c r="E11" s="190"/>
      <c r="F11" s="24"/>
    </row>
    <row r="12">
      <c r="B12" s="15" t="s">
        <v>60</v>
      </c>
      <c r="C12" s="16">
        <f>0.175*(C6/35)</f>
        <v>0.08</v>
      </c>
      <c r="D12" s="43" t="s">
        <v>9</v>
      </c>
      <c r="E12" s="190"/>
      <c r="F12" s="24"/>
    </row>
    <row r="13">
      <c r="B13" s="15" t="s">
        <v>61</v>
      </c>
      <c r="C13" s="16">
        <f>1.75*(C6/35)</f>
        <v>0.8</v>
      </c>
      <c r="D13" s="43" t="s">
        <v>9</v>
      </c>
      <c r="E13" s="190"/>
      <c r="F13" s="24"/>
    </row>
    <row r="14">
      <c r="B14" s="15" t="s">
        <v>62</v>
      </c>
      <c r="C14" s="16">
        <f>0.263157894736842*(C6/35)</f>
        <v>0.1203007519</v>
      </c>
      <c r="D14" s="43" t="s">
        <v>9</v>
      </c>
      <c r="E14" s="190"/>
      <c r="F14" s="24"/>
    </row>
    <row r="15">
      <c r="B15" s="324" t="s">
        <v>283</v>
      </c>
      <c r="C15" s="287"/>
      <c r="D15" s="288"/>
      <c r="E15" s="288"/>
      <c r="F15" s="24"/>
    </row>
    <row r="16">
      <c r="B16" s="325" t="s">
        <v>307</v>
      </c>
      <c r="C16" s="16">
        <f>0.11*C6</f>
        <v>1.76</v>
      </c>
      <c r="D16" s="43" t="s">
        <v>9</v>
      </c>
      <c r="E16" s="43"/>
      <c r="F16" s="24"/>
    </row>
    <row r="17">
      <c r="B17" s="325" t="s">
        <v>18</v>
      </c>
      <c r="C17" s="326">
        <f>0.11*C6</f>
        <v>1.76</v>
      </c>
      <c r="D17" s="43" t="s">
        <v>9</v>
      </c>
      <c r="E17" s="43"/>
      <c r="F17" s="24"/>
    </row>
    <row r="18">
      <c r="B18" s="325" t="s">
        <v>308</v>
      </c>
      <c r="C18" s="326">
        <v>0.0</v>
      </c>
      <c r="D18" s="43" t="s">
        <v>9</v>
      </c>
      <c r="E18" s="43"/>
      <c r="F18" s="24"/>
    </row>
    <row r="19">
      <c r="B19" s="325" t="s">
        <v>17</v>
      </c>
      <c r="C19" s="326">
        <f>0.0533*C6</f>
        <v>0.8528</v>
      </c>
      <c r="D19" s="43" t="s">
        <v>9</v>
      </c>
      <c r="E19" s="190"/>
      <c r="F19" s="24"/>
    </row>
    <row r="20">
      <c r="B20" s="15"/>
      <c r="C20" s="16"/>
      <c r="D20" s="43"/>
      <c r="E20" s="43"/>
      <c r="F20" s="24"/>
    </row>
    <row r="21" ht="15.75" customHeight="1"/>
    <row r="22" ht="15.75" customHeight="1">
      <c r="B22" s="40" t="s">
        <v>28</v>
      </c>
      <c r="F22" s="3" t="s">
        <v>65</v>
      </c>
    </row>
    <row r="23" ht="15.75" customHeight="1"/>
    <row r="24" ht="15.75" customHeight="1">
      <c r="B24" s="4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ht="15.75" customHeight="1">
      <c r="B25" s="167"/>
      <c r="C25" s="164"/>
      <c r="D25" s="164"/>
      <c r="E25" s="6"/>
      <c r="F25" s="6"/>
    </row>
    <row r="26" ht="15.75" customHeight="1">
      <c r="B26" s="21" t="s">
        <v>30</v>
      </c>
      <c r="C26" s="94">
        <f>29.4959933159204*(C6/35)</f>
        <v>13.48388266</v>
      </c>
      <c r="D26" s="24" t="s">
        <v>9</v>
      </c>
      <c r="E26" s="24"/>
      <c r="F26" s="24"/>
    </row>
    <row r="27" ht="15.75" customHeight="1">
      <c r="B27" s="15" t="s">
        <v>31</v>
      </c>
      <c r="C27" s="16">
        <f>0.591569662189054*(C6/35)</f>
        <v>0.2704318456</v>
      </c>
      <c r="D27" s="17" t="s">
        <v>9</v>
      </c>
      <c r="E27" s="17"/>
      <c r="F27" s="17"/>
    </row>
    <row r="28" ht="15.75" customHeight="1">
      <c r="B28" s="15" t="s">
        <v>32</v>
      </c>
      <c r="C28" s="16">
        <f>3.53527686567165*(C6/35)</f>
        <v>1.616126567</v>
      </c>
      <c r="D28" s="17" t="s">
        <v>9</v>
      </c>
      <c r="E28" s="17"/>
      <c r="F28" s="17"/>
    </row>
    <row r="29" ht="15.75" customHeight="1">
      <c r="B29" s="15" t="s">
        <v>33</v>
      </c>
      <c r="C29" s="16">
        <f>47.1841619004975*(C6/35)</f>
        <v>21.56990258</v>
      </c>
      <c r="D29" s="17" t="s">
        <v>34</v>
      </c>
      <c r="E29" s="17"/>
      <c r="F29" s="17"/>
    </row>
    <row r="30" ht="15.75" customHeight="1">
      <c r="B30" s="15" t="s">
        <v>13</v>
      </c>
      <c r="C30" s="16">
        <f>0.907387728855721*(C6/35)</f>
        <v>0.4148058189</v>
      </c>
      <c r="D30" s="24" t="s">
        <v>9</v>
      </c>
      <c r="E30" s="24"/>
      <c r="F30" s="24"/>
    </row>
    <row r="31" ht="15.75" customHeight="1"/>
    <row r="32" ht="15.75" customHeight="1">
      <c r="B32" s="1" t="s">
        <v>309</v>
      </c>
      <c r="C32" s="1"/>
      <c r="D32" s="45"/>
      <c r="F32" s="3" t="s">
        <v>25</v>
      </c>
    </row>
    <row r="33" ht="15.75" customHeight="1">
      <c r="B33" s="46"/>
      <c r="C33" s="47"/>
      <c r="D33" s="47"/>
      <c r="E33" s="47"/>
      <c r="F33" s="47"/>
    </row>
    <row r="34" ht="15.75" customHeight="1">
      <c r="B34" s="4" t="s">
        <v>2</v>
      </c>
      <c r="C34" s="5" t="s">
        <v>3</v>
      </c>
      <c r="D34" s="5" t="s">
        <v>4</v>
      </c>
      <c r="E34" s="5" t="s">
        <v>5</v>
      </c>
      <c r="F34" s="5" t="s">
        <v>6</v>
      </c>
    </row>
    <row r="35" ht="15.75" customHeight="1">
      <c r="B35" s="167"/>
      <c r="C35" s="164"/>
      <c r="D35" s="164"/>
      <c r="E35" s="6"/>
      <c r="F35" s="6"/>
    </row>
    <row r="36" ht="15.75" customHeight="1">
      <c r="B36" s="15" t="s">
        <v>164</v>
      </c>
      <c r="C36" s="92">
        <f>2.34957744*(C6/35)</f>
        <v>1.074092544</v>
      </c>
      <c r="D36" s="179" t="s">
        <v>165</v>
      </c>
      <c r="E36" s="179">
        <f>2.2*(C12/108)</f>
        <v>0.00162962963</v>
      </c>
      <c r="F36" s="179"/>
    </row>
    <row r="37" ht="15.75" customHeight="1">
      <c r="B37" s="15" t="s">
        <v>174</v>
      </c>
      <c r="C37" s="16">
        <f>1.162514808*(C6/35)</f>
        <v>0.5314353408</v>
      </c>
      <c r="D37" s="179" t="s">
        <v>165</v>
      </c>
      <c r="E37" s="179"/>
      <c r="F37" s="179"/>
    </row>
    <row r="38" ht="15.75" customHeight="1">
      <c r="B38" s="15" t="s">
        <v>175</v>
      </c>
      <c r="C38" s="16">
        <f>4.43171076923077*(C6/35)</f>
        <v>2.025924923</v>
      </c>
      <c r="D38" s="179" t="s">
        <v>165</v>
      </c>
      <c r="E38" s="179"/>
      <c r="F38" s="179"/>
    </row>
    <row r="39" ht="15.75" customHeight="1">
      <c r="B39" s="52" t="s">
        <v>176</v>
      </c>
      <c r="C39" s="139">
        <f>29.82*(C6/35)</f>
        <v>13.632</v>
      </c>
      <c r="D39" s="197" t="s">
        <v>165</v>
      </c>
      <c r="E39" s="197"/>
      <c r="F39" s="197"/>
    </row>
    <row r="40" ht="15.75" customHeight="1">
      <c r="B40" s="52" t="s">
        <v>233</v>
      </c>
      <c r="C40" s="139">
        <f>14.91*(C6/35)</f>
        <v>6.816</v>
      </c>
      <c r="D40" s="197" t="s">
        <v>9</v>
      </c>
      <c r="E40" s="197"/>
      <c r="F40" s="197"/>
    </row>
    <row r="41" ht="15.75" customHeight="1">
      <c r="B41" s="52" t="s">
        <v>301</v>
      </c>
      <c r="C41" s="139">
        <f>0.19383*(C6/35)</f>
        <v>0.088608</v>
      </c>
      <c r="D41" s="197" t="s">
        <v>9</v>
      </c>
      <c r="E41" s="197"/>
      <c r="F41" s="197"/>
    </row>
    <row r="42" ht="15.75" customHeight="1">
      <c r="B42" s="52" t="s">
        <v>302</v>
      </c>
      <c r="C42" s="139">
        <f>0.07455*(C6/35)</f>
        <v>0.03408</v>
      </c>
      <c r="D42" s="197" t="s">
        <v>9</v>
      </c>
      <c r="E42" s="197"/>
      <c r="F42" s="197"/>
    </row>
    <row r="43" ht="15.75" customHeight="1">
      <c r="B43" s="52" t="s">
        <v>303</v>
      </c>
      <c r="C43" s="139">
        <f>0.2982*(C6/35)</f>
        <v>0.13632</v>
      </c>
      <c r="D43" s="197" t="s">
        <v>9</v>
      </c>
      <c r="E43" s="197"/>
      <c r="F43" s="197"/>
    </row>
    <row r="44" ht="15.75" customHeight="1">
      <c r="B44" s="52" t="s">
        <v>168</v>
      </c>
      <c r="C44" s="139">
        <f>8.946*(C6/35)</f>
        <v>4.0896</v>
      </c>
      <c r="D44" s="197" t="s">
        <v>9</v>
      </c>
      <c r="E44" s="197"/>
      <c r="F44" s="197"/>
    </row>
    <row r="45" ht="15.75" customHeight="1">
      <c r="B45" s="52" t="s">
        <v>146</v>
      </c>
      <c r="C45" s="139">
        <f>5.964*(C6/35)</f>
        <v>2.7264</v>
      </c>
      <c r="D45" s="197" t="s">
        <v>9</v>
      </c>
      <c r="E45" s="197"/>
      <c r="F45" s="197"/>
    </row>
    <row r="46" ht="15.75" customHeight="1">
      <c r="B46" s="15" t="s">
        <v>169</v>
      </c>
      <c r="C46" s="16">
        <f>0.187615512*(C6/35)</f>
        <v>0.0857670912</v>
      </c>
      <c r="D46" s="197" t="s">
        <v>9</v>
      </c>
      <c r="E46" s="179"/>
      <c r="F46" s="179"/>
    </row>
    <row r="47" ht="15.75" customHeight="1"/>
    <row r="48" ht="15.75" customHeight="1">
      <c r="B48" s="38" t="s">
        <v>37</v>
      </c>
      <c r="C48" s="38"/>
    </row>
    <row r="49" ht="15.75" customHeight="1">
      <c r="B49" s="55" t="s">
        <v>38</v>
      </c>
      <c r="C49" s="55">
        <v>20.0</v>
      </c>
      <c r="E49" s="38" t="s">
        <v>304</v>
      </c>
      <c r="F49" s="38"/>
    </row>
    <row r="50" ht="15.75" customHeight="1">
      <c r="B50" s="39" t="s">
        <v>153</v>
      </c>
      <c r="C50" s="55">
        <v>130.0</v>
      </c>
      <c r="E50" s="39" t="s">
        <v>153</v>
      </c>
      <c r="F50" s="55" t="s">
        <v>160</v>
      </c>
    </row>
    <row r="51" ht="15.75" customHeight="1">
      <c r="B51" s="39" t="s">
        <v>30</v>
      </c>
      <c r="C51" s="55">
        <v>270.0</v>
      </c>
    </row>
    <row r="52" ht="15.75" customHeight="1">
      <c r="B52" s="39" t="s">
        <v>170</v>
      </c>
      <c r="C52" s="55">
        <v>420.0</v>
      </c>
    </row>
    <row r="53" ht="15.75" customHeight="1"/>
    <row r="54" ht="15.75" customHeight="1"/>
    <row r="55" ht="15.75" customHeight="1">
      <c r="B55" s="56" t="s">
        <v>41</v>
      </c>
      <c r="C55" s="57" t="s">
        <v>42</v>
      </c>
      <c r="D55" s="58" t="s">
        <v>43</v>
      </c>
    </row>
    <row r="56" ht="15.75" customHeight="1">
      <c r="B56" s="59" t="s">
        <v>44</v>
      </c>
      <c r="C56" s="119">
        <f>405*(C6/35)</f>
        <v>185.1428571</v>
      </c>
      <c r="D56" s="61"/>
    </row>
    <row r="57" ht="15.75" customHeight="1"/>
    <row r="58" ht="15.75" customHeight="1">
      <c r="D58" s="62" t="s">
        <v>45</v>
      </c>
      <c r="E58" s="63"/>
      <c r="F58" s="64"/>
    </row>
    <row r="59" ht="15.75" customHeight="1">
      <c r="D59" s="65" t="s">
        <v>46</v>
      </c>
      <c r="E59" s="66"/>
      <c r="F59" s="67"/>
    </row>
    <row r="60" ht="15.75" customHeight="1">
      <c r="D60" s="65" t="s">
        <v>47</v>
      </c>
      <c r="E60" s="66"/>
      <c r="F60" s="67"/>
    </row>
    <row r="61" ht="15.75" customHeight="1">
      <c r="D61" s="65" t="s">
        <v>48</v>
      </c>
      <c r="E61" s="66"/>
      <c r="F61" s="67"/>
    </row>
    <row r="62" ht="15.75" customHeight="1">
      <c r="D62" s="68" t="s">
        <v>49</v>
      </c>
      <c r="E62" s="69"/>
      <c r="F62" s="70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34:E35"/>
    <mergeCell ref="F34:F35"/>
    <mergeCell ref="B4:B5"/>
    <mergeCell ref="C4:C5"/>
    <mergeCell ref="D4:D5"/>
    <mergeCell ref="E4:E5"/>
    <mergeCell ref="F4:F5"/>
    <mergeCell ref="E24:E25"/>
    <mergeCell ref="F24:F2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20.0"/>
    <col customWidth="1" min="3" max="3" width="8.71"/>
    <col customWidth="1" min="4" max="4" width="12.57"/>
    <col customWidth="1" min="5" max="5" width="13.57"/>
    <col customWidth="1" min="6" max="8" width="8.71"/>
    <col customWidth="1" min="9" max="9" width="3.57"/>
    <col customWidth="1" min="10" max="26" width="8.71"/>
  </cols>
  <sheetData>
    <row r="1">
      <c r="C1" s="71"/>
    </row>
    <row r="2">
      <c r="B2" s="1" t="s">
        <v>50</v>
      </c>
      <c r="C2" s="72"/>
      <c r="D2" s="1"/>
      <c r="E2" s="1"/>
      <c r="G2" s="73">
        <v>390.0</v>
      </c>
      <c r="H2" s="71">
        <f>SUM(C7:C15)</f>
        <v>7.624375</v>
      </c>
      <c r="K2" s="74">
        <f>260/3</f>
        <v>86.66666667</v>
      </c>
    </row>
    <row r="3">
      <c r="B3" s="1"/>
      <c r="C3" s="72"/>
      <c r="D3" s="1"/>
      <c r="E3" s="1"/>
    </row>
    <row r="4">
      <c r="B4" s="2"/>
      <c r="C4" s="75"/>
      <c r="D4" s="47"/>
      <c r="E4" s="47"/>
      <c r="H4" s="74">
        <f>H2/G2</f>
        <v>0.01954967949</v>
      </c>
      <c r="K4" s="74">
        <f>K2*0.09</f>
        <v>7.8</v>
      </c>
    </row>
    <row r="5">
      <c r="B5" s="4" t="s">
        <v>2</v>
      </c>
      <c r="C5" s="76" t="s">
        <v>3</v>
      </c>
      <c r="D5" s="5" t="s">
        <v>4</v>
      </c>
      <c r="E5" s="77"/>
    </row>
    <row r="6">
      <c r="B6" s="6"/>
      <c r="C6" s="6"/>
      <c r="D6" s="6"/>
      <c r="E6" s="24" t="s">
        <v>51</v>
      </c>
      <c r="G6" s="3" t="s">
        <v>52</v>
      </c>
    </row>
    <row r="7" ht="19.5" customHeight="1">
      <c r="B7" s="8" t="s">
        <v>53</v>
      </c>
      <c r="C7" s="78">
        <v>5.5</v>
      </c>
      <c r="D7" s="41" t="s">
        <v>9</v>
      </c>
      <c r="E7" s="79">
        <f>6*(C7/55)</f>
        <v>0.6</v>
      </c>
      <c r="G7" s="60"/>
    </row>
    <row r="8" ht="19.5" customHeight="1">
      <c r="B8" s="15" t="s">
        <v>54</v>
      </c>
      <c r="C8" s="16">
        <f>(8*(C7/4))*0.065</f>
        <v>0.715</v>
      </c>
      <c r="D8" s="43" t="s">
        <v>9</v>
      </c>
      <c r="E8" s="79"/>
    </row>
    <row r="9" ht="19.5" customHeight="1">
      <c r="B9" s="15" t="s">
        <v>55</v>
      </c>
      <c r="C9" s="16">
        <f>0.1*(C7/4)</f>
        <v>0.1375</v>
      </c>
      <c r="D9" s="43" t="s">
        <v>9</v>
      </c>
      <c r="E9" s="79"/>
      <c r="F9" s="38" t="s">
        <v>37</v>
      </c>
      <c r="G9" s="38"/>
      <c r="H9" s="38"/>
      <c r="I9" s="2"/>
    </row>
    <row r="10" ht="19.5" customHeight="1">
      <c r="B10" s="15" t="s">
        <v>56</v>
      </c>
      <c r="C10" s="16">
        <f>0.1*(C7/4)</f>
        <v>0.1375</v>
      </c>
      <c r="D10" s="43" t="s">
        <v>9</v>
      </c>
      <c r="E10" s="79"/>
      <c r="F10" s="39" t="s">
        <v>57</v>
      </c>
      <c r="G10" s="55"/>
      <c r="H10" s="55" t="s">
        <v>58</v>
      </c>
      <c r="I10" s="11"/>
    </row>
    <row r="11" ht="19.5" customHeight="1">
      <c r="B11" s="15" t="s">
        <v>16</v>
      </c>
      <c r="C11" s="16">
        <f>0.5*(C7/4)</f>
        <v>0.6875</v>
      </c>
      <c r="D11" s="43" t="s">
        <v>9</v>
      </c>
      <c r="E11" s="79">
        <f>C11*0.2</f>
        <v>0.1375</v>
      </c>
      <c r="F11" s="80" t="s">
        <v>20</v>
      </c>
      <c r="G11" s="55"/>
      <c r="H11" s="55" t="s">
        <v>59</v>
      </c>
      <c r="I11" s="11"/>
    </row>
    <row r="12" ht="19.5" customHeight="1">
      <c r="B12" s="15" t="s">
        <v>13</v>
      </c>
      <c r="C12" s="16">
        <f>0.017*(C7/4)</f>
        <v>0.023375</v>
      </c>
      <c r="D12" s="43" t="s">
        <v>9</v>
      </c>
      <c r="E12" s="79"/>
      <c r="F12" s="39" t="s">
        <v>18</v>
      </c>
      <c r="G12" s="55"/>
      <c r="H12" s="55" t="s">
        <v>27</v>
      </c>
      <c r="I12" s="11"/>
    </row>
    <row r="13" ht="19.5" customHeight="1">
      <c r="B13" s="15" t="s">
        <v>60</v>
      </c>
      <c r="C13" s="16">
        <f>0.008*(C7/4)</f>
        <v>0.011</v>
      </c>
      <c r="D13" s="43" t="s">
        <v>9</v>
      </c>
      <c r="E13" s="79"/>
    </row>
    <row r="14" ht="19.5" customHeight="1">
      <c r="B14" s="15" t="s">
        <v>61</v>
      </c>
      <c r="C14" s="16">
        <f>0.26*(C7/4)</f>
        <v>0.3575</v>
      </c>
      <c r="D14" s="43" t="s">
        <v>9</v>
      </c>
      <c r="E14" s="79"/>
    </row>
    <row r="15" ht="19.5" customHeight="1">
      <c r="B15" s="15" t="s">
        <v>62</v>
      </c>
      <c r="C15" s="16">
        <f>0.04*(C7/4)</f>
        <v>0.055</v>
      </c>
      <c r="D15" s="43" t="s">
        <v>9</v>
      </c>
      <c r="E15" s="79">
        <f>C15*0.5</f>
        <v>0.0275</v>
      </c>
      <c r="F15" s="81" t="s">
        <v>63</v>
      </c>
      <c r="G15" s="81"/>
      <c r="H15" s="82"/>
    </row>
    <row r="16" ht="19.5" customHeight="1">
      <c r="B16" s="15" t="s">
        <v>20</v>
      </c>
      <c r="C16" s="16">
        <f>5.2*(C7/4)</f>
        <v>7.15</v>
      </c>
      <c r="D16" s="43" t="s">
        <v>9</v>
      </c>
      <c r="E16" s="79"/>
      <c r="F16" s="83" t="s">
        <v>64</v>
      </c>
      <c r="G16" s="84"/>
      <c r="H16" s="85"/>
    </row>
    <row r="17" ht="19.5" customHeight="1">
      <c r="B17" s="15" t="s">
        <v>18</v>
      </c>
      <c r="C17" s="16">
        <f>0.94*(C7/4)</f>
        <v>1.2925</v>
      </c>
      <c r="D17" s="43" t="s">
        <v>9</v>
      </c>
      <c r="E17" s="79"/>
    </row>
    <row r="18">
      <c r="C18" s="71"/>
    </row>
    <row r="19">
      <c r="C19" s="71"/>
    </row>
    <row r="20">
      <c r="B20" s="40" t="s">
        <v>28</v>
      </c>
      <c r="C20" s="71"/>
    </row>
    <row r="21" ht="15.75" customHeight="1">
      <c r="C21" s="71"/>
    </row>
    <row r="22" ht="15.75" customHeight="1">
      <c r="C22" s="71"/>
    </row>
    <row r="23" ht="15.75" customHeight="1">
      <c r="B23" s="8" t="s">
        <v>30</v>
      </c>
      <c r="C23" s="9">
        <f>38.9503125*(C7/55)</f>
        <v>3.89503125</v>
      </c>
      <c r="D23" s="42" t="s">
        <v>9</v>
      </c>
      <c r="E23" s="79"/>
    </row>
    <row r="24" ht="15.75" customHeight="1">
      <c r="B24" s="15" t="s">
        <v>31</v>
      </c>
      <c r="C24" s="16">
        <f>0.804375*(C7/55)</f>
        <v>0.0804375</v>
      </c>
      <c r="D24" s="17" t="s">
        <v>9</v>
      </c>
      <c r="E24" s="79">
        <f>C24*0.2</f>
        <v>0.0160875</v>
      </c>
      <c r="F24" s="3" t="s">
        <v>65</v>
      </c>
    </row>
    <row r="25" ht="15.75" customHeight="1">
      <c r="B25" s="15" t="s">
        <v>32</v>
      </c>
      <c r="C25" s="16">
        <f>3.31340625*(C7/55)</f>
        <v>0.331340625</v>
      </c>
      <c r="D25" s="17" t="s">
        <v>9</v>
      </c>
      <c r="E25" s="79"/>
      <c r="F25" s="60"/>
    </row>
    <row r="26" ht="15.75" customHeight="1">
      <c r="B26" s="15" t="s">
        <v>33</v>
      </c>
      <c r="C26" s="16">
        <f>62.29265625*(C7/55)</f>
        <v>6.229265625</v>
      </c>
      <c r="D26" s="17" t="s">
        <v>34</v>
      </c>
      <c r="E26" s="79"/>
    </row>
    <row r="27" ht="15.75" customHeight="1">
      <c r="B27" s="15" t="s">
        <v>13</v>
      </c>
      <c r="C27" s="16">
        <f>0.8353125*(C7/55)</f>
        <v>0.08353125</v>
      </c>
      <c r="D27" s="24" t="s">
        <v>9</v>
      </c>
      <c r="E27" s="79"/>
    </row>
    <row r="28" ht="15.75" customHeight="1">
      <c r="C28" s="71"/>
    </row>
    <row r="29" ht="15.75" customHeight="1">
      <c r="C29" s="71"/>
    </row>
    <row r="30" ht="15.75" customHeight="1">
      <c r="B30" s="86" t="s">
        <v>66</v>
      </c>
      <c r="C30" s="71"/>
    </row>
    <row r="31" ht="15.75" customHeight="1">
      <c r="C31" s="71"/>
      <c r="E31" s="24" t="s">
        <v>51</v>
      </c>
    </row>
    <row r="32" ht="15.75" customHeight="1">
      <c r="B32" s="8" t="s">
        <v>67</v>
      </c>
      <c r="C32" s="9">
        <f>37*(C7/55)</f>
        <v>3.7</v>
      </c>
      <c r="D32" s="42" t="s">
        <v>9</v>
      </c>
      <c r="E32" s="87"/>
      <c r="F32" s="3" t="s">
        <v>68</v>
      </c>
    </row>
    <row r="33" ht="15.75" customHeight="1">
      <c r="B33" s="15" t="s">
        <v>31</v>
      </c>
      <c r="C33" s="16">
        <f>0.3828*(C7/55)</f>
        <v>0.03828</v>
      </c>
      <c r="D33" s="17" t="s">
        <v>9</v>
      </c>
      <c r="E33" s="87">
        <f>C33*0.2</f>
        <v>0.007656</v>
      </c>
      <c r="F33" s="60"/>
    </row>
    <row r="34" ht="15.75" customHeight="1">
      <c r="B34" s="15" t="s">
        <v>69</v>
      </c>
      <c r="C34" s="16">
        <f>4.10124*(C7/55)</f>
        <v>0.410124</v>
      </c>
      <c r="D34" s="17" t="s">
        <v>9</v>
      </c>
      <c r="E34" s="87"/>
    </row>
    <row r="35" ht="15.75" customHeight="1">
      <c r="B35" s="15" t="s">
        <v>13</v>
      </c>
      <c r="C35" s="16">
        <f>0.21846*(C7/55)</f>
        <v>0.021846</v>
      </c>
      <c r="D35" s="17" t="s">
        <v>9</v>
      </c>
      <c r="E35" s="87"/>
    </row>
    <row r="36" ht="15.75" customHeight="1">
      <c r="B36" s="15" t="s">
        <v>62</v>
      </c>
      <c r="C36" s="16">
        <f>0.054681*(C7/55)</f>
        <v>0.0054681</v>
      </c>
      <c r="D36" s="17" t="s">
        <v>9</v>
      </c>
      <c r="E36" s="87">
        <f>C36*0.5</f>
        <v>0.00273405</v>
      </c>
    </row>
    <row r="37" ht="15.75" customHeight="1">
      <c r="C37" s="71"/>
    </row>
    <row r="38" ht="15.75" customHeight="1">
      <c r="C38" s="71"/>
    </row>
    <row r="39" ht="15.75" customHeight="1">
      <c r="B39" s="38" t="s">
        <v>37</v>
      </c>
      <c r="C39" s="88"/>
    </row>
    <row r="40" ht="15.75" customHeight="1">
      <c r="B40" s="55" t="s">
        <v>38</v>
      </c>
      <c r="C40" s="89">
        <v>20.0</v>
      </c>
    </row>
    <row r="41" ht="15.75" customHeight="1">
      <c r="B41" s="39" t="s">
        <v>70</v>
      </c>
      <c r="C41" s="89" t="s">
        <v>71</v>
      </c>
    </row>
    <row r="42" ht="15.75" customHeight="1">
      <c r="B42" s="39" t="s">
        <v>20</v>
      </c>
      <c r="C42" s="89">
        <v>195.0</v>
      </c>
    </row>
    <row r="43" ht="15.75" customHeight="1">
      <c r="B43" s="39" t="s">
        <v>18</v>
      </c>
      <c r="C43" s="89">
        <v>210.0</v>
      </c>
    </row>
    <row r="44" ht="15.75" customHeight="1">
      <c r="B44" s="39" t="s">
        <v>30</v>
      </c>
      <c r="C44" s="89">
        <v>360.0</v>
      </c>
    </row>
    <row r="45" ht="15.75" customHeight="1">
      <c r="B45" s="39" t="s">
        <v>72</v>
      </c>
      <c r="C45" s="89">
        <v>420.0</v>
      </c>
    </row>
    <row r="46" ht="15.75" customHeight="1">
      <c r="C46" s="71"/>
    </row>
    <row r="47" ht="15.75" customHeight="1">
      <c r="C47" s="71"/>
    </row>
    <row r="48" ht="15.75" customHeight="1">
      <c r="C48" s="71"/>
    </row>
    <row r="49" ht="15.75" customHeight="1">
      <c r="B49" s="56" t="s">
        <v>41</v>
      </c>
      <c r="C49" s="90" t="s">
        <v>42</v>
      </c>
      <c r="D49" s="58" t="s">
        <v>43</v>
      </c>
      <c r="E49" s="11"/>
      <c r="F49" s="11"/>
      <c r="G49" s="11"/>
    </row>
    <row r="50" ht="15.75" customHeight="1">
      <c r="B50" s="59" t="s">
        <v>44</v>
      </c>
      <c r="C50" s="91">
        <f>593*(C7/55)</f>
        <v>59.3</v>
      </c>
      <c r="D50" s="61"/>
    </row>
    <row r="51" ht="15.75" customHeight="1">
      <c r="C51" s="71"/>
    </row>
    <row r="52" ht="15.75" customHeight="1">
      <c r="C52" s="71"/>
    </row>
    <row r="53" ht="15.75" customHeight="1">
      <c r="C53" s="71"/>
      <c r="D53" s="62" t="s">
        <v>45</v>
      </c>
      <c r="E53" s="63"/>
      <c r="F53" s="63"/>
      <c r="G53" s="64"/>
    </row>
    <row r="54" ht="15.75" customHeight="1">
      <c r="C54" s="71"/>
      <c r="D54" s="65" t="s">
        <v>46</v>
      </c>
      <c r="E54" s="66"/>
      <c r="F54" s="66"/>
      <c r="G54" s="67"/>
    </row>
    <row r="55" ht="15.75" customHeight="1">
      <c r="C55" s="71"/>
      <c r="D55" s="65" t="s">
        <v>47</v>
      </c>
      <c r="E55" s="66"/>
      <c r="F55" s="66"/>
      <c r="G55" s="67"/>
    </row>
    <row r="56" ht="15.75" customHeight="1">
      <c r="C56" s="71"/>
      <c r="D56" s="65" t="s">
        <v>48</v>
      </c>
      <c r="E56" s="66"/>
      <c r="F56" s="66"/>
      <c r="G56" s="67"/>
    </row>
    <row r="57" ht="15.75" customHeight="1">
      <c r="C57" s="71"/>
      <c r="D57" s="68" t="s">
        <v>49</v>
      </c>
      <c r="E57" s="69"/>
      <c r="F57" s="69"/>
      <c r="G57" s="70"/>
    </row>
    <row r="58" ht="15.75" customHeight="1">
      <c r="C58" s="71"/>
    </row>
    <row r="59" ht="15.75" customHeight="1">
      <c r="C59" s="71"/>
    </row>
    <row r="60" ht="15.75" customHeight="1">
      <c r="C60" s="71"/>
    </row>
    <row r="61" ht="15.75" customHeight="1">
      <c r="C61" s="71"/>
    </row>
    <row r="62" ht="15.75" customHeight="1">
      <c r="C62" s="71"/>
    </row>
    <row r="63" ht="15.75" customHeight="1">
      <c r="C63" s="71"/>
    </row>
    <row r="64" ht="15.75" customHeight="1">
      <c r="C64" s="71"/>
    </row>
    <row r="65" ht="15.75" customHeight="1">
      <c r="C65" s="71"/>
    </row>
    <row r="66" ht="15.75" customHeight="1">
      <c r="C66" s="71"/>
    </row>
    <row r="67" ht="15.75" customHeight="1">
      <c r="C67" s="71"/>
    </row>
    <row r="68" ht="15.75" customHeight="1">
      <c r="C68" s="71"/>
    </row>
    <row r="69" ht="15.75" customHeight="1">
      <c r="C69" s="71"/>
    </row>
    <row r="70" ht="15.75" customHeight="1">
      <c r="C70" s="71"/>
    </row>
    <row r="71" ht="15.75" customHeight="1">
      <c r="C71" s="71"/>
    </row>
    <row r="72" ht="15.75" customHeight="1">
      <c r="C72" s="71"/>
    </row>
    <row r="73" ht="15.75" customHeight="1">
      <c r="C73" s="71"/>
    </row>
    <row r="74" ht="15.75" customHeight="1">
      <c r="C74" s="71"/>
    </row>
    <row r="75" ht="15.75" customHeight="1">
      <c r="C75" s="71"/>
    </row>
    <row r="76" ht="15.75" customHeight="1">
      <c r="C76" s="71"/>
    </row>
    <row r="77" ht="15.75" customHeight="1">
      <c r="C77" s="71"/>
    </row>
    <row r="78" ht="15.75" customHeight="1">
      <c r="C78" s="71"/>
    </row>
    <row r="79" ht="15.75" customHeight="1">
      <c r="C79" s="71"/>
    </row>
    <row r="80" ht="15.75" customHeight="1">
      <c r="C80" s="71"/>
    </row>
    <row r="81" ht="15.75" customHeight="1">
      <c r="C81" s="71"/>
    </row>
    <row r="82" ht="15.75" customHeight="1">
      <c r="C82" s="71"/>
    </row>
    <row r="83" ht="15.75" customHeight="1">
      <c r="C83" s="71"/>
    </row>
    <row r="84" ht="15.75" customHeight="1">
      <c r="C84" s="71"/>
    </row>
    <row r="85" ht="15.75" customHeight="1">
      <c r="C85" s="71"/>
    </row>
    <row r="86" ht="15.75" customHeight="1">
      <c r="C86" s="71"/>
    </row>
    <row r="87" ht="15.75" customHeight="1">
      <c r="C87" s="71"/>
    </row>
    <row r="88" ht="15.75" customHeight="1">
      <c r="C88" s="71"/>
    </row>
    <row r="89" ht="15.75" customHeight="1">
      <c r="C89" s="71"/>
    </row>
    <row r="90" ht="15.75" customHeight="1">
      <c r="C90" s="71"/>
    </row>
    <row r="91" ht="15.75" customHeight="1">
      <c r="C91" s="71"/>
    </row>
    <row r="92" ht="15.75" customHeight="1">
      <c r="C92" s="71"/>
    </row>
    <row r="93" ht="15.75" customHeight="1">
      <c r="C93" s="71"/>
    </row>
    <row r="94" ht="15.75" customHeight="1">
      <c r="C94" s="71"/>
    </row>
    <row r="95" ht="15.75" customHeight="1">
      <c r="C95" s="71"/>
    </row>
    <row r="96" ht="15.75" customHeight="1">
      <c r="C96" s="71"/>
    </row>
    <row r="97" ht="15.75" customHeight="1">
      <c r="C97" s="71"/>
    </row>
    <row r="98" ht="15.75" customHeight="1">
      <c r="C98" s="71"/>
    </row>
    <row r="99" ht="15.75" customHeight="1">
      <c r="C99" s="71"/>
    </row>
    <row r="100" ht="15.75" customHeight="1">
      <c r="C100" s="71"/>
    </row>
    <row r="101" ht="15.75" customHeight="1">
      <c r="C101" s="71"/>
    </row>
    <row r="102" ht="15.75" customHeight="1">
      <c r="C102" s="71"/>
    </row>
    <row r="103" ht="15.75" customHeight="1">
      <c r="C103" s="71"/>
    </row>
    <row r="104" ht="15.75" customHeight="1">
      <c r="C104" s="71"/>
    </row>
    <row r="105" ht="15.75" customHeight="1">
      <c r="C105" s="71"/>
    </row>
    <row r="106" ht="15.75" customHeight="1">
      <c r="C106" s="71"/>
    </row>
    <row r="107" ht="15.75" customHeight="1">
      <c r="C107" s="71"/>
    </row>
    <row r="108" ht="15.75" customHeight="1">
      <c r="C108" s="71"/>
    </row>
    <row r="109" ht="15.75" customHeight="1">
      <c r="C109" s="71"/>
    </row>
    <row r="110" ht="15.75" customHeight="1">
      <c r="C110" s="71"/>
    </row>
    <row r="111" ht="15.75" customHeight="1">
      <c r="C111" s="71"/>
    </row>
    <row r="112" ht="15.75" customHeight="1">
      <c r="C112" s="71"/>
    </row>
    <row r="113" ht="15.75" customHeight="1">
      <c r="C113" s="71"/>
    </row>
    <row r="114" ht="15.75" customHeight="1">
      <c r="C114" s="71"/>
    </row>
    <row r="115" ht="15.75" customHeight="1">
      <c r="C115" s="71"/>
    </row>
    <row r="116" ht="15.75" customHeight="1">
      <c r="C116" s="71"/>
    </row>
    <row r="117" ht="15.75" customHeight="1">
      <c r="C117" s="71"/>
    </row>
    <row r="118" ht="15.75" customHeight="1">
      <c r="C118" s="71"/>
    </row>
    <row r="119" ht="15.75" customHeight="1">
      <c r="C119" s="71"/>
    </row>
    <row r="120" ht="15.75" customHeight="1">
      <c r="C120" s="71"/>
    </row>
    <row r="121" ht="15.75" customHeight="1">
      <c r="C121" s="71"/>
    </row>
    <row r="122" ht="15.75" customHeight="1">
      <c r="C122" s="71"/>
    </row>
    <row r="123" ht="15.75" customHeight="1">
      <c r="C123" s="71"/>
    </row>
    <row r="124" ht="15.75" customHeight="1">
      <c r="C124" s="71"/>
    </row>
    <row r="125" ht="15.75" customHeight="1">
      <c r="C125" s="71"/>
    </row>
    <row r="126" ht="15.75" customHeight="1">
      <c r="C126" s="71"/>
    </row>
    <row r="127" ht="15.75" customHeight="1">
      <c r="C127" s="71"/>
    </row>
    <row r="128" ht="15.75" customHeight="1">
      <c r="C128" s="71"/>
    </row>
    <row r="129" ht="15.75" customHeight="1">
      <c r="C129" s="71"/>
    </row>
    <row r="130" ht="15.75" customHeight="1">
      <c r="C130" s="71"/>
    </row>
    <row r="131" ht="15.75" customHeight="1">
      <c r="C131" s="71"/>
    </row>
    <row r="132" ht="15.75" customHeight="1">
      <c r="C132" s="71"/>
    </row>
    <row r="133" ht="15.75" customHeight="1">
      <c r="C133" s="71"/>
    </row>
    <row r="134" ht="15.75" customHeight="1">
      <c r="C134" s="71"/>
    </row>
    <row r="135" ht="15.75" customHeight="1">
      <c r="C135" s="71"/>
    </row>
    <row r="136" ht="15.75" customHeight="1">
      <c r="C136" s="71"/>
    </row>
    <row r="137" ht="15.75" customHeight="1">
      <c r="C137" s="71"/>
    </row>
    <row r="138" ht="15.75" customHeight="1">
      <c r="C138" s="71"/>
    </row>
    <row r="139" ht="15.75" customHeight="1">
      <c r="C139" s="71"/>
    </row>
    <row r="140" ht="15.75" customHeight="1">
      <c r="C140" s="71"/>
    </row>
    <row r="141" ht="15.75" customHeight="1">
      <c r="C141" s="71"/>
    </row>
    <row r="142" ht="15.75" customHeight="1">
      <c r="C142" s="71"/>
    </row>
    <row r="143" ht="15.75" customHeight="1">
      <c r="C143" s="71"/>
    </row>
    <row r="144" ht="15.75" customHeight="1">
      <c r="C144" s="71"/>
    </row>
    <row r="145" ht="15.75" customHeight="1">
      <c r="C145" s="71"/>
    </row>
    <row r="146" ht="15.75" customHeight="1">
      <c r="C146" s="71"/>
    </row>
    <row r="147" ht="15.75" customHeight="1">
      <c r="C147" s="71"/>
    </row>
    <row r="148" ht="15.75" customHeight="1">
      <c r="C148" s="71"/>
    </row>
    <row r="149" ht="15.75" customHeight="1">
      <c r="C149" s="71"/>
    </row>
    <row r="150" ht="15.75" customHeight="1">
      <c r="C150" s="71"/>
    </row>
    <row r="151" ht="15.75" customHeight="1">
      <c r="C151" s="71"/>
    </row>
    <row r="152" ht="15.75" customHeight="1">
      <c r="C152" s="71"/>
    </row>
    <row r="153" ht="15.75" customHeight="1">
      <c r="C153" s="71"/>
    </row>
    <row r="154" ht="15.75" customHeight="1">
      <c r="C154" s="71"/>
    </row>
    <row r="155" ht="15.75" customHeight="1">
      <c r="C155" s="71"/>
    </row>
    <row r="156" ht="15.75" customHeight="1">
      <c r="C156" s="71"/>
    </row>
    <row r="157" ht="15.75" customHeight="1">
      <c r="C157" s="71"/>
    </row>
    <row r="158" ht="15.75" customHeight="1">
      <c r="C158" s="71"/>
    </row>
    <row r="159" ht="15.75" customHeight="1">
      <c r="C159" s="71"/>
    </row>
    <row r="160" ht="15.75" customHeight="1">
      <c r="C160" s="71"/>
    </row>
    <row r="161" ht="15.75" customHeight="1">
      <c r="C161" s="71"/>
    </row>
    <row r="162" ht="15.75" customHeight="1">
      <c r="C162" s="71"/>
    </row>
    <row r="163" ht="15.75" customHeight="1">
      <c r="C163" s="71"/>
    </row>
    <row r="164" ht="15.75" customHeight="1">
      <c r="C164" s="71"/>
    </row>
    <row r="165" ht="15.75" customHeight="1">
      <c r="C165" s="71"/>
    </row>
    <row r="166" ht="15.75" customHeight="1">
      <c r="C166" s="71"/>
    </row>
    <row r="167" ht="15.75" customHeight="1">
      <c r="C167" s="71"/>
    </row>
    <row r="168" ht="15.75" customHeight="1">
      <c r="C168" s="71"/>
    </row>
    <row r="169" ht="15.75" customHeight="1">
      <c r="C169" s="71"/>
    </row>
    <row r="170" ht="15.75" customHeight="1">
      <c r="C170" s="71"/>
    </row>
    <row r="171" ht="15.75" customHeight="1">
      <c r="C171" s="71"/>
    </row>
    <row r="172" ht="15.75" customHeight="1">
      <c r="C172" s="71"/>
    </row>
    <row r="173" ht="15.75" customHeight="1">
      <c r="C173" s="71"/>
    </row>
    <row r="174" ht="15.75" customHeight="1">
      <c r="C174" s="71"/>
    </row>
    <row r="175" ht="15.75" customHeight="1">
      <c r="C175" s="71"/>
    </row>
    <row r="176" ht="15.75" customHeight="1">
      <c r="C176" s="71"/>
    </row>
    <row r="177" ht="15.75" customHeight="1">
      <c r="C177" s="71"/>
    </row>
    <row r="178" ht="15.75" customHeight="1">
      <c r="C178" s="71"/>
    </row>
    <row r="179" ht="15.75" customHeight="1">
      <c r="C179" s="71"/>
    </row>
    <row r="180" ht="15.75" customHeight="1">
      <c r="C180" s="71"/>
    </row>
    <row r="181" ht="15.75" customHeight="1">
      <c r="C181" s="71"/>
    </row>
    <row r="182" ht="15.75" customHeight="1">
      <c r="C182" s="71"/>
    </row>
    <row r="183" ht="15.75" customHeight="1">
      <c r="C183" s="71"/>
    </row>
    <row r="184" ht="15.75" customHeight="1">
      <c r="C184" s="71"/>
    </row>
    <row r="185" ht="15.75" customHeight="1">
      <c r="C185" s="71"/>
    </row>
    <row r="186" ht="15.75" customHeight="1">
      <c r="C186" s="71"/>
    </row>
    <row r="187" ht="15.75" customHeight="1">
      <c r="C187" s="71"/>
    </row>
    <row r="188" ht="15.75" customHeight="1">
      <c r="C188" s="71"/>
    </row>
    <row r="189" ht="15.75" customHeight="1">
      <c r="C189" s="71"/>
    </row>
    <row r="190" ht="15.75" customHeight="1">
      <c r="C190" s="71"/>
    </row>
    <row r="191" ht="15.75" customHeight="1">
      <c r="C191" s="71"/>
    </row>
    <row r="192" ht="15.75" customHeight="1">
      <c r="C192" s="71"/>
    </row>
    <row r="193" ht="15.75" customHeight="1">
      <c r="C193" s="71"/>
    </row>
    <row r="194" ht="15.75" customHeight="1">
      <c r="C194" s="71"/>
    </row>
    <row r="195" ht="15.75" customHeight="1">
      <c r="C195" s="71"/>
    </row>
    <row r="196" ht="15.75" customHeight="1">
      <c r="C196" s="71"/>
    </row>
    <row r="197" ht="15.75" customHeight="1">
      <c r="C197" s="71"/>
    </row>
    <row r="198" ht="15.75" customHeight="1">
      <c r="C198" s="71"/>
    </row>
    <row r="199" ht="15.75" customHeight="1">
      <c r="C199" s="71"/>
    </row>
    <row r="200" ht="15.75" customHeight="1">
      <c r="C200" s="71"/>
    </row>
    <row r="201" ht="15.75" customHeight="1">
      <c r="C201" s="71"/>
    </row>
    <row r="202" ht="15.75" customHeight="1">
      <c r="C202" s="71"/>
    </row>
    <row r="203" ht="15.75" customHeight="1">
      <c r="C203" s="71"/>
    </row>
    <row r="204" ht="15.75" customHeight="1">
      <c r="C204" s="71"/>
    </row>
    <row r="205" ht="15.75" customHeight="1">
      <c r="C205" s="71"/>
    </row>
    <row r="206" ht="15.75" customHeight="1">
      <c r="C206" s="71"/>
    </row>
    <row r="207" ht="15.75" customHeight="1">
      <c r="C207" s="71"/>
    </row>
    <row r="208" ht="15.75" customHeight="1">
      <c r="C208" s="71"/>
    </row>
    <row r="209" ht="15.75" customHeight="1">
      <c r="C209" s="71"/>
    </row>
    <row r="210" ht="15.75" customHeight="1">
      <c r="C210" s="71"/>
    </row>
    <row r="211" ht="15.75" customHeight="1">
      <c r="C211" s="71"/>
    </row>
    <row r="212" ht="15.75" customHeight="1">
      <c r="C212" s="71"/>
    </row>
    <row r="213" ht="15.75" customHeight="1">
      <c r="C213" s="71"/>
    </row>
    <row r="214" ht="15.75" customHeight="1">
      <c r="C214" s="71"/>
    </row>
    <row r="215" ht="15.75" customHeight="1">
      <c r="C215" s="71"/>
    </row>
    <row r="216" ht="15.75" customHeight="1">
      <c r="C216" s="71"/>
    </row>
    <row r="217" ht="15.75" customHeight="1">
      <c r="C217" s="71"/>
    </row>
    <row r="218" ht="15.75" customHeight="1">
      <c r="C218" s="71"/>
    </row>
    <row r="219" ht="15.75" customHeight="1">
      <c r="C219" s="71"/>
    </row>
    <row r="220" ht="15.75" customHeight="1">
      <c r="C220" s="71"/>
    </row>
    <row r="221" ht="15.75" customHeight="1">
      <c r="C221" s="71"/>
    </row>
    <row r="222" ht="15.75" customHeight="1">
      <c r="C222" s="71"/>
    </row>
    <row r="223" ht="15.75" customHeight="1">
      <c r="C223" s="71"/>
    </row>
    <row r="224" ht="15.75" customHeight="1">
      <c r="C224" s="71"/>
    </row>
    <row r="225" ht="15.75" customHeight="1">
      <c r="C225" s="71"/>
    </row>
    <row r="226" ht="15.75" customHeight="1">
      <c r="C226" s="71"/>
    </row>
    <row r="227" ht="15.75" customHeight="1">
      <c r="C227" s="71"/>
    </row>
    <row r="228" ht="15.75" customHeight="1">
      <c r="C228" s="71"/>
    </row>
    <row r="229" ht="15.75" customHeight="1">
      <c r="C229" s="71"/>
    </row>
    <row r="230" ht="15.75" customHeight="1">
      <c r="C230" s="71"/>
    </row>
    <row r="231" ht="15.75" customHeight="1">
      <c r="C231" s="71"/>
    </row>
    <row r="232" ht="15.75" customHeight="1">
      <c r="C232" s="71"/>
    </row>
    <row r="233" ht="15.75" customHeight="1">
      <c r="C233" s="71"/>
    </row>
    <row r="234" ht="15.75" customHeight="1">
      <c r="C234" s="71"/>
    </row>
    <row r="235" ht="15.75" customHeight="1">
      <c r="C235" s="71"/>
    </row>
    <row r="236" ht="15.75" customHeight="1">
      <c r="C236" s="71"/>
    </row>
    <row r="237" ht="15.75" customHeight="1">
      <c r="C237" s="71"/>
    </row>
    <row r="238" ht="15.75" customHeight="1">
      <c r="C238" s="71"/>
    </row>
    <row r="239" ht="15.75" customHeight="1">
      <c r="C239" s="71"/>
    </row>
    <row r="240" ht="15.75" customHeight="1">
      <c r="C240" s="71"/>
    </row>
    <row r="241" ht="15.75" customHeight="1">
      <c r="C241" s="71"/>
    </row>
    <row r="242" ht="15.75" customHeight="1">
      <c r="C242" s="71"/>
    </row>
    <row r="243" ht="15.75" customHeight="1">
      <c r="C243" s="71"/>
    </row>
    <row r="244" ht="15.75" customHeight="1">
      <c r="C244" s="71"/>
    </row>
    <row r="245" ht="15.75" customHeight="1">
      <c r="C245" s="71"/>
    </row>
    <row r="246" ht="15.75" customHeight="1">
      <c r="C246" s="71"/>
    </row>
    <row r="247" ht="15.75" customHeight="1">
      <c r="C247" s="71"/>
    </row>
    <row r="248" ht="15.75" customHeight="1">
      <c r="C248" s="71"/>
    </row>
    <row r="249" ht="15.75" customHeight="1">
      <c r="C249" s="71"/>
    </row>
    <row r="250" ht="15.75" customHeight="1">
      <c r="C250" s="71"/>
    </row>
    <row r="251" ht="15.75" customHeight="1">
      <c r="C251" s="71"/>
    </row>
    <row r="252" ht="15.75" customHeight="1">
      <c r="C252" s="71"/>
    </row>
    <row r="253" ht="15.75" customHeight="1">
      <c r="C253" s="71"/>
    </row>
    <row r="254" ht="15.75" customHeight="1">
      <c r="C254" s="71"/>
    </row>
    <row r="255" ht="15.75" customHeight="1">
      <c r="C255" s="71"/>
    </row>
    <row r="256" ht="15.75" customHeight="1">
      <c r="C256" s="71"/>
    </row>
    <row r="257" ht="15.75" customHeight="1">
      <c r="C257" s="71"/>
    </row>
    <row r="258" ht="15.75" customHeight="1">
      <c r="C258" s="71"/>
    </row>
    <row r="259" ht="15.75" customHeight="1">
      <c r="C259" s="71"/>
    </row>
    <row r="260" ht="15.75" customHeight="1">
      <c r="C260" s="71"/>
    </row>
    <row r="261" ht="15.75" customHeight="1">
      <c r="C261" s="71"/>
    </row>
    <row r="262" ht="15.75" customHeight="1">
      <c r="C262" s="71"/>
    </row>
    <row r="263" ht="15.75" customHeight="1">
      <c r="C263" s="71"/>
    </row>
    <row r="264" ht="15.75" customHeight="1">
      <c r="C264" s="71"/>
    </row>
    <row r="265" ht="15.75" customHeight="1">
      <c r="C265" s="71"/>
    </row>
    <row r="266" ht="15.75" customHeight="1">
      <c r="C266" s="71"/>
    </row>
    <row r="267" ht="15.75" customHeight="1">
      <c r="C267" s="71"/>
    </row>
    <row r="268" ht="15.75" customHeight="1">
      <c r="C268" s="71"/>
    </row>
    <row r="269" ht="15.75" customHeight="1">
      <c r="C269" s="71"/>
    </row>
    <row r="270" ht="15.75" customHeight="1">
      <c r="C270" s="71"/>
    </row>
    <row r="271" ht="15.75" customHeight="1">
      <c r="C271" s="71"/>
    </row>
    <row r="272" ht="15.75" customHeight="1">
      <c r="C272" s="71"/>
    </row>
    <row r="273" ht="15.75" customHeight="1">
      <c r="C273" s="71"/>
    </row>
    <row r="274" ht="15.75" customHeight="1">
      <c r="C274" s="71"/>
    </row>
    <row r="275" ht="15.75" customHeight="1">
      <c r="C275" s="71"/>
    </row>
    <row r="276" ht="15.75" customHeight="1">
      <c r="C276" s="71"/>
    </row>
    <row r="277" ht="15.75" customHeight="1">
      <c r="C277" s="71"/>
    </row>
    <row r="278" ht="15.75" customHeight="1">
      <c r="C278" s="71"/>
    </row>
    <row r="279" ht="15.75" customHeight="1">
      <c r="C279" s="71"/>
    </row>
    <row r="280" ht="15.75" customHeight="1">
      <c r="C280" s="71"/>
    </row>
    <row r="281" ht="15.75" customHeight="1">
      <c r="C281" s="71"/>
    </row>
    <row r="282" ht="15.75" customHeight="1">
      <c r="C282" s="71"/>
    </row>
    <row r="283" ht="15.75" customHeight="1">
      <c r="C283" s="71"/>
    </row>
    <row r="284" ht="15.75" customHeight="1">
      <c r="C284" s="71"/>
    </row>
    <row r="285" ht="15.75" customHeight="1">
      <c r="C285" s="71"/>
    </row>
    <row r="286" ht="15.75" customHeight="1">
      <c r="C286" s="71"/>
    </row>
    <row r="287" ht="15.75" customHeight="1">
      <c r="C287" s="71"/>
    </row>
    <row r="288" ht="15.75" customHeight="1">
      <c r="C288" s="71"/>
    </row>
    <row r="289" ht="15.75" customHeight="1">
      <c r="C289" s="71"/>
    </row>
    <row r="290" ht="15.75" customHeight="1">
      <c r="C290" s="71"/>
    </row>
    <row r="291" ht="15.75" customHeight="1">
      <c r="C291" s="71"/>
    </row>
    <row r="292" ht="15.75" customHeight="1">
      <c r="C292" s="71"/>
    </row>
    <row r="293" ht="15.75" customHeight="1">
      <c r="C293" s="71"/>
    </row>
    <row r="294" ht="15.75" customHeight="1">
      <c r="C294" s="71"/>
    </row>
    <row r="295" ht="15.75" customHeight="1">
      <c r="C295" s="71"/>
    </row>
    <row r="296" ht="15.75" customHeight="1">
      <c r="C296" s="71"/>
    </row>
    <row r="297" ht="15.75" customHeight="1">
      <c r="C297" s="71"/>
    </row>
    <row r="298" ht="15.75" customHeight="1">
      <c r="C298" s="71"/>
    </row>
    <row r="299" ht="15.75" customHeight="1">
      <c r="C299" s="71"/>
    </row>
    <row r="300" ht="15.75" customHeight="1">
      <c r="C300" s="71"/>
    </row>
    <row r="301" ht="15.75" customHeight="1">
      <c r="C301" s="71"/>
    </row>
    <row r="302" ht="15.75" customHeight="1">
      <c r="C302" s="71"/>
    </row>
    <row r="303" ht="15.75" customHeight="1">
      <c r="C303" s="71"/>
    </row>
    <row r="304" ht="15.75" customHeight="1">
      <c r="C304" s="71"/>
    </row>
    <row r="305" ht="15.75" customHeight="1">
      <c r="C305" s="71"/>
    </row>
    <row r="306" ht="15.75" customHeight="1">
      <c r="C306" s="71"/>
    </row>
    <row r="307" ht="15.75" customHeight="1">
      <c r="C307" s="71"/>
    </row>
    <row r="308" ht="15.75" customHeight="1">
      <c r="C308" s="71"/>
    </row>
    <row r="309" ht="15.75" customHeight="1">
      <c r="C309" s="71"/>
    </row>
    <row r="310" ht="15.75" customHeight="1">
      <c r="C310" s="71"/>
    </row>
    <row r="311" ht="15.75" customHeight="1">
      <c r="C311" s="71"/>
    </row>
    <row r="312" ht="15.75" customHeight="1">
      <c r="C312" s="71"/>
    </row>
    <row r="313" ht="15.75" customHeight="1">
      <c r="C313" s="71"/>
    </row>
    <row r="314" ht="15.75" customHeight="1">
      <c r="C314" s="71"/>
    </row>
    <row r="315" ht="15.75" customHeight="1">
      <c r="C315" s="71"/>
    </row>
    <row r="316" ht="15.75" customHeight="1">
      <c r="C316" s="71"/>
    </row>
    <row r="317" ht="15.75" customHeight="1">
      <c r="C317" s="71"/>
    </row>
    <row r="318" ht="15.75" customHeight="1">
      <c r="C318" s="71"/>
    </row>
    <row r="319" ht="15.75" customHeight="1">
      <c r="C319" s="71"/>
    </row>
    <row r="320" ht="15.75" customHeight="1">
      <c r="C320" s="71"/>
    </row>
    <row r="321" ht="15.75" customHeight="1">
      <c r="C321" s="71"/>
    </row>
    <row r="322" ht="15.75" customHeight="1">
      <c r="C322" s="71"/>
    </row>
    <row r="323" ht="15.75" customHeight="1">
      <c r="C323" s="71"/>
    </row>
    <row r="324" ht="15.75" customHeight="1">
      <c r="C324" s="71"/>
    </row>
    <row r="325" ht="15.75" customHeight="1">
      <c r="C325" s="71"/>
    </row>
    <row r="326" ht="15.75" customHeight="1">
      <c r="C326" s="71"/>
    </row>
    <row r="327" ht="15.75" customHeight="1">
      <c r="C327" s="71"/>
    </row>
    <row r="328" ht="15.75" customHeight="1">
      <c r="C328" s="71"/>
    </row>
    <row r="329" ht="15.75" customHeight="1">
      <c r="C329" s="71"/>
    </row>
    <row r="330" ht="15.75" customHeight="1">
      <c r="C330" s="71"/>
    </row>
    <row r="331" ht="15.75" customHeight="1">
      <c r="C331" s="71"/>
    </row>
    <row r="332" ht="15.75" customHeight="1">
      <c r="C332" s="71"/>
    </row>
    <row r="333" ht="15.75" customHeight="1">
      <c r="C333" s="71"/>
    </row>
    <row r="334" ht="15.75" customHeight="1">
      <c r="C334" s="71"/>
    </row>
    <row r="335" ht="15.75" customHeight="1">
      <c r="C335" s="71"/>
    </row>
    <row r="336" ht="15.75" customHeight="1">
      <c r="C336" s="71"/>
    </row>
    <row r="337" ht="15.75" customHeight="1">
      <c r="C337" s="71"/>
    </row>
    <row r="338" ht="15.75" customHeight="1">
      <c r="C338" s="71"/>
    </row>
    <row r="339" ht="15.75" customHeight="1">
      <c r="C339" s="71"/>
    </row>
    <row r="340" ht="15.75" customHeight="1">
      <c r="C340" s="71"/>
    </row>
    <row r="341" ht="15.75" customHeight="1">
      <c r="C341" s="71"/>
    </row>
    <row r="342" ht="15.75" customHeight="1">
      <c r="C342" s="71"/>
    </row>
    <row r="343" ht="15.75" customHeight="1">
      <c r="C343" s="71"/>
    </row>
    <row r="344" ht="15.75" customHeight="1">
      <c r="C344" s="71"/>
    </row>
    <row r="345" ht="15.75" customHeight="1">
      <c r="C345" s="71"/>
    </row>
    <row r="346" ht="15.75" customHeight="1">
      <c r="C346" s="71"/>
    </row>
    <row r="347" ht="15.75" customHeight="1">
      <c r="C347" s="71"/>
    </row>
    <row r="348" ht="15.75" customHeight="1">
      <c r="C348" s="71"/>
    </row>
    <row r="349" ht="15.75" customHeight="1">
      <c r="C349" s="71"/>
    </row>
    <row r="350" ht="15.75" customHeight="1">
      <c r="C350" s="71"/>
    </row>
    <row r="351" ht="15.75" customHeight="1">
      <c r="C351" s="71"/>
    </row>
    <row r="352" ht="15.75" customHeight="1">
      <c r="C352" s="71"/>
    </row>
    <row r="353" ht="15.75" customHeight="1">
      <c r="C353" s="71"/>
    </row>
    <row r="354" ht="15.75" customHeight="1">
      <c r="C354" s="71"/>
    </row>
    <row r="355" ht="15.75" customHeight="1">
      <c r="C355" s="71"/>
    </row>
    <row r="356" ht="15.75" customHeight="1">
      <c r="C356" s="71"/>
    </row>
    <row r="357" ht="15.75" customHeight="1">
      <c r="C357" s="71"/>
    </row>
    <row r="358" ht="15.75" customHeight="1">
      <c r="C358" s="71"/>
    </row>
    <row r="359" ht="15.75" customHeight="1">
      <c r="C359" s="71"/>
    </row>
    <row r="360" ht="15.75" customHeight="1">
      <c r="C360" s="71"/>
    </row>
    <row r="361" ht="15.75" customHeight="1">
      <c r="C361" s="71"/>
    </row>
    <row r="362" ht="15.75" customHeight="1">
      <c r="C362" s="71"/>
    </row>
    <row r="363" ht="15.75" customHeight="1">
      <c r="C363" s="71"/>
    </row>
    <row r="364" ht="15.75" customHeight="1">
      <c r="C364" s="71"/>
    </row>
    <row r="365" ht="15.75" customHeight="1">
      <c r="C365" s="71"/>
    </row>
    <row r="366" ht="15.75" customHeight="1">
      <c r="C366" s="71"/>
    </row>
    <row r="367" ht="15.75" customHeight="1">
      <c r="C367" s="71"/>
    </row>
    <row r="368" ht="15.75" customHeight="1">
      <c r="C368" s="71"/>
    </row>
    <row r="369" ht="15.75" customHeight="1">
      <c r="C369" s="71"/>
    </row>
    <row r="370" ht="15.75" customHeight="1">
      <c r="C370" s="71"/>
    </row>
    <row r="371" ht="15.75" customHeight="1">
      <c r="C371" s="71"/>
    </row>
    <row r="372" ht="15.75" customHeight="1">
      <c r="C372" s="71"/>
    </row>
    <row r="373" ht="15.75" customHeight="1">
      <c r="C373" s="71"/>
    </row>
    <row r="374" ht="15.75" customHeight="1">
      <c r="C374" s="71"/>
    </row>
    <row r="375" ht="15.75" customHeight="1">
      <c r="C375" s="71"/>
    </row>
    <row r="376" ht="15.75" customHeight="1">
      <c r="C376" s="71"/>
    </row>
    <row r="377" ht="15.75" customHeight="1">
      <c r="C377" s="71"/>
    </row>
    <row r="378" ht="15.75" customHeight="1">
      <c r="C378" s="71"/>
    </row>
    <row r="379" ht="15.75" customHeight="1">
      <c r="C379" s="71"/>
    </row>
    <row r="380" ht="15.75" customHeight="1">
      <c r="C380" s="71"/>
    </row>
    <row r="381" ht="15.75" customHeight="1">
      <c r="C381" s="71"/>
    </row>
    <row r="382" ht="15.75" customHeight="1">
      <c r="C382" s="71"/>
    </row>
    <row r="383" ht="15.75" customHeight="1">
      <c r="C383" s="71"/>
    </row>
    <row r="384" ht="15.75" customHeight="1">
      <c r="C384" s="71"/>
    </row>
    <row r="385" ht="15.75" customHeight="1">
      <c r="C385" s="71"/>
    </row>
    <row r="386" ht="15.75" customHeight="1">
      <c r="C386" s="71"/>
    </row>
    <row r="387" ht="15.75" customHeight="1">
      <c r="C387" s="71"/>
    </row>
    <row r="388" ht="15.75" customHeight="1">
      <c r="C388" s="71"/>
    </row>
    <row r="389" ht="15.75" customHeight="1">
      <c r="C389" s="71"/>
    </row>
    <row r="390" ht="15.75" customHeight="1">
      <c r="C390" s="71"/>
    </row>
    <row r="391" ht="15.75" customHeight="1">
      <c r="C391" s="71"/>
    </row>
    <row r="392" ht="15.75" customHeight="1">
      <c r="C392" s="71"/>
    </row>
    <row r="393" ht="15.75" customHeight="1">
      <c r="C393" s="71"/>
    </row>
    <row r="394" ht="15.75" customHeight="1">
      <c r="C394" s="71"/>
    </row>
    <row r="395" ht="15.75" customHeight="1">
      <c r="C395" s="71"/>
    </row>
    <row r="396" ht="15.75" customHeight="1">
      <c r="C396" s="71"/>
    </row>
    <row r="397" ht="15.75" customHeight="1">
      <c r="C397" s="71"/>
    </row>
    <row r="398" ht="15.75" customHeight="1">
      <c r="C398" s="71"/>
    </row>
    <row r="399" ht="15.75" customHeight="1">
      <c r="C399" s="71"/>
    </row>
    <row r="400" ht="15.75" customHeight="1">
      <c r="C400" s="71"/>
    </row>
    <row r="401" ht="15.75" customHeight="1">
      <c r="C401" s="71"/>
    </row>
    <row r="402" ht="15.75" customHeight="1">
      <c r="C402" s="71"/>
    </row>
    <row r="403" ht="15.75" customHeight="1">
      <c r="C403" s="71"/>
    </row>
    <row r="404" ht="15.75" customHeight="1">
      <c r="C404" s="71"/>
    </row>
    <row r="405" ht="15.75" customHeight="1">
      <c r="C405" s="71"/>
    </row>
    <row r="406" ht="15.75" customHeight="1">
      <c r="C406" s="71"/>
    </row>
    <row r="407" ht="15.75" customHeight="1">
      <c r="C407" s="71"/>
    </row>
    <row r="408" ht="15.75" customHeight="1">
      <c r="C408" s="71"/>
    </row>
    <row r="409" ht="15.75" customHeight="1">
      <c r="C409" s="71"/>
    </row>
    <row r="410" ht="15.75" customHeight="1">
      <c r="C410" s="71"/>
    </row>
    <row r="411" ht="15.75" customHeight="1">
      <c r="C411" s="71"/>
    </row>
    <row r="412" ht="15.75" customHeight="1">
      <c r="C412" s="71"/>
    </row>
    <row r="413" ht="15.75" customHeight="1">
      <c r="C413" s="71"/>
    </row>
    <row r="414" ht="15.75" customHeight="1">
      <c r="C414" s="71"/>
    </row>
    <row r="415" ht="15.75" customHeight="1">
      <c r="C415" s="71"/>
    </row>
    <row r="416" ht="15.75" customHeight="1">
      <c r="C416" s="71"/>
    </row>
    <row r="417" ht="15.75" customHeight="1">
      <c r="C417" s="71"/>
    </row>
    <row r="418" ht="15.75" customHeight="1">
      <c r="C418" s="71"/>
    </row>
    <row r="419" ht="15.75" customHeight="1">
      <c r="C419" s="71"/>
    </row>
    <row r="420" ht="15.75" customHeight="1">
      <c r="C420" s="71"/>
    </row>
    <row r="421" ht="15.75" customHeight="1">
      <c r="C421" s="71"/>
    </row>
    <row r="422" ht="15.75" customHeight="1">
      <c r="C422" s="71"/>
    </row>
    <row r="423" ht="15.75" customHeight="1">
      <c r="C423" s="71"/>
    </row>
    <row r="424" ht="15.75" customHeight="1">
      <c r="C424" s="71"/>
    </row>
    <row r="425" ht="15.75" customHeight="1">
      <c r="C425" s="71"/>
    </row>
    <row r="426" ht="15.75" customHeight="1">
      <c r="C426" s="71"/>
    </row>
    <row r="427" ht="15.75" customHeight="1">
      <c r="C427" s="71"/>
    </row>
    <row r="428" ht="15.75" customHeight="1">
      <c r="C428" s="71"/>
    </row>
    <row r="429" ht="15.75" customHeight="1">
      <c r="C429" s="71"/>
    </row>
    <row r="430" ht="15.75" customHeight="1">
      <c r="C430" s="71"/>
    </row>
    <row r="431" ht="15.75" customHeight="1">
      <c r="C431" s="71"/>
    </row>
    <row r="432" ht="15.75" customHeight="1">
      <c r="C432" s="71"/>
    </row>
    <row r="433" ht="15.75" customHeight="1">
      <c r="C433" s="71"/>
    </row>
    <row r="434" ht="15.75" customHeight="1">
      <c r="C434" s="71"/>
    </row>
    <row r="435" ht="15.75" customHeight="1">
      <c r="C435" s="71"/>
    </row>
    <row r="436" ht="15.75" customHeight="1">
      <c r="C436" s="71"/>
    </row>
    <row r="437" ht="15.75" customHeight="1">
      <c r="C437" s="71"/>
    </row>
    <row r="438" ht="15.75" customHeight="1">
      <c r="C438" s="71"/>
    </row>
    <row r="439" ht="15.75" customHeight="1">
      <c r="C439" s="71"/>
    </row>
    <row r="440" ht="15.75" customHeight="1">
      <c r="C440" s="71"/>
    </row>
    <row r="441" ht="15.75" customHeight="1">
      <c r="C441" s="71"/>
    </row>
    <row r="442" ht="15.75" customHeight="1">
      <c r="C442" s="71"/>
    </row>
    <row r="443" ht="15.75" customHeight="1">
      <c r="C443" s="71"/>
    </row>
    <row r="444" ht="15.75" customHeight="1">
      <c r="C444" s="71"/>
    </row>
    <row r="445" ht="15.75" customHeight="1">
      <c r="C445" s="71"/>
    </row>
    <row r="446" ht="15.75" customHeight="1">
      <c r="C446" s="71"/>
    </row>
    <row r="447" ht="15.75" customHeight="1">
      <c r="C447" s="71"/>
    </row>
    <row r="448" ht="15.75" customHeight="1">
      <c r="C448" s="71"/>
    </row>
    <row r="449" ht="15.75" customHeight="1">
      <c r="C449" s="71"/>
    </row>
    <row r="450" ht="15.75" customHeight="1">
      <c r="C450" s="71"/>
    </row>
    <row r="451" ht="15.75" customHeight="1">
      <c r="C451" s="71"/>
    </row>
    <row r="452" ht="15.75" customHeight="1">
      <c r="C452" s="71"/>
    </row>
    <row r="453" ht="15.75" customHeight="1">
      <c r="C453" s="71"/>
    </row>
    <row r="454" ht="15.75" customHeight="1">
      <c r="C454" s="71"/>
    </row>
    <row r="455" ht="15.75" customHeight="1">
      <c r="C455" s="71"/>
    </row>
    <row r="456" ht="15.75" customHeight="1">
      <c r="C456" s="71"/>
    </row>
    <row r="457" ht="15.75" customHeight="1">
      <c r="C457" s="71"/>
    </row>
    <row r="458" ht="15.75" customHeight="1">
      <c r="C458" s="71"/>
    </row>
    <row r="459" ht="15.75" customHeight="1">
      <c r="C459" s="71"/>
    </row>
    <row r="460" ht="15.75" customHeight="1">
      <c r="C460" s="71"/>
    </row>
    <row r="461" ht="15.75" customHeight="1">
      <c r="C461" s="71"/>
    </row>
    <row r="462" ht="15.75" customHeight="1">
      <c r="C462" s="71"/>
    </row>
    <row r="463" ht="15.75" customHeight="1">
      <c r="C463" s="71"/>
    </row>
    <row r="464" ht="15.75" customHeight="1">
      <c r="C464" s="71"/>
    </row>
    <row r="465" ht="15.75" customHeight="1">
      <c r="C465" s="71"/>
    </row>
    <row r="466" ht="15.75" customHeight="1">
      <c r="C466" s="71"/>
    </row>
    <row r="467" ht="15.75" customHeight="1">
      <c r="C467" s="71"/>
    </row>
    <row r="468" ht="15.75" customHeight="1">
      <c r="C468" s="71"/>
    </row>
    <row r="469" ht="15.75" customHeight="1">
      <c r="C469" s="71"/>
    </row>
    <row r="470" ht="15.75" customHeight="1">
      <c r="C470" s="71"/>
    </row>
    <row r="471" ht="15.75" customHeight="1">
      <c r="C471" s="71"/>
    </row>
    <row r="472" ht="15.75" customHeight="1">
      <c r="C472" s="71"/>
    </row>
    <row r="473" ht="15.75" customHeight="1">
      <c r="C473" s="71"/>
    </row>
    <row r="474" ht="15.75" customHeight="1">
      <c r="C474" s="71"/>
    </row>
    <row r="475" ht="15.75" customHeight="1">
      <c r="C475" s="71"/>
    </row>
    <row r="476" ht="15.75" customHeight="1">
      <c r="C476" s="71"/>
    </row>
    <row r="477" ht="15.75" customHeight="1">
      <c r="C477" s="71"/>
    </row>
    <row r="478" ht="15.75" customHeight="1">
      <c r="C478" s="71"/>
    </row>
    <row r="479" ht="15.75" customHeight="1">
      <c r="C479" s="71"/>
    </row>
    <row r="480" ht="15.75" customHeight="1">
      <c r="C480" s="71"/>
    </row>
    <row r="481" ht="15.75" customHeight="1">
      <c r="C481" s="71"/>
    </row>
    <row r="482" ht="15.75" customHeight="1">
      <c r="C482" s="71"/>
    </row>
    <row r="483" ht="15.75" customHeight="1">
      <c r="C483" s="71"/>
    </row>
    <row r="484" ht="15.75" customHeight="1">
      <c r="C484" s="71"/>
    </row>
    <row r="485" ht="15.75" customHeight="1">
      <c r="C485" s="71"/>
    </row>
    <row r="486" ht="15.75" customHeight="1">
      <c r="C486" s="71"/>
    </row>
    <row r="487" ht="15.75" customHeight="1">
      <c r="C487" s="71"/>
    </row>
    <row r="488" ht="15.75" customHeight="1">
      <c r="C488" s="71"/>
    </row>
    <row r="489" ht="15.75" customHeight="1">
      <c r="C489" s="71"/>
    </row>
    <row r="490" ht="15.75" customHeight="1">
      <c r="C490" s="71"/>
    </row>
    <row r="491" ht="15.75" customHeight="1">
      <c r="C491" s="71"/>
    </row>
    <row r="492" ht="15.75" customHeight="1">
      <c r="C492" s="71"/>
    </row>
    <row r="493" ht="15.75" customHeight="1">
      <c r="C493" s="71"/>
    </row>
    <row r="494" ht="15.75" customHeight="1">
      <c r="C494" s="71"/>
    </row>
    <row r="495" ht="15.75" customHeight="1">
      <c r="C495" s="71"/>
    </row>
    <row r="496" ht="15.75" customHeight="1">
      <c r="C496" s="71"/>
    </row>
    <row r="497" ht="15.75" customHeight="1">
      <c r="C497" s="71"/>
    </row>
    <row r="498" ht="15.75" customHeight="1">
      <c r="C498" s="71"/>
    </row>
    <row r="499" ht="15.75" customHeight="1">
      <c r="C499" s="71"/>
    </row>
    <row r="500" ht="15.75" customHeight="1">
      <c r="C500" s="71"/>
    </row>
    <row r="501" ht="15.75" customHeight="1">
      <c r="C501" s="71"/>
    </row>
    <row r="502" ht="15.75" customHeight="1">
      <c r="C502" s="71"/>
    </row>
    <row r="503" ht="15.75" customHeight="1">
      <c r="C503" s="71"/>
    </row>
    <row r="504" ht="15.75" customHeight="1">
      <c r="C504" s="71"/>
    </row>
    <row r="505" ht="15.75" customHeight="1">
      <c r="C505" s="71"/>
    </row>
    <row r="506" ht="15.75" customHeight="1">
      <c r="C506" s="71"/>
    </row>
    <row r="507" ht="15.75" customHeight="1">
      <c r="C507" s="71"/>
    </row>
    <row r="508" ht="15.75" customHeight="1">
      <c r="C508" s="71"/>
    </row>
    <row r="509" ht="15.75" customHeight="1">
      <c r="C509" s="71"/>
    </row>
    <row r="510" ht="15.75" customHeight="1">
      <c r="C510" s="71"/>
    </row>
    <row r="511" ht="15.75" customHeight="1">
      <c r="C511" s="71"/>
    </row>
    <row r="512" ht="15.75" customHeight="1">
      <c r="C512" s="71"/>
    </row>
    <row r="513" ht="15.75" customHeight="1">
      <c r="C513" s="71"/>
    </row>
    <row r="514" ht="15.75" customHeight="1">
      <c r="C514" s="71"/>
    </row>
    <row r="515" ht="15.75" customHeight="1">
      <c r="C515" s="71"/>
    </row>
    <row r="516" ht="15.75" customHeight="1">
      <c r="C516" s="71"/>
    </row>
    <row r="517" ht="15.75" customHeight="1">
      <c r="C517" s="71"/>
    </row>
    <row r="518" ht="15.75" customHeight="1">
      <c r="C518" s="71"/>
    </row>
    <row r="519" ht="15.75" customHeight="1">
      <c r="C519" s="71"/>
    </row>
    <row r="520" ht="15.75" customHeight="1">
      <c r="C520" s="71"/>
    </row>
    <row r="521" ht="15.75" customHeight="1">
      <c r="C521" s="71"/>
    </row>
    <row r="522" ht="15.75" customHeight="1">
      <c r="C522" s="71"/>
    </row>
    <row r="523" ht="15.75" customHeight="1">
      <c r="C523" s="71"/>
    </row>
    <row r="524" ht="15.75" customHeight="1">
      <c r="C524" s="71"/>
    </row>
    <row r="525" ht="15.75" customHeight="1">
      <c r="C525" s="71"/>
    </row>
    <row r="526" ht="15.75" customHeight="1">
      <c r="C526" s="71"/>
    </row>
    <row r="527" ht="15.75" customHeight="1">
      <c r="C527" s="71"/>
    </row>
    <row r="528" ht="15.75" customHeight="1">
      <c r="C528" s="71"/>
    </row>
    <row r="529" ht="15.75" customHeight="1">
      <c r="C529" s="71"/>
    </row>
    <row r="530" ht="15.75" customHeight="1">
      <c r="C530" s="71"/>
    </row>
    <row r="531" ht="15.75" customHeight="1">
      <c r="C531" s="71"/>
    </row>
    <row r="532" ht="15.75" customHeight="1">
      <c r="C532" s="71"/>
    </row>
    <row r="533" ht="15.75" customHeight="1">
      <c r="C533" s="71"/>
    </row>
    <row r="534" ht="15.75" customHeight="1">
      <c r="C534" s="71"/>
    </row>
    <row r="535" ht="15.75" customHeight="1">
      <c r="C535" s="71"/>
    </row>
    <row r="536" ht="15.75" customHeight="1">
      <c r="C536" s="71"/>
    </row>
    <row r="537" ht="15.75" customHeight="1">
      <c r="C537" s="71"/>
    </row>
    <row r="538" ht="15.75" customHeight="1">
      <c r="C538" s="71"/>
    </row>
    <row r="539" ht="15.75" customHeight="1">
      <c r="C539" s="71"/>
    </row>
    <row r="540" ht="15.75" customHeight="1">
      <c r="C540" s="71"/>
    </row>
    <row r="541" ht="15.75" customHeight="1">
      <c r="C541" s="71"/>
    </row>
    <row r="542" ht="15.75" customHeight="1">
      <c r="C542" s="71"/>
    </row>
    <row r="543" ht="15.75" customHeight="1">
      <c r="C543" s="71"/>
    </row>
    <row r="544" ht="15.75" customHeight="1">
      <c r="C544" s="71"/>
    </row>
    <row r="545" ht="15.75" customHeight="1">
      <c r="C545" s="71"/>
    </row>
    <row r="546" ht="15.75" customHeight="1">
      <c r="C546" s="71"/>
    </row>
    <row r="547" ht="15.75" customHeight="1">
      <c r="C547" s="71"/>
    </row>
    <row r="548" ht="15.75" customHeight="1">
      <c r="C548" s="71"/>
    </row>
    <row r="549" ht="15.75" customHeight="1">
      <c r="C549" s="71"/>
    </row>
    <row r="550" ht="15.75" customHeight="1">
      <c r="C550" s="71"/>
    </row>
    <row r="551" ht="15.75" customHeight="1">
      <c r="C551" s="71"/>
    </row>
    <row r="552" ht="15.75" customHeight="1">
      <c r="C552" s="71"/>
    </row>
    <row r="553" ht="15.75" customHeight="1">
      <c r="C553" s="71"/>
    </row>
    <row r="554" ht="15.75" customHeight="1">
      <c r="C554" s="71"/>
    </row>
    <row r="555" ht="15.75" customHeight="1">
      <c r="C555" s="71"/>
    </row>
    <row r="556" ht="15.75" customHeight="1">
      <c r="C556" s="71"/>
    </row>
    <row r="557" ht="15.75" customHeight="1">
      <c r="C557" s="71"/>
    </row>
    <row r="558" ht="15.75" customHeight="1">
      <c r="C558" s="71"/>
    </row>
    <row r="559" ht="15.75" customHeight="1">
      <c r="C559" s="71"/>
    </row>
    <row r="560" ht="15.75" customHeight="1">
      <c r="C560" s="71"/>
    </row>
    <row r="561" ht="15.75" customHeight="1">
      <c r="C561" s="71"/>
    </row>
    <row r="562" ht="15.75" customHeight="1">
      <c r="C562" s="71"/>
    </row>
    <row r="563" ht="15.75" customHeight="1">
      <c r="C563" s="71"/>
    </row>
    <row r="564" ht="15.75" customHeight="1">
      <c r="C564" s="71"/>
    </row>
    <row r="565" ht="15.75" customHeight="1">
      <c r="C565" s="71"/>
    </row>
    <row r="566" ht="15.75" customHeight="1">
      <c r="C566" s="71"/>
    </row>
    <row r="567" ht="15.75" customHeight="1">
      <c r="C567" s="71"/>
    </row>
    <row r="568" ht="15.75" customHeight="1">
      <c r="C568" s="71"/>
    </row>
    <row r="569" ht="15.75" customHeight="1">
      <c r="C569" s="71"/>
    </row>
    <row r="570" ht="15.75" customHeight="1">
      <c r="C570" s="71"/>
    </row>
    <row r="571" ht="15.75" customHeight="1">
      <c r="C571" s="71"/>
    </row>
    <row r="572" ht="15.75" customHeight="1">
      <c r="C572" s="71"/>
    </row>
    <row r="573" ht="15.75" customHeight="1">
      <c r="C573" s="71"/>
    </row>
    <row r="574" ht="15.75" customHeight="1">
      <c r="C574" s="71"/>
    </row>
    <row r="575" ht="15.75" customHeight="1">
      <c r="C575" s="71"/>
    </row>
    <row r="576" ht="15.75" customHeight="1">
      <c r="C576" s="71"/>
    </row>
    <row r="577" ht="15.75" customHeight="1">
      <c r="C577" s="71"/>
    </row>
    <row r="578" ht="15.75" customHeight="1">
      <c r="C578" s="71"/>
    </row>
    <row r="579" ht="15.75" customHeight="1">
      <c r="C579" s="71"/>
    </row>
    <row r="580" ht="15.75" customHeight="1">
      <c r="C580" s="71"/>
    </row>
    <row r="581" ht="15.75" customHeight="1">
      <c r="C581" s="71"/>
    </row>
    <row r="582" ht="15.75" customHeight="1">
      <c r="C582" s="71"/>
    </row>
    <row r="583" ht="15.75" customHeight="1">
      <c r="C583" s="71"/>
    </row>
    <row r="584" ht="15.75" customHeight="1">
      <c r="C584" s="71"/>
    </row>
    <row r="585" ht="15.75" customHeight="1">
      <c r="C585" s="71"/>
    </row>
    <row r="586" ht="15.75" customHeight="1">
      <c r="C586" s="71"/>
    </row>
    <row r="587" ht="15.75" customHeight="1">
      <c r="C587" s="71"/>
    </row>
    <row r="588" ht="15.75" customHeight="1">
      <c r="C588" s="71"/>
    </row>
    <row r="589" ht="15.75" customHeight="1">
      <c r="C589" s="71"/>
    </row>
    <row r="590" ht="15.75" customHeight="1">
      <c r="C590" s="71"/>
    </row>
    <row r="591" ht="15.75" customHeight="1">
      <c r="C591" s="71"/>
    </row>
    <row r="592" ht="15.75" customHeight="1">
      <c r="C592" s="71"/>
    </row>
    <row r="593" ht="15.75" customHeight="1">
      <c r="C593" s="71"/>
    </row>
    <row r="594" ht="15.75" customHeight="1">
      <c r="C594" s="71"/>
    </row>
    <row r="595" ht="15.75" customHeight="1">
      <c r="C595" s="71"/>
    </row>
    <row r="596" ht="15.75" customHeight="1">
      <c r="C596" s="71"/>
    </row>
    <row r="597" ht="15.75" customHeight="1">
      <c r="C597" s="71"/>
    </row>
    <row r="598" ht="15.75" customHeight="1">
      <c r="C598" s="71"/>
    </row>
    <row r="599" ht="15.75" customHeight="1">
      <c r="C599" s="71"/>
    </row>
    <row r="600" ht="15.75" customHeight="1">
      <c r="C600" s="71"/>
    </row>
    <row r="601" ht="15.75" customHeight="1">
      <c r="C601" s="71"/>
    </row>
    <row r="602" ht="15.75" customHeight="1">
      <c r="C602" s="71"/>
    </row>
    <row r="603" ht="15.75" customHeight="1">
      <c r="C603" s="71"/>
    </row>
    <row r="604" ht="15.75" customHeight="1">
      <c r="C604" s="71"/>
    </row>
    <row r="605" ht="15.75" customHeight="1">
      <c r="C605" s="71"/>
    </row>
    <row r="606" ht="15.75" customHeight="1">
      <c r="C606" s="71"/>
    </row>
    <row r="607" ht="15.75" customHeight="1">
      <c r="C607" s="71"/>
    </row>
    <row r="608" ht="15.75" customHeight="1">
      <c r="C608" s="71"/>
    </row>
    <row r="609" ht="15.75" customHeight="1">
      <c r="C609" s="71"/>
    </row>
    <row r="610" ht="15.75" customHeight="1">
      <c r="C610" s="71"/>
    </row>
    <row r="611" ht="15.75" customHeight="1">
      <c r="C611" s="71"/>
    </row>
    <row r="612" ht="15.75" customHeight="1">
      <c r="C612" s="71"/>
    </row>
    <row r="613" ht="15.75" customHeight="1">
      <c r="C613" s="71"/>
    </row>
    <row r="614" ht="15.75" customHeight="1">
      <c r="C614" s="71"/>
    </row>
    <row r="615" ht="15.75" customHeight="1">
      <c r="C615" s="71"/>
    </row>
    <row r="616" ht="15.75" customHeight="1">
      <c r="C616" s="71"/>
    </row>
    <row r="617" ht="15.75" customHeight="1">
      <c r="C617" s="71"/>
    </row>
    <row r="618" ht="15.75" customHeight="1">
      <c r="C618" s="71"/>
    </row>
    <row r="619" ht="15.75" customHeight="1">
      <c r="C619" s="71"/>
    </row>
    <row r="620" ht="15.75" customHeight="1">
      <c r="C620" s="71"/>
    </row>
    <row r="621" ht="15.75" customHeight="1">
      <c r="C621" s="71"/>
    </row>
    <row r="622" ht="15.75" customHeight="1">
      <c r="C622" s="71"/>
    </row>
    <row r="623" ht="15.75" customHeight="1">
      <c r="C623" s="71"/>
    </row>
    <row r="624" ht="15.75" customHeight="1">
      <c r="C624" s="71"/>
    </row>
    <row r="625" ht="15.75" customHeight="1">
      <c r="C625" s="71"/>
    </row>
    <row r="626" ht="15.75" customHeight="1">
      <c r="C626" s="71"/>
    </row>
    <row r="627" ht="15.75" customHeight="1">
      <c r="C627" s="71"/>
    </row>
    <row r="628" ht="15.75" customHeight="1">
      <c r="C628" s="71"/>
    </row>
    <row r="629" ht="15.75" customHeight="1">
      <c r="C629" s="71"/>
    </row>
    <row r="630" ht="15.75" customHeight="1">
      <c r="C630" s="71"/>
    </row>
    <row r="631" ht="15.75" customHeight="1">
      <c r="C631" s="71"/>
    </row>
    <row r="632" ht="15.75" customHeight="1">
      <c r="C632" s="71"/>
    </row>
    <row r="633" ht="15.75" customHeight="1">
      <c r="C633" s="71"/>
    </row>
    <row r="634" ht="15.75" customHeight="1">
      <c r="C634" s="71"/>
    </row>
    <row r="635" ht="15.75" customHeight="1">
      <c r="C635" s="71"/>
    </row>
    <row r="636" ht="15.75" customHeight="1">
      <c r="C636" s="71"/>
    </row>
    <row r="637" ht="15.75" customHeight="1">
      <c r="C637" s="71"/>
    </row>
    <row r="638" ht="15.75" customHeight="1">
      <c r="C638" s="71"/>
    </row>
    <row r="639" ht="15.75" customHeight="1">
      <c r="C639" s="71"/>
    </row>
    <row r="640" ht="15.75" customHeight="1">
      <c r="C640" s="71"/>
    </row>
    <row r="641" ht="15.75" customHeight="1">
      <c r="C641" s="71"/>
    </row>
    <row r="642" ht="15.75" customHeight="1">
      <c r="C642" s="71"/>
    </row>
    <row r="643" ht="15.75" customHeight="1">
      <c r="C643" s="71"/>
    </row>
    <row r="644" ht="15.75" customHeight="1">
      <c r="C644" s="71"/>
    </row>
    <row r="645" ht="15.75" customHeight="1">
      <c r="C645" s="71"/>
    </row>
    <row r="646" ht="15.75" customHeight="1">
      <c r="C646" s="71"/>
    </row>
    <row r="647" ht="15.75" customHeight="1">
      <c r="C647" s="71"/>
    </row>
    <row r="648" ht="15.75" customHeight="1">
      <c r="C648" s="71"/>
    </row>
    <row r="649" ht="15.75" customHeight="1">
      <c r="C649" s="71"/>
    </row>
    <row r="650" ht="15.75" customHeight="1">
      <c r="C650" s="71"/>
    </row>
    <row r="651" ht="15.75" customHeight="1">
      <c r="C651" s="71"/>
    </row>
    <row r="652" ht="15.75" customHeight="1">
      <c r="C652" s="71"/>
    </row>
    <row r="653" ht="15.75" customHeight="1">
      <c r="C653" s="71"/>
    </row>
    <row r="654" ht="15.75" customHeight="1">
      <c r="C654" s="71"/>
    </row>
    <row r="655" ht="15.75" customHeight="1">
      <c r="C655" s="71"/>
    </row>
    <row r="656" ht="15.75" customHeight="1">
      <c r="C656" s="71"/>
    </row>
    <row r="657" ht="15.75" customHeight="1">
      <c r="C657" s="71"/>
    </row>
    <row r="658" ht="15.75" customHeight="1">
      <c r="C658" s="71"/>
    </row>
    <row r="659" ht="15.75" customHeight="1">
      <c r="C659" s="71"/>
    </row>
    <row r="660" ht="15.75" customHeight="1">
      <c r="C660" s="71"/>
    </row>
    <row r="661" ht="15.75" customHeight="1">
      <c r="C661" s="71"/>
    </row>
    <row r="662" ht="15.75" customHeight="1">
      <c r="C662" s="71"/>
    </row>
    <row r="663" ht="15.75" customHeight="1">
      <c r="C663" s="71"/>
    </row>
    <row r="664" ht="15.75" customHeight="1">
      <c r="C664" s="71"/>
    </row>
    <row r="665" ht="15.75" customHeight="1">
      <c r="C665" s="71"/>
    </row>
    <row r="666" ht="15.75" customHeight="1">
      <c r="C666" s="71"/>
    </row>
    <row r="667" ht="15.75" customHeight="1">
      <c r="C667" s="71"/>
    </row>
    <row r="668" ht="15.75" customHeight="1">
      <c r="C668" s="71"/>
    </row>
    <row r="669" ht="15.75" customHeight="1">
      <c r="C669" s="71"/>
    </row>
    <row r="670" ht="15.75" customHeight="1">
      <c r="C670" s="71"/>
    </row>
    <row r="671" ht="15.75" customHeight="1">
      <c r="C671" s="71"/>
    </row>
    <row r="672" ht="15.75" customHeight="1">
      <c r="C672" s="71"/>
    </row>
    <row r="673" ht="15.75" customHeight="1">
      <c r="C673" s="71"/>
    </row>
    <row r="674" ht="15.75" customHeight="1">
      <c r="C674" s="71"/>
    </row>
    <row r="675" ht="15.75" customHeight="1">
      <c r="C675" s="71"/>
    </row>
    <row r="676" ht="15.75" customHeight="1">
      <c r="C676" s="71"/>
    </row>
    <row r="677" ht="15.75" customHeight="1">
      <c r="C677" s="71"/>
    </row>
    <row r="678" ht="15.75" customHeight="1">
      <c r="C678" s="71"/>
    </row>
    <row r="679" ht="15.75" customHeight="1">
      <c r="C679" s="71"/>
    </row>
    <row r="680" ht="15.75" customHeight="1">
      <c r="C680" s="71"/>
    </row>
    <row r="681" ht="15.75" customHeight="1">
      <c r="C681" s="71"/>
    </row>
    <row r="682" ht="15.75" customHeight="1">
      <c r="C682" s="71"/>
    </row>
    <row r="683" ht="15.75" customHeight="1">
      <c r="C683" s="71"/>
    </row>
    <row r="684" ht="15.75" customHeight="1">
      <c r="C684" s="71"/>
    </row>
    <row r="685" ht="15.75" customHeight="1">
      <c r="C685" s="71"/>
    </row>
    <row r="686" ht="15.75" customHeight="1">
      <c r="C686" s="71"/>
    </row>
    <row r="687" ht="15.75" customHeight="1">
      <c r="C687" s="71"/>
    </row>
    <row r="688" ht="15.75" customHeight="1">
      <c r="C688" s="71"/>
    </row>
    <row r="689" ht="15.75" customHeight="1">
      <c r="C689" s="71"/>
    </row>
    <row r="690" ht="15.75" customHeight="1">
      <c r="C690" s="71"/>
    </row>
    <row r="691" ht="15.75" customHeight="1">
      <c r="C691" s="71"/>
    </row>
    <row r="692" ht="15.75" customHeight="1">
      <c r="C692" s="71"/>
    </row>
    <row r="693" ht="15.75" customHeight="1">
      <c r="C693" s="71"/>
    </row>
    <row r="694" ht="15.75" customHeight="1">
      <c r="C694" s="71"/>
    </row>
    <row r="695" ht="15.75" customHeight="1">
      <c r="C695" s="71"/>
    </row>
    <row r="696" ht="15.75" customHeight="1">
      <c r="C696" s="71"/>
    </row>
    <row r="697" ht="15.75" customHeight="1">
      <c r="C697" s="71"/>
    </row>
    <row r="698" ht="15.75" customHeight="1">
      <c r="C698" s="71"/>
    </row>
    <row r="699" ht="15.75" customHeight="1">
      <c r="C699" s="71"/>
    </row>
    <row r="700" ht="15.75" customHeight="1">
      <c r="C700" s="71"/>
    </row>
    <row r="701" ht="15.75" customHeight="1">
      <c r="C701" s="71"/>
    </row>
    <row r="702" ht="15.75" customHeight="1">
      <c r="C702" s="71"/>
    </row>
    <row r="703" ht="15.75" customHeight="1">
      <c r="C703" s="71"/>
    </row>
    <row r="704" ht="15.75" customHeight="1">
      <c r="C704" s="71"/>
    </row>
    <row r="705" ht="15.75" customHeight="1">
      <c r="C705" s="71"/>
    </row>
    <row r="706" ht="15.75" customHeight="1">
      <c r="C706" s="71"/>
    </row>
    <row r="707" ht="15.75" customHeight="1">
      <c r="C707" s="71"/>
    </row>
    <row r="708" ht="15.75" customHeight="1">
      <c r="C708" s="71"/>
    </row>
    <row r="709" ht="15.75" customHeight="1">
      <c r="C709" s="71"/>
    </row>
    <row r="710" ht="15.75" customHeight="1">
      <c r="C710" s="71"/>
    </row>
    <row r="711" ht="15.75" customHeight="1">
      <c r="C711" s="71"/>
    </row>
    <row r="712" ht="15.75" customHeight="1">
      <c r="C712" s="71"/>
    </row>
    <row r="713" ht="15.75" customHeight="1">
      <c r="C713" s="71"/>
    </row>
    <row r="714" ht="15.75" customHeight="1">
      <c r="C714" s="71"/>
    </row>
    <row r="715" ht="15.75" customHeight="1">
      <c r="C715" s="71"/>
    </row>
    <row r="716" ht="15.75" customHeight="1">
      <c r="C716" s="71"/>
    </row>
    <row r="717" ht="15.75" customHeight="1">
      <c r="C717" s="71"/>
    </row>
    <row r="718" ht="15.75" customHeight="1">
      <c r="C718" s="71"/>
    </row>
    <row r="719" ht="15.75" customHeight="1">
      <c r="C719" s="71"/>
    </row>
    <row r="720" ht="15.75" customHeight="1">
      <c r="C720" s="71"/>
    </row>
    <row r="721" ht="15.75" customHeight="1">
      <c r="C721" s="71"/>
    </row>
    <row r="722" ht="15.75" customHeight="1">
      <c r="C722" s="71"/>
    </row>
    <row r="723" ht="15.75" customHeight="1">
      <c r="C723" s="71"/>
    </row>
    <row r="724" ht="15.75" customHeight="1">
      <c r="C724" s="71"/>
    </row>
    <row r="725" ht="15.75" customHeight="1">
      <c r="C725" s="71"/>
    </row>
    <row r="726" ht="15.75" customHeight="1">
      <c r="C726" s="71"/>
    </row>
    <row r="727" ht="15.75" customHeight="1">
      <c r="C727" s="71"/>
    </row>
    <row r="728" ht="15.75" customHeight="1">
      <c r="C728" s="71"/>
    </row>
    <row r="729" ht="15.75" customHeight="1">
      <c r="C729" s="71"/>
    </row>
    <row r="730" ht="15.75" customHeight="1">
      <c r="C730" s="71"/>
    </row>
    <row r="731" ht="15.75" customHeight="1">
      <c r="C731" s="71"/>
    </row>
    <row r="732" ht="15.75" customHeight="1">
      <c r="C732" s="71"/>
    </row>
    <row r="733" ht="15.75" customHeight="1">
      <c r="C733" s="71"/>
    </row>
    <row r="734" ht="15.75" customHeight="1">
      <c r="C734" s="71"/>
    </row>
    <row r="735" ht="15.75" customHeight="1">
      <c r="C735" s="71"/>
    </row>
    <row r="736" ht="15.75" customHeight="1">
      <c r="C736" s="71"/>
    </row>
    <row r="737" ht="15.75" customHeight="1">
      <c r="C737" s="71"/>
    </row>
    <row r="738" ht="15.75" customHeight="1">
      <c r="C738" s="71"/>
    </row>
    <row r="739" ht="15.75" customHeight="1">
      <c r="C739" s="71"/>
    </row>
    <row r="740" ht="15.75" customHeight="1">
      <c r="C740" s="71"/>
    </row>
    <row r="741" ht="15.75" customHeight="1">
      <c r="C741" s="71"/>
    </row>
    <row r="742" ht="15.75" customHeight="1">
      <c r="C742" s="71"/>
    </row>
    <row r="743" ht="15.75" customHeight="1">
      <c r="C743" s="71"/>
    </row>
    <row r="744" ht="15.75" customHeight="1">
      <c r="C744" s="71"/>
    </row>
    <row r="745" ht="15.75" customHeight="1">
      <c r="C745" s="71"/>
    </row>
    <row r="746" ht="15.75" customHeight="1">
      <c r="C746" s="71"/>
    </row>
    <row r="747" ht="15.75" customHeight="1">
      <c r="C747" s="71"/>
    </row>
    <row r="748" ht="15.75" customHeight="1">
      <c r="C748" s="71"/>
    </row>
    <row r="749" ht="15.75" customHeight="1">
      <c r="C749" s="71"/>
    </row>
    <row r="750" ht="15.75" customHeight="1">
      <c r="C750" s="71"/>
    </row>
    <row r="751" ht="15.75" customHeight="1">
      <c r="C751" s="71"/>
    </row>
    <row r="752" ht="15.75" customHeight="1">
      <c r="C752" s="71"/>
    </row>
    <row r="753" ht="15.75" customHeight="1">
      <c r="C753" s="71"/>
    </row>
    <row r="754" ht="15.75" customHeight="1">
      <c r="C754" s="71"/>
    </row>
    <row r="755" ht="15.75" customHeight="1">
      <c r="C755" s="71"/>
    </row>
    <row r="756" ht="15.75" customHeight="1">
      <c r="C756" s="71"/>
    </row>
    <row r="757" ht="15.75" customHeight="1">
      <c r="C757" s="71"/>
    </row>
    <row r="758" ht="15.75" customHeight="1">
      <c r="C758" s="71"/>
    </row>
    <row r="759" ht="15.75" customHeight="1">
      <c r="C759" s="71"/>
    </row>
    <row r="760" ht="15.75" customHeight="1">
      <c r="C760" s="71"/>
    </row>
    <row r="761" ht="15.75" customHeight="1">
      <c r="C761" s="71"/>
    </row>
    <row r="762" ht="15.75" customHeight="1">
      <c r="C762" s="71"/>
    </row>
    <row r="763" ht="15.75" customHeight="1">
      <c r="C763" s="71"/>
    </row>
    <row r="764" ht="15.75" customHeight="1">
      <c r="C764" s="71"/>
    </row>
    <row r="765" ht="15.75" customHeight="1">
      <c r="C765" s="71"/>
    </row>
    <row r="766" ht="15.75" customHeight="1">
      <c r="C766" s="71"/>
    </row>
    <row r="767" ht="15.75" customHeight="1">
      <c r="C767" s="71"/>
    </row>
    <row r="768" ht="15.75" customHeight="1">
      <c r="C768" s="71"/>
    </row>
    <row r="769" ht="15.75" customHeight="1">
      <c r="C769" s="71"/>
    </row>
    <row r="770" ht="15.75" customHeight="1">
      <c r="C770" s="71"/>
    </row>
    <row r="771" ht="15.75" customHeight="1">
      <c r="C771" s="71"/>
    </row>
    <row r="772" ht="15.75" customHeight="1">
      <c r="C772" s="71"/>
    </row>
    <row r="773" ht="15.75" customHeight="1">
      <c r="C773" s="71"/>
    </row>
    <row r="774" ht="15.75" customHeight="1">
      <c r="C774" s="71"/>
    </row>
    <row r="775" ht="15.75" customHeight="1">
      <c r="C775" s="71"/>
    </row>
    <row r="776" ht="15.75" customHeight="1">
      <c r="C776" s="71"/>
    </row>
    <row r="777" ht="15.75" customHeight="1">
      <c r="C777" s="71"/>
    </row>
    <row r="778" ht="15.75" customHeight="1">
      <c r="C778" s="71"/>
    </row>
    <row r="779" ht="15.75" customHeight="1">
      <c r="C779" s="71"/>
    </row>
    <row r="780" ht="15.75" customHeight="1">
      <c r="C780" s="71"/>
    </row>
    <row r="781" ht="15.75" customHeight="1">
      <c r="C781" s="71"/>
    </row>
    <row r="782" ht="15.75" customHeight="1">
      <c r="C782" s="71"/>
    </row>
    <row r="783" ht="15.75" customHeight="1">
      <c r="C783" s="71"/>
    </row>
    <row r="784" ht="15.75" customHeight="1">
      <c r="C784" s="71"/>
    </row>
    <row r="785" ht="15.75" customHeight="1">
      <c r="C785" s="71"/>
    </row>
    <row r="786" ht="15.75" customHeight="1">
      <c r="C786" s="71"/>
    </row>
    <row r="787" ht="15.75" customHeight="1">
      <c r="C787" s="71"/>
    </row>
    <row r="788" ht="15.75" customHeight="1">
      <c r="C788" s="71"/>
    </row>
    <row r="789" ht="15.75" customHeight="1">
      <c r="C789" s="71"/>
    </row>
    <row r="790" ht="15.75" customHeight="1">
      <c r="C790" s="71"/>
    </row>
    <row r="791" ht="15.75" customHeight="1">
      <c r="C791" s="71"/>
    </row>
    <row r="792" ht="15.75" customHeight="1">
      <c r="C792" s="71"/>
    </row>
    <row r="793" ht="15.75" customHeight="1">
      <c r="C793" s="71"/>
    </row>
    <row r="794" ht="15.75" customHeight="1">
      <c r="C794" s="71"/>
    </row>
    <row r="795" ht="15.75" customHeight="1">
      <c r="C795" s="71"/>
    </row>
    <row r="796" ht="15.75" customHeight="1">
      <c r="C796" s="71"/>
    </row>
    <row r="797" ht="15.75" customHeight="1">
      <c r="C797" s="71"/>
    </row>
    <row r="798" ht="15.75" customHeight="1">
      <c r="C798" s="71"/>
    </row>
    <row r="799" ht="15.75" customHeight="1">
      <c r="C799" s="71"/>
    </row>
    <row r="800" ht="15.75" customHeight="1">
      <c r="C800" s="71"/>
    </row>
    <row r="801" ht="15.75" customHeight="1">
      <c r="C801" s="71"/>
    </row>
    <row r="802" ht="15.75" customHeight="1">
      <c r="C802" s="71"/>
    </row>
    <row r="803" ht="15.75" customHeight="1">
      <c r="C803" s="71"/>
    </row>
    <row r="804" ht="15.75" customHeight="1">
      <c r="C804" s="71"/>
    </row>
    <row r="805" ht="15.75" customHeight="1">
      <c r="C805" s="71"/>
    </row>
    <row r="806" ht="15.75" customHeight="1">
      <c r="C806" s="71"/>
    </row>
    <row r="807" ht="15.75" customHeight="1">
      <c r="C807" s="71"/>
    </row>
    <row r="808" ht="15.75" customHeight="1">
      <c r="C808" s="71"/>
    </row>
    <row r="809" ht="15.75" customHeight="1">
      <c r="C809" s="71"/>
    </row>
    <row r="810" ht="15.75" customHeight="1">
      <c r="C810" s="71"/>
    </row>
    <row r="811" ht="15.75" customHeight="1">
      <c r="C811" s="71"/>
    </row>
    <row r="812" ht="15.75" customHeight="1">
      <c r="C812" s="71"/>
    </row>
    <row r="813" ht="15.75" customHeight="1">
      <c r="C813" s="71"/>
    </row>
    <row r="814" ht="15.75" customHeight="1">
      <c r="C814" s="71"/>
    </row>
    <row r="815" ht="15.75" customHeight="1">
      <c r="C815" s="71"/>
    </row>
    <row r="816" ht="15.75" customHeight="1">
      <c r="C816" s="71"/>
    </row>
    <row r="817" ht="15.75" customHeight="1">
      <c r="C817" s="71"/>
    </row>
    <row r="818" ht="15.75" customHeight="1">
      <c r="C818" s="71"/>
    </row>
    <row r="819" ht="15.75" customHeight="1">
      <c r="C819" s="71"/>
    </row>
    <row r="820" ht="15.75" customHeight="1">
      <c r="C820" s="71"/>
    </row>
    <row r="821" ht="15.75" customHeight="1">
      <c r="C821" s="71"/>
    </row>
    <row r="822" ht="15.75" customHeight="1">
      <c r="C822" s="71"/>
    </row>
    <row r="823" ht="15.75" customHeight="1">
      <c r="C823" s="71"/>
    </row>
    <row r="824" ht="15.75" customHeight="1">
      <c r="C824" s="71"/>
    </row>
    <row r="825" ht="15.75" customHeight="1">
      <c r="C825" s="71"/>
    </row>
    <row r="826" ht="15.75" customHeight="1">
      <c r="C826" s="71"/>
    </row>
    <row r="827" ht="15.75" customHeight="1">
      <c r="C827" s="71"/>
    </row>
    <row r="828" ht="15.75" customHeight="1">
      <c r="C828" s="71"/>
    </row>
    <row r="829" ht="15.75" customHeight="1">
      <c r="C829" s="71"/>
    </row>
    <row r="830" ht="15.75" customHeight="1">
      <c r="C830" s="71"/>
    </row>
    <row r="831" ht="15.75" customHeight="1">
      <c r="C831" s="71"/>
    </row>
    <row r="832" ht="15.75" customHeight="1">
      <c r="C832" s="71"/>
    </row>
    <row r="833" ht="15.75" customHeight="1">
      <c r="C833" s="71"/>
    </row>
    <row r="834" ht="15.75" customHeight="1">
      <c r="C834" s="71"/>
    </row>
    <row r="835" ht="15.75" customHeight="1">
      <c r="C835" s="71"/>
    </row>
    <row r="836" ht="15.75" customHeight="1">
      <c r="C836" s="71"/>
    </row>
    <row r="837" ht="15.75" customHeight="1">
      <c r="C837" s="71"/>
    </row>
    <row r="838" ht="15.75" customHeight="1">
      <c r="C838" s="71"/>
    </row>
    <row r="839" ht="15.75" customHeight="1">
      <c r="C839" s="71"/>
    </row>
    <row r="840" ht="15.75" customHeight="1">
      <c r="C840" s="71"/>
    </row>
    <row r="841" ht="15.75" customHeight="1">
      <c r="C841" s="71"/>
    </row>
    <row r="842" ht="15.75" customHeight="1">
      <c r="C842" s="71"/>
    </row>
    <row r="843" ht="15.75" customHeight="1">
      <c r="C843" s="71"/>
    </row>
    <row r="844" ht="15.75" customHeight="1">
      <c r="C844" s="71"/>
    </row>
    <row r="845" ht="15.75" customHeight="1">
      <c r="C845" s="71"/>
    </row>
    <row r="846" ht="15.75" customHeight="1">
      <c r="C846" s="71"/>
    </row>
    <row r="847" ht="15.75" customHeight="1">
      <c r="C847" s="71"/>
    </row>
    <row r="848" ht="15.75" customHeight="1">
      <c r="C848" s="71"/>
    </row>
    <row r="849" ht="15.75" customHeight="1">
      <c r="C849" s="71"/>
    </row>
    <row r="850" ht="15.75" customHeight="1">
      <c r="C850" s="71"/>
    </row>
    <row r="851" ht="15.75" customHeight="1">
      <c r="C851" s="71"/>
    </row>
    <row r="852" ht="15.75" customHeight="1">
      <c r="C852" s="71"/>
    </row>
    <row r="853" ht="15.75" customHeight="1">
      <c r="C853" s="71"/>
    </row>
    <row r="854" ht="15.75" customHeight="1">
      <c r="C854" s="71"/>
    </row>
    <row r="855" ht="15.75" customHeight="1">
      <c r="C855" s="71"/>
    </row>
    <row r="856" ht="15.75" customHeight="1">
      <c r="C856" s="71"/>
    </row>
    <row r="857" ht="15.75" customHeight="1">
      <c r="C857" s="71"/>
    </row>
    <row r="858" ht="15.75" customHeight="1">
      <c r="C858" s="71"/>
    </row>
    <row r="859" ht="15.75" customHeight="1">
      <c r="C859" s="71"/>
    </row>
    <row r="860" ht="15.75" customHeight="1">
      <c r="C860" s="71"/>
    </row>
    <row r="861" ht="15.75" customHeight="1">
      <c r="C861" s="71"/>
    </row>
    <row r="862" ht="15.75" customHeight="1">
      <c r="C862" s="71"/>
    </row>
    <row r="863" ht="15.75" customHeight="1">
      <c r="C863" s="71"/>
    </row>
    <row r="864" ht="15.75" customHeight="1">
      <c r="C864" s="71"/>
    </row>
    <row r="865" ht="15.75" customHeight="1">
      <c r="C865" s="71"/>
    </row>
    <row r="866" ht="15.75" customHeight="1">
      <c r="C866" s="71"/>
    </row>
    <row r="867" ht="15.75" customHeight="1">
      <c r="C867" s="71"/>
    </row>
    <row r="868" ht="15.75" customHeight="1">
      <c r="C868" s="71"/>
    </row>
    <row r="869" ht="15.75" customHeight="1">
      <c r="C869" s="71"/>
    </row>
    <row r="870" ht="15.75" customHeight="1">
      <c r="C870" s="71"/>
    </row>
    <row r="871" ht="15.75" customHeight="1">
      <c r="C871" s="71"/>
    </row>
    <row r="872" ht="15.75" customHeight="1">
      <c r="C872" s="71"/>
    </row>
    <row r="873" ht="15.75" customHeight="1">
      <c r="C873" s="71"/>
    </row>
    <row r="874" ht="15.75" customHeight="1">
      <c r="C874" s="71"/>
    </row>
    <row r="875" ht="15.75" customHeight="1">
      <c r="C875" s="71"/>
    </row>
    <row r="876" ht="15.75" customHeight="1">
      <c r="C876" s="71"/>
    </row>
    <row r="877" ht="15.75" customHeight="1">
      <c r="C877" s="71"/>
    </row>
    <row r="878" ht="15.75" customHeight="1">
      <c r="C878" s="71"/>
    </row>
    <row r="879" ht="15.75" customHeight="1">
      <c r="C879" s="71"/>
    </row>
    <row r="880" ht="15.75" customHeight="1">
      <c r="C880" s="71"/>
    </row>
    <row r="881" ht="15.75" customHeight="1">
      <c r="C881" s="71"/>
    </row>
    <row r="882" ht="15.75" customHeight="1">
      <c r="C882" s="71"/>
    </row>
    <row r="883" ht="15.75" customHeight="1">
      <c r="C883" s="71"/>
    </row>
    <row r="884" ht="15.75" customHeight="1">
      <c r="C884" s="71"/>
    </row>
    <row r="885" ht="15.75" customHeight="1">
      <c r="C885" s="71"/>
    </row>
    <row r="886" ht="15.75" customHeight="1">
      <c r="C886" s="71"/>
    </row>
    <row r="887" ht="15.75" customHeight="1">
      <c r="C887" s="71"/>
    </row>
    <row r="888" ht="15.75" customHeight="1">
      <c r="C888" s="71"/>
    </row>
    <row r="889" ht="15.75" customHeight="1">
      <c r="C889" s="71"/>
    </row>
    <row r="890" ht="15.75" customHeight="1">
      <c r="C890" s="71"/>
    </row>
    <row r="891" ht="15.75" customHeight="1">
      <c r="C891" s="71"/>
    </row>
    <row r="892" ht="15.75" customHeight="1">
      <c r="C892" s="71"/>
    </row>
    <row r="893" ht="15.75" customHeight="1">
      <c r="C893" s="71"/>
    </row>
    <row r="894" ht="15.75" customHeight="1">
      <c r="C894" s="71"/>
    </row>
    <row r="895" ht="15.75" customHeight="1">
      <c r="C895" s="71"/>
    </row>
    <row r="896" ht="15.75" customHeight="1">
      <c r="C896" s="71"/>
    </row>
    <row r="897" ht="15.75" customHeight="1">
      <c r="C897" s="71"/>
    </row>
    <row r="898" ht="15.75" customHeight="1">
      <c r="C898" s="71"/>
    </row>
    <row r="899" ht="15.75" customHeight="1">
      <c r="C899" s="71"/>
    </row>
    <row r="900" ht="15.75" customHeight="1">
      <c r="C900" s="71"/>
    </row>
    <row r="901" ht="15.75" customHeight="1">
      <c r="C901" s="71"/>
    </row>
    <row r="902" ht="15.75" customHeight="1">
      <c r="C902" s="71"/>
    </row>
    <row r="903" ht="15.75" customHeight="1">
      <c r="C903" s="71"/>
    </row>
    <row r="904" ht="15.75" customHeight="1">
      <c r="C904" s="71"/>
    </row>
    <row r="905" ht="15.75" customHeight="1">
      <c r="C905" s="71"/>
    </row>
    <row r="906" ht="15.75" customHeight="1">
      <c r="C906" s="71"/>
    </row>
    <row r="907" ht="15.75" customHeight="1">
      <c r="C907" s="71"/>
    </row>
    <row r="908" ht="15.75" customHeight="1">
      <c r="C908" s="71"/>
    </row>
    <row r="909" ht="15.75" customHeight="1">
      <c r="C909" s="71"/>
    </row>
    <row r="910" ht="15.75" customHeight="1">
      <c r="C910" s="71"/>
    </row>
    <row r="911" ht="15.75" customHeight="1">
      <c r="C911" s="71"/>
    </row>
    <row r="912" ht="15.75" customHeight="1">
      <c r="C912" s="71"/>
    </row>
    <row r="913" ht="15.75" customHeight="1">
      <c r="C913" s="71"/>
    </row>
    <row r="914" ht="15.75" customHeight="1">
      <c r="C914" s="71"/>
    </row>
    <row r="915" ht="15.75" customHeight="1">
      <c r="C915" s="71"/>
    </row>
    <row r="916" ht="15.75" customHeight="1">
      <c r="C916" s="71"/>
    </row>
    <row r="917" ht="15.75" customHeight="1">
      <c r="C917" s="71"/>
    </row>
    <row r="918" ht="15.75" customHeight="1">
      <c r="C918" s="71"/>
    </row>
    <row r="919" ht="15.75" customHeight="1">
      <c r="C919" s="71"/>
    </row>
    <row r="920" ht="15.75" customHeight="1">
      <c r="C920" s="71"/>
    </row>
    <row r="921" ht="15.75" customHeight="1">
      <c r="C921" s="71"/>
    </row>
    <row r="922" ht="15.75" customHeight="1">
      <c r="C922" s="71"/>
    </row>
    <row r="923" ht="15.75" customHeight="1">
      <c r="C923" s="71"/>
    </row>
    <row r="924" ht="15.75" customHeight="1">
      <c r="C924" s="71"/>
    </row>
    <row r="925" ht="15.75" customHeight="1">
      <c r="C925" s="71"/>
    </row>
    <row r="926" ht="15.75" customHeight="1">
      <c r="C926" s="71"/>
    </row>
    <row r="927" ht="15.75" customHeight="1">
      <c r="C927" s="71"/>
    </row>
    <row r="928" ht="15.75" customHeight="1">
      <c r="C928" s="71"/>
    </row>
    <row r="929" ht="15.75" customHeight="1">
      <c r="C929" s="71"/>
    </row>
    <row r="930" ht="15.75" customHeight="1">
      <c r="C930" s="71"/>
    </row>
    <row r="931" ht="15.75" customHeight="1">
      <c r="C931" s="71"/>
    </row>
    <row r="932" ht="15.75" customHeight="1">
      <c r="C932" s="71"/>
    </row>
    <row r="933" ht="15.75" customHeight="1">
      <c r="C933" s="71"/>
    </row>
    <row r="934" ht="15.75" customHeight="1">
      <c r="C934" s="71"/>
    </row>
    <row r="935" ht="15.75" customHeight="1">
      <c r="C935" s="71"/>
    </row>
    <row r="936" ht="15.75" customHeight="1">
      <c r="C936" s="71"/>
    </row>
    <row r="937" ht="15.75" customHeight="1">
      <c r="C937" s="71"/>
    </row>
    <row r="938" ht="15.75" customHeight="1">
      <c r="C938" s="71"/>
    </row>
    <row r="939" ht="15.75" customHeight="1">
      <c r="C939" s="71"/>
    </row>
    <row r="940" ht="15.75" customHeight="1">
      <c r="C940" s="71"/>
    </row>
    <row r="941" ht="15.75" customHeight="1">
      <c r="C941" s="71"/>
    </row>
    <row r="942" ht="15.75" customHeight="1">
      <c r="C942" s="71"/>
    </row>
    <row r="943" ht="15.75" customHeight="1">
      <c r="C943" s="71"/>
    </row>
    <row r="944" ht="15.75" customHeight="1">
      <c r="C944" s="71"/>
    </row>
    <row r="945" ht="15.75" customHeight="1">
      <c r="C945" s="71"/>
    </row>
    <row r="946" ht="15.75" customHeight="1">
      <c r="C946" s="71"/>
    </row>
    <row r="947" ht="15.75" customHeight="1">
      <c r="C947" s="71"/>
    </row>
    <row r="948" ht="15.75" customHeight="1">
      <c r="C948" s="71"/>
    </row>
    <row r="949" ht="15.75" customHeight="1">
      <c r="C949" s="71"/>
    </row>
    <row r="950" ht="15.75" customHeight="1">
      <c r="C950" s="71"/>
    </row>
    <row r="951" ht="15.75" customHeight="1">
      <c r="C951" s="71"/>
    </row>
    <row r="952" ht="15.75" customHeight="1">
      <c r="C952" s="71"/>
    </row>
    <row r="953" ht="15.75" customHeight="1">
      <c r="C953" s="71"/>
    </row>
    <row r="954" ht="15.75" customHeight="1">
      <c r="C954" s="71"/>
    </row>
    <row r="955" ht="15.75" customHeight="1">
      <c r="C955" s="71"/>
    </row>
    <row r="956" ht="15.75" customHeight="1">
      <c r="C956" s="71"/>
    </row>
    <row r="957" ht="15.75" customHeight="1">
      <c r="C957" s="71"/>
    </row>
    <row r="958" ht="15.75" customHeight="1">
      <c r="C958" s="71"/>
    </row>
    <row r="959" ht="15.75" customHeight="1">
      <c r="C959" s="71"/>
    </row>
    <row r="960" ht="15.75" customHeight="1">
      <c r="C960" s="71"/>
    </row>
    <row r="961" ht="15.75" customHeight="1">
      <c r="C961" s="71"/>
    </row>
    <row r="962" ht="15.75" customHeight="1">
      <c r="C962" s="71"/>
    </row>
    <row r="963" ht="15.75" customHeight="1">
      <c r="C963" s="71"/>
    </row>
    <row r="964" ht="15.75" customHeight="1">
      <c r="C964" s="71"/>
    </row>
    <row r="965" ht="15.75" customHeight="1">
      <c r="C965" s="71"/>
    </row>
    <row r="966" ht="15.75" customHeight="1">
      <c r="C966" s="71"/>
    </row>
    <row r="967" ht="15.75" customHeight="1">
      <c r="C967" s="71"/>
    </row>
    <row r="968" ht="15.75" customHeight="1">
      <c r="C968" s="71"/>
    </row>
    <row r="969" ht="15.75" customHeight="1">
      <c r="C969" s="71"/>
    </row>
    <row r="970" ht="15.75" customHeight="1">
      <c r="C970" s="71"/>
    </row>
    <row r="971" ht="15.75" customHeight="1">
      <c r="C971" s="71"/>
    </row>
    <row r="972" ht="15.75" customHeight="1">
      <c r="C972" s="71"/>
    </row>
    <row r="973" ht="15.75" customHeight="1">
      <c r="C973" s="71"/>
    </row>
    <row r="974" ht="15.75" customHeight="1">
      <c r="C974" s="71"/>
    </row>
    <row r="975" ht="15.75" customHeight="1">
      <c r="C975" s="71"/>
    </row>
    <row r="976" ht="15.75" customHeight="1">
      <c r="C976" s="71"/>
    </row>
    <row r="977" ht="15.75" customHeight="1">
      <c r="C977" s="71"/>
    </row>
    <row r="978" ht="15.75" customHeight="1">
      <c r="C978" s="71"/>
    </row>
    <row r="979" ht="15.75" customHeight="1">
      <c r="C979" s="71"/>
    </row>
    <row r="980" ht="15.75" customHeight="1">
      <c r="C980" s="71"/>
    </row>
    <row r="981" ht="15.75" customHeight="1">
      <c r="C981" s="71"/>
    </row>
    <row r="982" ht="15.75" customHeight="1">
      <c r="C982" s="71"/>
    </row>
    <row r="983" ht="15.75" customHeight="1">
      <c r="C983" s="71"/>
    </row>
    <row r="984" ht="15.75" customHeight="1">
      <c r="C984" s="71"/>
    </row>
    <row r="985" ht="15.75" customHeight="1">
      <c r="C985" s="71"/>
    </row>
    <row r="986" ht="15.75" customHeight="1">
      <c r="C986" s="71"/>
    </row>
    <row r="987" ht="15.75" customHeight="1">
      <c r="C987" s="71"/>
    </row>
    <row r="988" ht="15.75" customHeight="1">
      <c r="C988" s="71"/>
    </row>
    <row r="989" ht="15.75" customHeight="1">
      <c r="C989" s="71"/>
    </row>
    <row r="990" ht="15.75" customHeight="1">
      <c r="C990" s="71"/>
    </row>
    <row r="991" ht="15.75" customHeight="1">
      <c r="C991" s="71"/>
    </row>
    <row r="992" ht="15.75" customHeight="1">
      <c r="C992" s="71"/>
    </row>
    <row r="993" ht="15.75" customHeight="1">
      <c r="C993" s="71"/>
    </row>
    <row r="994" ht="15.75" customHeight="1">
      <c r="C994" s="71"/>
    </row>
    <row r="995" ht="15.75" customHeight="1">
      <c r="C995" s="71"/>
    </row>
    <row r="996" ht="15.75" customHeight="1">
      <c r="C996" s="71"/>
    </row>
    <row r="997" ht="15.75" customHeight="1">
      <c r="C997" s="71"/>
    </row>
    <row r="998" ht="15.75" customHeight="1">
      <c r="C998" s="71"/>
    </row>
    <row r="999" ht="15.75" customHeight="1">
      <c r="C999" s="71"/>
    </row>
    <row r="1000" ht="15.75" customHeight="1">
      <c r="C1000" s="71"/>
    </row>
  </sheetData>
  <mergeCells count="3">
    <mergeCell ref="B5:B6"/>
    <mergeCell ref="C5:C6"/>
    <mergeCell ref="D5:D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5.14"/>
    <col customWidth="1" min="3" max="3" width="10.43"/>
    <col customWidth="1" min="4" max="4" width="12.14"/>
    <col customWidth="1" min="5" max="5" width="13.29"/>
    <col customWidth="1" min="6" max="8" width="8.71"/>
    <col customWidth="1" min="9" max="9" width="4.71"/>
    <col customWidth="1" min="10" max="10" width="27.86"/>
    <col customWidth="1" min="11" max="12" width="8.71"/>
    <col customWidth="1" min="13" max="13" width="13.29"/>
    <col customWidth="1" min="14" max="26" width="8.71"/>
  </cols>
  <sheetData>
    <row r="2">
      <c r="B2" s="1" t="s">
        <v>73</v>
      </c>
      <c r="C2" s="1"/>
      <c r="D2" s="1"/>
      <c r="E2" s="2"/>
      <c r="F2" s="2"/>
    </row>
    <row r="3">
      <c r="B3" s="1"/>
      <c r="C3" s="1"/>
      <c r="D3" s="1"/>
      <c r="E3" s="2"/>
      <c r="F3" s="2"/>
    </row>
    <row r="4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>
      <c r="B5" s="6"/>
      <c r="C5" s="6"/>
      <c r="D5" s="6"/>
      <c r="E5" s="6"/>
      <c r="F5" s="6"/>
      <c r="G5" s="6"/>
    </row>
    <row r="6" ht="19.5" customHeight="1">
      <c r="B6" s="8" t="s">
        <v>74</v>
      </c>
      <c r="C6" s="9">
        <v>120.0</v>
      </c>
      <c r="D6" s="41" t="s">
        <v>9</v>
      </c>
      <c r="E6" s="9">
        <f>23*(C6/120)</f>
        <v>23</v>
      </c>
      <c r="F6" s="9"/>
      <c r="G6" s="9"/>
      <c r="H6" s="9" t="s">
        <v>75</v>
      </c>
    </row>
    <row r="7" ht="19.5" customHeight="1">
      <c r="B7" s="15" t="s">
        <v>13</v>
      </c>
      <c r="C7" s="92">
        <f>1.157*(C6/89)</f>
        <v>1.56</v>
      </c>
      <c r="D7" s="43" t="s">
        <v>9</v>
      </c>
      <c r="E7" s="92"/>
      <c r="F7" s="92"/>
      <c r="G7" s="92"/>
      <c r="H7" s="92"/>
    </row>
    <row r="8" ht="19.5" customHeight="1">
      <c r="B8" s="15" t="s">
        <v>76</v>
      </c>
      <c r="C8" s="92">
        <f>0.445*(C6/89)</f>
        <v>0.6</v>
      </c>
      <c r="D8" s="43" t="s">
        <v>9</v>
      </c>
      <c r="E8" s="92"/>
      <c r="F8" s="92"/>
      <c r="G8" s="92"/>
      <c r="H8" s="92"/>
    </row>
    <row r="9" ht="17.25" customHeight="1">
      <c r="B9" s="15" t="s">
        <v>77</v>
      </c>
      <c r="C9" s="16">
        <f>0.455*(C6/89)</f>
        <v>0.6134831461</v>
      </c>
      <c r="D9" s="43" t="s">
        <v>9</v>
      </c>
      <c r="E9" s="43"/>
      <c r="F9" s="43"/>
      <c r="G9" s="43"/>
      <c r="H9" s="43" t="s">
        <v>78</v>
      </c>
    </row>
    <row r="10" ht="21.75" customHeight="1">
      <c r="B10" s="15" t="s">
        <v>79</v>
      </c>
      <c r="C10" s="16">
        <f>248*(C6/63)</f>
        <v>472.3809524</v>
      </c>
      <c r="D10" s="43" t="s">
        <v>80</v>
      </c>
      <c r="E10" s="43"/>
      <c r="F10" s="43"/>
      <c r="G10" s="43"/>
    </row>
    <row r="11" ht="20.25" customHeight="1">
      <c r="B11" s="15" t="s">
        <v>56</v>
      </c>
      <c r="C11" s="16">
        <f>15*(C6/63)</f>
        <v>28.57142857</v>
      </c>
      <c r="D11" s="43" t="s">
        <v>9</v>
      </c>
      <c r="E11" s="43"/>
      <c r="F11" s="43"/>
      <c r="G11" s="43"/>
    </row>
    <row r="12">
      <c r="B12" s="15" t="s">
        <v>55</v>
      </c>
      <c r="C12" s="16">
        <f>6*(C6/63)</f>
        <v>11.42857143</v>
      </c>
      <c r="D12" s="43" t="s">
        <v>9</v>
      </c>
      <c r="E12" s="43"/>
      <c r="F12" s="43"/>
      <c r="G12" s="43"/>
    </row>
    <row r="13">
      <c r="B13" s="15" t="s">
        <v>81</v>
      </c>
      <c r="C13" s="16">
        <f>3.45*(C6/63)</f>
        <v>6.571428571</v>
      </c>
      <c r="D13" s="43" t="s">
        <v>9</v>
      </c>
      <c r="E13" s="43"/>
      <c r="F13" s="43"/>
      <c r="G13" s="43"/>
    </row>
    <row r="14" ht="21.0" customHeight="1">
      <c r="B14" s="15" t="s">
        <v>20</v>
      </c>
      <c r="C14" s="16">
        <f>177*(C6/120)</f>
        <v>177</v>
      </c>
      <c r="D14" s="43" t="s">
        <v>9</v>
      </c>
      <c r="E14" s="43"/>
      <c r="F14" s="43"/>
      <c r="G14" s="43"/>
    </row>
    <row r="15">
      <c r="B15" s="15" t="s">
        <v>18</v>
      </c>
      <c r="C15" s="16">
        <f>46.4*(C6/120)</f>
        <v>46.4</v>
      </c>
      <c r="D15" s="43" t="s">
        <v>9</v>
      </c>
      <c r="E15" s="43"/>
      <c r="F15" s="43"/>
      <c r="G15" s="43"/>
    </row>
    <row r="16">
      <c r="C16" s="93"/>
      <c r="M16" s="11"/>
    </row>
    <row r="17">
      <c r="B17" s="40" t="s">
        <v>28</v>
      </c>
      <c r="C17" s="93"/>
    </row>
    <row r="18" ht="9.0" customHeight="1">
      <c r="B18" s="40"/>
      <c r="C18" s="93"/>
    </row>
    <row r="19">
      <c r="B19" s="4" t="s">
        <v>2</v>
      </c>
      <c r="C19" s="76" t="s">
        <v>3</v>
      </c>
      <c r="D19" s="5" t="s">
        <v>4</v>
      </c>
      <c r="E19" s="5" t="s">
        <v>5</v>
      </c>
      <c r="F19" s="5" t="s">
        <v>6</v>
      </c>
      <c r="G19" s="5" t="s">
        <v>7</v>
      </c>
    </row>
    <row r="20">
      <c r="B20" s="6"/>
      <c r="C20" s="6"/>
      <c r="D20" s="6"/>
      <c r="E20" s="6"/>
      <c r="F20" s="6"/>
      <c r="G20" s="6"/>
    </row>
    <row r="21" ht="15.75" customHeight="1">
      <c r="B21" s="21" t="s">
        <v>30</v>
      </c>
      <c r="C21" s="94">
        <f>67.4183029234032*(C6/120)</f>
        <v>67.41830292</v>
      </c>
      <c r="D21" s="24" t="s">
        <v>9</v>
      </c>
      <c r="E21" s="24"/>
      <c r="F21" s="24"/>
      <c r="G21" s="24"/>
      <c r="H21" s="9" t="s">
        <v>75</v>
      </c>
    </row>
    <row r="22" ht="15.75" customHeight="1">
      <c r="B22" s="15" t="s">
        <v>14</v>
      </c>
      <c r="C22" s="16">
        <f>1.3790104282036*(C6/120)</f>
        <v>1.379010428</v>
      </c>
      <c r="D22" s="17" t="s">
        <v>9</v>
      </c>
      <c r="E22" s="24"/>
      <c r="F22" s="17"/>
      <c r="G22" s="17"/>
      <c r="H22" s="43" t="s">
        <v>82</v>
      </c>
    </row>
    <row r="23" ht="15.75" customHeight="1">
      <c r="B23" s="15" t="s">
        <v>32</v>
      </c>
      <c r="C23" s="16">
        <f>8.09019635080838*(C6/120)</f>
        <v>8.090196351</v>
      </c>
      <c r="D23" s="17" t="s">
        <v>9</v>
      </c>
      <c r="E23" s="24"/>
      <c r="F23" s="17"/>
      <c r="G23" s="17"/>
    </row>
    <row r="24" ht="15.75" customHeight="1">
      <c r="B24" s="15" t="s">
        <v>33</v>
      </c>
      <c r="C24" s="16">
        <f>107.869284677445*(C6/120)</f>
        <v>107.8692847</v>
      </c>
      <c r="D24" s="17" t="s">
        <v>34</v>
      </c>
      <c r="E24" s="24"/>
      <c r="F24" s="17"/>
      <c r="G24" s="17"/>
    </row>
    <row r="25" ht="15.75" customHeight="1">
      <c r="B25" s="15" t="s">
        <v>13</v>
      </c>
      <c r="C25" s="16">
        <f>3.3606936416185*(C6/120)</f>
        <v>3.360693642</v>
      </c>
      <c r="D25" s="24" t="s">
        <v>9</v>
      </c>
      <c r="E25" s="24"/>
      <c r="F25" s="24"/>
      <c r="G25" s="24"/>
    </row>
    <row r="26" ht="15.75" customHeight="1">
      <c r="C26" s="93"/>
    </row>
    <row r="27" ht="21.75" customHeight="1">
      <c r="B27" s="95" t="s">
        <v>83</v>
      </c>
      <c r="C27" s="93"/>
    </row>
    <row r="28" ht="8.25" customHeight="1">
      <c r="B28" s="95"/>
      <c r="C28" s="93"/>
    </row>
    <row r="29" ht="21.75" customHeight="1">
      <c r="B29" s="4" t="s">
        <v>2</v>
      </c>
      <c r="C29" s="76" t="s">
        <v>3</v>
      </c>
      <c r="D29" s="5" t="s">
        <v>4</v>
      </c>
      <c r="E29" s="5" t="s">
        <v>5</v>
      </c>
      <c r="F29" s="5" t="s">
        <v>6</v>
      </c>
      <c r="G29" s="5" t="s">
        <v>7</v>
      </c>
    </row>
    <row r="30" ht="15.75" customHeight="1">
      <c r="B30" s="6"/>
      <c r="C30" s="6"/>
      <c r="D30" s="6"/>
      <c r="E30" s="6"/>
      <c r="F30" s="6"/>
      <c r="G30" s="6"/>
    </row>
    <row r="31" ht="15.75" customHeight="1">
      <c r="B31" s="21" t="s">
        <v>84</v>
      </c>
      <c r="C31" s="94">
        <f>72.4346820809248*(C6/120)</f>
        <v>72.43468208</v>
      </c>
      <c r="D31" s="23" t="s">
        <v>9</v>
      </c>
      <c r="E31" s="23"/>
      <c r="F31" s="23"/>
      <c r="G31" s="23"/>
      <c r="H31" s="9" t="s">
        <v>75</v>
      </c>
    </row>
    <row r="32" ht="15.75" customHeight="1">
      <c r="B32" s="15" t="s">
        <v>31</v>
      </c>
      <c r="C32" s="16">
        <f>0.682955573905862*(C6/120)</f>
        <v>0.6829555739</v>
      </c>
      <c r="D32" s="17" t="s">
        <v>9</v>
      </c>
      <c r="E32" s="23"/>
      <c r="F32" s="17"/>
      <c r="G32" s="17"/>
      <c r="H32" s="43" t="s">
        <v>85</v>
      </c>
    </row>
    <row r="33" ht="15.75" customHeight="1">
      <c r="B33" s="15" t="s">
        <v>86</v>
      </c>
      <c r="C33" s="16">
        <f>3.10434351775392*(C6/120)</f>
        <v>3.104343518</v>
      </c>
      <c r="D33" s="17" t="s">
        <v>9</v>
      </c>
      <c r="E33" s="23"/>
      <c r="F33" s="17"/>
      <c r="G33" s="17"/>
    </row>
    <row r="34" ht="15.75" customHeight="1">
      <c r="B34" s="15" t="s">
        <v>13</v>
      </c>
      <c r="C34" s="16">
        <f>0.682955573905862*(C6/120)</f>
        <v>0.6829555739</v>
      </c>
      <c r="D34" s="24" t="s">
        <v>9</v>
      </c>
      <c r="E34" s="23"/>
      <c r="F34" s="24"/>
      <c r="G34" s="24"/>
    </row>
    <row r="35" ht="15.75" customHeight="1"/>
    <row r="36" ht="15.75" customHeight="1"/>
    <row r="37" ht="15.75" customHeight="1">
      <c r="B37" s="38" t="s">
        <v>37</v>
      </c>
      <c r="C37" s="38"/>
    </row>
    <row r="38" ht="15.75" customHeight="1">
      <c r="B38" s="55" t="s">
        <v>38</v>
      </c>
      <c r="C38" s="55">
        <v>20.0</v>
      </c>
    </row>
    <row r="39" ht="15.75" customHeight="1">
      <c r="B39" s="39" t="s">
        <v>70</v>
      </c>
      <c r="C39" s="55">
        <v>110.0</v>
      </c>
    </row>
    <row r="40" ht="15.75" customHeight="1">
      <c r="B40" s="39" t="s">
        <v>20</v>
      </c>
      <c r="C40" s="55">
        <v>225.0</v>
      </c>
    </row>
    <row r="41" ht="15.75" customHeight="1">
      <c r="B41" s="39" t="s">
        <v>18</v>
      </c>
      <c r="C41" s="55">
        <v>255.0</v>
      </c>
    </row>
    <row r="42" ht="15.75" customHeight="1">
      <c r="B42" s="39" t="s">
        <v>30</v>
      </c>
      <c r="C42" s="55">
        <v>375.0</v>
      </c>
    </row>
    <row r="43" ht="15.75" customHeight="1">
      <c r="B43" s="39" t="s">
        <v>84</v>
      </c>
      <c r="C43" s="55">
        <v>420.0</v>
      </c>
    </row>
    <row r="44" ht="15.75" customHeight="1"/>
    <row r="45" ht="15.75" customHeight="1"/>
    <row r="46" ht="15.75" customHeight="1"/>
    <row r="47" ht="15.75" customHeight="1">
      <c r="B47" s="56" t="s">
        <v>41</v>
      </c>
      <c r="C47" s="57" t="s">
        <v>42</v>
      </c>
      <c r="D47" s="58" t="s">
        <v>43</v>
      </c>
      <c r="E47" s="11"/>
      <c r="F47" s="11"/>
      <c r="G47" s="11"/>
    </row>
    <row r="48" ht="15.75" customHeight="1">
      <c r="B48" s="59" t="s">
        <v>44</v>
      </c>
      <c r="C48" s="96">
        <f>1532*(C6/120)</f>
        <v>1532</v>
      </c>
      <c r="D48" s="61"/>
    </row>
    <row r="49" ht="15.75" customHeight="1"/>
    <row r="50" ht="15.75" customHeight="1"/>
    <row r="51" ht="15.75" customHeight="1">
      <c r="D51" s="62" t="s">
        <v>45</v>
      </c>
      <c r="E51" s="63"/>
      <c r="F51" s="63"/>
      <c r="G51" s="64"/>
    </row>
    <row r="52" ht="15.75" customHeight="1">
      <c r="D52" s="65" t="s">
        <v>46</v>
      </c>
      <c r="E52" s="66"/>
      <c r="F52" s="66"/>
      <c r="G52" s="67"/>
    </row>
    <row r="53" ht="15.75" customHeight="1">
      <c r="D53" s="65" t="s">
        <v>47</v>
      </c>
      <c r="E53" s="66"/>
      <c r="F53" s="66"/>
      <c r="G53" s="67"/>
    </row>
    <row r="54" ht="15.75" customHeight="1">
      <c r="D54" s="65" t="s">
        <v>48</v>
      </c>
      <c r="E54" s="66"/>
      <c r="F54" s="66"/>
      <c r="G54" s="67"/>
    </row>
    <row r="55" ht="15.75" customHeight="1">
      <c r="D55" s="68" t="s">
        <v>49</v>
      </c>
      <c r="E55" s="69"/>
      <c r="F55" s="69"/>
      <c r="G55" s="70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9:C20"/>
    <mergeCell ref="D19:D20"/>
    <mergeCell ref="B29:B30"/>
    <mergeCell ref="C29:C30"/>
    <mergeCell ref="D29:D30"/>
    <mergeCell ref="E29:E30"/>
    <mergeCell ref="F29:F30"/>
    <mergeCell ref="G29:G30"/>
    <mergeCell ref="E19:E20"/>
    <mergeCell ref="F19:F20"/>
    <mergeCell ref="B4:B5"/>
    <mergeCell ref="C4:C5"/>
    <mergeCell ref="D4:D5"/>
    <mergeCell ref="E4:E5"/>
    <mergeCell ref="F4:F5"/>
    <mergeCell ref="G4:G5"/>
    <mergeCell ref="B19:B20"/>
    <mergeCell ref="G19:G2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4.14"/>
    <col customWidth="1" min="3" max="3" width="10.43"/>
    <col customWidth="1" min="4" max="4" width="12.43"/>
    <col customWidth="1" min="5" max="5" width="13.71"/>
    <col customWidth="1" min="6" max="26" width="8.71"/>
  </cols>
  <sheetData>
    <row r="1" ht="6.0" customHeight="1"/>
    <row r="3" ht="16.5" customHeight="1">
      <c r="B3" s="1" t="s">
        <v>87</v>
      </c>
      <c r="C3" s="87" t="s">
        <v>88</v>
      </c>
      <c r="E3" s="2"/>
    </row>
    <row r="4">
      <c r="B4" s="2"/>
      <c r="C4" s="47"/>
      <c r="D4" s="47"/>
      <c r="E4" s="2"/>
      <c r="G4" s="2"/>
    </row>
    <row r="5" ht="15.0" customHeight="1"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</row>
    <row r="6">
      <c r="B6" s="6"/>
      <c r="C6" s="6"/>
      <c r="D6" s="6"/>
      <c r="E6" s="6"/>
      <c r="F6" s="6"/>
      <c r="G6" s="6"/>
    </row>
    <row r="7" ht="15.0" customHeight="1">
      <c r="B7" s="8" t="s">
        <v>89</v>
      </c>
      <c r="C7" s="97">
        <v>60.0</v>
      </c>
      <c r="D7" s="10" t="s">
        <v>9</v>
      </c>
      <c r="E7" s="10">
        <f>6*(C7/60)</f>
        <v>6</v>
      </c>
      <c r="F7" s="10"/>
      <c r="G7" s="10"/>
    </row>
    <row r="8" ht="18.75" customHeight="1">
      <c r="B8" s="15" t="s">
        <v>13</v>
      </c>
      <c r="C8" s="98">
        <f>0.637*(C7/49)</f>
        <v>0.78</v>
      </c>
      <c r="D8" s="17" t="s">
        <v>9</v>
      </c>
      <c r="E8" s="17"/>
      <c r="F8" s="17"/>
      <c r="G8" s="17"/>
    </row>
    <row r="9" ht="18.75" customHeight="1">
      <c r="B9" s="15" t="s">
        <v>76</v>
      </c>
      <c r="C9" s="98">
        <f>0.24*(C7/49)</f>
        <v>0.293877551</v>
      </c>
      <c r="D9" s="17" t="s">
        <v>9</v>
      </c>
      <c r="E9" s="17"/>
      <c r="F9" s="17"/>
      <c r="G9" s="17"/>
    </row>
    <row r="10" ht="18.75" customHeight="1">
      <c r="B10" s="15" t="s">
        <v>77</v>
      </c>
      <c r="C10" s="98">
        <f>0.24*(C7/49)</f>
        <v>0.293877551</v>
      </c>
      <c r="D10" s="17" t="s">
        <v>9</v>
      </c>
      <c r="E10" s="17"/>
      <c r="F10" s="17"/>
      <c r="G10" s="17"/>
    </row>
    <row r="11" ht="15.75" customHeight="1">
      <c r="B11" s="15" t="s">
        <v>32</v>
      </c>
      <c r="C11" s="98">
        <f>0.077*(C7/10)</f>
        <v>0.462</v>
      </c>
      <c r="D11" s="17" t="s">
        <v>9</v>
      </c>
      <c r="E11" s="17"/>
      <c r="F11" s="17"/>
      <c r="G11" s="17"/>
    </row>
    <row r="12" ht="16.5" customHeight="1">
      <c r="B12" s="15" t="s">
        <v>16</v>
      </c>
      <c r="C12" s="98">
        <f>1*(C7/10)</f>
        <v>6</v>
      </c>
      <c r="D12" s="17" t="s">
        <v>9</v>
      </c>
      <c r="E12" s="17"/>
      <c r="F12" s="17"/>
      <c r="G12" s="17"/>
    </row>
    <row r="13">
      <c r="B13" s="15" t="s">
        <v>90</v>
      </c>
      <c r="C13" s="98">
        <f>14*(C7/60)</f>
        <v>14</v>
      </c>
      <c r="D13" s="17" t="s">
        <v>9</v>
      </c>
      <c r="E13" s="99">
        <f>C13*0.1</f>
        <v>1.4</v>
      </c>
      <c r="F13" s="17"/>
      <c r="G13" s="17"/>
    </row>
    <row r="14">
      <c r="B14" s="15" t="s">
        <v>91</v>
      </c>
      <c r="C14" s="98">
        <f>1.5*(C7/10)</f>
        <v>9</v>
      </c>
      <c r="D14" s="17" t="s">
        <v>9</v>
      </c>
      <c r="E14" s="99">
        <f>0.85*(C7/60)</f>
        <v>0.85</v>
      </c>
      <c r="F14" s="17"/>
      <c r="G14" s="17"/>
    </row>
    <row r="15">
      <c r="B15" s="15" t="s">
        <v>92</v>
      </c>
      <c r="C15" s="100" t="s">
        <v>93</v>
      </c>
      <c r="D15" s="101" t="s">
        <v>34</v>
      </c>
      <c r="E15" s="101"/>
      <c r="F15" s="101"/>
      <c r="G15" s="101"/>
    </row>
    <row r="16" ht="18.75" customHeight="1">
      <c r="B16" s="102" t="s">
        <v>20</v>
      </c>
      <c r="C16" s="31">
        <f>1.6*(C7/10)</f>
        <v>9.6</v>
      </c>
      <c r="D16" s="103" t="s">
        <v>9</v>
      </c>
      <c r="E16" s="103"/>
      <c r="F16" s="103"/>
      <c r="G16" s="103"/>
    </row>
    <row r="17" ht="15.0" customHeight="1">
      <c r="A17" s="11"/>
      <c r="B17" s="102" t="s">
        <v>94</v>
      </c>
      <c r="C17" s="103">
        <v>0.16</v>
      </c>
      <c r="D17" s="103" t="s">
        <v>9</v>
      </c>
      <c r="E17" s="103"/>
      <c r="F17" s="103"/>
      <c r="G17" s="103"/>
    </row>
    <row r="18" ht="15.75" customHeight="1">
      <c r="A18" s="11"/>
      <c r="B18" s="102" t="s">
        <v>95</v>
      </c>
      <c r="C18" s="103">
        <f>2500*(C7/65)</f>
        <v>2307.692308</v>
      </c>
      <c r="D18" s="103" t="s">
        <v>4</v>
      </c>
      <c r="E18" s="103"/>
      <c r="F18" s="103"/>
      <c r="G18" s="103"/>
    </row>
    <row r="19" ht="15.75" customHeight="1">
      <c r="A19" s="11"/>
    </row>
    <row r="20" ht="15.75" customHeight="1">
      <c r="B20" s="40" t="s">
        <v>28</v>
      </c>
      <c r="C20" s="3" t="s">
        <v>96</v>
      </c>
    </row>
    <row r="21" ht="15.75" customHeight="1"/>
    <row r="22" ht="15.75" customHeight="1">
      <c r="B22" s="8" t="s">
        <v>30</v>
      </c>
      <c r="C22" s="9">
        <f>24.835*(C7/76)</f>
        <v>19.60657895</v>
      </c>
      <c r="D22" s="42" t="s">
        <v>9</v>
      </c>
      <c r="E22" s="42"/>
      <c r="F22" s="42"/>
      <c r="G22" s="42"/>
    </row>
    <row r="23" ht="15.75" customHeight="1">
      <c r="B23" s="15" t="s">
        <v>31</v>
      </c>
      <c r="C23" s="16">
        <f>0.519203720930232*(C7/76)</f>
        <v>0.4098976744</v>
      </c>
      <c r="D23" s="17" t="s">
        <v>9</v>
      </c>
      <c r="E23" s="17"/>
      <c r="F23" s="17"/>
      <c r="G23" s="17"/>
    </row>
    <row r="24" ht="15.75" customHeight="1">
      <c r="B24" s="15" t="s">
        <v>32</v>
      </c>
      <c r="C24" s="16">
        <f>2.94215441860464*(C7/76)</f>
        <v>2.322753488</v>
      </c>
      <c r="D24" s="17" t="s">
        <v>9</v>
      </c>
      <c r="E24" s="17"/>
      <c r="F24" s="17"/>
      <c r="G24" s="17"/>
    </row>
    <row r="25" ht="15.75" customHeight="1">
      <c r="B25" s="15" t="s">
        <v>33</v>
      </c>
      <c r="C25" s="16">
        <f>39.8056186046512*(C7/76)</f>
        <v>31.42548837</v>
      </c>
      <c r="D25" s="17" t="s">
        <v>34</v>
      </c>
      <c r="E25" s="17"/>
      <c r="F25" s="17"/>
      <c r="G25" s="17"/>
    </row>
    <row r="26" ht="15.75" customHeight="1">
      <c r="B26" s="15" t="s">
        <v>13</v>
      </c>
      <c r="C26" s="29">
        <f>0.744192*(C7/76)</f>
        <v>0.58752</v>
      </c>
      <c r="D26" s="24" t="s">
        <v>9</v>
      </c>
      <c r="E26" s="24"/>
      <c r="F26" s="24"/>
      <c r="G26" s="24"/>
    </row>
    <row r="27" ht="15.75" customHeight="1">
      <c r="B27" s="104"/>
      <c r="C27" s="105"/>
      <c r="D27" s="77"/>
      <c r="E27" s="77"/>
      <c r="F27" s="77"/>
      <c r="G27" s="77"/>
    </row>
    <row r="28" ht="19.5" customHeight="1">
      <c r="B28" s="106" t="s">
        <v>97</v>
      </c>
      <c r="C28" s="87" t="s">
        <v>26</v>
      </c>
      <c r="D28" s="47"/>
      <c r="E28" s="47"/>
      <c r="F28" s="47"/>
      <c r="G28" s="47"/>
    </row>
    <row r="29" ht="15.75" customHeight="1">
      <c r="B29" s="107"/>
      <c r="C29" s="11"/>
      <c r="D29" s="2"/>
      <c r="E29" s="2"/>
      <c r="F29" s="2"/>
      <c r="G29" s="2"/>
    </row>
    <row r="30" ht="15.75" customHeight="1">
      <c r="B30" s="8" t="s">
        <v>98</v>
      </c>
      <c r="C30" s="108">
        <f>22*(C7/60)</f>
        <v>22</v>
      </c>
      <c r="D30" s="109" t="s">
        <v>9</v>
      </c>
      <c r="E30" s="109"/>
      <c r="F30" s="109"/>
      <c r="G30" s="109"/>
    </row>
    <row r="31" ht="15.75" customHeight="1">
      <c r="B31" s="21" t="s">
        <v>86</v>
      </c>
      <c r="C31" s="110">
        <f>0.25*(C7/10)</f>
        <v>1.5</v>
      </c>
      <c r="D31" s="111" t="s">
        <v>9</v>
      </c>
      <c r="E31" s="111"/>
      <c r="F31" s="111"/>
      <c r="G31" s="111"/>
    </row>
    <row r="32" ht="15.75" customHeight="1">
      <c r="B32" s="21" t="s">
        <v>14</v>
      </c>
      <c r="C32" s="110">
        <f>0.04*(C7/10)</f>
        <v>0.24</v>
      </c>
      <c r="D32" s="111" t="s">
        <v>9</v>
      </c>
      <c r="E32" s="111"/>
      <c r="F32" s="111"/>
      <c r="G32" s="111"/>
    </row>
    <row r="33" ht="15.75" customHeight="1">
      <c r="B33" s="21" t="s">
        <v>13</v>
      </c>
      <c r="C33" s="110">
        <f>0.032*(C7/10)</f>
        <v>0.192</v>
      </c>
      <c r="D33" s="111" t="s">
        <v>9</v>
      </c>
      <c r="E33" s="111"/>
      <c r="F33" s="111"/>
      <c r="G33" s="111"/>
    </row>
    <row r="34" ht="15.75" customHeight="1"/>
    <row r="35" ht="20.25" customHeight="1">
      <c r="B35" s="95" t="s">
        <v>83</v>
      </c>
      <c r="C35" s="112" t="s">
        <v>99</v>
      </c>
    </row>
    <row r="36" ht="15.75" customHeight="1"/>
    <row r="37" ht="15.75" customHeight="1">
      <c r="B37" s="11"/>
      <c r="C37" s="113"/>
      <c r="D37" s="11"/>
      <c r="E37" s="11"/>
      <c r="F37" s="11"/>
      <c r="G37" s="11"/>
    </row>
    <row r="38" ht="15.75" customHeight="1">
      <c r="B38" s="8" t="s">
        <v>84</v>
      </c>
      <c r="C38" s="9">
        <f>18.5*(C7/60)</f>
        <v>18.5</v>
      </c>
      <c r="D38" s="114" t="s">
        <v>9</v>
      </c>
      <c r="E38" s="114"/>
      <c r="F38" s="114"/>
      <c r="G38" s="114"/>
    </row>
    <row r="39" ht="15.75" customHeight="1">
      <c r="B39" s="15" t="s">
        <v>31</v>
      </c>
      <c r="C39" s="16">
        <f>0.027*(C7/10)</f>
        <v>0.162</v>
      </c>
      <c r="D39" s="17" t="s">
        <v>9</v>
      </c>
      <c r="E39" s="17"/>
      <c r="F39" s="17"/>
      <c r="G39" s="17"/>
    </row>
    <row r="40" ht="15.75" customHeight="1">
      <c r="B40" s="15" t="s">
        <v>86</v>
      </c>
      <c r="C40" s="16">
        <f>0.1*(C7/10)</f>
        <v>0.6</v>
      </c>
      <c r="D40" s="17" t="s">
        <v>9</v>
      </c>
      <c r="E40" s="17"/>
      <c r="F40" s="17"/>
      <c r="G40" s="17"/>
    </row>
    <row r="41" ht="15.75" customHeight="1">
      <c r="B41" s="15" t="s">
        <v>13</v>
      </c>
      <c r="C41" s="16">
        <f>0.021*(C7/10)</f>
        <v>0.126</v>
      </c>
      <c r="D41" s="24" t="s">
        <v>9</v>
      </c>
      <c r="E41" s="24"/>
      <c r="F41" s="24"/>
      <c r="G41" s="24"/>
    </row>
    <row r="42" ht="15.75" customHeight="1"/>
    <row r="43" ht="15.75" customHeight="1"/>
    <row r="44" ht="15.75" customHeight="1">
      <c r="B44" s="115" t="s">
        <v>100</v>
      </c>
      <c r="C44" s="116"/>
    </row>
    <row r="45" ht="15.75" customHeight="1">
      <c r="B45" s="117" t="s">
        <v>38</v>
      </c>
      <c r="C45" s="118">
        <v>20.0</v>
      </c>
    </row>
    <row r="46" ht="15.75" customHeight="1">
      <c r="B46" s="118" t="s">
        <v>57</v>
      </c>
      <c r="C46" s="118">
        <v>130.0</v>
      </c>
    </row>
    <row r="47" ht="15.75" customHeight="1">
      <c r="B47" s="119" t="s">
        <v>24</v>
      </c>
      <c r="C47" s="120">
        <v>185.0</v>
      </c>
    </row>
    <row r="48" ht="15.75" customHeight="1">
      <c r="B48" s="119" t="s">
        <v>30</v>
      </c>
      <c r="C48" s="120">
        <v>305.0</v>
      </c>
    </row>
    <row r="49" ht="15.75" customHeight="1">
      <c r="B49" s="119" t="s">
        <v>98</v>
      </c>
      <c r="C49" s="120">
        <v>375.0</v>
      </c>
    </row>
    <row r="50" ht="15.75" customHeight="1">
      <c r="B50" s="119" t="s">
        <v>84</v>
      </c>
      <c r="C50" s="120">
        <v>420.0</v>
      </c>
    </row>
    <row r="51" ht="15.75" customHeight="1">
      <c r="B51" s="7"/>
      <c r="C51" s="7"/>
    </row>
    <row r="52" ht="24.0" customHeight="1">
      <c r="B52" s="7"/>
      <c r="C52" s="7"/>
    </row>
    <row r="53" ht="15.75" customHeight="1"/>
    <row r="54" ht="15.75" customHeight="1">
      <c r="B54" s="56" t="s">
        <v>41</v>
      </c>
      <c r="C54" s="57" t="s">
        <v>42</v>
      </c>
      <c r="D54" s="58" t="s">
        <v>43</v>
      </c>
    </row>
    <row r="55" ht="15.75" customHeight="1">
      <c r="B55" s="59" t="s">
        <v>44</v>
      </c>
      <c r="C55" s="121">
        <f>270*(C7/40.3)</f>
        <v>401.9851117</v>
      </c>
      <c r="D55" s="61"/>
    </row>
    <row r="56" ht="15.75" customHeight="1"/>
    <row r="57" ht="15.75" customHeight="1">
      <c r="C57" s="62" t="s">
        <v>45</v>
      </c>
      <c r="D57" s="63"/>
      <c r="E57" s="63"/>
      <c r="F57" s="64"/>
    </row>
    <row r="58" ht="15.75" customHeight="1">
      <c r="C58" s="65" t="s">
        <v>46</v>
      </c>
      <c r="D58" s="66"/>
      <c r="E58" s="66"/>
      <c r="F58" s="67"/>
    </row>
    <row r="59" ht="15.75" customHeight="1">
      <c r="C59" s="65" t="s">
        <v>47</v>
      </c>
      <c r="D59" s="66"/>
      <c r="E59" s="66"/>
      <c r="F59" s="67"/>
    </row>
    <row r="60" ht="15.75" customHeight="1">
      <c r="C60" s="65" t="s">
        <v>48</v>
      </c>
      <c r="D60" s="66"/>
      <c r="E60" s="66"/>
      <c r="F60" s="67"/>
    </row>
    <row r="61" ht="15.75" customHeight="1">
      <c r="C61" s="68" t="s">
        <v>49</v>
      </c>
      <c r="D61" s="69"/>
      <c r="E61" s="69"/>
      <c r="F61" s="70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5:B6"/>
    <mergeCell ref="C5:C6"/>
    <mergeCell ref="D5:D6"/>
    <mergeCell ref="E5:E6"/>
    <mergeCell ref="F5:F6"/>
    <mergeCell ref="G5:G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2.14"/>
    <col customWidth="1" min="3" max="3" width="12.14"/>
    <col customWidth="1" min="4" max="4" width="22.86"/>
    <col customWidth="1" min="5" max="5" width="11.0"/>
    <col customWidth="1" min="6" max="6" width="10.43"/>
    <col customWidth="1" min="7" max="7" width="8.86"/>
    <col customWidth="1" min="8" max="26" width="8.71"/>
  </cols>
  <sheetData>
    <row r="1">
      <c r="A1" s="2"/>
      <c r="B1" s="122" t="s">
        <v>101</v>
      </c>
      <c r="C1" s="123"/>
      <c r="D1" s="124"/>
      <c r="E1" s="2"/>
      <c r="F1" s="2"/>
    </row>
    <row r="2">
      <c r="A2" s="2"/>
      <c r="B2" s="125"/>
      <c r="C2" s="126"/>
      <c r="D2" s="127" t="s">
        <v>102</v>
      </c>
      <c r="E2" s="2"/>
      <c r="F2" s="2"/>
    </row>
    <row r="3">
      <c r="A3" s="2"/>
      <c r="B3" s="4" t="s">
        <v>2</v>
      </c>
      <c r="C3" s="76" t="s">
        <v>3</v>
      </c>
      <c r="D3" s="5" t="s">
        <v>4</v>
      </c>
      <c r="E3" s="5" t="s">
        <v>5</v>
      </c>
      <c r="F3" s="5" t="s">
        <v>6</v>
      </c>
      <c r="G3" s="5" t="s">
        <v>7</v>
      </c>
    </row>
    <row r="4">
      <c r="A4" s="2"/>
      <c r="B4" s="6"/>
      <c r="C4" s="6"/>
      <c r="D4" s="6"/>
      <c r="E4" s="6"/>
      <c r="F4" s="6"/>
      <c r="G4" s="6"/>
    </row>
    <row r="5">
      <c r="A5" s="2"/>
      <c r="B5" s="8" t="s">
        <v>89</v>
      </c>
      <c r="C5" s="97">
        <v>60.0</v>
      </c>
      <c r="D5" s="42" t="s">
        <v>9</v>
      </c>
      <c r="E5" s="42">
        <f>C5*0.1</f>
        <v>6</v>
      </c>
      <c r="F5" s="42"/>
      <c r="G5" s="42"/>
    </row>
    <row r="6">
      <c r="A6" s="2"/>
      <c r="B6" s="15" t="s">
        <v>13</v>
      </c>
      <c r="C6" s="98">
        <f>0.012*(C5/1.078)</f>
        <v>0.667903525</v>
      </c>
      <c r="D6" s="17" t="s">
        <v>9</v>
      </c>
      <c r="E6" s="17"/>
      <c r="F6" s="17"/>
      <c r="G6" s="17"/>
    </row>
    <row r="7">
      <c r="A7" s="2"/>
      <c r="B7" s="15" t="s">
        <v>76</v>
      </c>
      <c r="C7" s="98">
        <f>0.003*(C5/1.078)</f>
        <v>0.1669758813</v>
      </c>
      <c r="D7" s="17" t="s">
        <v>9</v>
      </c>
      <c r="E7" s="17"/>
      <c r="F7" s="17"/>
      <c r="G7" s="17"/>
    </row>
    <row r="8">
      <c r="A8" s="2"/>
      <c r="B8" s="15" t="s">
        <v>77</v>
      </c>
      <c r="C8" s="98">
        <f>0.003*(C5/1.078)</f>
        <v>0.1669758813</v>
      </c>
      <c r="D8" s="17" t="s">
        <v>9</v>
      </c>
      <c r="E8" s="17"/>
      <c r="F8" s="17"/>
      <c r="G8" s="17"/>
    </row>
    <row r="9">
      <c r="A9" s="2"/>
      <c r="B9" s="15" t="s">
        <v>103</v>
      </c>
      <c r="C9" s="98">
        <f>0.02*(C5/1.078)</f>
        <v>1.113172542</v>
      </c>
      <c r="D9" s="17" t="s">
        <v>9</v>
      </c>
      <c r="E9" s="17"/>
      <c r="F9" s="17"/>
      <c r="G9" s="17"/>
    </row>
    <row r="10">
      <c r="A10" s="2"/>
      <c r="B10" s="15" t="s">
        <v>16</v>
      </c>
      <c r="C10" s="98">
        <f>5*(C5/46)</f>
        <v>6.52173913</v>
      </c>
      <c r="D10" s="17" t="s">
        <v>9</v>
      </c>
      <c r="E10" s="17"/>
      <c r="F10" s="17"/>
      <c r="G10" s="17"/>
    </row>
    <row r="11">
      <c r="A11" s="2"/>
      <c r="B11" s="15" t="s">
        <v>76</v>
      </c>
      <c r="C11" s="98">
        <f>0.2*(C5/46)</f>
        <v>0.2608695652</v>
      </c>
      <c r="D11" s="17" t="s">
        <v>9</v>
      </c>
      <c r="E11" s="17"/>
      <c r="F11" s="17"/>
      <c r="G11" s="17"/>
    </row>
    <row r="12">
      <c r="A12" s="2"/>
      <c r="B12" s="15" t="s">
        <v>20</v>
      </c>
      <c r="C12" s="98">
        <f>3*(C5/46)</f>
        <v>3.913043478</v>
      </c>
      <c r="D12" s="17" t="s">
        <v>9</v>
      </c>
      <c r="E12" s="17"/>
      <c r="F12" s="17"/>
      <c r="G12" s="17"/>
    </row>
    <row r="13">
      <c r="A13" s="2"/>
      <c r="B13" s="15" t="s">
        <v>104</v>
      </c>
      <c r="C13" s="128">
        <f>0.5*(C5/46)</f>
        <v>0.652173913</v>
      </c>
      <c r="D13" s="17" t="s">
        <v>9</v>
      </c>
      <c r="E13" s="17"/>
      <c r="F13" s="17"/>
      <c r="G13" s="17"/>
    </row>
    <row r="14">
      <c r="A14" s="2"/>
      <c r="B14" s="15" t="s">
        <v>61</v>
      </c>
      <c r="C14" s="128">
        <f>0.5*(C5/46)</f>
        <v>0.652173913</v>
      </c>
      <c r="D14" s="17" t="s">
        <v>9</v>
      </c>
      <c r="E14" s="17"/>
      <c r="F14" s="17"/>
      <c r="G14" s="17"/>
    </row>
    <row r="15">
      <c r="A15" s="2"/>
      <c r="B15" s="15" t="s">
        <v>92</v>
      </c>
      <c r="C15" s="128">
        <f>3*(C5/46)</f>
        <v>3.913043478</v>
      </c>
      <c r="D15" s="17" t="s">
        <v>9</v>
      </c>
      <c r="E15" s="17"/>
      <c r="F15" s="17"/>
      <c r="G15" s="17"/>
    </row>
    <row r="16">
      <c r="A16" s="2"/>
      <c r="B16" s="15" t="s">
        <v>105</v>
      </c>
      <c r="C16" s="129">
        <f>3*(C5/46)</f>
        <v>3.913043478</v>
      </c>
      <c r="D16" s="17" t="s">
        <v>9</v>
      </c>
      <c r="E16" s="17"/>
      <c r="F16" s="17"/>
      <c r="G16" s="17"/>
    </row>
    <row r="17">
      <c r="A17" s="2"/>
      <c r="B17" s="104"/>
      <c r="C17" s="130"/>
      <c r="D17" s="77"/>
      <c r="E17" s="2"/>
      <c r="F17" s="2"/>
    </row>
    <row r="18">
      <c r="A18" s="2"/>
      <c r="B18" s="131" t="s">
        <v>100</v>
      </c>
      <c r="C18" s="76" t="s">
        <v>75</v>
      </c>
      <c r="D18" s="132" t="s">
        <v>106</v>
      </c>
    </row>
    <row r="19">
      <c r="A19" s="2"/>
      <c r="B19" s="28" t="s">
        <v>57</v>
      </c>
      <c r="C19" s="87">
        <v>85.0</v>
      </c>
      <c r="D19" s="133" t="s">
        <v>107</v>
      </c>
    </row>
    <row r="20">
      <c r="A20" s="2"/>
      <c r="B20" s="102" t="s">
        <v>24</v>
      </c>
      <c r="C20" s="134">
        <v>45.0</v>
      </c>
      <c r="D20" s="135" t="s">
        <v>107</v>
      </c>
    </row>
    <row r="21" ht="15.75" customHeight="1">
      <c r="B21" s="104"/>
      <c r="C21" s="11"/>
      <c r="D21" s="11"/>
      <c r="E21" s="2"/>
      <c r="F21" s="2"/>
    </row>
    <row r="22" ht="15.75" customHeight="1">
      <c r="B22" s="136" t="s">
        <v>108</v>
      </c>
      <c r="C22" s="1"/>
      <c r="D22" s="45"/>
      <c r="E22" s="2"/>
      <c r="F22" s="2"/>
    </row>
    <row r="23" ht="15.75" customHeight="1">
      <c r="B23" s="2"/>
      <c r="C23" s="47"/>
      <c r="D23" s="127" t="s">
        <v>58</v>
      </c>
      <c r="E23" s="2"/>
      <c r="F23" s="2"/>
    </row>
    <row r="24" ht="15.75" customHeight="1">
      <c r="B24" s="137" t="s">
        <v>2</v>
      </c>
      <c r="C24" s="138" t="s">
        <v>3</v>
      </c>
      <c r="D24" s="138" t="s">
        <v>4</v>
      </c>
      <c r="E24" s="5" t="s">
        <v>5</v>
      </c>
      <c r="F24" s="5" t="s">
        <v>6</v>
      </c>
      <c r="G24" s="5" t="s">
        <v>7</v>
      </c>
    </row>
    <row r="25" ht="15.75" customHeight="1">
      <c r="B25" s="6"/>
      <c r="C25" s="6"/>
      <c r="D25" s="6"/>
      <c r="E25" s="6"/>
      <c r="F25" s="6"/>
      <c r="G25" s="6"/>
    </row>
    <row r="26" ht="15.75" customHeight="1">
      <c r="B26" s="52" t="s">
        <v>98</v>
      </c>
      <c r="C26" s="139">
        <f>24.0445269016698*(C5/60)</f>
        <v>24.0445269</v>
      </c>
      <c r="D26" s="140" t="s">
        <v>9</v>
      </c>
      <c r="E26" s="140"/>
      <c r="F26" s="140"/>
      <c r="G26" s="140"/>
    </row>
    <row r="27" ht="15.75" customHeight="1">
      <c r="B27" s="52" t="s">
        <v>13</v>
      </c>
      <c r="C27" s="139">
        <f>0.601113172541744*(C5/60)</f>
        <v>0.6011131725</v>
      </c>
      <c r="D27" s="51" t="s">
        <v>9</v>
      </c>
      <c r="E27" s="51"/>
      <c r="F27" s="140"/>
      <c r="G27" s="51"/>
    </row>
    <row r="28" ht="15.75" customHeight="1">
      <c r="B28" s="52" t="s">
        <v>92</v>
      </c>
      <c r="C28" s="139">
        <f>40.0742115027829*(C5/60)</f>
        <v>40.0742115</v>
      </c>
      <c r="D28" s="54" t="s">
        <v>34</v>
      </c>
      <c r="E28" s="54"/>
      <c r="F28" s="140"/>
      <c r="G28" s="54"/>
    </row>
    <row r="29" ht="15.75" customHeight="1">
      <c r="B29" s="52" t="s">
        <v>62</v>
      </c>
      <c r="C29" s="139">
        <f>0.721335807050093*(C5/60)</f>
        <v>0.7213358071</v>
      </c>
      <c r="D29" s="54" t="s">
        <v>9</v>
      </c>
      <c r="E29" s="54"/>
      <c r="F29" s="140"/>
      <c r="G29" s="54"/>
    </row>
    <row r="30" ht="15.75" customHeight="1"/>
    <row r="31" ht="15.75" customHeight="1">
      <c r="B31" s="141" t="s">
        <v>109</v>
      </c>
    </row>
    <row r="32" ht="15.75" customHeight="1">
      <c r="D32" s="87" t="s">
        <v>110</v>
      </c>
    </row>
    <row r="33" ht="15.75" customHeight="1">
      <c r="B33" s="4" t="s">
        <v>2</v>
      </c>
      <c r="C33" s="76" t="s">
        <v>3</v>
      </c>
      <c r="D33" s="138" t="s">
        <v>4</v>
      </c>
      <c r="E33" s="5" t="s">
        <v>5</v>
      </c>
      <c r="F33" s="5" t="s">
        <v>6</v>
      </c>
      <c r="G33" s="5" t="s">
        <v>7</v>
      </c>
    </row>
    <row r="34" ht="15.75" customHeight="1">
      <c r="B34" s="6"/>
      <c r="C34" s="6"/>
      <c r="D34" s="6"/>
      <c r="E34" s="6"/>
      <c r="F34" s="6"/>
      <c r="G34" s="6"/>
    </row>
    <row r="35" ht="15.75" customHeight="1">
      <c r="B35" s="18" t="s">
        <v>30</v>
      </c>
      <c r="C35" s="142">
        <f>18*(C5/46)</f>
        <v>23.47826087</v>
      </c>
      <c r="D35" s="20" t="s">
        <v>9</v>
      </c>
      <c r="E35" s="20"/>
      <c r="F35" s="20"/>
      <c r="G35" s="20"/>
    </row>
    <row r="36" ht="15.75" customHeight="1">
      <c r="B36" s="143" t="s">
        <v>31</v>
      </c>
      <c r="C36" s="144">
        <f>0.355830465306122*(C5/46)</f>
        <v>0.4641266939</v>
      </c>
      <c r="D36" s="145" t="s">
        <v>9</v>
      </c>
      <c r="E36" s="145"/>
      <c r="F36" s="145"/>
      <c r="G36" s="145"/>
    </row>
    <row r="37" ht="15.75" customHeight="1">
      <c r="B37" s="15" t="s">
        <v>32</v>
      </c>
      <c r="C37" s="16">
        <f>2.02509730584272*(C5/46)</f>
        <v>2.641431268</v>
      </c>
      <c r="D37" s="146" t="s">
        <v>9</v>
      </c>
      <c r="E37" s="146"/>
      <c r="F37" s="146"/>
      <c r="G37" s="146"/>
    </row>
    <row r="38" ht="15.75" customHeight="1">
      <c r="B38" s="15" t="s">
        <v>33</v>
      </c>
      <c r="C38" s="16">
        <f>27.0012974112363*(C5/46)</f>
        <v>35.21908358</v>
      </c>
      <c r="D38" s="146" t="s">
        <v>34</v>
      </c>
      <c r="E38" s="146"/>
      <c r="F38" s="146"/>
      <c r="G38" s="146"/>
    </row>
    <row r="39" ht="15.75" customHeight="1">
      <c r="B39" s="15" t="s">
        <v>13</v>
      </c>
      <c r="C39" s="16">
        <f>0.521792313478632*(C5/46)</f>
        <v>0.6805986698</v>
      </c>
      <c r="D39" s="147" t="s">
        <v>9</v>
      </c>
      <c r="E39" s="147"/>
      <c r="F39" s="147"/>
      <c r="G39" s="147"/>
    </row>
    <row r="40" ht="15.75" customHeight="1">
      <c r="B40" s="36" t="s">
        <v>91</v>
      </c>
      <c r="C40" s="142">
        <f>4.69696214204082*(C5/46)</f>
        <v>6.126472359</v>
      </c>
      <c r="D40" s="133" t="s">
        <v>9</v>
      </c>
      <c r="E40" s="133"/>
      <c r="F40" s="133"/>
      <c r="G40" s="133"/>
    </row>
    <row r="41" ht="15.75" customHeight="1">
      <c r="B41" s="36" t="s">
        <v>111</v>
      </c>
      <c r="C41" s="142">
        <f>4.69696214204082*(C5/46)</f>
        <v>6.126472359</v>
      </c>
      <c r="D41" s="133" t="s">
        <v>9</v>
      </c>
      <c r="E41" s="133"/>
      <c r="F41" s="133"/>
      <c r="G41" s="133"/>
    </row>
    <row r="42" ht="15.75" customHeight="1">
      <c r="B42" s="36" t="s">
        <v>112</v>
      </c>
      <c r="C42" s="142">
        <f>3.55830465306122*(C5/46)</f>
        <v>4.641266939</v>
      </c>
      <c r="D42" s="133" t="s">
        <v>9</v>
      </c>
      <c r="E42" s="133"/>
      <c r="F42" s="133"/>
      <c r="G42" s="133"/>
    </row>
    <row r="43" ht="15.75" customHeight="1">
      <c r="B43" s="36" t="s">
        <v>113</v>
      </c>
      <c r="C43" s="142">
        <f>3.55830465306122*(C5/46)</f>
        <v>4.641266939</v>
      </c>
      <c r="D43" s="133" t="s">
        <v>9</v>
      </c>
      <c r="E43" s="133"/>
      <c r="F43" s="133"/>
      <c r="G43" s="133"/>
    </row>
    <row r="44" ht="15.75" customHeight="1">
      <c r="B44" s="36" t="s">
        <v>114</v>
      </c>
      <c r="C44" s="142">
        <f>2.13498279183674*(C5/46)</f>
        <v>2.784760163</v>
      </c>
      <c r="D44" s="133" t="s">
        <v>9</v>
      </c>
      <c r="E44" s="133"/>
      <c r="F44" s="133"/>
      <c r="G44" s="133"/>
    </row>
    <row r="45" ht="15.75" customHeight="1"/>
    <row r="46" ht="15.75" customHeight="1"/>
    <row r="47" ht="15.75" customHeight="1">
      <c r="B47" s="148" t="s">
        <v>100</v>
      </c>
      <c r="C47" s="38" t="s">
        <v>115</v>
      </c>
      <c r="D47" s="38" t="s">
        <v>116</v>
      </c>
    </row>
    <row r="48" ht="15.75" customHeight="1">
      <c r="B48" s="149" t="s">
        <v>38</v>
      </c>
      <c r="C48" s="55">
        <v>20.0</v>
      </c>
      <c r="D48" s="55" t="s">
        <v>107</v>
      </c>
    </row>
    <row r="49" ht="15.75" customHeight="1">
      <c r="B49" s="149" t="s">
        <v>57</v>
      </c>
      <c r="C49" s="55">
        <v>105.0</v>
      </c>
      <c r="D49" s="55" t="s">
        <v>107</v>
      </c>
    </row>
    <row r="50" ht="15.75" customHeight="1">
      <c r="B50" s="149" t="s">
        <v>24</v>
      </c>
      <c r="C50" s="55">
        <v>150.0</v>
      </c>
      <c r="D50" s="55" t="s">
        <v>107</v>
      </c>
    </row>
    <row r="51" ht="15.75" customHeight="1">
      <c r="B51" s="149" t="s">
        <v>30</v>
      </c>
      <c r="C51" s="55">
        <v>330.0</v>
      </c>
      <c r="D51" s="55" t="s">
        <v>107</v>
      </c>
    </row>
    <row r="52" ht="15.75" customHeight="1">
      <c r="B52" s="149" t="s">
        <v>98</v>
      </c>
      <c r="C52" s="55">
        <v>420.0</v>
      </c>
      <c r="D52" s="55" t="s">
        <v>107</v>
      </c>
    </row>
    <row r="53" ht="15.75" customHeight="1">
      <c r="B53" s="104"/>
      <c r="C53" s="11"/>
      <c r="D53" s="150"/>
    </row>
    <row r="54" ht="15.75" customHeight="1">
      <c r="B54" s="151" t="s">
        <v>117</v>
      </c>
      <c r="C54" s="116"/>
      <c r="D54" s="152" t="s">
        <v>42</v>
      </c>
      <c r="E54" s="152" t="s">
        <v>43</v>
      </c>
    </row>
    <row r="55" ht="15.75" customHeight="1">
      <c r="B55" s="153"/>
      <c r="C55" s="154"/>
      <c r="D55" s="155">
        <f>322.5*(C5/46)</f>
        <v>420.6521739</v>
      </c>
      <c r="E55" s="156"/>
    </row>
    <row r="56" ht="15.75" customHeight="1"/>
    <row r="57" ht="15.75" customHeight="1"/>
    <row r="58" ht="15.75" customHeight="1"/>
    <row r="59" ht="15.75" customHeight="1"/>
    <row r="60" ht="15.75" customHeight="1">
      <c r="D60" s="62" t="s">
        <v>45</v>
      </c>
      <c r="E60" s="63"/>
      <c r="F60" s="63"/>
      <c r="G60" s="157"/>
    </row>
    <row r="61" ht="15.75" customHeight="1">
      <c r="D61" s="65" t="s">
        <v>46</v>
      </c>
      <c r="E61" s="66"/>
      <c r="F61" s="66"/>
      <c r="G61" s="158"/>
    </row>
    <row r="62" ht="15.75" customHeight="1">
      <c r="D62" s="65" t="s">
        <v>47</v>
      </c>
      <c r="E62" s="66"/>
      <c r="F62" s="66"/>
      <c r="G62" s="158"/>
    </row>
    <row r="63" ht="15.75" customHeight="1">
      <c r="D63" s="65" t="s">
        <v>48</v>
      </c>
      <c r="E63" s="66"/>
      <c r="F63" s="66"/>
      <c r="G63" s="158"/>
    </row>
    <row r="64" ht="15.75" customHeight="1">
      <c r="D64" s="68" t="s">
        <v>49</v>
      </c>
      <c r="E64" s="69"/>
      <c r="F64" s="69"/>
      <c r="G64" s="159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1:D1"/>
    <mergeCell ref="B3:B4"/>
    <mergeCell ref="C3:C4"/>
    <mergeCell ref="D3:D4"/>
    <mergeCell ref="E3:E4"/>
    <mergeCell ref="F3:F4"/>
    <mergeCell ref="G3:G4"/>
    <mergeCell ref="C33:C34"/>
    <mergeCell ref="D33:D34"/>
    <mergeCell ref="E33:E34"/>
    <mergeCell ref="F33:F34"/>
    <mergeCell ref="B24:B25"/>
    <mergeCell ref="C24:C25"/>
    <mergeCell ref="D24:D25"/>
    <mergeCell ref="E24:E25"/>
    <mergeCell ref="F24:F25"/>
    <mergeCell ref="G24:G25"/>
    <mergeCell ref="B33:B34"/>
    <mergeCell ref="G33:G3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29"/>
    <col customWidth="1" min="3" max="3" width="10.86"/>
    <col customWidth="1" min="4" max="4" width="11.57"/>
    <col customWidth="1" min="5" max="7" width="8.71"/>
    <col customWidth="1" min="8" max="8" width="10.0"/>
    <col customWidth="1" min="9" max="26" width="8.71"/>
  </cols>
  <sheetData>
    <row r="1" ht="8.25" customHeight="1"/>
    <row r="2">
      <c r="B2" s="1" t="s">
        <v>118</v>
      </c>
      <c r="C2" s="1"/>
      <c r="D2" s="1"/>
      <c r="E2" s="1"/>
      <c r="F2" s="1"/>
      <c r="G2" s="1"/>
    </row>
    <row r="3">
      <c r="B3" s="2"/>
      <c r="C3" s="47"/>
      <c r="D3" s="47"/>
      <c r="E3" s="47"/>
      <c r="F3" s="47"/>
      <c r="G3" s="47"/>
    </row>
    <row r="4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>
      <c r="B5" s="6"/>
      <c r="C5" s="6"/>
      <c r="D5" s="6"/>
      <c r="E5" s="6"/>
      <c r="F5" s="6"/>
      <c r="G5" s="6"/>
    </row>
    <row r="6" ht="17.25" customHeight="1">
      <c r="B6" s="8" t="s">
        <v>119</v>
      </c>
      <c r="C6" s="160">
        <v>100.0</v>
      </c>
      <c r="D6" s="42" t="s">
        <v>9</v>
      </c>
      <c r="E6" s="160"/>
      <c r="F6" s="160"/>
      <c r="G6" s="42"/>
      <c r="H6" s="42" t="s">
        <v>120</v>
      </c>
    </row>
    <row r="7" ht="17.25" customHeight="1">
      <c r="B7" s="15" t="s">
        <v>13</v>
      </c>
      <c r="C7" s="161">
        <f>0.024*(C6/2)</f>
        <v>1.2</v>
      </c>
      <c r="D7" s="24" t="s">
        <v>9</v>
      </c>
      <c r="E7" s="161"/>
      <c r="F7" s="161"/>
      <c r="G7" s="24"/>
      <c r="H7" s="24" t="s">
        <v>82</v>
      </c>
    </row>
    <row r="8" ht="17.25" customHeight="1">
      <c r="B8" s="15" t="s">
        <v>60</v>
      </c>
      <c r="C8" s="161">
        <f>0.6*(C6/60)</f>
        <v>1</v>
      </c>
      <c r="D8" s="24" t="s">
        <v>9</v>
      </c>
      <c r="E8" s="161"/>
      <c r="F8" s="161"/>
      <c r="G8" s="24"/>
    </row>
    <row r="9" ht="17.25" customHeight="1">
      <c r="B9" s="15" t="s">
        <v>62</v>
      </c>
      <c r="C9" s="161">
        <f>0.48*(C6/60)</f>
        <v>0.8</v>
      </c>
      <c r="D9" s="24" t="s">
        <v>9</v>
      </c>
      <c r="E9" s="161"/>
      <c r="F9" s="161"/>
      <c r="G9" s="24"/>
    </row>
    <row r="10" ht="17.25" customHeight="1">
      <c r="B10" s="162" t="s">
        <v>81</v>
      </c>
      <c r="C10" s="163">
        <f>0.24*(C6/60)</f>
        <v>0.4</v>
      </c>
      <c r="D10" s="5" t="s">
        <v>9</v>
      </c>
      <c r="E10" s="163"/>
      <c r="F10" s="163"/>
      <c r="G10" s="5"/>
    </row>
    <row r="11" ht="17.25" customHeight="1">
      <c r="B11" s="36" t="s">
        <v>121</v>
      </c>
      <c r="C11" s="111">
        <f>0.05*(C6/2)</f>
        <v>2.5</v>
      </c>
      <c r="D11" s="133" t="s">
        <v>9</v>
      </c>
      <c r="E11" s="133"/>
      <c r="F11" s="133"/>
      <c r="G11" s="133"/>
    </row>
    <row r="12" ht="17.25" customHeight="1">
      <c r="B12" s="15" t="s">
        <v>14</v>
      </c>
      <c r="C12" s="161">
        <f>0.8*(C6/60)</f>
        <v>1.333333333</v>
      </c>
      <c r="D12" s="164" t="s">
        <v>9</v>
      </c>
      <c r="E12" s="161"/>
      <c r="F12" s="161"/>
      <c r="G12" s="164"/>
    </row>
    <row r="13" ht="17.25" customHeight="1">
      <c r="D13" s="165"/>
      <c r="G13" s="165"/>
    </row>
    <row r="14" ht="17.25" customHeight="1">
      <c r="B14" s="166" t="s">
        <v>122</v>
      </c>
      <c r="C14" s="166"/>
      <c r="D14" s="166"/>
      <c r="E14" s="166"/>
      <c r="F14" s="166"/>
      <c r="G14" s="166"/>
    </row>
    <row r="15" ht="17.25" customHeight="1">
      <c r="B15" s="2"/>
      <c r="C15" s="75"/>
      <c r="D15" s="47"/>
      <c r="E15" s="75"/>
      <c r="F15" s="75"/>
      <c r="G15" s="47"/>
    </row>
    <row r="16" ht="17.25" customHeight="1">
      <c r="B16" s="4" t="s">
        <v>2</v>
      </c>
      <c r="C16" s="76" t="s">
        <v>3</v>
      </c>
      <c r="D16" s="5" t="s">
        <v>4</v>
      </c>
      <c r="E16" s="76"/>
      <c r="F16" s="76"/>
      <c r="G16" s="5" t="s">
        <v>4</v>
      </c>
    </row>
    <row r="17" ht="17.25" customHeight="1">
      <c r="B17" s="167"/>
      <c r="C17" s="168"/>
      <c r="D17" s="164"/>
      <c r="E17" s="168"/>
      <c r="F17" s="168"/>
      <c r="G17" s="164"/>
    </row>
    <row r="18" ht="17.25" customHeight="1">
      <c r="B18" s="8" t="s">
        <v>123</v>
      </c>
      <c r="C18" s="169">
        <f>13*(C6/100)</f>
        <v>13</v>
      </c>
      <c r="D18" s="10" t="s">
        <v>9</v>
      </c>
      <c r="E18" s="13"/>
      <c r="F18" s="13"/>
      <c r="G18" s="10"/>
      <c r="H18" s="42" t="s">
        <v>120</v>
      </c>
    </row>
    <row r="19" ht="17.25" customHeight="1">
      <c r="B19" s="15" t="s">
        <v>33</v>
      </c>
      <c r="C19" s="161">
        <f>27*(C6/100)</f>
        <v>27</v>
      </c>
      <c r="D19" s="17" t="s">
        <v>34</v>
      </c>
      <c r="E19" s="16"/>
      <c r="F19" s="16"/>
      <c r="G19" s="17"/>
      <c r="H19" s="24" t="s">
        <v>124</v>
      </c>
    </row>
    <row r="20" ht="17.25" customHeight="1">
      <c r="B20" s="15" t="s">
        <v>31</v>
      </c>
      <c r="C20" s="161">
        <f>0.5*(C6/100)</f>
        <v>0.5</v>
      </c>
      <c r="D20" s="17" t="s">
        <v>9</v>
      </c>
      <c r="E20" s="16"/>
      <c r="F20" s="16"/>
      <c r="G20" s="17"/>
    </row>
    <row r="21" ht="17.25" customHeight="1">
      <c r="B21" s="15" t="s">
        <v>103</v>
      </c>
      <c r="C21" s="161">
        <f>0.5*(C6/100)</f>
        <v>0.5</v>
      </c>
      <c r="D21" s="17" t="s">
        <v>9</v>
      </c>
      <c r="E21" s="16"/>
      <c r="F21" s="16"/>
      <c r="G21" s="17"/>
    </row>
    <row r="22" ht="17.25" customHeight="1">
      <c r="B22" s="15" t="s">
        <v>13</v>
      </c>
      <c r="C22" s="161">
        <f>0.225*(C6/100)</f>
        <v>0.225</v>
      </c>
      <c r="D22" s="17" t="s">
        <v>9</v>
      </c>
      <c r="E22" s="16"/>
      <c r="F22" s="16"/>
      <c r="G22" s="17"/>
    </row>
    <row r="23" ht="17.25" customHeight="1">
      <c r="B23" s="15" t="s">
        <v>91</v>
      </c>
      <c r="C23" s="161">
        <f>5.5*(C6/100)</f>
        <v>5.5</v>
      </c>
      <c r="D23" s="17" t="s">
        <v>9</v>
      </c>
      <c r="E23" s="16"/>
      <c r="F23" s="16"/>
      <c r="G23" s="17"/>
    </row>
    <row r="24" ht="17.25" customHeight="1">
      <c r="B24" s="15" t="s">
        <v>111</v>
      </c>
      <c r="C24" s="161">
        <f>5.5*(C6/100)</f>
        <v>5.5</v>
      </c>
      <c r="D24" s="17" t="s">
        <v>9</v>
      </c>
      <c r="E24" s="16"/>
      <c r="F24" s="16"/>
      <c r="G24" s="17"/>
    </row>
    <row r="25" ht="17.25" customHeight="1">
      <c r="B25" s="15" t="s">
        <v>125</v>
      </c>
      <c r="C25" s="161">
        <f>0.5*(C6/100)</f>
        <v>0.5</v>
      </c>
      <c r="D25" s="17" t="s">
        <v>9</v>
      </c>
      <c r="E25" s="16"/>
      <c r="F25" s="16"/>
      <c r="G25" s="17"/>
    </row>
    <row r="26" ht="17.25" customHeight="1"/>
    <row r="27" ht="15.75" customHeight="1">
      <c r="B27" s="40" t="s">
        <v>28</v>
      </c>
      <c r="D27" s="2"/>
      <c r="E27" s="2"/>
    </row>
    <row r="28" ht="15.75" customHeight="1">
      <c r="D28" s="7"/>
      <c r="E28" s="7"/>
    </row>
    <row r="29" ht="15.75" customHeight="1"/>
    <row r="30" ht="15.75" customHeight="1">
      <c r="B30" s="8" t="s">
        <v>30</v>
      </c>
      <c r="C30" s="9">
        <v>23.247</v>
      </c>
      <c r="D30" s="10" t="s">
        <v>9</v>
      </c>
      <c r="E30" s="13"/>
      <c r="F30" s="13"/>
      <c r="G30" s="10"/>
    </row>
    <row r="31" ht="15.75" customHeight="1">
      <c r="B31" s="15" t="s">
        <v>31</v>
      </c>
      <c r="C31" s="16">
        <v>0.49140000000000006</v>
      </c>
      <c r="D31" s="17" t="s">
        <v>9</v>
      </c>
      <c r="E31" s="16"/>
      <c r="F31" s="16"/>
      <c r="G31" s="17"/>
      <c r="H31" s="42" t="s">
        <v>120</v>
      </c>
    </row>
    <row r="32" ht="15.75" customHeight="1">
      <c r="B32" s="15" t="s">
        <v>32</v>
      </c>
      <c r="C32" s="16">
        <v>2.8632554999999997</v>
      </c>
      <c r="D32" s="17" t="s">
        <v>9</v>
      </c>
      <c r="E32" s="16"/>
      <c r="F32" s="16"/>
      <c r="G32" s="17"/>
      <c r="H32" s="24" t="s">
        <v>82</v>
      </c>
    </row>
    <row r="33" ht="15.75" customHeight="1">
      <c r="B33" s="15" t="s">
        <v>33</v>
      </c>
      <c r="C33" s="16">
        <v>38.163825</v>
      </c>
      <c r="D33" s="17" t="s">
        <v>34</v>
      </c>
      <c r="E33" s="16"/>
      <c r="F33" s="16"/>
      <c r="G33" s="17"/>
    </row>
    <row r="34" ht="15.75" customHeight="1">
      <c r="B34" s="15" t="s">
        <v>13</v>
      </c>
      <c r="C34" s="16">
        <v>0.736155</v>
      </c>
      <c r="D34" s="24" t="s">
        <v>9</v>
      </c>
      <c r="E34" s="16"/>
      <c r="F34" s="16"/>
      <c r="G34" s="24"/>
    </row>
    <row r="35" ht="15.75" customHeight="1"/>
    <row r="36" ht="15.75" customHeight="1"/>
    <row r="37" ht="15.75" customHeight="1">
      <c r="B37" s="95" t="s">
        <v>126</v>
      </c>
      <c r="C37" s="2"/>
      <c r="D37" s="2"/>
      <c r="E37" s="2"/>
    </row>
    <row r="38" ht="15.75" customHeight="1">
      <c r="C38" s="7"/>
      <c r="D38" s="7"/>
      <c r="E38" s="7"/>
    </row>
    <row r="39" ht="15.75" customHeight="1">
      <c r="B39" s="11"/>
      <c r="C39" s="7"/>
      <c r="D39" s="7"/>
      <c r="E39" s="7"/>
      <c r="F39" s="7"/>
      <c r="G39" s="11"/>
    </row>
    <row r="40" ht="15.75" customHeight="1">
      <c r="B40" s="8" t="s">
        <v>127</v>
      </c>
      <c r="C40" s="41">
        <f>27.9285714285714*(C6/100)</f>
        <v>27.92857143</v>
      </c>
      <c r="D40" s="41"/>
      <c r="E40" s="41"/>
      <c r="F40" s="41"/>
      <c r="G40" s="114"/>
      <c r="H40" s="42" t="s">
        <v>120</v>
      </c>
    </row>
    <row r="41" ht="15.75" customHeight="1">
      <c r="B41" s="15" t="s">
        <v>31</v>
      </c>
      <c r="C41" s="16">
        <f>0.276*(C6/100)</f>
        <v>0.276</v>
      </c>
      <c r="D41" s="16"/>
      <c r="E41" s="16"/>
      <c r="F41" s="16"/>
      <c r="G41" s="17"/>
      <c r="H41" s="24" t="s">
        <v>128</v>
      </c>
    </row>
    <row r="42" ht="15.75" customHeight="1">
      <c r="B42" s="15" t="s">
        <v>86</v>
      </c>
      <c r="C42" s="16">
        <f>0.46*(C6/100)</f>
        <v>0.46</v>
      </c>
      <c r="D42" s="43"/>
      <c r="E42" s="43"/>
      <c r="F42" s="43"/>
      <c r="G42" s="17"/>
    </row>
    <row r="43" ht="15.75" customHeight="1">
      <c r="B43" s="15" t="s">
        <v>13</v>
      </c>
      <c r="C43" s="16">
        <f>0.21735*(C6/100)</f>
        <v>0.21735</v>
      </c>
      <c r="D43" s="16"/>
      <c r="E43" s="16"/>
      <c r="F43" s="16"/>
      <c r="G43" s="24"/>
    </row>
    <row r="44" ht="15.75" customHeight="1"/>
    <row r="45" ht="15.75" customHeight="1"/>
    <row r="46" ht="15.75" customHeight="1"/>
    <row r="47" ht="15.75" customHeight="1"/>
    <row r="48" ht="15.75" customHeight="1">
      <c r="B48" s="57" t="s">
        <v>41</v>
      </c>
      <c r="C48" s="57" t="s">
        <v>42</v>
      </c>
      <c r="D48" s="57" t="s">
        <v>43</v>
      </c>
      <c r="E48" s="11"/>
      <c r="F48" s="11"/>
      <c r="G48" s="11"/>
    </row>
    <row r="49" ht="15.75" customHeight="1">
      <c r="B49" s="55" t="s">
        <v>44</v>
      </c>
      <c r="C49" s="170">
        <f>599*(C6/100)</f>
        <v>599</v>
      </c>
      <c r="D49" s="55"/>
    </row>
    <row r="50" ht="15.75" customHeight="1"/>
    <row r="51" ht="15.75" customHeight="1"/>
    <row r="52" ht="15.75" customHeight="1"/>
    <row r="53" ht="15.75" customHeight="1">
      <c r="B53" s="57" t="s">
        <v>100</v>
      </c>
      <c r="C53" s="57" t="s">
        <v>107</v>
      </c>
    </row>
    <row r="54" ht="15.75" customHeight="1">
      <c r="B54" s="55" t="s">
        <v>38</v>
      </c>
      <c r="C54" s="55">
        <v>20.0</v>
      </c>
      <c r="E54" s="62" t="s">
        <v>45</v>
      </c>
      <c r="F54" s="63"/>
      <c r="G54" s="63"/>
      <c r="H54" s="64"/>
    </row>
    <row r="55" ht="15.75" customHeight="1">
      <c r="B55" s="55" t="s">
        <v>129</v>
      </c>
      <c r="C55" s="55">
        <v>140.0</v>
      </c>
      <c r="E55" s="65" t="s">
        <v>46</v>
      </c>
      <c r="F55" s="66"/>
      <c r="G55" s="66"/>
      <c r="H55" s="67"/>
    </row>
    <row r="56" ht="15.75" customHeight="1">
      <c r="B56" s="55" t="s">
        <v>127</v>
      </c>
      <c r="C56" s="55">
        <v>190.0</v>
      </c>
      <c r="E56" s="65" t="s">
        <v>47</v>
      </c>
      <c r="F56" s="66"/>
      <c r="G56" s="66"/>
      <c r="H56" s="67"/>
    </row>
    <row r="57" ht="15.75" customHeight="1">
      <c r="B57" s="55" t="s">
        <v>30</v>
      </c>
      <c r="C57" s="55">
        <v>310.0</v>
      </c>
      <c r="E57" s="65" t="s">
        <v>48</v>
      </c>
      <c r="F57" s="66"/>
      <c r="G57" s="66"/>
      <c r="H57" s="67"/>
    </row>
    <row r="58" ht="15.75" customHeight="1">
      <c r="B58" s="55" t="s">
        <v>130</v>
      </c>
      <c r="C58" s="55">
        <v>420.0</v>
      </c>
      <c r="E58" s="68" t="s">
        <v>49</v>
      </c>
      <c r="F58" s="69"/>
      <c r="G58" s="69"/>
      <c r="H58" s="7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4:B5"/>
    <mergeCell ref="C4:C5"/>
    <mergeCell ref="D4:D5"/>
    <mergeCell ref="E4:E5"/>
    <mergeCell ref="F4:F5"/>
    <mergeCell ref="G4:G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0"/>
    <col customWidth="1" min="3" max="3" width="12.57"/>
    <col customWidth="1" min="4" max="4" width="11.43"/>
    <col customWidth="1" min="5" max="5" width="14.29"/>
    <col customWidth="1" min="6" max="6" width="8.71"/>
    <col customWidth="1" min="7" max="7" width="10.86"/>
    <col customWidth="1" min="8" max="26" width="8.71"/>
  </cols>
  <sheetData>
    <row r="1">
      <c r="D1" s="2"/>
    </row>
    <row r="2">
      <c r="B2" s="1" t="s">
        <v>131</v>
      </c>
      <c r="C2" s="1"/>
      <c r="D2" s="1"/>
      <c r="E2" s="2"/>
      <c r="G2" s="2"/>
    </row>
    <row r="3">
      <c r="B3" s="1"/>
      <c r="C3" s="1"/>
      <c r="D3" s="1"/>
      <c r="F3" s="2"/>
      <c r="G3" s="2"/>
    </row>
    <row r="4">
      <c r="B4" s="4" t="s">
        <v>2</v>
      </c>
      <c r="C4" s="5" t="s">
        <v>3</v>
      </c>
      <c r="D4" s="5" t="s">
        <v>4</v>
      </c>
      <c r="E4" s="3" t="s">
        <v>132</v>
      </c>
      <c r="G4" s="2"/>
    </row>
    <row r="5" ht="24.75" customHeight="1">
      <c r="B5" s="6"/>
      <c r="C5" s="6"/>
      <c r="D5" s="6"/>
      <c r="E5" s="24" t="s">
        <v>51</v>
      </c>
      <c r="G5" s="7"/>
    </row>
    <row r="6">
      <c r="B6" s="8" t="s">
        <v>133</v>
      </c>
      <c r="C6" s="9">
        <v>50.0</v>
      </c>
      <c r="D6" s="171" t="s">
        <v>9</v>
      </c>
      <c r="E6" s="118"/>
      <c r="F6" s="2"/>
      <c r="G6" s="2"/>
    </row>
    <row r="7">
      <c r="B7" s="52" t="s">
        <v>92</v>
      </c>
      <c r="C7" s="172">
        <f>10*(C6/5)</f>
        <v>100</v>
      </c>
      <c r="D7" s="173" t="s">
        <v>34</v>
      </c>
      <c r="E7" s="118"/>
      <c r="F7" s="2"/>
      <c r="G7" s="2"/>
    </row>
    <row r="8">
      <c r="B8" s="15" t="s">
        <v>134</v>
      </c>
      <c r="C8" s="16">
        <f>2.7*(C6/5)</f>
        <v>27</v>
      </c>
      <c r="D8" s="17" t="s">
        <v>9</v>
      </c>
      <c r="E8" s="118"/>
      <c r="F8" s="2"/>
      <c r="G8" s="2"/>
    </row>
    <row r="9">
      <c r="B9" s="15" t="s">
        <v>135</v>
      </c>
      <c r="C9" s="16">
        <f>0.06*(C6/10)</f>
        <v>0.3</v>
      </c>
      <c r="D9" s="17" t="s">
        <v>9</v>
      </c>
      <c r="E9" s="118"/>
      <c r="F9" s="2"/>
      <c r="G9" s="2"/>
    </row>
    <row r="10" ht="18.75" customHeight="1">
      <c r="B10" s="15" t="s">
        <v>136</v>
      </c>
      <c r="C10" s="16">
        <f>0.05*(C6/10)</f>
        <v>0.25</v>
      </c>
      <c r="D10" s="17" t="s">
        <v>9</v>
      </c>
      <c r="E10" s="118"/>
      <c r="F10" s="2"/>
      <c r="G10" s="2"/>
    </row>
    <row r="11">
      <c r="B11" s="15" t="s">
        <v>137</v>
      </c>
      <c r="C11" s="16">
        <f>0.06*(C6/10)</f>
        <v>0.3</v>
      </c>
      <c r="D11" s="17" t="s">
        <v>9</v>
      </c>
      <c r="E11" s="118"/>
      <c r="F11" s="2"/>
      <c r="G11" s="2"/>
    </row>
    <row r="12">
      <c r="B12" s="15" t="s">
        <v>111</v>
      </c>
      <c r="C12" s="16">
        <f>2.7*(C6/5)</f>
        <v>27</v>
      </c>
      <c r="D12" s="17" t="s">
        <v>9</v>
      </c>
      <c r="E12" s="118"/>
      <c r="F12" s="2"/>
      <c r="G12" s="2"/>
    </row>
    <row r="13">
      <c r="B13" s="15" t="s">
        <v>91</v>
      </c>
      <c r="C13" s="16">
        <f>1.75*(C6/5)</f>
        <v>17.5</v>
      </c>
      <c r="D13" s="25" t="s">
        <v>9</v>
      </c>
      <c r="E13" s="118">
        <f>C13*0.125</f>
        <v>2.1875</v>
      </c>
      <c r="F13" s="2"/>
      <c r="G13" s="2"/>
    </row>
    <row r="14">
      <c r="B14" s="15" t="s">
        <v>138</v>
      </c>
      <c r="C14" s="16">
        <f>1.9*(C6/5)</f>
        <v>19</v>
      </c>
      <c r="D14" s="24" t="s">
        <v>9</v>
      </c>
      <c r="E14" s="118">
        <f>C14*0.05</f>
        <v>0.95</v>
      </c>
    </row>
    <row r="15">
      <c r="B15" s="15" t="s">
        <v>16</v>
      </c>
      <c r="C15" s="43">
        <f>1.2*(C6/5)</f>
        <v>12</v>
      </c>
      <c r="D15" s="5" t="s">
        <v>9</v>
      </c>
      <c r="E15" s="118"/>
    </row>
    <row r="16">
      <c r="B16" s="15" t="s">
        <v>14</v>
      </c>
      <c r="C16" s="16">
        <f>0.15*(C6/5)</f>
        <v>1.5</v>
      </c>
      <c r="D16" s="24" t="s">
        <v>9</v>
      </c>
      <c r="E16" s="118"/>
    </row>
    <row r="17">
      <c r="B17" s="15" t="s">
        <v>139</v>
      </c>
      <c r="C17" s="16">
        <f>4*(C6/5)</f>
        <v>40</v>
      </c>
      <c r="D17" s="25" t="s">
        <v>4</v>
      </c>
      <c r="E17" s="118"/>
    </row>
    <row r="18">
      <c r="B18" s="15" t="s">
        <v>13</v>
      </c>
      <c r="C18" s="43">
        <f>0.05*(C6/5)</f>
        <v>0.5</v>
      </c>
      <c r="D18" s="174" t="s">
        <v>9</v>
      </c>
      <c r="E18" s="118"/>
    </row>
    <row r="19">
      <c r="E19" s="2"/>
    </row>
    <row r="20">
      <c r="B20" s="40" t="s">
        <v>28</v>
      </c>
      <c r="C20" s="3" t="s">
        <v>25</v>
      </c>
    </row>
    <row r="21" ht="15.75" customHeight="1">
      <c r="B21" s="8" t="s">
        <v>30</v>
      </c>
      <c r="C21" s="9">
        <f>55.836*(C6/40)</f>
        <v>69.795</v>
      </c>
      <c r="D21" s="42" t="s">
        <v>9</v>
      </c>
    </row>
    <row r="22" ht="15.75" customHeight="1">
      <c r="B22" s="15" t="s">
        <v>31</v>
      </c>
      <c r="C22" s="16">
        <f>0.969*(C6/40)</f>
        <v>1.21125</v>
      </c>
      <c r="D22" s="17" t="s">
        <v>9</v>
      </c>
    </row>
    <row r="23" ht="15.75" customHeight="1">
      <c r="B23" s="15" t="s">
        <v>32</v>
      </c>
      <c r="C23" s="16">
        <f>5.785*(C6/40)</f>
        <v>7.23125</v>
      </c>
      <c r="D23" s="17" t="s">
        <v>9</v>
      </c>
    </row>
    <row r="24" ht="15.75" customHeight="1">
      <c r="B24" s="15" t="s">
        <v>33</v>
      </c>
      <c r="C24" s="16">
        <f>77.295*(C6/40)</f>
        <v>96.61875</v>
      </c>
      <c r="D24" s="17" t="s">
        <v>34</v>
      </c>
    </row>
    <row r="25" ht="15.75" customHeight="1">
      <c r="B25" s="15" t="s">
        <v>13</v>
      </c>
      <c r="C25" s="16">
        <f>1.453*(C6/40)</f>
        <v>1.81625</v>
      </c>
      <c r="D25" s="24" t="s">
        <v>9</v>
      </c>
    </row>
    <row r="26" ht="15.75" customHeight="1"/>
    <row r="27" ht="15.75" customHeight="1">
      <c r="B27" s="95" t="s">
        <v>140</v>
      </c>
      <c r="C27" s="118" t="s">
        <v>35</v>
      </c>
    </row>
    <row r="28" ht="15.75" customHeight="1">
      <c r="B28" s="8" t="s">
        <v>125</v>
      </c>
      <c r="C28" s="9">
        <f>26.866*(C6/40)</f>
        <v>33.5825</v>
      </c>
      <c r="D28" s="114" t="s">
        <v>9</v>
      </c>
    </row>
    <row r="29" ht="15.75" customHeight="1">
      <c r="B29" s="15" t="s">
        <v>31</v>
      </c>
      <c r="C29" s="16">
        <f>0.346666666666667*(C6/40)</f>
        <v>0.4333333333</v>
      </c>
      <c r="D29" s="17" t="s">
        <v>9</v>
      </c>
    </row>
    <row r="30" ht="15.75" customHeight="1">
      <c r="B30" s="15" t="s">
        <v>86</v>
      </c>
      <c r="C30" s="16">
        <f>13.8666666666667*(C6/40)</f>
        <v>17.33333333</v>
      </c>
      <c r="D30" s="17" t="s">
        <v>9</v>
      </c>
    </row>
    <row r="31" ht="15.75" customHeight="1">
      <c r="B31" s="15" t="s">
        <v>13</v>
      </c>
      <c r="C31" s="16">
        <f>0.226359466666667*(C6/40)</f>
        <v>0.2829493333</v>
      </c>
      <c r="D31" s="24" t="s">
        <v>9</v>
      </c>
    </row>
    <row r="32" ht="15.75" customHeight="1"/>
    <row r="33" ht="15.75" customHeight="1">
      <c r="B33" s="95" t="s">
        <v>126</v>
      </c>
      <c r="C33" s="118" t="s">
        <v>35</v>
      </c>
    </row>
    <row r="34" ht="15.75" customHeight="1">
      <c r="B34" s="11"/>
      <c r="C34" s="7"/>
      <c r="D34" s="11"/>
      <c r="E34" s="24" t="s">
        <v>51</v>
      </c>
    </row>
    <row r="35" ht="15.75" customHeight="1">
      <c r="B35" s="8" t="s">
        <v>141</v>
      </c>
      <c r="C35" s="9">
        <f>28*(C6/30)</f>
        <v>46.66666667</v>
      </c>
      <c r="D35" s="114" t="s">
        <v>9</v>
      </c>
      <c r="E35" s="118">
        <f>C35*0.36</f>
        <v>16.8</v>
      </c>
    </row>
    <row r="36" ht="15.75" customHeight="1">
      <c r="B36" s="15" t="s">
        <v>31</v>
      </c>
      <c r="C36" s="16">
        <f>0.12*(C6/30)</f>
        <v>0.2</v>
      </c>
      <c r="D36" s="17" t="s">
        <v>9</v>
      </c>
    </row>
    <row r="37" ht="15.75" customHeight="1">
      <c r="B37" s="15" t="s">
        <v>86</v>
      </c>
      <c r="C37" s="16">
        <f>1.558*(C6/30)</f>
        <v>2.596666667</v>
      </c>
      <c r="D37" s="17" t="s">
        <v>9</v>
      </c>
    </row>
    <row r="38" ht="15.75" customHeight="1">
      <c r="B38" s="15" t="s">
        <v>13</v>
      </c>
      <c r="C38" s="16">
        <f>0.28*(C6/30)</f>
        <v>0.4666666667</v>
      </c>
      <c r="D38" s="24" t="s">
        <v>9</v>
      </c>
    </row>
    <row r="39" ht="15.75" customHeight="1"/>
    <row r="40" ht="15.75" customHeight="1">
      <c r="B40" s="57" t="s">
        <v>100</v>
      </c>
      <c r="C40" s="57" t="s">
        <v>107</v>
      </c>
    </row>
    <row r="41" ht="15.75" customHeight="1">
      <c r="B41" s="55" t="s">
        <v>38</v>
      </c>
      <c r="C41" s="55">
        <v>20.0</v>
      </c>
    </row>
    <row r="42" ht="15.75" customHeight="1">
      <c r="B42" s="55" t="s">
        <v>30</v>
      </c>
      <c r="C42" s="55">
        <v>160.0</v>
      </c>
    </row>
    <row r="43" ht="15.75" customHeight="1">
      <c r="B43" s="55" t="s">
        <v>140</v>
      </c>
      <c r="C43" s="55">
        <v>190.0</v>
      </c>
    </row>
    <row r="44" ht="15.75" customHeight="1">
      <c r="B44" s="55" t="s">
        <v>127</v>
      </c>
      <c r="C44" s="55">
        <v>220.0</v>
      </c>
      <c r="E44" s="56" t="s">
        <v>41</v>
      </c>
      <c r="F44" s="57" t="s">
        <v>42</v>
      </c>
      <c r="G44" s="58" t="s">
        <v>43</v>
      </c>
    </row>
    <row r="45" ht="15.75" customHeight="1">
      <c r="B45" s="55" t="s">
        <v>142</v>
      </c>
      <c r="C45" s="55">
        <v>420.0</v>
      </c>
      <c r="E45" s="59" t="s">
        <v>44</v>
      </c>
      <c r="F45" s="119">
        <f>1000*(C6/40)</f>
        <v>1250</v>
      </c>
      <c r="G45" s="61"/>
    </row>
    <row r="46" ht="15.75" customHeight="1"/>
    <row r="47" ht="15.75" customHeight="1">
      <c r="D47" s="62" t="s">
        <v>45</v>
      </c>
      <c r="E47" s="63"/>
      <c r="F47" s="63"/>
      <c r="G47" s="64"/>
    </row>
    <row r="48" ht="15.75" customHeight="1">
      <c r="D48" s="65" t="s">
        <v>46</v>
      </c>
      <c r="E48" s="66"/>
      <c r="F48" s="66"/>
      <c r="G48" s="67"/>
    </row>
    <row r="49" ht="15.75" customHeight="1">
      <c r="D49" s="65" t="s">
        <v>47</v>
      </c>
      <c r="E49" s="66"/>
      <c r="F49" s="66"/>
      <c r="G49" s="67"/>
    </row>
    <row r="50" ht="15.75" customHeight="1">
      <c r="D50" s="65" t="s">
        <v>48</v>
      </c>
      <c r="E50" s="66"/>
      <c r="F50" s="66"/>
      <c r="G50" s="67"/>
    </row>
    <row r="51" ht="15.75" customHeight="1">
      <c r="D51" s="68" t="s">
        <v>49</v>
      </c>
      <c r="E51" s="69"/>
      <c r="F51" s="69"/>
      <c r="G51" s="70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4:B5"/>
    <mergeCell ref="C4:C5"/>
    <mergeCell ref="D4:D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57"/>
    <col customWidth="1" min="3" max="3" width="11.57"/>
    <col customWidth="1" min="4" max="4" width="9.57"/>
    <col customWidth="1" min="5" max="5" width="11.57"/>
    <col customWidth="1" min="6" max="6" width="8.71"/>
    <col customWidth="1" min="7" max="7" width="23.71"/>
    <col customWidth="1" min="8" max="8" width="16.43"/>
    <col customWidth="1" min="9" max="9" width="8.71"/>
    <col customWidth="1" min="10" max="10" width="14.29"/>
    <col customWidth="1" min="11" max="26" width="8.71"/>
  </cols>
  <sheetData>
    <row r="2">
      <c r="B2" s="1" t="s">
        <v>143</v>
      </c>
      <c r="C2" s="1"/>
      <c r="D2" s="1"/>
      <c r="E2" s="1"/>
      <c r="F2" s="1"/>
      <c r="G2" s="1"/>
    </row>
    <row r="3">
      <c r="B3" s="1"/>
      <c r="C3" s="1"/>
      <c r="D3" s="1"/>
      <c r="E3" s="1"/>
      <c r="F3" s="1"/>
      <c r="G3" s="127" t="s">
        <v>144</v>
      </c>
    </row>
    <row r="4">
      <c r="B4" s="2"/>
      <c r="C4" s="47"/>
      <c r="D4" s="47"/>
      <c r="E4" s="47"/>
      <c r="F4" s="47"/>
      <c r="G4" s="175"/>
    </row>
    <row r="5"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I5" s="73">
        <v>310.0</v>
      </c>
      <c r="J5" s="71">
        <f>SUM(C7:C27)</f>
        <v>65.37833333</v>
      </c>
      <c r="K5" s="74">
        <f>J5/I5</f>
        <v>0.2108978495</v>
      </c>
      <c r="M5" s="71">
        <v>98.0675</v>
      </c>
      <c r="N5" s="74">
        <v>0.1720482456140351</v>
      </c>
    </row>
    <row r="6">
      <c r="B6" s="6"/>
      <c r="C6" s="176"/>
      <c r="D6" s="6"/>
      <c r="E6" s="6"/>
      <c r="F6" s="6"/>
      <c r="G6" s="6"/>
    </row>
    <row r="7">
      <c r="B7" s="177" t="s">
        <v>145</v>
      </c>
      <c r="C7" s="178">
        <v>20.0</v>
      </c>
      <c r="D7" s="10" t="s">
        <v>9</v>
      </c>
      <c r="E7" s="97">
        <f>C7*0.05</f>
        <v>1</v>
      </c>
      <c r="F7" s="97"/>
      <c r="G7" s="10"/>
    </row>
    <row r="8">
      <c r="B8" s="102" t="s">
        <v>13</v>
      </c>
      <c r="C8" s="142">
        <f>0.39*(C7/30)</f>
        <v>0.26</v>
      </c>
      <c r="D8" s="17" t="s">
        <v>4</v>
      </c>
      <c r="E8" s="179"/>
      <c r="F8" s="179"/>
      <c r="G8" s="17"/>
      <c r="J8" s="74">
        <f>(C7+C13+C16+C17)/I5</f>
        <v>0.07580645161</v>
      </c>
      <c r="M8" s="74">
        <v>0.06184210526315789</v>
      </c>
    </row>
    <row r="9">
      <c r="B9" s="102" t="s">
        <v>76</v>
      </c>
      <c r="C9" s="142">
        <f>0.15*(C7/30)</f>
        <v>0.1</v>
      </c>
      <c r="D9" s="17" t="s">
        <v>9</v>
      </c>
      <c r="E9" s="179"/>
      <c r="F9" s="179"/>
      <c r="G9" s="17"/>
    </row>
    <row r="10">
      <c r="B10" s="102" t="s">
        <v>60</v>
      </c>
      <c r="C10" s="142">
        <f>0.15*(C7/30)</f>
        <v>0.1</v>
      </c>
      <c r="D10" s="17" t="s">
        <v>9</v>
      </c>
      <c r="E10" s="179"/>
      <c r="F10" s="179"/>
      <c r="G10" s="17"/>
    </row>
    <row r="11">
      <c r="B11" s="102" t="s">
        <v>16</v>
      </c>
      <c r="C11" s="142">
        <f>10.5*(C7/30)</f>
        <v>7</v>
      </c>
      <c r="D11" s="17" t="s">
        <v>9</v>
      </c>
      <c r="E11" s="98"/>
      <c r="F11" s="98"/>
      <c r="G11" s="17"/>
    </row>
    <row r="12">
      <c r="B12" s="102" t="s">
        <v>17</v>
      </c>
      <c r="C12" s="142">
        <f>21*(C7/30)</f>
        <v>14</v>
      </c>
      <c r="D12" s="17" t="s">
        <v>9</v>
      </c>
      <c r="E12" s="98"/>
      <c r="F12" s="98"/>
      <c r="G12" s="17"/>
    </row>
    <row r="13">
      <c r="B13" s="102" t="s">
        <v>91</v>
      </c>
      <c r="C13" s="142">
        <f>2.7*(C7/30)</f>
        <v>1.8</v>
      </c>
      <c r="D13" s="17" t="s">
        <v>9</v>
      </c>
      <c r="E13" s="98"/>
      <c r="F13" s="98"/>
      <c r="G13" s="17"/>
    </row>
    <row r="14">
      <c r="B14" s="102" t="s">
        <v>14</v>
      </c>
      <c r="C14" s="142">
        <f>0.6*(C7/30)</f>
        <v>0.4</v>
      </c>
      <c r="D14" s="17" t="s">
        <v>9</v>
      </c>
      <c r="E14" s="98"/>
      <c r="F14" s="98"/>
      <c r="G14" s="17"/>
    </row>
    <row r="15">
      <c r="B15" s="102" t="s">
        <v>146</v>
      </c>
      <c r="C15" s="142">
        <f>4*(C7/30)</f>
        <v>2.666666667</v>
      </c>
      <c r="D15" s="17" t="s">
        <v>9</v>
      </c>
      <c r="E15" s="98"/>
      <c r="F15" s="98"/>
      <c r="G15" s="17"/>
    </row>
    <row r="16">
      <c r="B16" s="102" t="s">
        <v>147</v>
      </c>
      <c r="C16" s="142">
        <f>1.5*(C7/30)</f>
        <v>1</v>
      </c>
      <c r="D16" s="17" t="s">
        <v>9</v>
      </c>
      <c r="E16" s="98"/>
      <c r="F16" s="98"/>
      <c r="G16" s="17"/>
    </row>
    <row r="17">
      <c r="B17" s="102" t="s">
        <v>114</v>
      </c>
      <c r="C17" s="142">
        <f>1.05*(C7/30)</f>
        <v>0.7</v>
      </c>
      <c r="D17" s="17" t="s">
        <v>9</v>
      </c>
      <c r="E17" s="98"/>
      <c r="F17" s="98"/>
      <c r="G17" s="17"/>
    </row>
    <row r="18">
      <c r="B18" s="102" t="s">
        <v>148</v>
      </c>
      <c r="C18" s="142">
        <f>0.15*(C7/30)</f>
        <v>0.1</v>
      </c>
      <c r="D18" s="17" t="s">
        <v>9</v>
      </c>
      <c r="E18" s="180"/>
      <c r="F18" s="180"/>
      <c r="G18" s="146"/>
    </row>
    <row r="19">
      <c r="B19" s="102" t="s">
        <v>149</v>
      </c>
      <c r="C19" s="142">
        <f>0.1*(C7/30)</f>
        <v>0.06666666667</v>
      </c>
      <c r="D19" s="17" t="s">
        <v>9</v>
      </c>
      <c r="E19" s="180"/>
      <c r="F19" s="180"/>
      <c r="G19" s="146"/>
    </row>
    <row r="20">
      <c r="B20" s="102" t="s">
        <v>20</v>
      </c>
      <c r="C20" s="142">
        <f>2.25*(C7/30)</f>
        <v>1.5</v>
      </c>
      <c r="D20" s="17" t="s">
        <v>9</v>
      </c>
      <c r="E20" s="180"/>
      <c r="F20" s="180"/>
      <c r="G20" s="146"/>
    </row>
    <row r="21" ht="15.75" customHeight="1">
      <c r="B21" s="181" t="s">
        <v>150</v>
      </c>
      <c r="C21" s="182"/>
      <c r="D21" s="183"/>
      <c r="E21" s="184"/>
      <c r="F21" s="184"/>
      <c r="G21" s="183"/>
    </row>
    <row r="22" ht="15.75" customHeight="1">
      <c r="B22" s="102" t="s">
        <v>16</v>
      </c>
      <c r="C22" s="142">
        <f>0.9375*(C7/30)</f>
        <v>0.625</v>
      </c>
      <c r="D22" s="146" t="s">
        <v>9</v>
      </c>
      <c r="E22" s="180"/>
      <c r="F22" s="180"/>
      <c r="G22" s="185"/>
    </row>
    <row r="23" ht="15.75" customHeight="1">
      <c r="B23" s="102" t="s">
        <v>69</v>
      </c>
      <c r="C23" s="142">
        <f>0.9375*(C7/30)</f>
        <v>0.625</v>
      </c>
      <c r="D23" s="146" t="s">
        <v>9</v>
      </c>
      <c r="E23" s="180"/>
      <c r="F23" s="180"/>
      <c r="G23" s="185"/>
    </row>
    <row r="24" ht="15.75" customHeight="1">
      <c r="B24" s="102" t="s">
        <v>151</v>
      </c>
      <c r="C24" s="142">
        <f>0.5625*(C7/30)</f>
        <v>0.375</v>
      </c>
      <c r="D24" s="146" t="s">
        <v>9</v>
      </c>
      <c r="E24" s="180"/>
      <c r="F24" s="180"/>
      <c r="G24" s="185"/>
    </row>
    <row r="25" ht="15.75" customHeight="1">
      <c r="B25" s="102" t="s">
        <v>152</v>
      </c>
      <c r="C25" s="142">
        <f>9*(C7/30)</f>
        <v>6</v>
      </c>
      <c r="D25" s="146" t="s">
        <v>9</v>
      </c>
      <c r="E25" s="180"/>
      <c r="F25" s="180"/>
      <c r="G25" s="185"/>
    </row>
    <row r="26" ht="15.75" customHeight="1">
      <c r="B26" s="102" t="s">
        <v>13</v>
      </c>
      <c r="C26" s="142">
        <f>0.09*(C7/30)</f>
        <v>0.06</v>
      </c>
      <c r="D26" s="146" t="s">
        <v>9</v>
      </c>
      <c r="E26" s="180"/>
      <c r="F26" s="180"/>
      <c r="G26" s="185"/>
    </row>
    <row r="27" ht="15.75" customHeight="1">
      <c r="B27" s="102" t="s">
        <v>146</v>
      </c>
      <c r="C27" s="142">
        <f>12*(C7/30)</f>
        <v>8</v>
      </c>
      <c r="D27" s="146" t="s">
        <v>9</v>
      </c>
      <c r="E27" s="180"/>
      <c r="F27" s="180"/>
      <c r="G27" s="185"/>
    </row>
    <row r="28" ht="15.75" customHeight="1">
      <c r="B28" s="181"/>
      <c r="C28" s="182"/>
      <c r="D28" s="183"/>
      <c r="E28" s="184"/>
      <c r="F28" s="184"/>
      <c r="G28" s="183"/>
    </row>
    <row r="29" ht="15.75" customHeight="1">
      <c r="B29" s="102" t="s">
        <v>21</v>
      </c>
      <c r="C29" s="142">
        <f>2.7*(C7/30)</f>
        <v>1.8</v>
      </c>
      <c r="D29" s="146" t="s">
        <v>9</v>
      </c>
      <c r="E29" s="180"/>
      <c r="F29" s="180"/>
      <c r="G29" s="146"/>
    </row>
    <row r="30" ht="15.75" customHeight="1">
      <c r="B30" s="102" t="s">
        <v>18</v>
      </c>
      <c r="C30" s="142">
        <f>2.7*(C7/30)</f>
        <v>1.8</v>
      </c>
      <c r="D30" s="146" t="s">
        <v>9</v>
      </c>
      <c r="E30" s="180"/>
      <c r="F30" s="180"/>
      <c r="G30" s="146"/>
    </row>
    <row r="31" ht="15.75" customHeight="1">
      <c r="C31" s="186"/>
    </row>
    <row r="32" ht="15.75" customHeight="1">
      <c r="C32" s="186"/>
      <c r="E32" s="2"/>
      <c r="F32" s="2"/>
      <c r="G32" s="3" t="s">
        <v>29</v>
      </c>
    </row>
    <row r="33" ht="15.75" customHeight="1">
      <c r="B33" s="40" t="s">
        <v>28</v>
      </c>
      <c r="C33" s="186"/>
      <c r="E33" s="7"/>
      <c r="F33" s="7"/>
      <c r="G33" s="60"/>
    </row>
    <row r="34" ht="15.75" customHeight="1">
      <c r="B34" s="187" t="s">
        <v>2</v>
      </c>
      <c r="C34" s="132"/>
      <c r="D34" s="132" t="s">
        <v>4</v>
      </c>
      <c r="E34" s="5" t="s">
        <v>5</v>
      </c>
      <c r="F34" s="5" t="s">
        <v>6</v>
      </c>
      <c r="G34" s="5" t="s">
        <v>7</v>
      </c>
    </row>
    <row r="35" ht="15.75" customHeight="1">
      <c r="B35" s="188"/>
      <c r="C35" s="189"/>
      <c r="D35" s="189"/>
      <c r="E35" s="6"/>
      <c r="F35" s="6"/>
      <c r="G35" s="6"/>
    </row>
    <row r="36" ht="15.75" customHeight="1">
      <c r="B36" s="177" t="s">
        <v>30</v>
      </c>
      <c r="C36" s="182">
        <f>36.437173344*(C7/45)</f>
        <v>16.19429926</v>
      </c>
      <c r="D36" s="114" t="s">
        <v>9</v>
      </c>
      <c r="E36" s="41"/>
      <c r="F36" s="41"/>
      <c r="G36" s="42"/>
    </row>
    <row r="37" ht="15.75" customHeight="1">
      <c r="B37" s="102" t="s">
        <v>31</v>
      </c>
      <c r="C37" s="142">
        <f>0.7613408088*(C7/45)</f>
        <v>0.3383736928</v>
      </c>
      <c r="D37" s="17" t="s">
        <v>9</v>
      </c>
      <c r="E37" s="190"/>
      <c r="F37" s="43"/>
      <c r="G37" s="17"/>
    </row>
    <row r="38" ht="15.75" customHeight="1">
      <c r="B38" s="28" t="s">
        <v>32</v>
      </c>
      <c r="C38" s="142">
        <f>4.3689861072*(C7/45)</f>
        <v>1.941771603</v>
      </c>
      <c r="D38" s="17" t="s">
        <v>9</v>
      </c>
      <c r="E38" s="190"/>
      <c r="F38" s="43"/>
      <c r="G38" s="17"/>
    </row>
    <row r="39" ht="15.75" customHeight="1">
      <c r="B39" s="102" t="s">
        <v>33</v>
      </c>
      <c r="C39" s="142">
        <f>58.261491288*(C7/45)</f>
        <v>25.89399613</v>
      </c>
      <c r="D39" s="17" t="s">
        <v>34</v>
      </c>
      <c r="E39" s="190"/>
      <c r="F39" s="43"/>
      <c r="G39" s="17"/>
    </row>
    <row r="40" ht="15.75" customHeight="1">
      <c r="B40" s="102" t="s">
        <v>13</v>
      </c>
      <c r="C40" s="142">
        <f>1.1247113592*(C7/45)</f>
        <v>0.4998717152</v>
      </c>
      <c r="D40" s="23" t="s">
        <v>9</v>
      </c>
      <c r="E40" s="190"/>
      <c r="F40" s="43"/>
      <c r="G40" s="24"/>
    </row>
    <row r="41" ht="15.75" customHeight="1">
      <c r="C41" s="186"/>
    </row>
    <row r="42" ht="15.75" customHeight="1">
      <c r="B42" s="2"/>
      <c r="C42" s="186"/>
      <c r="D42" s="2"/>
      <c r="E42" s="2"/>
      <c r="F42" s="2"/>
      <c r="G42" s="2"/>
    </row>
    <row r="43" ht="15.75" customHeight="1">
      <c r="B43" s="44" t="s">
        <v>36</v>
      </c>
      <c r="C43" s="186"/>
      <c r="D43" s="45"/>
      <c r="E43" s="7"/>
      <c r="F43" s="7"/>
      <c r="G43" s="3" t="s">
        <v>35</v>
      </c>
    </row>
    <row r="44" ht="15.75" customHeight="1">
      <c r="B44" s="46"/>
      <c r="C44" s="186"/>
      <c r="D44" s="47"/>
      <c r="E44" s="47"/>
      <c r="F44" s="47"/>
      <c r="G44" s="3"/>
    </row>
    <row r="45" ht="15.75" customHeight="1">
      <c r="B45" s="187" t="s">
        <v>2</v>
      </c>
      <c r="C45" s="132"/>
      <c r="D45" s="132" t="s">
        <v>4</v>
      </c>
      <c r="E45" s="5" t="s">
        <v>5</v>
      </c>
      <c r="F45" s="5" t="s">
        <v>6</v>
      </c>
      <c r="G45" s="5" t="s">
        <v>7</v>
      </c>
    </row>
    <row r="46" ht="15.75" customHeight="1">
      <c r="B46" s="188"/>
      <c r="C46" s="189"/>
      <c r="D46" s="189"/>
      <c r="E46" s="6"/>
      <c r="F46" s="6"/>
      <c r="G46" s="6"/>
    </row>
    <row r="47" ht="15.75" customHeight="1">
      <c r="B47" s="191" t="s">
        <v>36</v>
      </c>
      <c r="C47" s="142">
        <f>18*(C7/45)</f>
        <v>8</v>
      </c>
      <c r="D47" s="54" t="s">
        <v>9</v>
      </c>
      <c r="E47" s="53"/>
      <c r="F47" s="53"/>
      <c r="G47" s="54"/>
    </row>
    <row r="48" ht="15.75" customHeight="1">
      <c r="B48" s="2"/>
      <c r="C48" s="2"/>
      <c r="D48" s="2"/>
      <c r="E48" s="2"/>
      <c r="F48" s="2"/>
    </row>
    <row r="49" ht="15.75" customHeight="1"/>
    <row r="50" ht="15.75" customHeight="1">
      <c r="B50" s="148" t="s">
        <v>100</v>
      </c>
      <c r="C50" s="38" t="s">
        <v>115</v>
      </c>
      <c r="D50" s="38" t="s">
        <v>116</v>
      </c>
      <c r="G50" s="148" t="s">
        <v>100</v>
      </c>
      <c r="H50" s="38" t="s">
        <v>115</v>
      </c>
    </row>
    <row r="51" ht="15.75" customHeight="1">
      <c r="B51" s="149" t="s">
        <v>153</v>
      </c>
      <c r="C51" s="55">
        <v>145.0</v>
      </c>
      <c r="D51" s="55" t="s">
        <v>107</v>
      </c>
      <c r="G51" s="149" t="s">
        <v>38</v>
      </c>
      <c r="H51" s="55">
        <v>20.0</v>
      </c>
    </row>
    <row r="52" ht="15.75" customHeight="1">
      <c r="B52" s="149" t="s">
        <v>154</v>
      </c>
      <c r="C52" s="55">
        <v>60.0</v>
      </c>
      <c r="D52" s="55" t="s">
        <v>107</v>
      </c>
      <c r="G52" s="149" t="s">
        <v>153</v>
      </c>
      <c r="H52" s="55">
        <v>165.0</v>
      </c>
    </row>
    <row r="53" ht="15.75" customHeight="1">
      <c r="B53" s="149" t="s">
        <v>21</v>
      </c>
      <c r="C53" s="55">
        <v>15.0</v>
      </c>
      <c r="D53" s="55" t="s">
        <v>107</v>
      </c>
      <c r="G53" s="149" t="s">
        <v>154</v>
      </c>
      <c r="H53" s="55">
        <v>225.0</v>
      </c>
    </row>
    <row r="54" ht="15.75" customHeight="1">
      <c r="G54" s="149" t="s">
        <v>21</v>
      </c>
      <c r="H54" s="55">
        <v>240.0</v>
      </c>
    </row>
    <row r="55" ht="15.75" customHeight="1">
      <c r="G55" s="149" t="s">
        <v>30</v>
      </c>
      <c r="H55" s="55">
        <v>390.0</v>
      </c>
    </row>
    <row r="56" ht="15.75" customHeight="1">
      <c r="B56" s="151" t="s">
        <v>117</v>
      </c>
      <c r="C56" s="116"/>
      <c r="D56" s="152" t="s">
        <v>42</v>
      </c>
      <c r="E56" s="152" t="s">
        <v>43</v>
      </c>
      <c r="G56" s="149" t="s">
        <v>36</v>
      </c>
      <c r="H56" s="55">
        <v>420.0</v>
      </c>
    </row>
    <row r="57" ht="15.75" customHeight="1">
      <c r="B57" s="153"/>
      <c r="C57" s="154"/>
      <c r="D57" s="60">
        <f>619*(C7/45)</f>
        <v>275.1111111</v>
      </c>
      <c r="E57" s="156"/>
    </row>
    <row r="58" ht="15.75" customHeight="1"/>
    <row r="59" ht="15.75" customHeight="1"/>
    <row r="60" ht="15.75" customHeight="1">
      <c r="B60" s="148"/>
      <c r="C60" s="38"/>
      <c r="D60" s="38"/>
      <c r="F60" s="62" t="s">
        <v>45</v>
      </c>
      <c r="G60" s="63"/>
      <c r="H60" s="64"/>
    </row>
    <row r="61" ht="15.75" customHeight="1">
      <c r="B61" s="149"/>
      <c r="C61" s="55"/>
      <c r="D61" s="55"/>
      <c r="F61" s="65" t="s">
        <v>46</v>
      </c>
      <c r="G61" s="66"/>
      <c r="H61" s="67"/>
    </row>
    <row r="62" ht="15.75" customHeight="1">
      <c r="B62" s="149"/>
      <c r="C62" s="55"/>
      <c r="D62" s="55"/>
      <c r="F62" s="65" t="s">
        <v>47</v>
      </c>
      <c r="G62" s="66"/>
      <c r="H62" s="67"/>
    </row>
    <row r="63" ht="15.75" customHeight="1">
      <c r="B63" s="149"/>
      <c r="C63" s="55"/>
      <c r="D63" s="55"/>
      <c r="F63" s="65" t="s">
        <v>48</v>
      </c>
      <c r="G63" s="66"/>
      <c r="H63" s="67"/>
    </row>
    <row r="64" ht="15.75" customHeight="1">
      <c r="B64" s="149"/>
      <c r="C64" s="55"/>
      <c r="D64" s="55"/>
      <c r="F64" s="68" t="s">
        <v>49</v>
      </c>
      <c r="G64" s="69"/>
      <c r="H64" s="70"/>
    </row>
    <row r="65" ht="15.75" customHeight="1">
      <c r="B65" s="149"/>
      <c r="C65" s="55"/>
      <c r="D65" s="55"/>
    </row>
    <row r="66" ht="15.75" customHeight="1">
      <c r="B66" s="149"/>
      <c r="C66" s="55"/>
      <c r="D66" s="55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34:C35"/>
    <mergeCell ref="D34:D35"/>
    <mergeCell ref="B45:B46"/>
    <mergeCell ref="C45:C46"/>
    <mergeCell ref="D45:D46"/>
    <mergeCell ref="E45:E46"/>
    <mergeCell ref="F45:F46"/>
    <mergeCell ref="G45:G46"/>
    <mergeCell ref="E34:E35"/>
    <mergeCell ref="F34:F35"/>
    <mergeCell ref="B5:B6"/>
    <mergeCell ref="C5:C6"/>
    <mergeCell ref="D5:D6"/>
    <mergeCell ref="E5:E6"/>
    <mergeCell ref="F5:F6"/>
    <mergeCell ref="G5:G6"/>
    <mergeCell ref="B34:B35"/>
    <mergeCell ref="G34:G35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2011-06-09T13:56:40Z</dcterms:created>
  <dc:creator>Tati</dc:creator>
</cp:coreProperties>
</file>