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niele Placido\Desktop\Personali\cartella_clinica\"/>
    </mc:Choice>
  </mc:AlternateContent>
  <xr:revisionPtr revIDLastSave="0" documentId="13_ncr:1_{D386D130-C0FD-4DAC-8458-8E443BE69F2B}" xr6:coauthVersionLast="45" xr6:coauthVersionMax="45" xr10:uidLastSave="{00000000-0000-0000-0000-000000000000}"/>
  <bookViews>
    <workbookView xWindow="0" yWindow="0" windowWidth="23040" windowHeight="12360" firstSheet="9" activeTab="16" xr2:uid="{00000000-000D-0000-FFFF-FFFF00000000}"/>
  </bookViews>
  <sheets>
    <sheet name="Pasta riso e cereali" sheetId="1" r:id="rId1"/>
    <sheet name="Prodotti da forno e cereali" sheetId="15" r:id="rId2"/>
    <sheet name="Legumi" sheetId="2" r:id="rId3"/>
    <sheet name="Verdure" sheetId="3" r:id="rId4"/>
    <sheet name="Carne" sheetId="4" r:id="rId5"/>
    <sheet name="Formaggio" sheetId="5" r:id="rId6"/>
    <sheet name="Pesce" sheetId="6" r:id="rId7"/>
    <sheet name="Uova" sheetId="7" r:id="rId8"/>
    <sheet name="Frutta" sheetId="8" r:id="rId9"/>
    <sheet name="Frutta secca e semi oleaginosi" sheetId="18" r:id="rId10"/>
    <sheet name="Bevande" sheetId="10" r:id="rId11"/>
    <sheet name="Dolci" sheetId="9" r:id="rId12"/>
    <sheet name="Condimenti" sheetId="11" r:id="rId13"/>
    <sheet name="Aperitivi" sheetId="12" r:id="rId14"/>
    <sheet name="Stuzzichini" sheetId="13" r:id="rId15"/>
    <sheet name="Sughi pronti" sheetId="16" r:id="rId16"/>
    <sheet name="Conserve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6" l="1"/>
  <c r="F10" i="16"/>
  <c r="E10" i="16"/>
  <c r="C10" i="16"/>
  <c r="E22" i="4" l="1"/>
  <c r="D22" i="4"/>
  <c r="G30" i="3" l="1"/>
  <c r="F30" i="3"/>
  <c r="E30" i="3"/>
  <c r="D30" i="3"/>
  <c r="C30" i="3"/>
  <c r="G10" i="6" l="1"/>
  <c r="E10" i="6"/>
  <c r="D10" i="6"/>
  <c r="E20" i="6" l="1"/>
  <c r="D20" i="6"/>
  <c r="C20" i="6"/>
  <c r="D9" i="16" l="1"/>
  <c r="G5" i="18" l="1"/>
  <c r="F5" i="18"/>
  <c r="E5" i="18"/>
  <c r="D5" i="18"/>
  <c r="C5" i="18"/>
  <c r="G4" i="18"/>
  <c r="F4" i="18"/>
  <c r="E4" i="18"/>
  <c r="D4" i="18"/>
  <c r="C4" i="18"/>
  <c r="D3" i="18"/>
  <c r="C3" i="18"/>
  <c r="C17" i="8" l="1"/>
  <c r="C12" i="8"/>
  <c r="E19" i="4" l="1"/>
  <c r="C19" i="4"/>
  <c r="G14" i="15" l="1"/>
  <c r="F14" i="15" l="1"/>
  <c r="E14" i="15"/>
  <c r="D14" i="15"/>
  <c r="C14" i="15"/>
  <c r="E4" i="3" l="1"/>
  <c r="D4" i="3"/>
  <c r="C4" i="3"/>
  <c r="C6" i="8" l="1"/>
  <c r="C13" i="15" l="1"/>
  <c r="G13" i="8" l="1"/>
  <c r="F13" i="8"/>
  <c r="E13" i="8"/>
  <c r="D13" i="8"/>
  <c r="C13" i="8"/>
  <c r="E6" i="6" l="1"/>
  <c r="D6" i="6"/>
  <c r="F11" i="8" l="1"/>
  <c r="E11" i="8"/>
  <c r="D11" i="8"/>
  <c r="C11" i="8"/>
  <c r="D26" i="5" l="1"/>
  <c r="A2" i="17" l="1"/>
  <c r="B2" i="17"/>
  <c r="C2" i="17"/>
  <c r="D2" i="17"/>
  <c r="E2" i="17"/>
  <c r="F2" i="17"/>
  <c r="G2" i="17"/>
  <c r="A1" i="17"/>
  <c r="C54" i="3" l="1"/>
  <c r="D3" i="6"/>
  <c r="F6" i="16" l="1"/>
  <c r="E6" i="16"/>
  <c r="D6" i="16"/>
  <c r="C6" i="16"/>
  <c r="G2" i="16"/>
  <c r="B2" i="16"/>
  <c r="C2" i="16"/>
  <c r="D2" i="16"/>
  <c r="E2" i="16"/>
  <c r="F2" i="16"/>
  <c r="A2" i="16"/>
  <c r="A1" i="16"/>
  <c r="D18" i="8" l="1"/>
  <c r="D3" i="15" l="1"/>
  <c r="F20" i="3" l="1"/>
  <c r="E20" i="3"/>
  <c r="D20" i="3"/>
  <c r="C20" i="3"/>
  <c r="F22" i="3" l="1"/>
  <c r="E22" i="3"/>
  <c r="D22" i="3"/>
  <c r="E17" i="4" l="1"/>
  <c r="D17" i="4"/>
  <c r="G13" i="4"/>
  <c r="E13" i="4"/>
  <c r="D13" i="4"/>
  <c r="E51" i="3"/>
  <c r="D51" i="3"/>
  <c r="F23" i="8" l="1"/>
  <c r="E23" i="8"/>
  <c r="C23" i="8"/>
  <c r="E7" i="6" l="1"/>
  <c r="D7" i="6"/>
  <c r="G4" i="8" l="1"/>
  <c r="F4" i="8"/>
  <c r="E4" i="8"/>
  <c r="D4" i="8"/>
  <c r="G4" i="15" l="1"/>
  <c r="F4" i="15"/>
  <c r="E4" i="15"/>
  <c r="D4" i="15"/>
  <c r="C4" i="15"/>
  <c r="F18" i="4" l="1"/>
  <c r="E18" i="4"/>
  <c r="D18" i="4"/>
  <c r="C18" i="4"/>
  <c r="G22" i="8"/>
  <c r="F22" i="8"/>
  <c r="E22" i="8"/>
  <c r="D22" i="8"/>
  <c r="C22" i="8"/>
  <c r="G9" i="4"/>
  <c r="F9" i="4"/>
  <c r="E9" i="4"/>
  <c r="D9" i="4"/>
  <c r="C9" i="4"/>
  <c r="F12" i="15" l="1"/>
  <c r="E12" i="15"/>
  <c r="D12" i="15"/>
  <c r="C12" i="15"/>
  <c r="D13" i="5"/>
  <c r="G18" i="6" l="1"/>
  <c r="F18" i="6"/>
  <c r="E18" i="6"/>
  <c r="D18" i="6"/>
  <c r="G9" i="15"/>
  <c r="F9" i="15"/>
  <c r="E9" i="15"/>
  <c r="D9" i="15"/>
  <c r="C9" i="15"/>
  <c r="G20" i="8"/>
  <c r="F20" i="8"/>
  <c r="E20" i="8"/>
  <c r="D20" i="8"/>
  <c r="C20" i="8"/>
  <c r="E25" i="5"/>
  <c r="D25" i="5"/>
  <c r="C25" i="5"/>
  <c r="E12" i="2"/>
  <c r="D12" i="2"/>
  <c r="C12" i="2"/>
  <c r="G50" i="3"/>
  <c r="F50" i="3"/>
  <c r="E50" i="3"/>
  <c r="D50" i="3"/>
  <c r="C50" i="3"/>
  <c r="F31" i="3" l="1"/>
  <c r="E31" i="3"/>
  <c r="D31" i="3"/>
  <c r="C31" i="3"/>
  <c r="G11" i="5"/>
  <c r="F11" i="5"/>
  <c r="E11" i="5"/>
  <c r="D11" i="5"/>
  <c r="C11" i="5"/>
  <c r="G33" i="3"/>
  <c r="F33" i="3"/>
  <c r="E33" i="3"/>
  <c r="D33" i="3"/>
  <c r="C33" i="3"/>
  <c r="E44" i="3"/>
  <c r="D44" i="3"/>
  <c r="C44" i="3"/>
  <c r="E48" i="3" l="1"/>
  <c r="G46" i="3"/>
  <c r="F46" i="3"/>
  <c r="E46" i="3"/>
  <c r="D46" i="3"/>
  <c r="C46" i="3"/>
  <c r="F45" i="3"/>
  <c r="E45" i="3"/>
  <c r="D45" i="3"/>
  <c r="C45" i="3"/>
  <c r="E38" i="3"/>
  <c r="F38" i="3"/>
  <c r="D38" i="3"/>
  <c r="C38" i="3"/>
  <c r="G36" i="3"/>
  <c r="F36" i="3"/>
  <c r="E36" i="3"/>
  <c r="D36" i="3"/>
  <c r="C36" i="3"/>
  <c r="G37" i="3"/>
  <c r="F37" i="3"/>
  <c r="E37" i="3"/>
  <c r="D37" i="3"/>
  <c r="C37" i="3"/>
  <c r="F32" i="3"/>
  <c r="E32" i="3"/>
  <c r="D32" i="3"/>
  <c r="C32" i="3"/>
  <c r="G17" i="3"/>
  <c r="F17" i="3"/>
  <c r="E17" i="3"/>
  <c r="D17" i="3"/>
  <c r="C17" i="3"/>
  <c r="G28" i="3"/>
  <c r="F28" i="3"/>
  <c r="E28" i="3"/>
  <c r="D28" i="3"/>
  <c r="G29" i="3"/>
  <c r="F29" i="3"/>
  <c r="E29" i="3"/>
  <c r="D29" i="3"/>
  <c r="C29" i="3"/>
  <c r="D27" i="3"/>
  <c r="G47" i="3"/>
  <c r="F47" i="3"/>
  <c r="E47" i="3"/>
  <c r="D47" i="3"/>
  <c r="G21" i="8" l="1"/>
  <c r="F21" i="8"/>
  <c r="E21" i="8"/>
  <c r="D21" i="8"/>
  <c r="C21" i="8"/>
  <c r="G8" i="15"/>
  <c r="F8" i="15"/>
  <c r="E8" i="15"/>
  <c r="D8" i="15"/>
  <c r="C8" i="15"/>
  <c r="F5" i="11" l="1"/>
  <c r="E5" i="11"/>
  <c r="D5" i="11"/>
  <c r="C5" i="11"/>
  <c r="G4" i="6"/>
  <c r="F4" i="6"/>
  <c r="E4" i="6"/>
  <c r="D4" i="6"/>
  <c r="C4" i="6"/>
  <c r="E14" i="4" l="1"/>
  <c r="D14" i="4"/>
  <c r="C14" i="4"/>
  <c r="G3" i="13"/>
  <c r="G14" i="8"/>
  <c r="F14" i="8"/>
  <c r="E14" i="8"/>
  <c r="D14" i="8"/>
  <c r="C14" i="8"/>
  <c r="G17" i="5" l="1"/>
  <c r="F17" i="5"/>
  <c r="E17" i="5"/>
  <c r="D17" i="5"/>
  <c r="C17" i="5"/>
  <c r="G10" i="4" l="1"/>
  <c r="E10" i="4"/>
  <c r="D10" i="4"/>
  <c r="F22" i="5"/>
  <c r="E22" i="5"/>
  <c r="D22" i="5"/>
  <c r="C22" i="5"/>
  <c r="E3" i="11" l="1"/>
  <c r="D3" i="11"/>
  <c r="C3" i="11"/>
  <c r="G4" i="4"/>
  <c r="F4" i="4"/>
  <c r="E4" i="4"/>
  <c r="D4" i="4"/>
  <c r="G55" i="3"/>
  <c r="F55" i="3"/>
  <c r="E55" i="3"/>
  <c r="D55" i="3"/>
  <c r="C55" i="3"/>
  <c r="E20" i="5"/>
  <c r="D20" i="5"/>
  <c r="C20" i="5"/>
  <c r="G15" i="8" l="1"/>
  <c r="F15" i="8"/>
  <c r="E15" i="8"/>
  <c r="D15" i="8"/>
  <c r="C15" i="8"/>
  <c r="E7" i="11" l="1"/>
  <c r="D7" i="11"/>
  <c r="C7" i="11"/>
  <c r="D6" i="11"/>
  <c r="C6" i="11"/>
  <c r="E9" i="6"/>
  <c r="D9" i="6"/>
  <c r="C9" i="6"/>
  <c r="G11" i="4" l="1"/>
  <c r="E11" i="4"/>
  <c r="D11" i="4"/>
  <c r="C11" i="4"/>
  <c r="G14" i="5" l="1"/>
  <c r="E14" i="5"/>
  <c r="D14" i="5"/>
  <c r="C14" i="5"/>
  <c r="C23" i="5"/>
  <c r="G20" i="4" l="1"/>
  <c r="F20" i="4"/>
  <c r="E20" i="4"/>
  <c r="D20" i="4"/>
  <c r="C10" i="8" l="1"/>
  <c r="G10" i="8"/>
  <c r="F10" i="8"/>
  <c r="E10" i="8"/>
  <c r="D10" i="8"/>
  <c r="G10" i="5"/>
  <c r="F10" i="5"/>
  <c r="E10" i="5"/>
  <c r="D10" i="5"/>
  <c r="C10" i="5"/>
  <c r="G13" i="15"/>
  <c r="F13" i="15"/>
  <c r="E13" i="15"/>
  <c r="D13" i="15"/>
  <c r="D15" i="6" l="1"/>
  <c r="E15" i="6"/>
  <c r="G3" i="2" l="1"/>
  <c r="F3" i="2"/>
  <c r="E3" i="2"/>
  <c r="D3" i="2"/>
  <c r="C3" i="2"/>
  <c r="C9" i="5" l="1"/>
  <c r="E9" i="5"/>
  <c r="D9" i="5"/>
  <c r="E8" i="4" l="1"/>
  <c r="D8" i="4"/>
  <c r="C8" i="4"/>
  <c r="G12" i="4" l="1"/>
  <c r="F12" i="4"/>
  <c r="E12" i="4"/>
  <c r="D12" i="4"/>
  <c r="C13" i="2"/>
  <c r="E17" i="6" l="1"/>
  <c r="D17" i="6"/>
  <c r="G4" i="13" l="1"/>
  <c r="F4" i="13"/>
  <c r="E4" i="13"/>
  <c r="D4" i="13"/>
  <c r="C4" i="13"/>
  <c r="F5" i="15" l="1"/>
  <c r="E5" i="15"/>
  <c r="D5" i="15"/>
  <c r="C5" i="15"/>
  <c r="E6" i="5"/>
  <c r="D6" i="5"/>
  <c r="C6" i="5"/>
  <c r="G9" i="2" l="1"/>
  <c r="F9" i="2"/>
  <c r="E9" i="2"/>
  <c r="D9" i="2"/>
  <c r="C9" i="2"/>
  <c r="G7" i="4"/>
  <c r="F7" i="4"/>
  <c r="E7" i="4"/>
  <c r="D7" i="4"/>
  <c r="C7" i="4"/>
  <c r="C19" i="5"/>
  <c r="E19" i="5"/>
  <c r="D19" i="5"/>
  <c r="G7" i="8" l="1"/>
  <c r="F7" i="8"/>
  <c r="E7" i="8"/>
  <c r="C7" i="8"/>
  <c r="G14" i="6"/>
  <c r="F14" i="6"/>
  <c r="E14" i="6"/>
  <c r="D14" i="6"/>
  <c r="G16" i="4"/>
  <c r="F16" i="4"/>
  <c r="E16" i="4"/>
  <c r="D16" i="4"/>
  <c r="C16" i="4"/>
  <c r="F5" i="13" l="1"/>
  <c r="D5" i="13"/>
  <c r="E5" i="13"/>
  <c r="G11" i="2"/>
  <c r="F11" i="2"/>
  <c r="E11" i="2"/>
  <c r="D11" i="2"/>
  <c r="C11" i="2"/>
  <c r="G3" i="7"/>
  <c r="F3" i="7"/>
  <c r="E3" i="7"/>
  <c r="D3" i="7"/>
  <c r="C3" i="7"/>
  <c r="E5" i="2" l="1"/>
  <c r="G21" i="5"/>
  <c r="F21" i="5"/>
  <c r="E21" i="5"/>
  <c r="D21" i="5"/>
  <c r="C21" i="5"/>
  <c r="F5" i="4"/>
  <c r="E5" i="4"/>
  <c r="D5" i="4"/>
  <c r="C5" i="4"/>
  <c r="G11" i="15"/>
  <c r="F11" i="15"/>
  <c r="E11" i="15"/>
  <c r="D11" i="15"/>
  <c r="G8" i="6"/>
  <c r="F8" i="6"/>
  <c r="E8" i="6"/>
  <c r="D8" i="6"/>
  <c r="G43" i="3"/>
  <c r="F43" i="3"/>
  <c r="E43" i="3"/>
  <c r="D43" i="3"/>
  <c r="C43" i="3"/>
  <c r="F5" i="5" l="1"/>
  <c r="E5" i="5"/>
  <c r="D5" i="5"/>
  <c r="C5" i="5"/>
  <c r="G42" i="3"/>
  <c r="F42" i="3"/>
  <c r="E42" i="3"/>
  <c r="D42" i="3"/>
  <c r="C42" i="3"/>
  <c r="B18" i="5"/>
  <c r="G9" i="1"/>
  <c r="F9" i="1"/>
  <c r="E9" i="1"/>
  <c r="D9" i="1"/>
  <c r="C9" i="1"/>
  <c r="C3" i="3"/>
  <c r="D18" i="5"/>
  <c r="E18" i="5"/>
  <c r="F18" i="5"/>
  <c r="G18" i="5"/>
  <c r="G58" i="3"/>
  <c r="F58" i="3"/>
  <c r="E58" i="3"/>
  <c r="D58" i="3"/>
  <c r="C58" i="3"/>
  <c r="C57" i="3"/>
  <c r="D57" i="3"/>
  <c r="E57" i="3"/>
  <c r="F57" i="3"/>
  <c r="G57" i="3"/>
  <c r="G52" i="3"/>
  <c r="F52" i="3"/>
  <c r="E52" i="3"/>
  <c r="D52" i="3"/>
  <c r="C52" i="3"/>
  <c r="G41" i="3"/>
  <c r="F41" i="3"/>
  <c r="E41" i="3"/>
  <c r="D41" i="3"/>
  <c r="C41" i="3"/>
  <c r="G39" i="3"/>
  <c r="F39" i="3"/>
  <c r="E39" i="3"/>
  <c r="D39" i="3"/>
  <c r="C39" i="3"/>
  <c r="G35" i="3"/>
  <c r="F35" i="3"/>
  <c r="E35" i="3"/>
  <c r="D35" i="3"/>
  <c r="C34" i="3"/>
  <c r="C35" i="3"/>
  <c r="D34" i="3"/>
  <c r="E34" i="3"/>
  <c r="F34" i="3"/>
  <c r="G34" i="3"/>
  <c r="C23" i="3"/>
  <c r="D23" i="3"/>
  <c r="E23" i="3"/>
  <c r="F23" i="3"/>
  <c r="G23" i="3"/>
  <c r="C19" i="3"/>
  <c r="D19" i="3"/>
  <c r="E19" i="3"/>
  <c r="F19" i="3"/>
  <c r="G19" i="3"/>
  <c r="D11" i="3"/>
  <c r="C11" i="3"/>
  <c r="C16" i="3"/>
  <c r="D16" i="3"/>
  <c r="E16" i="3"/>
  <c r="F16" i="3"/>
  <c r="G16" i="3"/>
  <c r="E11" i="3"/>
  <c r="F11" i="3"/>
  <c r="G11" i="3"/>
  <c r="G10" i="3"/>
  <c r="F10" i="3"/>
  <c r="E10" i="3"/>
  <c r="D10" i="3"/>
  <c r="C10" i="3"/>
  <c r="G3" i="3"/>
  <c r="F3" i="3"/>
  <c r="E3" i="3"/>
  <c r="D3" i="3"/>
</calcChain>
</file>

<file path=xl/sharedStrings.xml><?xml version="1.0" encoding="utf-8"?>
<sst xmlns="http://schemas.openxmlformats.org/spreadsheetml/2006/main" count="323" uniqueCount="211">
  <si>
    <t>NOME ALIMENTO</t>
  </si>
  <si>
    <t>CHO [%]</t>
  </si>
  <si>
    <t>Proteine [%]</t>
  </si>
  <si>
    <t>Lipidi [%]</t>
  </si>
  <si>
    <t>Energia [kcal/100g]</t>
  </si>
  <si>
    <t>pasta normale</t>
  </si>
  <si>
    <t>pasta integrale</t>
  </si>
  <si>
    <t>pasta all'uovo</t>
  </si>
  <si>
    <t>pasta di kamut</t>
  </si>
  <si>
    <t>pasta ai 5 cereali</t>
  </si>
  <si>
    <t>riso</t>
  </si>
  <si>
    <t xml:space="preserve">riso integrale </t>
  </si>
  <si>
    <t>riso venere</t>
  </si>
  <si>
    <t xml:space="preserve">orzo </t>
  </si>
  <si>
    <t>farro</t>
  </si>
  <si>
    <t>zuppe miste</t>
  </si>
  <si>
    <t>Peso alimento [g]</t>
  </si>
  <si>
    <t>Flag_read</t>
  </si>
  <si>
    <t>Aglio</t>
  </si>
  <si>
    <t>Broccoletti di rapa</t>
  </si>
  <si>
    <t>Broccolo a testa</t>
  </si>
  <si>
    <t>Carciofi</t>
  </si>
  <si>
    <t>Carote crude</t>
  </si>
  <si>
    <t>Cavolfiore crudo</t>
  </si>
  <si>
    <t>Cavolo verza crudo</t>
  </si>
  <si>
    <t>Cetrioli freschi</t>
  </si>
  <si>
    <t>Cavolo cappuccio rosso crudo</t>
  </si>
  <si>
    <t>Cicoria cruda</t>
  </si>
  <si>
    <t>Cipolle crude</t>
  </si>
  <si>
    <t>Finocchi crudi</t>
  </si>
  <si>
    <t>Fiori di zucca</t>
  </si>
  <si>
    <t>Funghi pleurotes cotti</t>
  </si>
  <si>
    <t>Funghi porcini</t>
  </si>
  <si>
    <t>Peperoni rossi crudi</t>
  </si>
  <si>
    <t>Pomodori da insalata</t>
  </si>
  <si>
    <t>Pomodori ciliegino freschi</t>
  </si>
  <si>
    <t>Pomodori datterino freschi</t>
  </si>
  <si>
    <t>Radicchio rosso tardivo</t>
  </si>
  <si>
    <t>Radicchio rosso precoce</t>
  </si>
  <si>
    <t>Radicchio rosso</t>
  </si>
  <si>
    <t>Sedano</t>
  </si>
  <si>
    <t>Spinaci</t>
  </si>
  <si>
    <t>Zucca</t>
  </si>
  <si>
    <t>Zucchine chiare crude</t>
  </si>
  <si>
    <t>Zucchine scure crude</t>
  </si>
  <si>
    <t>Fibre [%]</t>
  </si>
  <si>
    <t>Bieta cruda</t>
  </si>
  <si>
    <t>Peperoni cotti padella</t>
  </si>
  <si>
    <t>Peperoni crudi</t>
  </si>
  <si>
    <t>Stracchino</t>
  </si>
  <si>
    <t>Pomodori maturi freschi</t>
  </si>
  <si>
    <t>persico</t>
  </si>
  <si>
    <t>bresaola</t>
  </si>
  <si>
    <t>tofu</t>
  </si>
  <si>
    <t>Uova</t>
  </si>
  <si>
    <t>lupini</t>
  </si>
  <si>
    <t>olive verdi</t>
  </si>
  <si>
    <t>succo di limone</t>
  </si>
  <si>
    <t>mango</t>
  </si>
  <si>
    <t>prosciutto crudo</t>
  </si>
  <si>
    <t>tonno al naturale</t>
  </si>
  <si>
    <t>Crescenza light Galbani</t>
  </si>
  <si>
    <t>Stracchino CLT</t>
  </si>
  <si>
    <t>carne bovina gelatina carrefour</t>
  </si>
  <si>
    <t>Cuor di capra</t>
  </si>
  <si>
    <t>Crostini integrali carrefour</t>
  </si>
  <si>
    <t>Ricotta di capra</t>
  </si>
  <si>
    <t>olive nere</t>
  </si>
  <si>
    <t>trota</t>
  </si>
  <si>
    <t>pisellini primavera Findus</t>
  </si>
  <si>
    <t>mortadella</t>
  </si>
  <si>
    <t>cuore bovino</t>
  </si>
  <si>
    <t>formaggio stagionato</t>
  </si>
  <si>
    <t>tonno olio oliva</t>
  </si>
  <si>
    <t>wasa</t>
  </si>
  <si>
    <t>grana</t>
  </si>
  <si>
    <t>tacchino</t>
  </si>
  <si>
    <t>tomini senza lattosio</t>
  </si>
  <si>
    <t>pecorino del chianti</t>
  </si>
  <si>
    <t>macinato</t>
  </si>
  <si>
    <t>salmone</t>
  </si>
  <si>
    <t>salsa di soia</t>
  </si>
  <si>
    <t>pere abate</t>
  </si>
  <si>
    <t>Stracchino Granarolo oggi puoi</t>
  </si>
  <si>
    <t>Spinaci surgelati carrefour</t>
  </si>
  <si>
    <t>braciole coppa suino</t>
  </si>
  <si>
    <t>burro</t>
  </si>
  <si>
    <t>tometta</t>
  </si>
  <si>
    <t>fesa di tacchino</t>
  </si>
  <si>
    <t>sottilette</t>
  </si>
  <si>
    <t>capperi</t>
  </si>
  <si>
    <t>pinoli</t>
  </si>
  <si>
    <t>petto di pollo</t>
  </si>
  <si>
    <t>branzino/spigola</t>
  </si>
  <si>
    <t>olio EVO</t>
  </si>
  <si>
    <t>gallette di farro</t>
  </si>
  <si>
    <t>pompelmo</t>
  </si>
  <si>
    <t>Funghi prataioli crudi</t>
  </si>
  <si>
    <t>Melanzane crude</t>
  </si>
  <si>
    <t>Peperoni gialli crudi</t>
  </si>
  <si>
    <t>Peperoni verdi crudi</t>
  </si>
  <si>
    <t>Porri crudi</t>
  </si>
  <si>
    <t>Pomodori secchi sott'olio</t>
  </si>
  <si>
    <t>Melanzane sott'olio</t>
  </si>
  <si>
    <t>latticino fresco spalmabile light</t>
  </si>
  <si>
    <t>Mais</t>
  </si>
  <si>
    <t xml:space="preserve">pisellini finissimi cirio </t>
  </si>
  <si>
    <t>Ravanelli</t>
  </si>
  <si>
    <t>pinoli bio</t>
  </si>
  <si>
    <t>Tronchetto di capra</t>
  </si>
  <si>
    <t>pesche</t>
  </si>
  <si>
    <t>pan bauletto integrale</t>
  </si>
  <si>
    <t>trota salmonata</t>
  </si>
  <si>
    <t>parmigiano reggiano</t>
  </si>
  <si>
    <t xml:space="preserve">piadina integrale </t>
  </si>
  <si>
    <t>formaggio fresco</t>
  </si>
  <si>
    <t>prugne rosse</t>
  </si>
  <si>
    <t>fegato bovino</t>
  </si>
  <si>
    <t>speck</t>
  </si>
  <si>
    <t>prosciutto cotto</t>
  </si>
  <si>
    <t>crakers integrali Misura</t>
  </si>
  <si>
    <t>banane</t>
  </si>
  <si>
    <t xml:space="preserve">mozzarella light </t>
  </si>
  <si>
    <t>orata</t>
  </si>
  <si>
    <t>uva bianca</t>
  </si>
  <si>
    <t>Scarola</t>
  </si>
  <si>
    <t>pancetta</t>
  </si>
  <si>
    <t>salsiccia</t>
  </si>
  <si>
    <t>Fagiolini</t>
  </si>
  <si>
    <t>tomino con erbe aromatiche</t>
  </si>
  <si>
    <t>Cipollotti</t>
  </si>
  <si>
    <t>crakers integrali</t>
  </si>
  <si>
    <t>fontal</t>
  </si>
  <si>
    <t>salmone al naturale</t>
  </si>
  <si>
    <t>Camembert</t>
  </si>
  <si>
    <t>zampone</t>
  </si>
  <si>
    <t>fagioli cannellini delizie del sole</t>
  </si>
  <si>
    <t>Broccolo a rosette Delizie del sole</t>
  </si>
  <si>
    <t>pere William</t>
  </si>
  <si>
    <t>brie</t>
  </si>
  <si>
    <t>Pesto ricotta e noci Barilla</t>
  </si>
  <si>
    <t>Pesto alla genovese Barilla senza aglio</t>
  </si>
  <si>
    <t>Pesto alla genovese Barilla classico</t>
  </si>
  <si>
    <t>lenticchie cirio</t>
  </si>
  <si>
    <t xml:space="preserve">PestoBarilla con basilico e rucola </t>
  </si>
  <si>
    <t>Pesto Barilla alla calabrese</t>
  </si>
  <si>
    <t>acciughe ondina</t>
  </si>
  <si>
    <t>melone verde</t>
  </si>
  <si>
    <t>burro Carrefour</t>
  </si>
  <si>
    <t>Spinaci fogliolina Delizie del Sole</t>
  </si>
  <si>
    <t>robiola Occelli</t>
  </si>
  <si>
    <t>Crostini integrali Tre mulini</t>
  </si>
  <si>
    <t>tonno olio oliva Asdomar</t>
  </si>
  <si>
    <t>olive nere VaraiGusto</t>
  </si>
  <si>
    <t>Filone di segale</t>
  </si>
  <si>
    <t>polpa di pomodoro finissima Petti</t>
  </si>
  <si>
    <t>cozze</t>
  </si>
  <si>
    <t>pecorino toscano dop stagionato</t>
  </si>
  <si>
    <t>sgombro al naturale Delicius</t>
  </si>
  <si>
    <t>sardine olio oliva Selex</t>
  </si>
  <si>
    <t>pane di segale Carrefour</t>
  </si>
  <si>
    <t>pane di segale</t>
  </si>
  <si>
    <t>pandilatte</t>
  </si>
  <si>
    <t>Cavolo cappucio</t>
  </si>
  <si>
    <t>caco mela</t>
  </si>
  <si>
    <t>bovino filetto</t>
  </si>
  <si>
    <t>filetti disgombro all'olio vegetale</t>
  </si>
  <si>
    <t>melagrane</t>
  </si>
  <si>
    <t>Crauti al naturale Delizie dal Sole</t>
  </si>
  <si>
    <t xml:space="preserve">Funghetti coltivati sottolio Delizie dal Sole </t>
  </si>
  <si>
    <t>arance</t>
  </si>
  <si>
    <t>Cime di rapa</t>
  </si>
  <si>
    <t>Rape</t>
  </si>
  <si>
    <t>fagioli cannellini carrefour</t>
  </si>
  <si>
    <t>fagioli corona carrefour</t>
  </si>
  <si>
    <t>lenticchie carrefour</t>
  </si>
  <si>
    <t>fagioli borlotti carrefour</t>
  </si>
  <si>
    <t>ceci carrefour</t>
  </si>
  <si>
    <t>ceci lessati al naturale delizie dal sole</t>
  </si>
  <si>
    <t>piselli fini carrefour</t>
  </si>
  <si>
    <t>mandarini</t>
  </si>
  <si>
    <t>platessa</t>
  </si>
  <si>
    <t>Buon pascolo carne in gelatina</t>
  </si>
  <si>
    <t>Catalogna cimata</t>
  </si>
  <si>
    <t>Belga</t>
  </si>
  <si>
    <t>wasa original</t>
  </si>
  <si>
    <t>Pomodoro cuoredi bue</t>
  </si>
  <si>
    <t>stinco</t>
  </si>
  <si>
    <t>fettuccine di farro</t>
  </si>
  <si>
    <t>Tigullio GranPesto alla genovese</t>
  </si>
  <si>
    <t>pere Kaiser</t>
  </si>
  <si>
    <t>mele renette</t>
  </si>
  <si>
    <t>mele goden</t>
  </si>
  <si>
    <t>mele smit</t>
  </si>
  <si>
    <t>mele fresce con buccia</t>
  </si>
  <si>
    <t>mele fresche senza buccia</t>
  </si>
  <si>
    <t>pere Coscia</t>
  </si>
  <si>
    <t>pere fresche senza buccia</t>
  </si>
  <si>
    <t>semi di zucca Cerreto</t>
  </si>
  <si>
    <t>semi di girasole tostati Cerreto</t>
  </si>
  <si>
    <t>Semi di lino biologici Carrefour</t>
  </si>
  <si>
    <t>Mix semi per insalata home made</t>
  </si>
  <si>
    <t>Tigullio Olive Emandorle</t>
  </si>
  <si>
    <t>uova di lompo</t>
  </si>
  <si>
    <t>salmone olio d'oliva</t>
  </si>
  <si>
    <t>Misto Funghi trifolati</t>
  </si>
  <si>
    <t>polenta</t>
  </si>
  <si>
    <t>vitello</t>
  </si>
  <si>
    <t>Funghi champignon Delizie dal Sole</t>
  </si>
  <si>
    <t>Tigullio GranPesto alla genovese cremoso</t>
  </si>
  <si>
    <t>Tigullio ricotta tartufo e pepe 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</si>
</sst>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pane ySplit="2" topLeftCell="A3" activePane="bottomLeft" state="frozen"/>
      <selection activeCell="B1" sqref="B1"/>
      <selection pane="bottomLeft" activeCell="B1" sqref="B1"/>
    </sheetView>
  </sheetViews>
  <sheetFormatPr defaultRowHeight="14.4" x14ac:dyDescent="0.3"/>
  <cols>
    <col min="1" max="1" width="16.109375" bestFit="1" customWidth="1"/>
    <col min="2" max="2" width="15.77734375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1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x14ac:dyDescent="0.3">
      <c r="A3" s="6" t="s">
        <v>14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x14ac:dyDescent="0.3">
      <c r="A4" t="s">
        <v>13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x14ac:dyDescent="0.3">
      <c r="A5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3">
      <c r="A6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x14ac:dyDescent="0.3">
      <c r="A7" t="s">
        <v>188</v>
      </c>
      <c r="B7" s="4">
        <v>0</v>
      </c>
      <c r="C7" s="4">
        <v>0.65100000000000002</v>
      </c>
      <c r="D7" s="4">
        <v>0.13800000000000001</v>
      </c>
      <c r="E7" s="4">
        <v>3.5000000000000003E-2</v>
      </c>
      <c r="F7" s="4">
        <v>6.5000000000000002E-2</v>
      </c>
      <c r="G7" s="4">
        <v>347</v>
      </c>
    </row>
    <row r="8" spans="1:7" x14ac:dyDescent="0.3">
      <c r="A8" t="s">
        <v>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3">
      <c r="A9" t="s">
        <v>6</v>
      </c>
      <c r="B9" s="4">
        <v>100</v>
      </c>
      <c r="C9" s="4">
        <f>0.648</f>
        <v>0.64800000000000002</v>
      </c>
      <c r="D9" s="4">
        <f>0.133</f>
        <v>0.13300000000000001</v>
      </c>
      <c r="E9" s="4">
        <f>0.022</f>
        <v>2.1999999999999999E-2</v>
      </c>
      <c r="F9" s="4">
        <f>0.071</f>
        <v>7.0999999999999994E-2</v>
      </c>
      <c r="G9" s="4">
        <f>330</f>
        <v>330</v>
      </c>
    </row>
    <row r="10" spans="1:7" x14ac:dyDescent="0.3">
      <c r="A10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3">
      <c r="A11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3">
      <c r="A12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3">
      <c r="A1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3">
      <c r="A14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</sheetData>
  <sortState xmlns:xlrd2="http://schemas.microsoft.com/office/spreadsheetml/2017/richdata2" ref="A3:G14">
    <sortCondition ref="A3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7AAE-0D50-4E51-8CA7-E4F22E9A8E5C}">
  <dimension ref="A1:G8"/>
  <sheetViews>
    <sheetView workbookViewId="0">
      <selection activeCell="B2" sqref="B2"/>
    </sheetView>
  </sheetViews>
  <sheetFormatPr defaultRowHeight="14.4" x14ac:dyDescent="0.3"/>
  <cols>
    <col min="1" max="1" width="26.3320312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x14ac:dyDescent="0.3">
      <c r="A3" s="15" t="s">
        <v>91</v>
      </c>
      <c r="B3" s="4">
        <v>0</v>
      </c>
      <c r="C3" s="4">
        <f>0.04</f>
        <v>0.04</v>
      </c>
      <c r="D3" s="4">
        <f>0.319</f>
        <v>0.31900000000000001</v>
      </c>
      <c r="E3" s="4">
        <v>0.503</v>
      </c>
      <c r="F3" s="4">
        <v>4.4999999999999998E-2</v>
      </c>
      <c r="G3" s="4">
        <v>604</v>
      </c>
    </row>
    <row r="4" spans="1:7" x14ac:dyDescent="0.3">
      <c r="A4" s="15" t="s">
        <v>108</v>
      </c>
      <c r="B4" s="4">
        <v>0</v>
      </c>
      <c r="C4" s="4">
        <f>0.18</f>
        <v>0.18</v>
      </c>
      <c r="D4" s="4">
        <f>0.27</f>
        <v>0.27</v>
      </c>
      <c r="E4" s="4">
        <f>0.49</f>
        <v>0.49</v>
      </c>
      <c r="F4" s="4">
        <f>0.074</f>
        <v>7.3999999999999996E-2</v>
      </c>
      <c r="G4" s="4">
        <f>610</f>
        <v>610</v>
      </c>
    </row>
    <row r="5" spans="1:7" x14ac:dyDescent="0.3">
      <c r="A5" s="15" t="s">
        <v>198</v>
      </c>
      <c r="B5" s="4">
        <v>0</v>
      </c>
      <c r="C5" s="4">
        <f>0.062</f>
        <v>6.2E-2</v>
      </c>
      <c r="D5" s="4">
        <f>0.304</f>
        <v>0.30399999999999999</v>
      </c>
      <c r="E5" s="4">
        <f>0.485</f>
        <v>0.48499999999999999</v>
      </c>
      <c r="F5" s="4">
        <f>0.074</f>
        <v>7.3999999999999996E-2</v>
      </c>
      <c r="G5" s="4">
        <f>598</f>
        <v>598</v>
      </c>
    </row>
    <row r="6" spans="1:7" x14ac:dyDescent="0.3">
      <c r="A6" s="15" t="s">
        <v>199</v>
      </c>
      <c r="B6" s="4">
        <v>0</v>
      </c>
      <c r="C6" s="4">
        <v>0.123</v>
      </c>
      <c r="D6" s="4">
        <v>0.22500000000000001</v>
      </c>
      <c r="E6" s="4">
        <v>0.49299999999999999</v>
      </c>
      <c r="F6" s="4">
        <v>6.9000000000000006E-2</v>
      </c>
      <c r="G6" s="4">
        <v>590</v>
      </c>
    </row>
    <row r="7" spans="1:7" x14ac:dyDescent="0.3">
      <c r="A7" s="15" t="s">
        <v>200</v>
      </c>
      <c r="B7" s="4">
        <v>0</v>
      </c>
      <c r="C7" s="4">
        <v>2.5000000000000001E-2</v>
      </c>
      <c r="D7" s="4">
        <v>0.23</v>
      </c>
      <c r="E7" s="4">
        <v>0.35</v>
      </c>
      <c r="F7" s="4">
        <v>0.3</v>
      </c>
      <c r="G7" s="4">
        <v>473</v>
      </c>
    </row>
    <row r="8" spans="1:7" x14ac:dyDescent="0.3">
      <c r="A8" s="15" t="s">
        <v>201</v>
      </c>
      <c r="B8" s="4">
        <v>0</v>
      </c>
      <c r="C8">
        <v>7.1499999999999994E-2</v>
      </c>
      <c r="D8" s="10">
        <v>0.26</v>
      </c>
      <c r="E8" s="4">
        <v>0.45200000000000001</v>
      </c>
      <c r="F8" s="4">
        <v>0.13200000000000001</v>
      </c>
      <c r="G8" s="4">
        <v>563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F44E-3226-4211-A781-8342E3BF3BF2}">
  <dimension ref="A1:G2"/>
  <sheetViews>
    <sheetView workbookViewId="0">
      <pane ySplit="1" topLeftCell="A2" activePane="bottomLeft" state="frozen"/>
      <selection sqref="A1:A1048576"/>
      <selection pane="bottomLeft" activeCell="B14" sqref="B14"/>
    </sheetView>
  </sheetViews>
  <sheetFormatPr defaultRowHeight="14.4" x14ac:dyDescent="0.3"/>
  <cols>
    <col min="1" max="1" width="16.10937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65C6-910B-4054-99F3-BA5AE1B19CDE}">
  <dimension ref="A1:G2"/>
  <sheetViews>
    <sheetView workbookViewId="0">
      <pane ySplit="1" topLeftCell="A2" activePane="bottomLeft" state="frozen"/>
      <selection sqref="A1:A1048576"/>
      <selection pane="bottomLeft" activeCell="G29" sqref="G29"/>
    </sheetView>
  </sheetViews>
  <sheetFormatPr defaultRowHeight="14.4" x14ac:dyDescent="0.3"/>
  <cols>
    <col min="1" max="1" width="16.10937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17A2-C199-4CE1-A428-097740AE87D5}">
  <dimension ref="A1:G7"/>
  <sheetViews>
    <sheetView workbookViewId="0">
      <pane ySplit="1" topLeftCell="A2" activePane="bottomLeft" state="frozen"/>
      <selection sqref="A1:A1048576"/>
      <selection pane="bottomLeft" activeCell="B1" sqref="B1"/>
    </sheetView>
  </sheetViews>
  <sheetFormatPr defaultRowHeight="14.4" x14ac:dyDescent="0.3"/>
  <cols>
    <col min="1" max="1" width="16.10937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x14ac:dyDescent="0.3">
      <c r="A3" t="s">
        <v>86</v>
      </c>
      <c r="B3" s="10">
        <v>0</v>
      </c>
      <c r="C3" s="10">
        <f>0.011</f>
        <v>1.0999999999999999E-2</v>
      </c>
      <c r="D3" s="10">
        <f>0.008</f>
        <v>8.0000000000000002E-3</v>
      </c>
      <c r="E3" s="10">
        <f>0.83</f>
        <v>0.83</v>
      </c>
      <c r="F3" s="10">
        <v>0</v>
      </c>
      <c r="G3" s="10">
        <v>758</v>
      </c>
    </row>
    <row r="4" spans="1:7" x14ac:dyDescent="0.3">
      <c r="A4" t="s">
        <v>148</v>
      </c>
      <c r="B4" s="10">
        <v>0</v>
      </c>
      <c r="C4" s="10">
        <v>7.0000000000000001E-3</v>
      </c>
      <c r="D4" s="10">
        <v>6.0000000000000001E-3</v>
      </c>
      <c r="E4" s="10">
        <v>0.83</v>
      </c>
      <c r="F4" s="10">
        <v>0</v>
      </c>
      <c r="G4" s="10">
        <v>752</v>
      </c>
    </row>
    <row r="5" spans="1:7" x14ac:dyDescent="0.3">
      <c r="A5" t="s">
        <v>94</v>
      </c>
      <c r="B5" s="10">
        <v>0</v>
      </c>
      <c r="C5" s="10">
        <f>0</f>
        <v>0</v>
      </c>
      <c r="D5" s="10">
        <f>0</f>
        <v>0</v>
      </c>
      <c r="E5" s="10">
        <f>0.999</f>
        <v>0.999</v>
      </c>
      <c r="F5" s="10">
        <f>0</f>
        <v>0</v>
      </c>
      <c r="G5" s="10">
        <v>899</v>
      </c>
    </row>
    <row r="6" spans="1:7" x14ac:dyDescent="0.3">
      <c r="A6" t="s">
        <v>81</v>
      </c>
      <c r="B6" s="10">
        <v>0</v>
      </c>
      <c r="C6" s="10">
        <f>0.069</f>
        <v>6.9000000000000006E-2</v>
      </c>
      <c r="D6" s="10">
        <f>0.097</f>
        <v>9.7000000000000003E-2</v>
      </c>
      <c r="E6" s="10">
        <v>0</v>
      </c>
      <c r="F6" s="10">
        <v>0</v>
      </c>
      <c r="G6" s="10">
        <v>107</v>
      </c>
    </row>
    <row r="7" spans="1:7" x14ac:dyDescent="0.3">
      <c r="A7" t="s">
        <v>57</v>
      </c>
      <c r="B7" s="10">
        <v>0</v>
      </c>
      <c r="C7" s="10">
        <f>0.025</f>
        <v>2.5000000000000001E-2</v>
      </c>
      <c r="D7" s="10">
        <f>0.002</f>
        <v>2E-3</v>
      </c>
      <c r="E7" s="10">
        <f>0</f>
        <v>0</v>
      </c>
      <c r="F7" s="10">
        <v>0</v>
      </c>
      <c r="G7" s="10">
        <v>10</v>
      </c>
    </row>
  </sheetData>
  <sortState xmlns:xlrd2="http://schemas.microsoft.com/office/spreadsheetml/2017/richdata2" ref="A3:G7">
    <sortCondition ref="A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17FA-F35E-4583-8841-A9CD841EE0E9}">
  <dimension ref="A1:G2"/>
  <sheetViews>
    <sheetView workbookViewId="0">
      <pane ySplit="1" topLeftCell="A2" activePane="bottomLeft" state="frozen"/>
      <selection sqref="A1:A1048576"/>
      <selection pane="bottomLeft" activeCell="F29" sqref="F29"/>
    </sheetView>
  </sheetViews>
  <sheetFormatPr defaultRowHeight="14.4" x14ac:dyDescent="0.3"/>
  <cols>
    <col min="1" max="1" width="16.10937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EF74-24DF-434B-8573-4BBE1A9DCD3A}">
  <dimension ref="A1:G6"/>
  <sheetViews>
    <sheetView workbookViewId="0">
      <pane ySplit="1" topLeftCell="A2" activePane="bottomLeft" state="frozen"/>
      <selection sqref="A1:A1048576"/>
      <selection pane="bottomLeft" activeCell="B1" sqref="B1"/>
    </sheetView>
  </sheetViews>
  <sheetFormatPr defaultRowHeight="14.4" x14ac:dyDescent="0.3"/>
  <cols>
    <col min="1" max="1" width="16.10937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x14ac:dyDescent="0.3">
      <c r="A3" t="s">
        <v>90</v>
      </c>
      <c r="B3" s="10">
        <v>0</v>
      </c>
      <c r="C3" s="10">
        <v>8.0000000000000002E-3</v>
      </c>
      <c r="D3" s="10">
        <v>1.7999999999999999E-2</v>
      </c>
      <c r="E3" s="10">
        <v>5.0000000000000001E-3</v>
      </c>
      <c r="F3" s="10">
        <v>3.6999999999999998E-2</v>
      </c>
      <c r="G3" s="10">
        <f>21</f>
        <v>21</v>
      </c>
    </row>
    <row r="4" spans="1:7" x14ac:dyDescent="0.3">
      <c r="A4" t="s">
        <v>67</v>
      </c>
      <c r="B4" s="10">
        <v>0</v>
      </c>
      <c r="C4" s="10">
        <f>0.005</f>
        <v>5.0000000000000001E-3</v>
      </c>
      <c r="D4" s="10">
        <f>0.011</f>
        <v>1.0999999999999999E-2</v>
      </c>
      <c r="E4" s="10">
        <f>0.14</f>
        <v>0.14000000000000001</v>
      </c>
      <c r="F4" s="10">
        <f>0.044</f>
        <v>4.3999999999999997E-2</v>
      </c>
      <c r="G4" s="10">
        <f>136</f>
        <v>136</v>
      </c>
    </row>
    <row r="5" spans="1:7" x14ac:dyDescent="0.3">
      <c r="A5" t="s">
        <v>56</v>
      </c>
      <c r="B5" s="10">
        <v>0</v>
      </c>
      <c r="C5" s="10">
        <v>0</v>
      </c>
      <c r="D5" s="10">
        <f>0.011</f>
        <v>1.0999999999999999E-2</v>
      </c>
      <c r="E5" s="10">
        <f>0.13</f>
        <v>0.13</v>
      </c>
      <c r="F5" s="10">
        <f>0.047</f>
        <v>4.7E-2</v>
      </c>
      <c r="G5" s="10">
        <v>129</v>
      </c>
    </row>
    <row r="6" spans="1:7" x14ac:dyDescent="0.3">
      <c r="A6" t="s">
        <v>153</v>
      </c>
      <c r="B6" s="10">
        <v>0</v>
      </c>
      <c r="C6" s="10">
        <v>0</v>
      </c>
      <c r="D6" s="10">
        <v>5.0000000000000001E-3</v>
      </c>
      <c r="E6" s="10">
        <v>0.13</v>
      </c>
      <c r="F6" s="10">
        <v>0.03</v>
      </c>
      <c r="G6" s="10">
        <v>129</v>
      </c>
    </row>
  </sheetData>
  <sortState xmlns:xlrd2="http://schemas.microsoft.com/office/spreadsheetml/2017/richdata2" ref="A3:G5">
    <sortCondition ref="A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D979-EB4B-4B84-A10E-41E34DA215F8}">
  <dimension ref="A1:G11"/>
  <sheetViews>
    <sheetView workbookViewId="0">
      <selection activeCell="D20" sqref="D20"/>
    </sheetView>
  </sheetViews>
  <sheetFormatPr defaultRowHeight="14.4" x14ac:dyDescent="0.3"/>
  <cols>
    <col min="1" max="1" width="32.44140625" bestFit="1" customWidth="1"/>
    <col min="2" max="2" width="15.33203125" bestFit="1" customWidth="1"/>
    <col min="3" max="3" width="7.88671875" bestFit="1" customWidth="1"/>
    <col min="4" max="4" width="11.109375" bestFit="1" customWidth="1"/>
    <col min="5" max="5" width="8.44140625" bestFit="1" customWidth="1"/>
    <col min="6" max="6" width="8.21875" bestFit="1" customWidth="1"/>
    <col min="7" max="7" width="16.77734375" bestFit="1" customWidth="1"/>
  </cols>
  <sheetData>
    <row r="1" spans="1:7" x14ac:dyDescent="0.3">
      <c r="A1" t="str">
        <f>'Pasta riso e cereali'!A1</f>
        <v>Flag_read</v>
      </c>
      <c r="B1" s="10">
        <v>0</v>
      </c>
    </row>
    <row r="2" spans="1:7" x14ac:dyDescent="0.3">
      <c r="A2" s="7" t="str">
        <f>'Pasta riso e cereali'!A2</f>
        <v>NOME ALIMENTO</v>
      </c>
      <c r="B2" s="7" t="str">
        <f>'Pasta riso e cereali'!B2</f>
        <v>Peso alimento [g]</v>
      </c>
      <c r="C2" s="7" t="str">
        <f>'Pasta riso e cereali'!C2</f>
        <v>CHO [%]</v>
      </c>
      <c r="D2" s="7" t="str">
        <f>'Pasta riso e cereali'!D2</f>
        <v>Proteine [%]</v>
      </c>
      <c r="E2" s="7" t="str">
        <f>'Pasta riso e cereali'!E2</f>
        <v>Lipidi [%]</v>
      </c>
      <c r="F2" s="7" t="str">
        <f>'Pasta riso e cereali'!F2</f>
        <v>Fibre [%]</v>
      </c>
      <c r="G2" s="7" t="str">
        <f>'Pasta riso e cereali'!G2</f>
        <v>Energia [kcal/100g]</v>
      </c>
    </row>
    <row r="3" spans="1:7" x14ac:dyDescent="0.3">
      <c r="A3" t="s">
        <v>142</v>
      </c>
      <c r="B3" s="10">
        <v>0</v>
      </c>
      <c r="C3" s="10">
        <v>9.8000000000000004E-2</v>
      </c>
      <c r="D3" s="10">
        <v>4.7E-2</v>
      </c>
      <c r="E3" s="10">
        <v>0.46</v>
      </c>
      <c r="F3" s="10">
        <v>0.05</v>
      </c>
      <c r="G3" s="10">
        <v>482</v>
      </c>
    </row>
    <row r="4" spans="1:7" x14ac:dyDescent="0.3">
      <c r="A4" t="s">
        <v>141</v>
      </c>
      <c r="B4" s="10">
        <v>0</v>
      </c>
      <c r="C4" s="10">
        <v>9.8000000000000004E-2</v>
      </c>
      <c r="D4" s="10">
        <v>4.7E-2</v>
      </c>
      <c r="E4" s="10">
        <v>0.46</v>
      </c>
      <c r="F4" s="10">
        <v>0.05</v>
      </c>
      <c r="G4" s="10">
        <v>482</v>
      </c>
    </row>
    <row r="5" spans="1:7" x14ac:dyDescent="0.3">
      <c r="A5" t="s">
        <v>145</v>
      </c>
      <c r="B5" s="10">
        <v>0</v>
      </c>
      <c r="C5" s="10">
        <v>0.122</v>
      </c>
      <c r="D5" s="10">
        <v>0.03</v>
      </c>
      <c r="E5" s="10">
        <v>0.28999999999999998</v>
      </c>
      <c r="F5" s="10">
        <v>1.4999999999999999E-2</v>
      </c>
      <c r="G5" s="10">
        <v>325</v>
      </c>
    </row>
    <row r="6" spans="1:7" x14ac:dyDescent="0.3">
      <c r="A6" t="s">
        <v>140</v>
      </c>
      <c r="B6" s="10">
        <v>0</v>
      </c>
      <c r="C6" s="10">
        <f>0.132</f>
        <v>0.13200000000000001</v>
      </c>
      <c r="D6" s="10">
        <f>0.052</f>
        <v>5.1999999999999998E-2</v>
      </c>
      <c r="E6" s="10">
        <f>0.365</f>
        <v>0.36499999999999999</v>
      </c>
      <c r="F6" s="10">
        <f>0.016</f>
        <v>1.6E-2</v>
      </c>
      <c r="G6" s="10">
        <v>405</v>
      </c>
    </row>
    <row r="7" spans="1:7" x14ac:dyDescent="0.3">
      <c r="A7" t="s">
        <v>144</v>
      </c>
      <c r="B7" s="10">
        <v>0</v>
      </c>
      <c r="C7" s="10">
        <v>0.10199999999999999</v>
      </c>
      <c r="D7" s="10">
        <v>3.9E-2</v>
      </c>
      <c r="E7" s="10">
        <v>0.42499999999999999</v>
      </c>
      <c r="F7" s="10">
        <v>0.02</v>
      </c>
      <c r="G7" s="10">
        <v>443</v>
      </c>
    </row>
    <row r="8" spans="1:7" x14ac:dyDescent="0.3">
      <c r="A8" t="s">
        <v>189</v>
      </c>
      <c r="B8" s="10">
        <v>0</v>
      </c>
      <c r="C8" s="10">
        <v>8.6999999999999994E-2</v>
      </c>
      <c r="D8" s="10">
        <v>5.3999999999999999E-2</v>
      </c>
      <c r="E8" s="10">
        <v>0.41</v>
      </c>
      <c r="F8" s="10">
        <v>1.2E-2</v>
      </c>
      <c r="G8" s="10">
        <v>428</v>
      </c>
    </row>
    <row r="9" spans="1:7" x14ac:dyDescent="0.3">
      <c r="A9" t="s">
        <v>202</v>
      </c>
      <c r="B9" s="10">
        <v>0</v>
      </c>
      <c r="C9" s="10">
        <v>0.11</v>
      </c>
      <c r="D9" s="10">
        <f>0.013</f>
        <v>1.2999999999999999E-2</v>
      </c>
      <c r="E9" s="10">
        <v>0.39</v>
      </c>
      <c r="F9" s="10">
        <v>1.6E-2</v>
      </c>
      <c r="G9" s="10">
        <v>403</v>
      </c>
    </row>
    <row r="10" spans="1:7" x14ac:dyDescent="0.3">
      <c r="A10" t="s">
        <v>209</v>
      </c>
      <c r="B10" s="10">
        <v>0</v>
      </c>
      <c r="C10" s="10">
        <f>0.05</f>
        <v>0.05</v>
      </c>
      <c r="D10" s="10">
        <f>0.087</f>
        <v>8.6999999999999994E-2</v>
      </c>
      <c r="E10" s="10">
        <f>0.51</f>
        <v>0.51</v>
      </c>
      <c r="F10" s="10">
        <f>0.011</f>
        <v>1.0999999999999999E-2</v>
      </c>
      <c r="G10" s="10">
        <v>516</v>
      </c>
    </row>
    <row r="11" spans="1:7" x14ac:dyDescent="0.3">
      <c r="A11" t="s">
        <v>210</v>
      </c>
      <c r="B11" s="10">
        <v>0</v>
      </c>
      <c r="C11" s="10">
        <v>0.06</v>
      </c>
      <c r="D11" s="10">
        <v>3.7999999999999999E-2</v>
      </c>
      <c r="E11" s="10">
        <v>0.38</v>
      </c>
      <c r="F11" s="10">
        <v>1.0999999999999999E-2</v>
      </c>
      <c r="G11" s="10">
        <v>383</v>
      </c>
    </row>
  </sheetData>
  <sortState xmlns:xlrd2="http://schemas.microsoft.com/office/spreadsheetml/2017/richdata2" ref="A3:G7">
    <sortCondition ref="A3"/>
  </sortState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C3715-CC24-4F6C-BB1D-8EFA50466E85}">
  <dimension ref="A1:G3"/>
  <sheetViews>
    <sheetView tabSelected="1" workbookViewId="0">
      <selection activeCell="B1" sqref="B1"/>
    </sheetView>
  </sheetViews>
  <sheetFormatPr defaultRowHeight="14.4" x14ac:dyDescent="0.3"/>
  <cols>
    <col min="1" max="1" width="15.77734375" bestFit="1" customWidth="1"/>
    <col min="2" max="2" width="15.33203125" bestFit="1" customWidth="1"/>
    <col min="3" max="3" width="7.88671875" bestFit="1" customWidth="1"/>
    <col min="4" max="4" width="11.109375" bestFit="1" customWidth="1"/>
    <col min="5" max="5" width="8.44140625" bestFit="1" customWidth="1"/>
    <col min="6" max="6" width="8.21875" bestFit="1" customWidth="1"/>
    <col min="7" max="7" width="16.77734375" bestFit="1" customWidth="1"/>
  </cols>
  <sheetData>
    <row r="1" spans="1:7" x14ac:dyDescent="0.3">
      <c r="A1" t="str">
        <f>'Pasta riso e cereali'!A1</f>
        <v>Flag_read</v>
      </c>
      <c r="B1" s="10">
        <v>0</v>
      </c>
    </row>
    <row r="2" spans="1:7" x14ac:dyDescent="0.3">
      <c r="A2" s="7" t="str">
        <f>'Pasta riso e cereali'!A2</f>
        <v>NOME ALIMENTO</v>
      </c>
      <c r="B2" s="7" t="str">
        <f>'Pasta riso e cereali'!B2</f>
        <v>Peso alimento [g]</v>
      </c>
      <c r="C2" s="7" t="str">
        <f>'Pasta riso e cereali'!C2</f>
        <v>CHO [%]</v>
      </c>
      <c r="D2" s="7" t="str">
        <f>'Pasta riso e cereali'!D2</f>
        <v>Proteine [%]</v>
      </c>
      <c r="E2" s="7" t="str">
        <f>'Pasta riso e cereali'!E2</f>
        <v>Lipidi [%]</v>
      </c>
      <c r="F2" s="7" t="str">
        <f>'Pasta riso e cereali'!F2</f>
        <v>Fibre [%]</v>
      </c>
      <c r="G2" s="7" t="str">
        <f>'Pasta riso e cereali'!G2</f>
        <v>Energia [kcal/100g]</v>
      </c>
    </row>
    <row r="3" spans="1:7" x14ac:dyDescent="0.3">
      <c r="A3" t="s">
        <v>155</v>
      </c>
      <c r="B3" s="10">
        <v>80</v>
      </c>
      <c r="C3">
        <v>4.2999999999999997E-2</v>
      </c>
      <c r="D3">
        <v>1.4999999999999999E-2</v>
      </c>
      <c r="E3">
        <v>2E-3</v>
      </c>
      <c r="F3">
        <v>1.2E-2</v>
      </c>
      <c r="G3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C2701-F646-46FD-AACD-BA062B5282F4}">
  <dimension ref="A1:G15"/>
  <sheetViews>
    <sheetView workbookViewId="0">
      <selection activeCell="B2" sqref="B2"/>
    </sheetView>
  </sheetViews>
  <sheetFormatPr defaultRowHeight="14.4" x14ac:dyDescent="0.3"/>
  <cols>
    <col min="1" max="1" width="22.664062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x14ac:dyDescent="0.3">
      <c r="A3" t="s">
        <v>131</v>
      </c>
      <c r="B3" s="10">
        <v>0</v>
      </c>
      <c r="C3" s="10">
        <v>0.68</v>
      </c>
      <c r="D3" s="10">
        <f>0.12</f>
        <v>0.12</v>
      </c>
      <c r="E3" s="10">
        <v>0.11</v>
      </c>
      <c r="F3" s="10">
        <v>5.7000000000000002E-2</v>
      </c>
      <c r="G3" s="10">
        <v>430</v>
      </c>
    </row>
    <row r="4" spans="1:7" x14ac:dyDescent="0.3">
      <c r="A4" t="s">
        <v>120</v>
      </c>
      <c r="B4" s="10">
        <v>0</v>
      </c>
      <c r="C4" s="10">
        <f>0.61</f>
        <v>0.61</v>
      </c>
      <c r="D4" s="10">
        <f>0.11</f>
        <v>0.11</v>
      </c>
      <c r="E4" s="10">
        <f>0.096</f>
        <v>9.6000000000000002E-2</v>
      </c>
      <c r="F4" s="10">
        <f>0.14</f>
        <v>0.14000000000000001</v>
      </c>
      <c r="G4" s="10">
        <f>402</f>
        <v>402</v>
      </c>
    </row>
    <row r="5" spans="1:7" x14ac:dyDescent="0.3">
      <c r="A5" t="s">
        <v>65</v>
      </c>
      <c r="B5" s="10">
        <v>0</v>
      </c>
      <c r="C5" s="10">
        <f>0.68</f>
        <v>0.68</v>
      </c>
      <c r="D5" s="10">
        <f>0.12</f>
        <v>0.12</v>
      </c>
      <c r="E5" s="10">
        <f>0.077</f>
        <v>7.6999999999999999E-2</v>
      </c>
      <c r="F5" s="10">
        <f>0.056</f>
        <v>5.6000000000000001E-2</v>
      </c>
      <c r="G5" s="10">
        <v>401</v>
      </c>
    </row>
    <row r="6" spans="1:7" x14ac:dyDescent="0.3">
      <c r="A6" t="s">
        <v>151</v>
      </c>
      <c r="B6" s="10">
        <v>0</v>
      </c>
      <c r="C6" s="10">
        <v>0.70099999999999996</v>
      </c>
      <c r="D6" s="10">
        <v>0.121</v>
      </c>
      <c r="E6" s="10">
        <v>0.113</v>
      </c>
      <c r="F6" s="10">
        <v>7.5999999999999998E-2</v>
      </c>
      <c r="G6" s="10">
        <v>446</v>
      </c>
    </row>
    <row r="7" spans="1:7" x14ac:dyDescent="0.3">
      <c r="A7" t="s">
        <v>154</v>
      </c>
      <c r="B7" s="10">
        <v>0</v>
      </c>
      <c r="C7" s="10">
        <v>0.434</v>
      </c>
      <c r="D7" s="10">
        <v>9.8000000000000004E-2</v>
      </c>
      <c r="E7" s="10">
        <v>7.6999999999999999E-2</v>
      </c>
      <c r="F7" s="10">
        <v>8.5999999999999993E-2</v>
      </c>
      <c r="G7" s="10">
        <v>288</v>
      </c>
    </row>
    <row r="8" spans="1:7" x14ac:dyDescent="0.3">
      <c r="A8" t="s">
        <v>95</v>
      </c>
      <c r="B8" s="10">
        <v>0</v>
      </c>
      <c r="C8" s="10">
        <f>0.67</f>
        <v>0.67</v>
      </c>
      <c r="D8" s="10">
        <f>0.11</f>
        <v>0.11</v>
      </c>
      <c r="E8" s="10">
        <f>0.025</f>
        <v>2.5000000000000001E-2</v>
      </c>
      <c r="F8" s="10">
        <f>0.056</f>
        <v>5.6000000000000001E-2</v>
      </c>
      <c r="G8" s="10">
        <f>347</f>
        <v>347</v>
      </c>
    </row>
    <row r="9" spans="1:7" x14ac:dyDescent="0.3">
      <c r="A9" t="s">
        <v>111</v>
      </c>
      <c r="B9" s="10">
        <v>0</v>
      </c>
      <c r="C9" s="10">
        <f>0.42</f>
        <v>0.42</v>
      </c>
      <c r="D9" s="10">
        <f>0.09</f>
        <v>0.09</v>
      </c>
      <c r="E9" s="10">
        <f>0.043</f>
        <v>4.2999999999999997E-2</v>
      </c>
      <c r="F9" s="10">
        <f>0.083</f>
        <v>8.3000000000000004E-2</v>
      </c>
      <c r="G9" s="10">
        <f>259</f>
        <v>259</v>
      </c>
    </row>
    <row r="10" spans="1:7" x14ac:dyDescent="0.3">
      <c r="A10" t="s">
        <v>161</v>
      </c>
      <c r="B10" s="10">
        <v>0</v>
      </c>
      <c r="C10" s="10">
        <v>0.45400000000000001</v>
      </c>
      <c r="D10" s="10">
        <v>8.3000000000000004E-2</v>
      </c>
      <c r="E10" s="10">
        <v>1.7000000000000001E-2</v>
      </c>
      <c r="F10" s="10">
        <v>4.5999999999999999E-2</v>
      </c>
      <c r="G10" s="10">
        <v>228</v>
      </c>
    </row>
    <row r="11" spans="1:7" x14ac:dyDescent="0.3">
      <c r="A11" t="s">
        <v>160</v>
      </c>
      <c r="B11" s="10">
        <v>0</v>
      </c>
      <c r="C11" s="10">
        <v>0.4</v>
      </c>
      <c r="D11" s="10">
        <f>0.083</f>
        <v>8.3000000000000004E-2</v>
      </c>
      <c r="E11" s="10">
        <f>0.017</f>
        <v>1.7000000000000001E-2</v>
      </c>
      <c r="F11" s="10">
        <f>0.046</f>
        <v>4.5999999999999999E-2</v>
      </c>
      <c r="G11" s="10">
        <f>228</f>
        <v>228</v>
      </c>
    </row>
    <row r="12" spans="1:7" x14ac:dyDescent="0.3">
      <c r="A12" t="s">
        <v>114</v>
      </c>
      <c r="B12" s="10">
        <v>0</v>
      </c>
      <c r="C12" s="10">
        <f>0.44</f>
        <v>0.44</v>
      </c>
      <c r="D12" s="10">
        <f>0.087</f>
        <v>8.6999999999999994E-2</v>
      </c>
      <c r="E12" s="10">
        <f>0.086</f>
        <v>8.5999999999999993E-2</v>
      </c>
      <c r="F12" s="10">
        <f>0.061</f>
        <v>6.0999999999999999E-2</v>
      </c>
      <c r="G12" s="10">
        <v>300</v>
      </c>
    </row>
    <row r="13" spans="1:7" x14ac:dyDescent="0.3">
      <c r="A13" t="s">
        <v>74</v>
      </c>
      <c r="B13" s="10">
        <v>0</v>
      </c>
      <c r="C13" s="10">
        <f>0.6</f>
        <v>0.6</v>
      </c>
      <c r="D13" s="10">
        <f>0.09</f>
        <v>0.09</v>
      </c>
      <c r="E13" s="10">
        <f>0.015</f>
        <v>1.4999999999999999E-2</v>
      </c>
      <c r="F13" s="10">
        <f>0.22</f>
        <v>0.22</v>
      </c>
      <c r="G13" s="10">
        <f>334</f>
        <v>334</v>
      </c>
    </row>
    <row r="14" spans="1:7" x14ac:dyDescent="0.3">
      <c r="A14" t="s">
        <v>185</v>
      </c>
      <c r="B14" s="10">
        <v>0</v>
      </c>
      <c r="C14" s="10">
        <f>0.615</f>
        <v>0.61499999999999999</v>
      </c>
      <c r="D14" s="10">
        <f>0.09</f>
        <v>0.09</v>
      </c>
      <c r="E14" s="10">
        <f>0.015</f>
        <v>1.4999999999999999E-2</v>
      </c>
      <c r="F14" s="10">
        <f>0.19</f>
        <v>0.19</v>
      </c>
      <c r="G14" s="10">
        <f>334</f>
        <v>334</v>
      </c>
    </row>
    <row r="15" spans="1:7" x14ac:dyDescent="0.3">
      <c r="A15" t="s">
        <v>206</v>
      </c>
      <c r="B15" s="10">
        <v>0</v>
      </c>
      <c r="C15" s="4">
        <v>0.16</v>
      </c>
      <c r="D15" s="4">
        <v>1.4999999999999999E-2</v>
      </c>
      <c r="E15" s="4">
        <v>0</v>
      </c>
      <c r="F15" s="4">
        <v>0</v>
      </c>
      <c r="G15" s="4">
        <v>70</v>
      </c>
    </row>
  </sheetData>
  <sortState xmlns:xlrd2="http://schemas.microsoft.com/office/spreadsheetml/2017/richdata2" ref="A3:G13">
    <sortCondition ref="A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85A8-8131-47F5-A4C4-BF5FB29A2390}">
  <dimension ref="A1:G14"/>
  <sheetViews>
    <sheetView workbookViewId="0">
      <pane ySplit="1" topLeftCell="A2" activePane="bottomLeft" state="frozen"/>
      <selection sqref="A1:A1048576"/>
      <selection pane="bottomLeft" activeCell="B11" sqref="B11"/>
    </sheetView>
  </sheetViews>
  <sheetFormatPr defaultRowHeight="14.4" x14ac:dyDescent="0.3"/>
  <cols>
    <col min="1" max="1" width="21.554687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x14ac:dyDescent="0.3">
      <c r="A3" t="s">
        <v>177</v>
      </c>
      <c r="B3" s="10">
        <v>0</v>
      </c>
      <c r="C3" s="10">
        <f>0.189</f>
        <v>0.189</v>
      </c>
      <c r="D3" s="10">
        <f>0.07</f>
        <v>7.0000000000000007E-2</v>
      </c>
      <c r="E3" s="10">
        <f>0.024</f>
        <v>2.4E-2</v>
      </c>
      <c r="F3" s="10">
        <f>0.058</f>
        <v>5.8000000000000003E-2</v>
      </c>
      <c r="G3" s="10">
        <f>132</f>
        <v>132</v>
      </c>
    </row>
    <row r="4" spans="1:7" x14ac:dyDescent="0.3">
      <c r="A4" t="s">
        <v>178</v>
      </c>
      <c r="B4" s="10">
        <v>0</v>
      </c>
      <c r="C4" s="10">
        <v>0.14499999999999999</v>
      </c>
      <c r="D4" s="10">
        <v>6.7000000000000004E-2</v>
      </c>
      <c r="E4" s="10">
        <v>6.0000000000000001E-3</v>
      </c>
      <c r="F4" s="10">
        <v>6.4000000000000001E-2</v>
      </c>
      <c r="G4" s="10">
        <v>103</v>
      </c>
    </row>
    <row r="5" spans="1:7" x14ac:dyDescent="0.3">
      <c r="A5" t="s">
        <v>176</v>
      </c>
      <c r="B5" s="10">
        <v>0</v>
      </c>
      <c r="C5" s="10">
        <v>0.13</v>
      </c>
      <c r="D5" s="10">
        <v>6.2E-2</v>
      </c>
      <c r="E5" s="10">
        <f>0.007</f>
        <v>7.0000000000000001E-3</v>
      </c>
      <c r="F5" s="10">
        <v>5.5E-2</v>
      </c>
      <c r="G5" s="10">
        <v>94</v>
      </c>
    </row>
    <row r="6" spans="1:7" x14ac:dyDescent="0.3">
      <c r="A6" t="s">
        <v>173</v>
      </c>
      <c r="B6" s="10">
        <v>0</v>
      </c>
      <c r="C6" s="10">
        <v>0.11</v>
      </c>
      <c r="D6" s="10">
        <v>5.7000000000000002E-2</v>
      </c>
      <c r="E6" s="10">
        <v>8.9999999999999993E-3</v>
      </c>
      <c r="F6" s="10">
        <v>5.5E-2</v>
      </c>
      <c r="G6" s="10">
        <v>87</v>
      </c>
    </row>
    <row r="7" spans="1:7" x14ac:dyDescent="0.3">
      <c r="A7" t="s">
        <v>136</v>
      </c>
      <c r="B7" s="10">
        <v>0</v>
      </c>
      <c r="C7" s="10">
        <v>0.13</v>
      </c>
      <c r="D7" s="10">
        <v>0.06</v>
      </c>
      <c r="E7" s="10">
        <v>6.0000000000000001E-3</v>
      </c>
      <c r="F7" s="10">
        <v>6.0999999999999999E-2</v>
      </c>
      <c r="G7" s="10">
        <v>94</v>
      </c>
    </row>
    <row r="8" spans="1:7" x14ac:dyDescent="0.3">
      <c r="A8" t="s">
        <v>174</v>
      </c>
      <c r="B8" s="10">
        <v>0</v>
      </c>
      <c r="C8" s="10">
        <v>0.12</v>
      </c>
      <c r="D8" s="10">
        <v>6.5000000000000002E-2</v>
      </c>
      <c r="E8" s="10">
        <v>7.0000000000000001E-3</v>
      </c>
      <c r="F8" s="10">
        <v>6.5000000000000002E-2</v>
      </c>
      <c r="G8" s="10">
        <v>93</v>
      </c>
    </row>
    <row r="9" spans="1:7" x14ac:dyDescent="0.3">
      <c r="A9" t="s">
        <v>175</v>
      </c>
      <c r="B9" s="10">
        <v>0</v>
      </c>
      <c r="C9" s="10">
        <f>0.163</f>
        <v>0.16300000000000001</v>
      </c>
      <c r="D9" s="10">
        <f>0.069</f>
        <v>6.9000000000000006E-2</v>
      </c>
      <c r="E9" s="10">
        <f>0.004</f>
        <v>4.0000000000000001E-3</v>
      </c>
      <c r="F9" s="10">
        <f>0.083</f>
        <v>8.3000000000000004E-2</v>
      </c>
      <c r="G9" s="10">
        <f>109</f>
        <v>109</v>
      </c>
    </row>
    <row r="10" spans="1:7" x14ac:dyDescent="0.3">
      <c r="A10" t="s">
        <v>143</v>
      </c>
      <c r="B10" s="10">
        <v>0</v>
      </c>
      <c r="C10" s="10">
        <v>0.107</v>
      </c>
      <c r="D10" s="10">
        <v>5.8999999999999997E-2</v>
      </c>
      <c r="E10" s="10">
        <v>6.0000000000000001E-3</v>
      </c>
      <c r="F10" s="10">
        <v>4.2000000000000003E-2</v>
      </c>
      <c r="G10" s="10">
        <v>80</v>
      </c>
    </row>
    <row r="11" spans="1:7" x14ac:dyDescent="0.3">
      <c r="A11" t="s">
        <v>55</v>
      </c>
      <c r="B11" s="10">
        <v>0</v>
      </c>
      <c r="C11" s="10">
        <f>0.071</f>
        <v>7.0999999999999994E-2</v>
      </c>
      <c r="D11" s="10">
        <f>0.164</f>
        <v>0.16400000000000001</v>
      </c>
      <c r="E11" s="10">
        <f>0.024</f>
        <v>2.4E-2</v>
      </c>
      <c r="F11" s="10">
        <f>0.028</f>
        <v>2.8000000000000001E-2</v>
      </c>
      <c r="G11" s="10">
        <f>119</f>
        <v>119</v>
      </c>
    </row>
    <row r="12" spans="1:7" x14ac:dyDescent="0.3">
      <c r="A12" t="s">
        <v>106</v>
      </c>
      <c r="B12" s="10">
        <v>0</v>
      </c>
      <c r="C12" s="10">
        <f>0.048</f>
        <v>4.8000000000000001E-2</v>
      </c>
      <c r="D12" s="10">
        <f>0.064</f>
        <v>6.4000000000000001E-2</v>
      </c>
      <c r="E12" s="10">
        <f>0.009</f>
        <v>8.9999999999999993E-3</v>
      </c>
      <c r="F12" s="10">
        <v>6.2E-2</v>
      </c>
      <c r="G12" s="10">
        <v>65</v>
      </c>
    </row>
    <row r="13" spans="1:7" x14ac:dyDescent="0.3">
      <c r="A13" t="s">
        <v>69</v>
      </c>
      <c r="B13" s="10">
        <v>0</v>
      </c>
      <c r="C13" s="10">
        <f>0.075</f>
        <v>7.4999999999999997E-2</v>
      </c>
      <c r="D13" s="10">
        <v>4.9000000000000002E-2</v>
      </c>
      <c r="E13" s="10">
        <v>7.0000000000000001E-3</v>
      </c>
      <c r="F13" s="10">
        <v>0.06</v>
      </c>
      <c r="G13" s="10">
        <v>68</v>
      </c>
    </row>
    <row r="14" spans="1:7" x14ac:dyDescent="0.3">
      <c r="A14" t="s">
        <v>179</v>
      </c>
      <c r="B14" s="10">
        <v>0</v>
      </c>
      <c r="C14" s="10">
        <v>7.5999999999999998E-2</v>
      </c>
      <c r="D14" s="10">
        <v>4.9000000000000002E-2</v>
      </c>
      <c r="E14" s="10">
        <v>8.9999999999999993E-3</v>
      </c>
      <c r="F14" s="10">
        <v>6.9000000000000006E-2</v>
      </c>
      <c r="G14" s="10">
        <v>72</v>
      </c>
    </row>
  </sheetData>
  <sortState xmlns:xlrd2="http://schemas.microsoft.com/office/spreadsheetml/2017/richdata2" ref="A3:G13">
    <sortCondition ref="A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F16C-0006-480F-8C38-FB43D7121997}">
  <dimension ref="A1:G58"/>
  <sheetViews>
    <sheetView workbookViewId="0">
      <pane ySplit="2" topLeftCell="A37" activePane="bottomLeft" state="frozen"/>
      <selection sqref="A1:A1048576"/>
      <selection pane="bottomLeft" activeCell="B52" sqref="B52"/>
    </sheetView>
  </sheetViews>
  <sheetFormatPr defaultRowHeight="14.4" x14ac:dyDescent="0.3"/>
  <cols>
    <col min="1" max="1" width="25.7773437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1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x14ac:dyDescent="0.3">
      <c r="A3" t="s">
        <v>18</v>
      </c>
      <c r="B3" s="10">
        <v>0</v>
      </c>
      <c r="C3" s="10">
        <f>0.01</f>
        <v>0.01</v>
      </c>
      <c r="D3" s="10">
        <f>0.084</f>
        <v>8.4000000000000005E-2</v>
      </c>
      <c r="E3" s="10">
        <f>0.008</f>
        <v>8.0000000000000002E-3</v>
      </c>
      <c r="F3" s="10">
        <f>0.043</f>
        <v>4.2999999999999997E-2</v>
      </c>
      <c r="G3" s="10">
        <f>53</f>
        <v>53</v>
      </c>
    </row>
    <row r="4" spans="1:7" x14ac:dyDescent="0.3">
      <c r="A4" t="s">
        <v>184</v>
      </c>
      <c r="B4" s="10">
        <v>0</v>
      </c>
      <c r="C4" s="10">
        <f>0.032</f>
        <v>3.2000000000000001E-2</v>
      </c>
      <c r="D4" s="10">
        <f>0.007</f>
        <v>7.0000000000000001E-3</v>
      </c>
      <c r="E4" s="10">
        <f>0.003</f>
        <v>3.0000000000000001E-3</v>
      </c>
      <c r="F4" s="10">
        <v>1.0999999999999999E-2</v>
      </c>
      <c r="G4" s="10">
        <v>20</v>
      </c>
    </row>
    <row r="5" spans="1:7" x14ac:dyDescent="0.3">
      <c r="A5" t="s">
        <v>46</v>
      </c>
      <c r="B5" s="10">
        <v>0</v>
      </c>
      <c r="C5" s="10">
        <v>1.7999999999999999E-2</v>
      </c>
      <c r="D5" s="10">
        <v>1.2999999999999999E-2</v>
      </c>
      <c r="E5" s="10">
        <v>1E-3</v>
      </c>
      <c r="F5" s="10">
        <v>1.2E-2</v>
      </c>
      <c r="G5" s="10">
        <v>15</v>
      </c>
    </row>
    <row r="6" spans="1:7" x14ac:dyDescent="0.3">
      <c r="A6" t="s">
        <v>19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</row>
    <row r="7" spans="1:7" x14ac:dyDescent="0.3">
      <c r="A7" t="s">
        <v>137</v>
      </c>
      <c r="B7" s="10">
        <v>0</v>
      </c>
      <c r="C7" s="10">
        <v>1.4999999999999999E-2</v>
      </c>
      <c r="D7" s="10">
        <v>3.5000000000000003E-2</v>
      </c>
      <c r="E7" s="10">
        <v>0</v>
      </c>
      <c r="F7" s="10">
        <v>0.03</v>
      </c>
      <c r="G7" s="10">
        <v>26</v>
      </c>
    </row>
    <row r="8" spans="1:7" x14ac:dyDescent="0.3">
      <c r="A8" t="s">
        <v>20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</row>
    <row r="9" spans="1:7" x14ac:dyDescent="0.3">
      <c r="A9" t="s">
        <v>21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</row>
    <row r="10" spans="1:7" x14ac:dyDescent="0.3">
      <c r="A10" t="s">
        <v>22</v>
      </c>
      <c r="B10" s="10">
        <v>0</v>
      </c>
      <c r="C10" s="10">
        <f>0.076</f>
        <v>7.5999999999999998E-2</v>
      </c>
      <c r="D10" s="10">
        <f>0.011</f>
        <v>1.0999999999999999E-2</v>
      </c>
      <c r="E10" s="10">
        <f>0.002</f>
        <v>2E-3</v>
      </c>
      <c r="F10" s="10">
        <f>0.031</f>
        <v>3.1E-2</v>
      </c>
      <c r="G10" s="10">
        <f>41</f>
        <v>41</v>
      </c>
    </row>
    <row r="11" spans="1:7" x14ac:dyDescent="0.3">
      <c r="A11" t="s">
        <v>23</v>
      </c>
      <c r="B11" s="10">
        <v>0</v>
      </c>
      <c r="C11" s="10">
        <f>0.027</f>
        <v>2.7E-2</v>
      </c>
      <c r="D11" s="10">
        <f>0.032</f>
        <v>3.2000000000000001E-2</v>
      </c>
      <c r="E11" s="10">
        <f>0.002</f>
        <v>2E-3</v>
      </c>
      <c r="F11" s="10">
        <f>0.024</f>
        <v>2.4E-2</v>
      </c>
      <c r="G11" s="10">
        <f>30</f>
        <v>30</v>
      </c>
    </row>
    <row r="12" spans="1:7" x14ac:dyDescent="0.3">
      <c r="A12" t="s">
        <v>26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</row>
    <row r="13" spans="1:7" x14ac:dyDescent="0.3">
      <c r="A13" t="s">
        <v>163</v>
      </c>
      <c r="B13" s="10">
        <v>0</v>
      </c>
      <c r="C13" s="10">
        <v>2.5000000000000001E-2</v>
      </c>
      <c r="D13" s="10">
        <v>2.1000000000000001E-2</v>
      </c>
      <c r="E13" s="10">
        <v>1E-3</v>
      </c>
      <c r="F13" s="10">
        <v>2.5999999999999999E-2</v>
      </c>
      <c r="G13" s="10">
        <v>24</v>
      </c>
    </row>
    <row r="14" spans="1:7" x14ac:dyDescent="0.3">
      <c r="A14" t="s">
        <v>24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</row>
    <row r="15" spans="1:7" x14ac:dyDescent="0.3">
      <c r="A15" t="s">
        <v>183</v>
      </c>
      <c r="B15" s="10">
        <v>0</v>
      </c>
      <c r="C15" s="10">
        <v>7.0000000000000001E-3</v>
      </c>
      <c r="D15" s="10">
        <v>1.4E-2</v>
      </c>
      <c r="E15" s="10">
        <v>2E-3</v>
      </c>
      <c r="F15" s="10">
        <v>4.0000000000000001E-3</v>
      </c>
      <c r="G15" s="10">
        <v>10</v>
      </c>
    </row>
    <row r="16" spans="1:7" x14ac:dyDescent="0.3">
      <c r="A16" t="s">
        <v>25</v>
      </c>
      <c r="B16" s="10">
        <v>0</v>
      </c>
      <c r="C16" s="10">
        <f>0.018</f>
        <v>1.7999999999999999E-2</v>
      </c>
      <c r="D16" s="10">
        <f>0.007</f>
        <v>7.0000000000000001E-3</v>
      </c>
      <c r="E16" s="10">
        <f>0.005</f>
        <v>5.0000000000000001E-3</v>
      </c>
      <c r="F16" s="10">
        <f>0.008</f>
        <v>8.0000000000000002E-3</v>
      </c>
      <c r="G16" s="10">
        <f>16</f>
        <v>16</v>
      </c>
    </row>
    <row r="17" spans="1:7" x14ac:dyDescent="0.3">
      <c r="A17" t="s">
        <v>27</v>
      </c>
      <c r="B17" s="10">
        <v>0</v>
      </c>
      <c r="C17" s="10">
        <f>0.007</f>
        <v>7.0000000000000001E-3</v>
      </c>
      <c r="D17" s="10">
        <f>0.014</f>
        <v>1.4E-2</v>
      </c>
      <c r="E17" s="10">
        <f>0.002</f>
        <v>2E-3</v>
      </c>
      <c r="F17" s="10">
        <f>0.036</f>
        <v>3.5999999999999997E-2</v>
      </c>
      <c r="G17" s="10">
        <f>17</f>
        <v>17</v>
      </c>
    </row>
    <row r="18" spans="1:7" x14ac:dyDescent="0.3">
      <c r="A18" t="s">
        <v>171</v>
      </c>
      <c r="B18" s="10">
        <v>0</v>
      </c>
      <c r="C18" s="10">
        <v>2.8000000000000001E-2</v>
      </c>
      <c r="D18" s="10">
        <v>2.5999999999999999E-2</v>
      </c>
      <c r="E18" s="10">
        <v>1E-3</v>
      </c>
      <c r="F18" s="10">
        <v>2.5000000000000001E-2</v>
      </c>
      <c r="G18" s="10">
        <v>27</v>
      </c>
    </row>
    <row r="19" spans="1:7" s="5" customFormat="1" x14ac:dyDescent="0.3">
      <c r="A19" s="5" t="s">
        <v>28</v>
      </c>
      <c r="B19" s="10">
        <v>144</v>
      </c>
      <c r="C19" s="11">
        <f>0.057</f>
        <v>5.7000000000000002E-2</v>
      </c>
      <c r="D19" s="11">
        <f>0.01</f>
        <v>0.01</v>
      </c>
      <c r="E19" s="11">
        <f>0.001</f>
        <v>1E-3</v>
      </c>
      <c r="F19" s="11">
        <f>0.01</f>
        <v>0.01</v>
      </c>
      <c r="G19" s="11">
        <f>28</f>
        <v>28</v>
      </c>
    </row>
    <row r="20" spans="1:7" s="5" customFormat="1" x14ac:dyDescent="0.3">
      <c r="A20" s="5" t="s">
        <v>130</v>
      </c>
      <c r="B20" s="10">
        <v>0</v>
      </c>
      <c r="C20" s="11">
        <f>0.085</f>
        <v>8.5000000000000006E-2</v>
      </c>
      <c r="D20" s="11">
        <f>0.013</f>
        <v>1.2999999999999999E-2</v>
      </c>
      <c r="E20" s="11">
        <f>0.001</f>
        <v>1E-3</v>
      </c>
      <c r="F20" s="11">
        <f>0.019</f>
        <v>1.9E-2</v>
      </c>
      <c r="G20" s="11">
        <v>42</v>
      </c>
    </row>
    <row r="21" spans="1:7" s="5" customFormat="1" x14ac:dyDescent="0.3">
      <c r="A21" s="5" t="s">
        <v>168</v>
      </c>
      <c r="B21" s="10">
        <v>0</v>
      </c>
      <c r="C21" s="11">
        <v>2.5000000000000001E-2</v>
      </c>
      <c r="D21" s="11">
        <v>1.0999999999999999E-2</v>
      </c>
      <c r="E21" s="11">
        <v>0</v>
      </c>
      <c r="F21" s="11">
        <v>4.4999999999999998E-2</v>
      </c>
      <c r="G21" s="11">
        <v>24</v>
      </c>
    </row>
    <row r="22" spans="1:7" s="5" customFormat="1" x14ac:dyDescent="0.3">
      <c r="A22" s="5" t="s">
        <v>128</v>
      </c>
      <c r="B22" s="10">
        <v>0</v>
      </c>
      <c r="C22" s="11">
        <v>2.4E-2</v>
      </c>
      <c r="D22" s="11">
        <f>0.021</f>
        <v>2.1000000000000001E-2</v>
      </c>
      <c r="E22" s="11">
        <f>0.001</f>
        <v>1E-3</v>
      </c>
      <c r="F22" s="11">
        <f>0.029</f>
        <v>2.9000000000000001E-2</v>
      </c>
      <c r="G22" s="11">
        <v>24</v>
      </c>
    </row>
    <row r="23" spans="1:7" s="5" customFormat="1" x14ac:dyDescent="0.3">
      <c r="A23" s="5" t="s">
        <v>29</v>
      </c>
      <c r="B23" s="10">
        <v>0</v>
      </c>
      <c r="C23" s="11">
        <f>0.015</f>
        <v>1.4999999999999999E-2</v>
      </c>
      <c r="D23" s="11">
        <f>0.012</f>
        <v>1.2E-2</v>
      </c>
      <c r="E23" s="11">
        <f>0</f>
        <v>0</v>
      </c>
      <c r="F23" s="11">
        <f>0.022</f>
        <v>2.1999999999999999E-2</v>
      </c>
      <c r="G23" s="11">
        <f>15</f>
        <v>15</v>
      </c>
    </row>
    <row r="24" spans="1:7" x14ac:dyDescent="0.3">
      <c r="A24" t="s">
        <v>30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</row>
    <row r="25" spans="1:7" x14ac:dyDescent="0.3">
      <c r="A25" t="s">
        <v>169</v>
      </c>
      <c r="B25" s="10">
        <v>0</v>
      </c>
      <c r="C25" s="10">
        <v>7.0000000000000001E-3</v>
      </c>
      <c r="D25" s="10">
        <v>0.03</v>
      </c>
      <c r="E25" s="10">
        <v>0.33</v>
      </c>
      <c r="F25" s="10">
        <v>2.3E-2</v>
      </c>
      <c r="G25" s="10">
        <v>316</v>
      </c>
    </row>
    <row r="26" spans="1:7" x14ac:dyDescent="0.3">
      <c r="A26" t="s">
        <v>208</v>
      </c>
      <c r="B26" s="10">
        <v>0</v>
      </c>
      <c r="C26" s="10">
        <v>1E-3</v>
      </c>
      <c r="D26" s="10">
        <v>2.4E-2</v>
      </c>
      <c r="E26" s="10">
        <v>0</v>
      </c>
      <c r="F26" s="10">
        <v>2.3E-2</v>
      </c>
      <c r="G26" s="10">
        <v>22</v>
      </c>
    </row>
    <row r="27" spans="1:7" s="5" customFormat="1" x14ac:dyDescent="0.3">
      <c r="A27" s="5" t="s">
        <v>31</v>
      </c>
      <c r="B27" s="10">
        <v>0</v>
      </c>
      <c r="C27" s="11">
        <v>5.6000000000000001E-2</v>
      </c>
      <c r="D27" s="11">
        <f>0.022</f>
        <v>2.1999999999999999E-2</v>
      </c>
      <c r="E27" s="11">
        <v>3.0000000000000001E-3</v>
      </c>
      <c r="F27" s="11">
        <v>2.4E-2</v>
      </c>
      <c r="G27" s="11">
        <v>3.6999999999999998E-2</v>
      </c>
    </row>
    <row r="28" spans="1:7" x14ac:dyDescent="0.3">
      <c r="A28" t="s">
        <v>32</v>
      </c>
      <c r="B28" s="10">
        <v>0</v>
      </c>
      <c r="C28" s="10">
        <v>0.01</v>
      </c>
      <c r="D28" s="10">
        <f>0.039</f>
        <v>3.9E-2</v>
      </c>
      <c r="E28" s="10">
        <f>0.007</f>
        <v>7.0000000000000001E-3</v>
      </c>
      <c r="F28" s="10">
        <f>0.025</f>
        <v>2.5000000000000001E-2</v>
      </c>
      <c r="G28" s="10">
        <f>31</f>
        <v>31</v>
      </c>
    </row>
    <row r="29" spans="1:7" x14ac:dyDescent="0.3">
      <c r="A29" t="s">
        <v>97</v>
      </c>
      <c r="B29" s="10">
        <v>0</v>
      </c>
      <c r="C29" s="10">
        <f>0.008</f>
        <v>8.0000000000000002E-3</v>
      </c>
      <c r="D29" s="10">
        <f>0.037</f>
        <v>3.6999999999999998E-2</v>
      </c>
      <c r="E29" s="10">
        <f>0.002</f>
        <v>2E-3</v>
      </c>
      <c r="F29" s="10">
        <f>0.023</f>
        <v>2.3E-2</v>
      </c>
      <c r="G29" s="10">
        <f>24</f>
        <v>24</v>
      </c>
    </row>
    <row r="30" spans="1:7" x14ac:dyDescent="0.3">
      <c r="A30" t="s">
        <v>205</v>
      </c>
      <c r="B30" s="10">
        <v>0</v>
      </c>
      <c r="C30" s="10">
        <f>0.003</f>
        <v>3.0000000000000001E-3</v>
      </c>
      <c r="D30" s="10">
        <f>0.008</f>
        <v>8.0000000000000002E-3</v>
      </c>
      <c r="E30" s="10">
        <f>0.32</f>
        <v>0.32</v>
      </c>
      <c r="F30" s="10">
        <f>0.012</f>
        <v>1.2E-2</v>
      </c>
      <c r="G30" s="10">
        <f>304</f>
        <v>304</v>
      </c>
    </row>
    <row r="31" spans="1:7" x14ac:dyDescent="0.3">
      <c r="A31" t="s">
        <v>105</v>
      </c>
      <c r="B31" s="10">
        <v>0</v>
      </c>
      <c r="C31" s="10">
        <f>0.12</f>
        <v>0.12</v>
      </c>
      <c r="D31" s="10">
        <f>0.023</f>
        <v>2.3E-2</v>
      </c>
      <c r="E31" s="10">
        <f>0.02</f>
        <v>0.02</v>
      </c>
      <c r="F31" s="10">
        <f>0.029</f>
        <v>2.9000000000000001E-2</v>
      </c>
      <c r="G31" s="10">
        <v>80</v>
      </c>
    </row>
    <row r="32" spans="1:7" s="5" customFormat="1" x14ac:dyDescent="0.3">
      <c r="A32" s="5" t="s">
        <v>98</v>
      </c>
      <c r="B32" s="10">
        <v>0</v>
      </c>
      <c r="C32" s="11">
        <f>0.026</f>
        <v>2.5999999999999999E-2</v>
      </c>
      <c r="D32" s="11">
        <f>0.01</f>
        <v>0.01</v>
      </c>
      <c r="E32" s="11">
        <f>0.04</f>
        <v>0.04</v>
      </c>
      <c r="F32" s="11">
        <f>0.026</f>
        <v>2.5999999999999999E-2</v>
      </c>
      <c r="G32" s="11">
        <v>23</v>
      </c>
    </row>
    <row r="33" spans="1:7" s="5" customFormat="1" x14ac:dyDescent="0.3">
      <c r="A33" s="5" t="s">
        <v>103</v>
      </c>
      <c r="B33" s="10">
        <v>0</v>
      </c>
      <c r="C33" s="11">
        <f>0.022</f>
        <v>2.1999999999999999E-2</v>
      </c>
      <c r="D33" s="11">
        <f>0.009</f>
        <v>8.9999999999999993E-3</v>
      </c>
      <c r="E33" s="11">
        <f>0.065</f>
        <v>6.5000000000000002E-2</v>
      </c>
      <c r="F33" s="11">
        <f>0</f>
        <v>0</v>
      </c>
      <c r="G33" s="11">
        <f>76</f>
        <v>76</v>
      </c>
    </row>
    <row r="34" spans="1:7" s="5" customFormat="1" x14ac:dyDescent="0.3">
      <c r="A34" s="5" t="s">
        <v>47</v>
      </c>
      <c r="B34" s="10">
        <v>0</v>
      </c>
      <c r="C34" s="11">
        <f>0.243</f>
        <v>0.24299999999999999</v>
      </c>
      <c r="D34" s="11">
        <f>0.052</f>
        <v>5.1999999999999998E-2</v>
      </c>
      <c r="E34" s="11">
        <f>0.015</f>
        <v>1.4999999999999999E-2</v>
      </c>
      <c r="F34" s="11">
        <f>0.087</f>
        <v>8.6999999999999994E-2</v>
      </c>
      <c r="G34" s="11">
        <f>143</f>
        <v>143</v>
      </c>
    </row>
    <row r="35" spans="1:7" s="5" customFormat="1" x14ac:dyDescent="0.3">
      <c r="A35" s="5" t="s">
        <v>48</v>
      </c>
      <c r="B35" s="10">
        <v>0</v>
      </c>
      <c r="C35" s="11">
        <f>0.042</f>
        <v>4.2000000000000003E-2</v>
      </c>
      <c r="D35" s="11">
        <f>0.009</f>
        <v>8.9999999999999993E-3</v>
      </c>
      <c r="E35" s="11">
        <f>0.003</f>
        <v>3.0000000000000001E-3</v>
      </c>
      <c r="F35" s="11">
        <f>0.019</f>
        <v>1.9E-2</v>
      </c>
      <c r="G35" s="11">
        <f>26</f>
        <v>26</v>
      </c>
    </row>
    <row r="36" spans="1:7" x14ac:dyDescent="0.3">
      <c r="A36" s="5" t="s">
        <v>99</v>
      </c>
      <c r="B36" s="10">
        <v>0</v>
      </c>
      <c r="C36" s="10">
        <f>0.068</f>
        <v>6.8000000000000005E-2</v>
      </c>
      <c r="D36" s="10">
        <f>0.009</f>
        <v>8.9999999999999993E-3</v>
      </c>
      <c r="E36" s="10">
        <f>0.002</f>
        <v>2E-3</v>
      </c>
      <c r="F36" s="10">
        <f>0.019</f>
        <v>1.9E-2</v>
      </c>
      <c r="G36" s="10">
        <f>35</f>
        <v>35</v>
      </c>
    </row>
    <row r="37" spans="1:7" x14ac:dyDescent="0.3">
      <c r="A37" s="5" t="s">
        <v>33</v>
      </c>
      <c r="B37" s="10">
        <v>0</v>
      </c>
      <c r="C37" s="10">
        <f>0.065</f>
        <v>6.5000000000000002E-2</v>
      </c>
      <c r="D37" s="10">
        <f>0.009</f>
        <v>8.9999999999999993E-3</v>
      </c>
      <c r="E37" s="10">
        <f>0.003</f>
        <v>3.0000000000000001E-3</v>
      </c>
      <c r="F37" s="10">
        <f>0.019</f>
        <v>1.9E-2</v>
      </c>
      <c r="G37" s="10">
        <f>34</f>
        <v>34</v>
      </c>
    </row>
    <row r="38" spans="1:7" x14ac:dyDescent="0.3">
      <c r="A38" s="5" t="s">
        <v>100</v>
      </c>
      <c r="B38" s="10">
        <v>0</v>
      </c>
      <c r="C38" s="10">
        <f>0.06</f>
        <v>0.06</v>
      </c>
      <c r="D38" s="10">
        <f>0.007</f>
        <v>7.0000000000000001E-3</v>
      </c>
      <c r="E38" s="10">
        <f>0.002</f>
        <v>2E-3</v>
      </c>
      <c r="F38" s="10">
        <f>0.019</f>
        <v>1.9E-2</v>
      </c>
      <c r="G38" s="10">
        <v>31</v>
      </c>
    </row>
    <row r="39" spans="1:7" s="5" customFormat="1" x14ac:dyDescent="0.3">
      <c r="A39" s="5" t="s">
        <v>35</v>
      </c>
      <c r="B39" s="10">
        <v>0</v>
      </c>
      <c r="C39" s="11">
        <f>0.072</f>
        <v>7.1999999999999995E-2</v>
      </c>
      <c r="D39" s="11">
        <f>0.011</f>
        <v>1.0999999999999999E-2</v>
      </c>
      <c r="E39" s="11">
        <f>0.004</f>
        <v>4.0000000000000001E-3</v>
      </c>
      <c r="F39" s="11">
        <f>0.01</f>
        <v>0.01</v>
      </c>
      <c r="G39" s="11">
        <f>37</f>
        <v>37</v>
      </c>
    </row>
    <row r="40" spans="1:7" s="5" customFormat="1" x14ac:dyDescent="0.3">
      <c r="A40" s="5" t="s">
        <v>186</v>
      </c>
      <c r="B40" s="10">
        <v>0</v>
      </c>
      <c r="C40" s="11">
        <v>4.0399999999999998E-2</v>
      </c>
      <c r="D40" s="11">
        <v>9.1000000000000004E-3</v>
      </c>
      <c r="E40" s="11">
        <v>2E-3</v>
      </c>
      <c r="F40" s="11">
        <v>1.2E-2</v>
      </c>
      <c r="G40" s="11">
        <v>18</v>
      </c>
    </row>
    <row r="41" spans="1:7" s="5" customFormat="1" x14ac:dyDescent="0.3">
      <c r="A41" s="5" t="s">
        <v>34</v>
      </c>
      <c r="B41" s="10">
        <v>0</v>
      </c>
      <c r="C41" s="11">
        <f>0.028</f>
        <v>2.8000000000000001E-2</v>
      </c>
      <c r="D41" s="11">
        <f>0.012</f>
        <v>1.2E-2</v>
      </c>
      <c r="E41" s="11">
        <f>0.002</f>
        <v>2E-3</v>
      </c>
      <c r="F41" s="11">
        <f>0.01</f>
        <v>0.01</v>
      </c>
      <c r="G41" s="11">
        <f>19</f>
        <v>19</v>
      </c>
    </row>
    <row r="42" spans="1:7" s="5" customFormat="1" x14ac:dyDescent="0.3">
      <c r="A42" s="5" t="s">
        <v>36</v>
      </c>
      <c r="B42" s="10">
        <v>0</v>
      </c>
      <c r="C42" s="10">
        <f>0.036</f>
        <v>3.5999999999999997E-2</v>
      </c>
      <c r="D42" s="10">
        <f>0.007</f>
        <v>7.0000000000000001E-3</v>
      </c>
      <c r="E42" s="10">
        <f>0.002</f>
        <v>2E-3</v>
      </c>
      <c r="F42" s="10">
        <f>0.01</f>
        <v>0.01</v>
      </c>
      <c r="G42" s="10">
        <f>21</f>
        <v>21</v>
      </c>
    </row>
    <row r="43" spans="1:7" s="5" customFormat="1" x14ac:dyDescent="0.3">
      <c r="A43" s="5" t="s">
        <v>50</v>
      </c>
      <c r="B43" s="10">
        <v>0</v>
      </c>
      <c r="C43" s="10">
        <f>0.035</f>
        <v>3.5000000000000003E-2</v>
      </c>
      <c r="D43" s="10">
        <f>0.01</f>
        <v>0.01</v>
      </c>
      <c r="E43" s="10">
        <f>0.002</f>
        <v>2E-3</v>
      </c>
      <c r="F43" s="10">
        <f>0.02</f>
        <v>0.02</v>
      </c>
      <c r="G43" s="10">
        <f>23</f>
        <v>23</v>
      </c>
    </row>
    <row r="44" spans="1:7" s="5" customFormat="1" x14ac:dyDescent="0.3">
      <c r="A44" s="5" t="s">
        <v>102</v>
      </c>
      <c r="B44" s="10">
        <v>0</v>
      </c>
      <c r="C44" s="10">
        <f>0.007</f>
        <v>7.0000000000000001E-3</v>
      </c>
      <c r="D44" s="10">
        <f>0.003</f>
        <v>3.0000000000000001E-3</v>
      </c>
      <c r="E44" s="10">
        <f>0.0119</f>
        <v>1.1900000000000001E-2</v>
      </c>
      <c r="F44" s="10">
        <v>0</v>
      </c>
      <c r="G44" s="10">
        <v>163</v>
      </c>
    </row>
    <row r="45" spans="1:7" x14ac:dyDescent="0.3">
      <c r="A45" t="s">
        <v>101</v>
      </c>
      <c r="B45" s="10">
        <v>0</v>
      </c>
      <c r="C45" s="10">
        <f>0.052</f>
        <v>5.1999999999999998E-2</v>
      </c>
      <c r="D45" s="10">
        <f>0.021</f>
        <v>2.1000000000000001E-2</v>
      </c>
      <c r="E45" s="10">
        <f>0.001</f>
        <v>1E-3</v>
      </c>
      <c r="F45" s="10">
        <f>0.029</f>
        <v>2.9000000000000001E-2</v>
      </c>
      <c r="G45" s="10">
        <v>35</v>
      </c>
    </row>
    <row r="46" spans="1:7" x14ac:dyDescent="0.3">
      <c r="A46" t="s">
        <v>39</v>
      </c>
      <c r="B46" s="10">
        <v>0</v>
      </c>
      <c r="C46" s="10">
        <f>0.016</f>
        <v>1.6E-2</v>
      </c>
      <c r="D46" s="10">
        <f>0.014</f>
        <v>1.4E-2</v>
      </c>
      <c r="E46" s="10">
        <f>0.001</f>
        <v>1E-3</v>
      </c>
      <c r="F46" s="10">
        <f>0.03</f>
        <v>0.03</v>
      </c>
      <c r="G46" s="10">
        <f>19</f>
        <v>19</v>
      </c>
    </row>
    <row r="47" spans="1:7" x14ac:dyDescent="0.3">
      <c r="A47" t="s">
        <v>38</v>
      </c>
      <c r="B47" s="10">
        <v>0</v>
      </c>
      <c r="C47" s="10">
        <v>0.01</v>
      </c>
      <c r="D47" s="10">
        <f>0.016</f>
        <v>1.6E-2</v>
      </c>
      <c r="E47" s="10">
        <f>0.001</f>
        <v>1E-3</v>
      </c>
      <c r="F47" s="10">
        <f>0.025</f>
        <v>2.5000000000000001E-2</v>
      </c>
      <c r="G47" s="10">
        <f>16</f>
        <v>16</v>
      </c>
    </row>
    <row r="48" spans="1:7" x14ac:dyDescent="0.3">
      <c r="A48" t="s">
        <v>37</v>
      </c>
      <c r="B48" s="10">
        <v>0</v>
      </c>
      <c r="C48" s="10">
        <v>1.4E-2</v>
      </c>
      <c r="D48" s="10">
        <v>1.4999999999999999E-2</v>
      </c>
      <c r="E48" s="10">
        <f>0.001</f>
        <v>1E-3</v>
      </c>
      <c r="F48" s="10">
        <v>2.1000000000000001E-2</v>
      </c>
      <c r="G48" s="10">
        <v>16</v>
      </c>
    </row>
    <row r="49" spans="1:7" x14ac:dyDescent="0.3">
      <c r="A49" t="s">
        <v>172</v>
      </c>
      <c r="B49" s="10">
        <v>0</v>
      </c>
      <c r="C49" s="10">
        <v>0.04</v>
      </c>
      <c r="D49" s="10">
        <v>0.01</v>
      </c>
      <c r="E49" s="10">
        <v>0</v>
      </c>
      <c r="F49" s="10">
        <v>2.5999999999999999E-2</v>
      </c>
      <c r="G49" s="10">
        <v>24</v>
      </c>
    </row>
    <row r="50" spans="1:7" x14ac:dyDescent="0.3">
      <c r="A50" t="s">
        <v>107</v>
      </c>
      <c r="B50" s="10">
        <v>0</v>
      </c>
      <c r="C50" s="10">
        <f>0.018</f>
        <v>1.7999999999999999E-2</v>
      </c>
      <c r="D50" s="10">
        <f>0.008</f>
        <v>8.0000000000000002E-3</v>
      </c>
      <c r="E50" s="10">
        <f>0.001</f>
        <v>1E-3</v>
      </c>
      <c r="F50" s="10">
        <f>0.013</f>
        <v>1.2999999999999999E-2</v>
      </c>
      <c r="G50" s="10">
        <f>13</f>
        <v>13</v>
      </c>
    </row>
    <row r="51" spans="1:7" s="5" customFormat="1" x14ac:dyDescent="0.3">
      <c r="A51" s="5" t="s">
        <v>125</v>
      </c>
      <c r="B51" s="10">
        <v>0</v>
      </c>
      <c r="C51" s="10">
        <v>2.3E-2</v>
      </c>
      <c r="D51" s="10">
        <f>0.011</f>
        <v>1.0999999999999999E-2</v>
      </c>
      <c r="E51" s="10">
        <f>0.003</f>
        <v>3.0000000000000001E-3</v>
      </c>
      <c r="F51" s="10">
        <v>1.7999999999999999E-2</v>
      </c>
      <c r="G51" s="10">
        <v>19</v>
      </c>
    </row>
    <row r="52" spans="1:7" x14ac:dyDescent="0.3">
      <c r="A52" s="5" t="s">
        <v>40</v>
      </c>
      <c r="B52" s="10">
        <v>450</v>
      </c>
      <c r="C52" s="11">
        <f>0.024</f>
        <v>2.4E-2</v>
      </c>
      <c r="D52" s="11">
        <f>0.023</f>
        <v>2.3E-2</v>
      </c>
      <c r="E52" s="11">
        <f>0.002</f>
        <v>2E-3</v>
      </c>
      <c r="F52" s="11">
        <f>0.016</f>
        <v>1.6E-2</v>
      </c>
      <c r="G52" s="11">
        <f>23</f>
        <v>23</v>
      </c>
    </row>
    <row r="53" spans="1:7" x14ac:dyDescent="0.3">
      <c r="A53" t="s">
        <v>41</v>
      </c>
      <c r="B53" s="10">
        <v>0</v>
      </c>
      <c r="C53" s="10">
        <v>2.9000000000000001E-2</v>
      </c>
      <c r="D53" s="10">
        <v>3.4000000000000002E-2</v>
      </c>
      <c r="E53" s="10">
        <v>7.0000000000000001E-3</v>
      </c>
      <c r="F53" s="10">
        <v>1.9E-2</v>
      </c>
      <c r="G53" s="10">
        <v>35</v>
      </c>
    </row>
    <row r="54" spans="1:7" x14ac:dyDescent="0.3">
      <c r="A54" s="5" t="s">
        <v>149</v>
      </c>
      <c r="B54" s="10">
        <v>0</v>
      </c>
      <c r="C54" s="10">
        <f>0.029</f>
        <v>2.9000000000000001E-2</v>
      </c>
      <c r="D54" s="10">
        <v>3.4000000000000002E-2</v>
      </c>
      <c r="E54" s="10">
        <v>7.0000000000000001E-3</v>
      </c>
      <c r="F54" s="10">
        <v>1.9E-2</v>
      </c>
      <c r="G54" s="10">
        <v>35</v>
      </c>
    </row>
    <row r="55" spans="1:7" s="5" customFormat="1" x14ac:dyDescent="0.3">
      <c r="A55" t="s">
        <v>84</v>
      </c>
      <c r="B55" s="10">
        <v>0</v>
      </c>
      <c r="C55" s="10">
        <f>0.019</f>
        <v>1.9E-2</v>
      </c>
      <c r="D55" s="10">
        <f>0.037</f>
        <v>3.6999999999999998E-2</v>
      </c>
      <c r="E55" s="10">
        <f>0.009</f>
        <v>8.9999999999999993E-3</v>
      </c>
      <c r="F55" s="10">
        <f>0.021</f>
        <v>2.1000000000000001E-2</v>
      </c>
      <c r="G55" s="10">
        <f>35</f>
        <v>35</v>
      </c>
    </row>
    <row r="56" spans="1:7" s="5" customFormat="1" x14ac:dyDescent="0.3">
      <c r="A56" t="s">
        <v>42</v>
      </c>
      <c r="B56" s="10">
        <v>0</v>
      </c>
      <c r="C56" s="10">
        <v>3.5000000000000003E-2</v>
      </c>
      <c r="D56" s="10">
        <v>1.0999999999999999E-2</v>
      </c>
      <c r="E56" s="10">
        <v>1E-3</v>
      </c>
      <c r="F56" s="10">
        <v>5.5E-2</v>
      </c>
      <c r="G56" s="10">
        <v>29</v>
      </c>
    </row>
    <row r="57" spans="1:7" x14ac:dyDescent="0.3">
      <c r="A57" s="5" t="s">
        <v>43</v>
      </c>
      <c r="B57" s="10">
        <v>0</v>
      </c>
      <c r="C57" s="11">
        <f>0.017</f>
        <v>1.7000000000000001E-2</v>
      </c>
      <c r="D57" s="11">
        <f>0.019</f>
        <v>1.9E-2</v>
      </c>
      <c r="E57" s="11">
        <f>0.001</f>
        <v>1E-3</v>
      </c>
      <c r="F57" s="11">
        <f>0.012</f>
        <v>1.2E-2</v>
      </c>
      <c r="G57" s="11">
        <f>17</f>
        <v>17</v>
      </c>
    </row>
    <row r="58" spans="1:7" x14ac:dyDescent="0.3">
      <c r="A58" s="5" t="s">
        <v>44</v>
      </c>
      <c r="B58" s="10">
        <v>444</v>
      </c>
      <c r="C58" s="11">
        <f>0.021</f>
        <v>2.1000000000000001E-2</v>
      </c>
      <c r="D58" s="11">
        <f>0.014</f>
        <v>1.4E-2</v>
      </c>
      <c r="E58" s="11">
        <f>0.001</f>
        <v>1E-3</v>
      </c>
      <c r="F58" s="11">
        <f>0.012</f>
        <v>1.2E-2</v>
      </c>
      <c r="G58" s="11">
        <f>17</f>
        <v>17</v>
      </c>
    </row>
  </sheetData>
  <sortState xmlns:xlrd2="http://schemas.microsoft.com/office/spreadsheetml/2017/richdata2" ref="A3:G58">
    <sortCondition ref="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E534-4EBF-4F25-BC8D-260EB3A023CD}">
  <dimension ref="A1:G22"/>
  <sheetViews>
    <sheetView workbookViewId="0">
      <pane ySplit="1" topLeftCell="A2" activePane="bottomLeft" state="frozen"/>
      <selection sqref="A1:A1048576"/>
      <selection pane="bottomLeft" activeCell="B18" sqref="B18"/>
    </sheetView>
  </sheetViews>
  <sheetFormatPr defaultRowHeight="14.4" x14ac:dyDescent="0.3"/>
  <cols>
    <col min="1" max="1" width="26.8867187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1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x14ac:dyDescent="0.3">
      <c r="A3" t="s">
        <v>165</v>
      </c>
      <c r="B3" s="10">
        <v>0</v>
      </c>
      <c r="C3" s="10">
        <v>0</v>
      </c>
      <c r="D3" s="10">
        <v>0.20499999999999999</v>
      </c>
      <c r="E3" s="10">
        <v>0.05</v>
      </c>
      <c r="F3" s="10">
        <v>0</v>
      </c>
      <c r="G3" s="10">
        <v>127</v>
      </c>
    </row>
    <row r="4" spans="1:7" x14ac:dyDescent="0.3">
      <c r="A4" t="s">
        <v>85</v>
      </c>
      <c r="B4" s="10">
        <v>0</v>
      </c>
      <c r="C4" s="10">
        <v>0</v>
      </c>
      <c r="D4" s="10">
        <f>0.213</f>
        <v>0.21299999999999999</v>
      </c>
      <c r="E4" s="10">
        <f>0.08</f>
        <v>0.08</v>
      </c>
      <c r="F4" s="10">
        <f>0</f>
        <v>0</v>
      </c>
      <c r="G4" s="10">
        <f>157</f>
        <v>157</v>
      </c>
    </row>
    <row r="5" spans="1:7" x14ac:dyDescent="0.3">
      <c r="A5" t="s">
        <v>52</v>
      </c>
      <c r="B5" s="10">
        <v>0</v>
      </c>
      <c r="C5" s="10">
        <f>0.004</f>
        <v>4.0000000000000001E-3</v>
      </c>
      <c r="D5" s="10">
        <f>0.33</f>
        <v>0.33</v>
      </c>
      <c r="E5" s="10">
        <f>0.02</f>
        <v>0.02</v>
      </c>
      <c r="F5" s="10">
        <f>0</f>
        <v>0</v>
      </c>
      <c r="G5" s="10">
        <v>152</v>
      </c>
    </row>
    <row r="6" spans="1:7" x14ac:dyDescent="0.3">
      <c r="A6" t="s">
        <v>182</v>
      </c>
      <c r="B6" s="10">
        <v>0</v>
      </c>
      <c r="C6" s="10">
        <v>6.0000000000000001E-3</v>
      </c>
      <c r="D6" s="10">
        <v>0.11</v>
      </c>
      <c r="E6" s="10">
        <v>1.4999999999999999E-2</v>
      </c>
      <c r="F6" s="10">
        <v>0</v>
      </c>
      <c r="G6" s="10">
        <v>61</v>
      </c>
    </row>
    <row r="7" spans="1:7" x14ac:dyDescent="0.3">
      <c r="A7" t="s">
        <v>63</v>
      </c>
      <c r="B7" s="10">
        <v>0</v>
      </c>
      <c r="C7" s="10">
        <f>0.006</f>
        <v>6.0000000000000001E-3</v>
      </c>
      <c r="D7" s="10">
        <f>0.11</f>
        <v>0.11</v>
      </c>
      <c r="E7" s="10">
        <f>0.015</f>
        <v>1.4999999999999999E-2</v>
      </c>
      <c r="F7" s="10">
        <f>0</f>
        <v>0</v>
      </c>
      <c r="G7" s="10">
        <f>60</f>
        <v>60</v>
      </c>
    </row>
    <row r="8" spans="1:7" x14ac:dyDescent="0.3">
      <c r="A8" t="s">
        <v>71</v>
      </c>
      <c r="B8" s="10">
        <v>0</v>
      </c>
      <c r="C8" s="10">
        <f>0.005</f>
        <v>5.0000000000000001E-3</v>
      </c>
      <c r="D8" s="10">
        <f>0.168</f>
        <v>0.16800000000000001</v>
      </c>
      <c r="E8" s="10">
        <f>0.06</f>
        <v>0.06</v>
      </c>
      <c r="F8" s="10">
        <v>0</v>
      </c>
      <c r="G8" s="10">
        <v>123</v>
      </c>
    </row>
    <row r="9" spans="1:7" x14ac:dyDescent="0.3">
      <c r="A9" t="s">
        <v>117</v>
      </c>
      <c r="B9" s="10">
        <v>0</v>
      </c>
      <c r="C9" s="10">
        <f>0.059</f>
        <v>5.8999999999999997E-2</v>
      </c>
      <c r="D9" s="10">
        <f>0.2</f>
        <v>0.2</v>
      </c>
      <c r="E9" s="10">
        <f>0.044</f>
        <v>4.3999999999999997E-2</v>
      </c>
      <c r="F9" s="10">
        <f>0</f>
        <v>0</v>
      </c>
      <c r="G9" s="10">
        <f>142</f>
        <v>142</v>
      </c>
    </row>
    <row r="10" spans="1:7" x14ac:dyDescent="0.3">
      <c r="A10" t="s">
        <v>88</v>
      </c>
      <c r="B10" s="10">
        <v>0</v>
      </c>
      <c r="C10" s="10">
        <v>0</v>
      </c>
      <c r="D10" s="10">
        <f>0.246</f>
        <v>0.246</v>
      </c>
      <c r="E10" s="10">
        <f>0.0065</f>
        <v>6.4999999999999997E-3</v>
      </c>
      <c r="F10" s="10">
        <v>0</v>
      </c>
      <c r="G10" s="10">
        <f>111</f>
        <v>111</v>
      </c>
    </row>
    <row r="11" spans="1:7" x14ac:dyDescent="0.3">
      <c r="A11" t="s">
        <v>79</v>
      </c>
      <c r="B11" s="10">
        <v>0</v>
      </c>
      <c r="C11" s="10">
        <f>0</f>
        <v>0</v>
      </c>
      <c r="D11" s="10">
        <f>0.24</f>
        <v>0.24</v>
      </c>
      <c r="E11" s="10">
        <f>0.15</f>
        <v>0.15</v>
      </c>
      <c r="F11" s="10">
        <v>0</v>
      </c>
      <c r="G11" s="10">
        <f>241</f>
        <v>241</v>
      </c>
    </row>
    <row r="12" spans="1:7" x14ac:dyDescent="0.3">
      <c r="A12" t="s">
        <v>70</v>
      </c>
      <c r="B12" s="10">
        <v>0</v>
      </c>
      <c r="C12" s="10">
        <v>0</v>
      </c>
      <c r="D12" s="10">
        <f>0.157</f>
        <v>0.157</v>
      </c>
      <c r="E12" s="10">
        <f>0.25</f>
        <v>0.25</v>
      </c>
      <c r="F12" s="10">
        <f>0</f>
        <v>0</v>
      </c>
      <c r="G12" s="10">
        <f>288</f>
        <v>288</v>
      </c>
    </row>
    <row r="13" spans="1:7" x14ac:dyDescent="0.3">
      <c r="A13" t="s">
        <v>126</v>
      </c>
      <c r="B13" s="10">
        <v>0</v>
      </c>
      <c r="C13" s="10">
        <v>0</v>
      </c>
      <c r="D13" s="10">
        <f>0.209</f>
        <v>0.20899999999999999</v>
      </c>
      <c r="E13" s="10">
        <f>0.281</f>
        <v>0.28100000000000003</v>
      </c>
      <c r="F13" s="10">
        <v>0</v>
      </c>
      <c r="G13" s="10">
        <f>337</f>
        <v>337</v>
      </c>
    </row>
    <row r="14" spans="1:7" x14ac:dyDescent="0.3">
      <c r="A14" t="s">
        <v>92</v>
      </c>
      <c r="B14" s="10">
        <v>0</v>
      </c>
      <c r="C14" s="10">
        <f>0</f>
        <v>0</v>
      </c>
      <c r="D14" s="10">
        <f>0.233</f>
        <v>0.23300000000000001</v>
      </c>
      <c r="E14" s="10">
        <f>0.008</f>
        <v>8.0000000000000002E-3</v>
      </c>
      <c r="F14" s="10">
        <v>0</v>
      </c>
      <c r="G14" s="10">
        <v>100</v>
      </c>
    </row>
    <row r="15" spans="1:7" x14ac:dyDescent="0.3">
      <c r="A15" t="s">
        <v>119</v>
      </c>
      <c r="B15" s="10">
        <v>0</v>
      </c>
      <c r="C15" s="10">
        <v>1.7000000000000001E-2</v>
      </c>
      <c r="D15" s="10">
        <v>0.157</v>
      </c>
      <c r="E15" s="10">
        <v>7.5999999999999998E-2</v>
      </c>
      <c r="F15" s="10">
        <v>0</v>
      </c>
      <c r="G15" s="10">
        <v>138</v>
      </c>
    </row>
    <row r="16" spans="1:7" x14ac:dyDescent="0.3">
      <c r="A16" t="s">
        <v>59</v>
      </c>
      <c r="B16" s="10">
        <v>0</v>
      </c>
      <c r="C16" s="10">
        <f>0.001</f>
        <v>1E-3</v>
      </c>
      <c r="D16" s="10">
        <f>0.0278</f>
        <v>2.7799999999999998E-2</v>
      </c>
      <c r="E16" s="10">
        <f>0.137</f>
        <v>0.13700000000000001</v>
      </c>
      <c r="F16" s="10">
        <f>0</f>
        <v>0</v>
      </c>
      <c r="G16" s="10">
        <f>235</f>
        <v>235</v>
      </c>
    </row>
    <row r="17" spans="1:7" x14ac:dyDescent="0.3">
      <c r="A17" t="s">
        <v>127</v>
      </c>
      <c r="B17" s="10">
        <v>0</v>
      </c>
      <c r="C17" s="10">
        <v>0</v>
      </c>
      <c r="D17" s="10">
        <f>0.22</f>
        <v>0.22</v>
      </c>
      <c r="E17" s="10">
        <f>0.473</f>
        <v>0.47299999999999998</v>
      </c>
      <c r="F17" s="10">
        <v>0</v>
      </c>
      <c r="G17" s="10">
        <v>514</v>
      </c>
    </row>
    <row r="18" spans="1:7" x14ac:dyDescent="0.3">
      <c r="A18" t="s">
        <v>118</v>
      </c>
      <c r="B18" s="10">
        <v>180</v>
      </c>
      <c r="C18" s="10">
        <f>0.012</f>
        <v>1.2E-2</v>
      </c>
      <c r="D18" s="10">
        <f>0.307</f>
        <v>0.307</v>
      </c>
      <c r="E18" s="10">
        <f>0.191</f>
        <v>0.191</v>
      </c>
      <c r="F18" s="10">
        <f>0</f>
        <v>0</v>
      </c>
      <c r="G18" s="10">
        <v>299</v>
      </c>
    </row>
    <row r="19" spans="1:7" x14ac:dyDescent="0.3">
      <c r="A19" t="s">
        <v>187</v>
      </c>
      <c r="B19" s="10">
        <v>0</v>
      </c>
      <c r="C19" s="10">
        <f>0</f>
        <v>0</v>
      </c>
      <c r="D19" s="10">
        <v>0.26</v>
      </c>
      <c r="E19" s="10">
        <f>0.08</f>
        <v>0.08</v>
      </c>
      <c r="F19" s="10">
        <v>0</v>
      </c>
      <c r="G19" s="10">
        <v>176</v>
      </c>
    </row>
    <row r="20" spans="1:7" x14ac:dyDescent="0.3">
      <c r="A20" t="s">
        <v>76</v>
      </c>
      <c r="B20" s="10">
        <v>0</v>
      </c>
      <c r="C20" s="10">
        <v>0</v>
      </c>
      <c r="D20" s="10">
        <f>0.24</f>
        <v>0.24</v>
      </c>
      <c r="E20" s="10">
        <f>0.012</f>
        <v>1.2E-2</v>
      </c>
      <c r="F20" s="10">
        <f>0</f>
        <v>0</v>
      </c>
      <c r="G20" s="10">
        <f>107</f>
        <v>107</v>
      </c>
    </row>
    <row r="21" spans="1:7" x14ac:dyDescent="0.3">
      <c r="A21" t="s">
        <v>135</v>
      </c>
      <c r="B21" s="10">
        <v>0</v>
      </c>
      <c r="C21" s="10">
        <v>0</v>
      </c>
      <c r="D21" s="10">
        <v>0.21299999999999999</v>
      </c>
      <c r="E21" s="10">
        <v>0.23599999999999999</v>
      </c>
      <c r="F21" s="10">
        <v>0</v>
      </c>
      <c r="G21" s="10">
        <v>297</v>
      </c>
    </row>
    <row r="22" spans="1:7" x14ac:dyDescent="0.3">
      <c r="A22" s="16" t="s">
        <v>207</v>
      </c>
      <c r="B22" s="10">
        <v>0</v>
      </c>
      <c r="C22" s="10">
        <v>0</v>
      </c>
      <c r="D22" s="10">
        <f>0.207</f>
        <v>0.20699999999999999</v>
      </c>
      <c r="E22" s="10">
        <f>0.027</f>
        <v>2.7E-2</v>
      </c>
      <c r="F22" s="10">
        <v>0</v>
      </c>
      <c r="G22" s="10">
        <v>107</v>
      </c>
    </row>
  </sheetData>
  <sortState xmlns:xlrd2="http://schemas.microsoft.com/office/spreadsheetml/2017/richdata2" ref="A3:G21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0692-47D5-43AB-9F99-CDC62D1C0E14}">
  <dimension ref="A1:G27"/>
  <sheetViews>
    <sheetView workbookViewId="0">
      <pane ySplit="1" topLeftCell="A2" activePane="bottomLeft" state="frozen"/>
      <selection sqref="A1:A1048576"/>
      <selection pane="bottomLeft" activeCell="B2" sqref="B2"/>
    </sheetView>
  </sheetViews>
  <sheetFormatPr defaultRowHeight="14.4" x14ac:dyDescent="0.3"/>
  <cols>
    <col min="1" max="1" width="26.4414062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x14ac:dyDescent="0.3">
      <c r="A3" t="s">
        <v>139</v>
      </c>
      <c r="B3" s="10">
        <v>0</v>
      </c>
      <c r="C3" s="10">
        <v>2E-3</v>
      </c>
      <c r="D3" s="10">
        <v>0.193</v>
      </c>
      <c r="E3" s="10">
        <v>0.26900000000000002</v>
      </c>
      <c r="F3" s="10">
        <v>0</v>
      </c>
      <c r="G3" s="10">
        <v>320</v>
      </c>
    </row>
    <row r="4" spans="1:7" x14ac:dyDescent="0.3">
      <c r="A4" t="s">
        <v>134</v>
      </c>
      <c r="B4" s="10">
        <v>0</v>
      </c>
      <c r="C4" s="10">
        <v>0</v>
      </c>
      <c r="D4" s="10">
        <v>0.19</v>
      </c>
      <c r="E4" s="10">
        <v>0.21</v>
      </c>
      <c r="F4" s="10">
        <v>0</v>
      </c>
      <c r="G4" s="10">
        <v>265</v>
      </c>
    </row>
    <row r="5" spans="1:7" x14ac:dyDescent="0.3">
      <c r="A5" t="s">
        <v>61</v>
      </c>
      <c r="B5" s="10">
        <v>0</v>
      </c>
      <c r="C5" s="10">
        <f>0.034</f>
        <v>3.4000000000000002E-2</v>
      </c>
      <c r="D5" s="10">
        <f>0.17</f>
        <v>0.17</v>
      </c>
      <c r="E5" s="10">
        <f>0.9</f>
        <v>0.9</v>
      </c>
      <c r="F5" s="10">
        <f>0</f>
        <v>0</v>
      </c>
      <c r="G5" s="10">
        <v>68</v>
      </c>
    </row>
    <row r="6" spans="1:7" x14ac:dyDescent="0.3">
      <c r="A6" t="s">
        <v>64</v>
      </c>
      <c r="B6" s="10">
        <v>0</v>
      </c>
      <c r="C6" s="10">
        <f>0.005</f>
        <v>5.0000000000000001E-3</v>
      </c>
      <c r="D6" s="10">
        <f>0.25</f>
        <v>0.25</v>
      </c>
      <c r="E6" s="10">
        <f>0.28</f>
        <v>0.28000000000000003</v>
      </c>
      <c r="F6" s="10">
        <v>0</v>
      </c>
      <c r="G6" s="10">
        <v>356</v>
      </c>
    </row>
    <row r="7" spans="1:7" x14ac:dyDescent="0.3">
      <c r="A7" t="s">
        <v>132</v>
      </c>
      <c r="B7" s="10">
        <v>0</v>
      </c>
      <c r="C7" s="10">
        <v>0</v>
      </c>
      <c r="D7" s="10">
        <v>0.22700000000000001</v>
      </c>
      <c r="E7" s="10">
        <v>0.29199999999999998</v>
      </c>
      <c r="F7" s="10">
        <v>0</v>
      </c>
      <c r="G7" s="10">
        <v>354</v>
      </c>
    </row>
    <row r="8" spans="1:7" x14ac:dyDescent="0.3">
      <c r="A8" t="s">
        <v>115</v>
      </c>
      <c r="B8" s="10">
        <v>0</v>
      </c>
      <c r="C8" s="10">
        <v>2.5000000000000001E-2</v>
      </c>
      <c r="D8" s="10">
        <v>0.11</v>
      </c>
      <c r="E8" s="10">
        <v>0.21</v>
      </c>
      <c r="F8" s="10">
        <v>0</v>
      </c>
      <c r="G8" s="10">
        <v>243</v>
      </c>
    </row>
    <row r="9" spans="1:7" x14ac:dyDescent="0.3">
      <c r="A9" t="s">
        <v>72</v>
      </c>
      <c r="B9" s="10">
        <v>0</v>
      </c>
      <c r="C9" s="10">
        <f>0.019</f>
        <v>1.9E-2</v>
      </c>
      <c r="D9" s="10">
        <f>0.26</f>
        <v>0.26</v>
      </c>
      <c r="E9" s="10">
        <f>0.28</f>
        <v>0.28000000000000003</v>
      </c>
      <c r="F9" s="10">
        <v>0</v>
      </c>
      <c r="G9" s="10">
        <v>367</v>
      </c>
    </row>
    <row r="10" spans="1:7" x14ac:dyDescent="0.3">
      <c r="A10" t="s">
        <v>75</v>
      </c>
      <c r="B10" s="10">
        <v>0</v>
      </c>
      <c r="C10" s="10">
        <f>0</f>
        <v>0</v>
      </c>
      <c r="D10" s="10">
        <f>0.339</f>
        <v>0.33900000000000002</v>
      </c>
      <c r="E10" s="10">
        <f>0.285</f>
        <v>0.28499999999999998</v>
      </c>
      <c r="F10" s="10">
        <f>0</f>
        <v>0</v>
      </c>
      <c r="G10" s="10">
        <f>392</f>
        <v>392</v>
      </c>
    </row>
    <row r="11" spans="1:7" x14ac:dyDescent="0.3">
      <c r="A11" t="s">
        <v>104</v>
      </c>
      <c r="B11" s="10">
        <v>0</v>
      </c>
      <c r="C11" s="10">
        <f>0.03</f>
        <v>0.03</v>
      </c>
      <c r="D11" s="10">
        <f>0.07</f>
        <v>7.0000000000000007E-2</v>
      </c>
      <c r="E11" s="10">
        <f>0.13</f>
        <v>0.13</v>
      </c>
      <c r="F11" s="10">
        <f>0</f>
        <v>0</v>
      </c>
      <c r="G11" s="10">
        <f>160</f>
        <v>160</v>
      </c>
    </row>
    <row r="12" spans="1:7" x14ac:dyDescent="0.3">
      <c r="A12" t="s">
        <v>122</v>
      </c>
      <c r="B12" s="10">
        <v>0</v>
      </c>
      <c r="C12" s="10">
        <v>1.4999999999999999E-2</v>
      </c>
      <c r="D12" s="10">
        <v>0.19</v>
      </c>
      <c r="E12" s="10">
        <v>0.09</v>
      </c>
      <c r="F12" s="10">
        <v>0</v>
      </c>
      <c r="G12" s="10">
        <v>152</v>
      </c>
    </row>
    <row r="13" spans="1:7" x14ac:dyDescent="0.3">
      <c r="A13" t="s">
        <v>113</v>
      </c>
      <c r="B13" s="10">
        <v>0</v>
      </c>
      <c r="C13" s="10">
        <v>0</v>
      </c>
      <c r="D13" s="10">
        <f>0.32</f>
        <v>0.32</v>
      </c>
      <c r="E13" s="10">
        <v>0.3</v>
      </c>
      <c r="F13" s="10">
        <v>0</v>
      </c>
      <c r="G13" s="10">
        <v>402</v>
      </c>
    </row>
    <row r="14" spans="1:7" x14ac:dyDescent="0.3">
      <c r="A14" t="s">
        <v>78</v>
      </c>
      <c r="B14" s="10">
        <v>0</v>
      </c>
      <c r="C14" s="10">
        <f>0.002</f>
        <v>2E-3</v>
      </c>
      <c r="D14" s="10">
        <f>0.288</f>
        <v>0.28799999999999998</v>
      </c>
      <c r="E14" s="10">
        <f>0.32</f>
        <v>0.32</v>
      </c>
      <c r="F14" s="10">
        <v>0</v>
      </c>
      <c r="G14" s="10">
        <f>404</f>
        <v>404</v>
      </c>
    </row>
    <row r="15" spans="1:7" x14ac:dyDescent="0.3">
      <c r="A15" t="s">
        <v>66</v>
      </c>
      <c r="B15" s="10">
        <v>0</v>
      </c>
      <c r="C15" s="10">
        <v>2.8000000000000001E-2</v>
      </c>
      <c r="D15" s="10">
        <v>0.1</v>
      </c>
      <c r="E15" s="10">
        <v>0.17</v>
      </c>
      <c r="F15" s="10">
        <v>0</v>
      </c>
      <c r="G15" s="10">
        <v>204</v>
      </c>
    </row>
    <row r="16" spans="1:7" x14ac:dyDescent="0.3">
      <c r="A16" t="s">
        <v>150</v>
      </c>
      <c r="B16" s="10">
        <v>0</v>
      </c>
      <c r="C16" s="10">
        <v>0</v>
      </c>
      <c r="D16" s="10">
        <v>0.14000000000000001</v>
      </c>
      <c r="E16" s="10">
        <v>0.24</v>
      </c>
      <c r="F16" s="10">
        <v>0</v>
      </c>
      <c r="G16" s="10">
        <v>274</v>
      </c>
    </row>
    <row r="17" spans="1:7" x14ac:dyDescent="0.3">
      <c r="A17" t="s">
        <v>89</v>
      </c>
      <c r="B17" s="10">
        <v>0</v>
      </c>
      <c r="C17" s="10">
        <f>0.042</f>
        <v>4.2000000000000003E-2</v>
      </c>
      <c r="D17" s="10">
        <f>0.18</f>
        <v>0.18</v>
      </c>
      <c r="E17" s="10">
        <f>0.14</f>
        <v>0.14000000000000001</v>
      </c>
      <c r="F17" s="10">
        <f>0.03</f>
        <v>0.03</v>
      </c>
      <c r="G17" s="10">
        <f>225</f>
        <v>225</v>
      </c>
    </row>
    <row r="18" spans="1:7" x14ac:dyDescent="0.3">
      <c r="A18" t="s">
        <v>49</v>
      </c>
      <c r="B18" s="10">
        <f>0</f>
        <v>0</v>
      </c>
      <c r="C18" s="10">
        <v>0</v>
      </c>
      <c r="D18" s="10">
        <f>0.185</f>
        <v>0.185</v>
      </c>
      <c r="E18" s="10">
        <f>0.251</f>
        <v>0.251</v>
      </c>
      <c r="F18" s="10">
        <f>0</f>
        <v>0</v>
      </c>
      <c r="G18" s="10">
        <f>300</f>
        <v>300</v>
      </c>
    </row>
    <row r="19" spans="1:7" x14ac:dyDescent="0.3">
      <c r="A19" t="s">
        <v>62</v>
      </c>
      <c r="B19" s="10">
        <v>0</v>
      </c>
      <c r="C19" s="10">
        <f>0.026</f>
        <v>2.5999999999999999E-2</v>
      </c>
      <c r="D19" s="10">
        <f>0.14</f>
        <v>0.14000000000000001</v>
      </c>
      <c r="E19" s="10">
        <f>0.27</f>
        <v>0.27</v>
      </c>
      <c r="F19" s="10">
        <v>0</v>
      </c>
      <c r="G19" s="10">
        <v>314</v>
      </c>
    </row>
    <row r="20" spans="1:7" x14ac:dyDescent="0.3">
      <c r="A20" t="s">
        <v>83</v>
      </c>
      <c r="B20" s="10">
        <v>0</v>
      </c>
      <c r="C20" s="10">
        <f>0.0027</f>
        <v>2.7000000000000001E-3</v>
      </c>
      <c r="D20" s="10">
        <f>0.16</f>
        <v>0.16</v>
      </c>
      <c r="E20" s="10">
        <f>0.12</f>
        <v>0.12</v>
      </c>
      <c r="F20" s="10">
        <v>0</v>
      </c>
      <c r="G20" s="10">
        <v>183</v>
      </c>
    </row>
    <row r="21" spans="1:7" x14ac:dyDescent="0.3">
      <c r="A21" t="s">
        <v>53</v>
      </c>
      <c r="B21" s="10">
        <v>0</v>
      </c>
      <c r="C21" s="10">
        <f>0</f>
        <v>0</v>
      </c>
      <c r="D21" s="10">
        <f>0.014</f>
        <v>1.4E-2</v>
      </c>
      <c r="E21" s="10">
        <f>0.078</f>
        <v>7.8E-2</v>
      </c>
      <c r="F21" s="10">
        <f>0.002</f>
        <v>2E-3</v>
      </c>
      <c r="G21" s="10">
        <f>133</f>
        <v>133</v>
      </c>
    </row>
    <row r="22" spans="1:7" x14ac:dyDescent="0.3">
      <c r="A22" t="s">
        <v>87</v>
      </c>
      <c r="B22" s="10">
        <v>0</v>
      </c>
      <c r="C22" s="10">
        <f>0.003</f>
        <v>3.0000000000000001E-3</v>
      </c>
      <c r="D22" s="10">
        <f>0.211</f>
        <v>0.21099999999999999</v>
      </c>
      <c r="E22" s="10">
        <f>0.254</f>
        <v>0.254</v>
      </c>
      <c r="F22" s="10">
        <f>0</f>
        <v>0</v>
      </c>
      <c r="G22" s="10">
        <v>324</v>
      </c>
    </row>
    <row r="23" spans="1:7" x14ac:dyDescent="0.3">
      <c r="A23" t="s">
        <v>77</v>
      </c>
      <c r="B23" s="10">
        <v>0</v>
      </c>
      <c r="C23" s="10">
        <f>0.019</f>
        <v>1.9E-2</v>
      </c>
      <c r="D23" s="10">
        <v>0.2</v>
      </c>
      <c r="E23" s="10">
        <v>0.27</v>
      </c>
      <c r="F23" s="10">
        <v>0</v>
      </c>
      <c r="G23" s="10">
        <v>325</v>
      </c>
    </row>
    <row r="24" spans="1:7" x14ac:dyDescent="0.3">
      <c r="A24" t="s">
        <v>129</v>
      </c>
      <c r="B24" s="10">
        <v>0</v>
      </c>
      <c r="C24" s="10">
        <v>3.6999999999999998E-2</v>
      </c>
      <c r="D24" s="10">
        <v>0.12</v>
      </c>
      <c r="E24" s="10">
        <v>0.18</v>
      </c>
      <c r="F24" s="10">
        <v>0</v>
      </c>
      <c r="G24" s="10">
        <v>233</v>
      </c>
    </row>
    <row r="25" spans="1:7" x14ac:dyDescent="0.3">
      <c r="A25" t="s">
        <v>109</v>
      </c>
      <c r="B25" s="10">
        <v>0</v>
      </c>
      <c r="C25" s="10">
        <f>0.014</f>
        <v>1.4E-2</v>
      </c>
      <c r="D25" s="10">
        <f>0.23</f>
        <v>0.23</v>
      </c>
      <c r="E25" s="10">
        <f>0.2</f>
        <v>0.2</v>
      </c>
      <c r="F25" s="10">
        <v>0</v>
      </c>
      <c r="G25" s="10">
        <v>290</v>
      </c>
    </row>
    <row r="26" spans="1:7" x14ac:dyDescent="0.3">
      <c r="A26" t="s">
        <v>157</v>
      </c>
      <c r="B26" s="10">
        <v>0</v>
      </c>
      <c r="C26" s="10">
        <v>0.06</v>
      </c>
      <c r="D26" s="10">
        <f>0.25</f>
        <v>0.25</v>
      </c>
      <c r="E26" s="10">
        <v>0.35</v>
      </c>
      <c r="F26" s="10">
        <v>0</v>
      </c>
      <c r="G26" s="10">
        <v>425</v>
      </c>
    </row>
    <row r="27" spans="1:7" x14ac:dyDescent="0.3">
      <c r="A27" t="s">
        <v>162</v>
      </c>
      <c r="B27" s="10">
        <v>0</v>
      </c>
      <c r="C27" s="10">
        <v>0</v>
      </c>
      <c r="D27" s="10">
        <v>0.17499999999999999</v>
      </c>
      <c r="E27" s="10">
        <v>0.24199999999999999</v>
      </c>
      <c r="F27" s="10">
        <v>0</v>
      </c>
      <c r="G27" s="10">
        <v>288</v>
      </c>
    </row>
  </sheetData>
  <sortState xmlns:xlrd2="http://schemas.microsoft.com/office/spreadsheetml/2017/richdata2" ref="A3:G25">
    <sortCondition ref="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9399-7AC7-432D-9F05-11B8EC682E98}">
  <dimension ref="A1:G20"/>
  <sheetViews>
    <sheetView workbookViewId="0">
      <pane ySplit="1" topLeftCell="A2" activePane="bottomLeft" state="frozen"/>
      <selection sqref="A1:A1048576"/>
      <selection pane="bottomLeft" activeCell="B2" sqref="B2"/>
    </sheetView>
  </sheetViews>
  <sheetFormatPr defaultRowHeight="14.4" x14ac:dyDescent="0.3"/>
  <cols>
    <col min="1" max="1" width="28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x14ac:dyDescent="0.3">
      <c r="A3" t="s">
        <v>146</v>
      </c>
      <c r="B3" s="10">
        <v>0</v>
      </c>
      <c r="C3" s="10">
        <v>0</v>
      </c>
      <c r="D3" s="10">
        <f>0.13</f>
        <v>0.13</v>
      </c>
      <c r="E3" s="10">
        <v>0.5</v>
      </c>
      <c r="F3" s="10">
        <v>0</v>
      </c>
      <c r="G3" s="10">
        <v>498</v>
      </c>
    </row>
    <row r="4" spans="1:7" x14ac:dyDescent="0.3">
      <c r="A4" t="s">
        <v>93</v>
      </c>
      <c r="B4" s="10">
        <v>0</v>
      </c>
      <c r="C4" s="10">
        <f>0.006</f>
        <v>6.0000000000000001E-3</v>
      </c>
      <c r="D4" s="10">
        <f>0.165</f>
        <v>0.16500000000000001</v>
      </c>
      <c r="E4" s="10">
        <f>0.015</f>
        <v>1.4999999999999999E-2</v>
      </c>
      <c r="F4" s="10">
        <f>0</f>
        <v>0</v>
      </c>
      <c r="G4" s="10">
        <f>82</f>
        <v>82</v>
      </c>
    </row>
    <row r="5" spans="1:7" x14ac:dyDescent="0.3">
      <c r="A5" t="s">
        <v>156</v>
      </c>
      <c r="B5" s="10">
        <v>0</v>
      </c>
      <c r="C5" s="10">
        <v>3.4000000000000002E-2</v>
      </c>
      <c r="D5" s="10">
        <v>0.11700000000000001</v>
      </c>
      <c r="E5" s="10">
        <v>2.7E-2</v>
      </c>
      <c r="F5" s="10">
        <v>0</v>
      </c>
      <c r="G5" s="10">
        <v>84</v>
      </c>
    </row>
    <row r="6" spans="1:7" x14ac:dyDescent="0.3">
      <c r="A6" t="s">
        <v>166</v>
      </c>
      <c r="B6" s="10">
        <v>0</v>
      </c>
      <c r="C6" s="10">
        <v>0</v>
      </c>
      <c r="D6" s="10">
        <f>0.19</f>
        <v>0.19</v>
      </c>
      <c r="E6" s="10">
        <f>0.29</f>
        <v>0.28999999999999998</v>
      </c>
      <c r="F6" s="10">
        <v>0</v>
      </c>
      <c r="G6" s="10">
        <v>338</v>
      </c>
    </row>
    <row r="7" spans="1:7" x14ac:dyDescent="0.3">
      <c r="A7" t="s">
        <v>123</v>
      </c>
      <c r="B7" s="10">
        <v>0</v>
      </c>
      <c r="C7" s="10">
        <v>1.2E-2</v>
      </c>
      <c r="D7" s="10">
        <f>0.197</f>
        <v>0.19700000000000001</v>
      </c>
      <c r="E7" s="10">
        <f>0.084</f>
        <v>8.4000000000000005E-2</v>
      </c>
      <c r="F7" s="10">
        <v>0</v>
      </c>
      <c r="G7" s="10">
        <v>159</v>
      </c>
    </row>
    <row r="8" spans="1:7" x14ac:dyDescent="0.3">
      <c r="A8" t="s">
        <v>51</v>
      </c>
      <c r="B8" s="10">
        <v>0</v>
      </c>
      <c r="C8" s="10">
        <v>0</v>
      </c>
      <c r="D8" s="10">
        <f>0.1933</f>
        <v>0.1933</v>
      </c>
      <c r="E8" s="10">
        <f>0.01</f>
        <v>0.01</v>
      </c>
      <c r="F8" s="10">
        <f>0</f>
        <v>0</v>
      </c>
      <c r="G8" s="10">
        <f>91</f>
        <v>91</v>
      </c>
    </row>
    <row r="9" spans="1:7" x14ac:dyDescent="0.3">
      <c r="A9" t="s">
        <v>80</v>
      </c>
      <c r="B9" s="10">
        <v>0</v>
      </c>
      <c r="C9" s="10">
        <f>0.001</f>
        <v>1E-3</v>
      </c>
      <c r="D9" s="10">
        <f>0.184</f>
        <v>0.184</v>
      </c>
      <c r="E9" s="10">
        <f>0.12</f>
        <v>0.12</v>
      </c>
      <c r="F9" s="10">
        <v>0</v>
      </c>
      <c r="G9" s="10">
        <v>185</v>
      </c>
    </row>
    <row r="10" spans="1:7" x14ac:dyDescent="0.3">
      <c r="A10" t="s">
        <v>204</v>
      </c>
      <c r="B10" s="10">
        <v>0</v>
      </c>
      <c r="C10" s="10">
        <v>0</v>
      </c>
      <c r="D10" s="10">
        <f>0.17</f>
        <v>0.17</v>
      </c>
      <c r="E10" s="10">
        <f>0.24</f>
        <v>0.24</v>
      </c>
      <c r="F10" s="10">
        <v>0</v>
      </c>
      <c r="G10" s="10">
        <f>284</f>
        <v>284</v>
      </c>
    </row>
    <row r="11" spans="1:7" x14ac:dyDescent="0.3">
      <c r="A11" t="s">
        <v>133</v>
      </c>
      <c r="B11" s="10">
        <v>0</v>
      </c>
      <c r="C11" s="10">
        <v>0</v>
      </c>
      <c r="D11" s="10">
        <v>0.215</v>
      </c>
      <c r="E11" s="10">
        <v>4.3999999999999997E-2</v>
      </c>
      <c r="F11" s="10">
        <v>0</v>
      </c>
      <c r="G11" s="10">
        <v>126</v>
      </c>
    </row>
    <row r="12" spans="1:7" x14ac:dyDescent="0.3">
      <c r="A12" t="s">
        <v>159</v>
      </c>
      <c r="B12" s="10">
        <v>0</v>
      </c>
      <c r="C12" s="10">
        <v>0</v>
      </c>
      <c r="D12" s="10">
        <v>0.16</v>
      </c>
      <c r="E12" s="10">
        <v>0.41</v>
      </c>
      <c r="F12" s="10">
        <v>0</v>
      </c>
      <c r="G12" s="10">
        <v>241</v>
      </c>
    </row>
    <row r="13" spans="1:7" x14ac:dyDescent="0.3">
      <c r="A13" t="s">
        <v>158</v>
      </c>
      <c r="B13" s="10">
        <v>0</v>
      </c>
      <c r="C13" s="10">
        <v>0</v>
      </c>
      <c r="D13" s="10">
        <v>0.23400000000000001</v>
      </c>
      <c r="E13" s="10">
        <v>2.1000000000000001E-2</v>
      </c>
      <c r="F13" s="10">
        <v>0</v>
      </c>
      <c r="G13" s="10">
        <v>113</v>
      </c>
    </row>
    <row r="14" spans="1:7" x14ac:dyDescent="0.3">
      <c r="A14" t="s">
        <v>60</v>
      </c>
      <c r="B14" s="10">
        <v>0</v>
      </c>
      <c r="C14" s="10">
        <v>0</v>
      </c>
      <c r="D14" s="10">
        <f>0.26</f>
        <v>0.26</v>
      </c>
      <c r="E14" s="10">
        <f>0.02</f>
        <v>0.02</v>
      </c>
      <c r="F14" s="10">
        <f>0</f>
        <v>0</v>
      </c>
      <c r="G14" s="10">
        <f>122</f>
        <v>122</v>
      </c>
    </row>
    <row r="15" spans="1:7" x14ac:dyDescent="0.3">
      <c r="A15" t="s">
        <v>73</v>
      </c>
      <c r="B15" s="10">
        <v>0</v>
      </c>
      <c r="C15" s="10">
        <v>0</v>
      </c>
      <c r="D15" s="10">
        <f>0.26</f>
        <v>0.26</v>
      </c>
      <c r="E15" s="10">
        <f>0.075</f>
        <v>7.4999999999999997E-2</v>
      </c>
      <c r="F15" s="10">
        <v>0</v>
      </c>
      <c r="G15" s="10">
        <v>172</v>
      </c>
    </row>
    <row r="16" spans="1:7" x14ac:dyDescent="0.3">
      <c r="A16" t="s">
        <v>152</v>
      </c>
      <c r="B16" s="10">
        <v>0</v>
      </c>
      <c r="C16" s="10">
        <v>0</v>
      </c>
      <c r="D16" s="10">
        <v>0.17</v>
      </c>
      <c r="E16" s="10">
        <v>0.32</v>
      </c>
      <c r="F16" s="10">
        <v>0</v>
      </c>
      <c r="G16" s="10">
        <v>356</v>
      </c>
    </row>
    <row r="17" spans="1:7" x14ac:dyDescent="0.3">
      <c r="A17" t="s">
        <v>68</v>
      </c>
      <c r="B17" s="10">
        <v>0</v>
      </c>
      <c r="C17" s="10">
        <v>0</v>
      </c>
      <c r="D17" s="10">
        <f>0.203</f>
        <v>0.20300000000000001</v>
      </c>
      <c r="E17" s="10">
        <f>0.041</f>
        <v>4.1000000000000002E-2</v>
      </c>
      <c r="F17" s="10">
        <v>0</v>
      </c>
      <c r="G17" s="10">
        <v>118</v>
      </c>
    </row>
    <row r="18" spans="1:7" x14ac:dyDescent="0.3">
      <c r="A18" t="s">
        <v>112</v>
      </c>
      <c r="B18" s="10">
        <v>0</v>
      </c>
      <c r="C18" s="10">
        <v>0</v>
      </c>
      <c r="D18" s="10">
        <f>0.199</f>
        <v>0.19900000000000001</v>
      </c>
      <c r="E18" s="10">
        <f>0.062</f>
        <v>6.2E-2</v>
      </c>
      <c r="F18" s="10">
        <f>0</f>
        <v>0</v>
      </c>
      <c r="G18" s="10">
        <f>141</f>
        <v>141</v>
      </c>
    </row>
    <row r="19" spans="1:7" x14ac:dyDescent="0.3">
      <c r="A19" t="s">
        <v>181</v>
      </c>
      <c r="B19" s="10">
        <v>0</v>
      </c>
      <c r="C19" s="10">
        <v>8.0000000000000002E-3</v>
      </c>
      <c r="D19" s="10">
        <v>0.16</v>
      </c>
      <c r="E19" s="10">
        <v>1.7000000000000001E-2</v>
      </c>
      <c r="F19" s="10">
        <v>0</v>
      </c>
      <c r="G19" s="10">
        <v>86</v>
      </c>
    </row>
    <row r="20" spans="1:7" x14ac:dyDescent="0.3">
      <c r="A20" t="s">
        <v>203</v>
      </c>
      <c r="B20" s="10">
        <v>0</v>
      </c>
      <c r="C20" s="10">
        <f>0.028</f>
        <v>2.8000000000000001E-2</v>
      </c>
      <c r="D20" s="10">
        <f>0.098</f>
        <v>9.8000000000000004E-2</v>
      </c>
      <c r="E20" s="10">
        <f>0.039</f>
        <v>3.9E-2</v>
      </c>
      <c r="F20" s="10">
        <v>0</v>
      </c>
      <c r="G20" s="10">
        <v>86</v>
      </c>
    </row>
  </sheetData>
  <sortState xmlns:xlrd2="http://schemas.microsoft.com/office/spreadsheetml/2017/richdata2" ref="A3:G18">
    <sortCondition ref="A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84A4-DEA2-4437-A06D-51F93E1BCAE0}">
  <dimension ref="A1:G3"/>
  <sheetViews>
    <sheetView workbookViewId="0">
      <pane ySplit="1" topLeftCell="A2" activePane="bottomLeft" state="frozen"/>
      <selection sqref="A1:A1048576"/>
      <selection pane="bottomLeft" activeCell="B2" sqref="B2"/>
    </sheetView>
  </sheetViews>
  <sheetFormatPr defaultRowHeight="14.4" x14ac:dyDescent="0.3"/>
  <cols>
    <col min="1" max="1" width="16.10937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x14ac:dyDescent="0.3">
      <c r="A3" t="s">
        <v>54</v>
      </c>
      <c r="B3" s="10">
        <v>0</v>
      </c>
      <c r="C3" s="10">
        <f>0.008</f>
        <v>8.0000000000000002E-3</v>
      </c>
      <c r="D3" s="10">
        <f>0.12</f>
        <v>0.12</v>
      </c>
      <c r="E3" s="10">
        <f>0.087</f>
        <v>8.6999999999999994E-2</v>
      </c>
      <c r="F3" s="10">
        <f>0</f>
        <v>0</v>
      </c>
      <c r="G3" s="10">
        <f>131</f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E2C0-3A49-4AC9-A7F8-632D21C5F2CB}">
  <dimension ref="A1:G23"/>
  <sheetViews>
    <sheetView workbookViewId="0">
      <pane ySplit="1" topLeftCell="A2" activePane="bottomLeft" state="frozen"/>
      <selection sqref="A1:A1048576"/>
      <selection pane="bottomLeft" activeCell="B9" sqref="B9"/>
    </sheetView>
  </sheetViews>
  <sheetFormatPr defaultRowHeight="14.4" x14ac:dyDescent="0.3"/>
  <cols>
    <col min="1" max="1" width="16.109375" bestFit="1" customWidth="1"/>
    <col min="2" max="2" width="15.77734375" bestFit="1" customWidth="1"/>
    <col min="3" max="3" width="7.88671875" bestFit="1" customWidth="1"/>
    <col min="4" max="4" width="11.33203125" bestFit="1" customWidth="1"/>
    <col min="5" max="5" width="8.6640625" bestFit="1" customWidth="1"/>
    <col min="6" max="6" width="8.33203125" bestFit="1" customWidth="1"/>
    <col min="7" max="7" width="17.44140625" bestFit="1" customWidth="1"/>
  </cols>
  <sheetData>
    <row r="1" spans="1:7" x14ac:dyDescent="0.3">
      <c r="A1" t="s">
        <v>17</v>
      </c>
      <c r="B1" s="4">
        <v>0</v>
      </c>
    </row>
    <row r="2" spans="1:7" x14ac:dyDescent="0.3">
      <c r="A2" s="1" t="s">
        <v>0</v>
      </c>
      <c r="B2" s="2" t="s">
        <v>16</v>
      </c>
      <c r="C2" s="2" t="s">
        <v>1</v>
      </c>
      <c r="D2" s="2" t="s">
        <v>2</v>
      </c>
      <c r="E2" s="2" t="s">
        <v>3</v>
      </c>
      <c r="F2" s="2" t="s">
        <v>45</v>
      </c>
      <c r="G2" s="3" t="s">
        <v>4</v>
      </c>
    </row>
    <row r="3" spans="1:7" s="9" customFormat="1" x14ac:dyDescent="0.3">
      <c r="A3" s="8" t="s">
        <v>170</v>
      </c>
      <c r="B3" s="12">
        <v>0</v>
      </c>
      <c r="C3" s="12">
        <v>9.9000000000000005E-2</v>
      </c>
      <c r="D3" s="12">
        <v>7.0000000000000001E-3</v>
      </c>
      <c r="E3" s="13">
        <v>2E-3</v>
      </c>
      <c r="F3" s="13">
        <v>1.6E-2</v>
      </c>
      <c r="G3" s="13">
        <v>45</v>
      </c>
    </row>
    <row r="4" spans="1:7" x14ac:dyDescent="0.3">
      <c r="A4" t="s">
        <v>121</v>
      </c>
      <c r="B4" s="10">
        <v>0</v>
      </c>
      <c r="C4" s="10">
        <v>0.17399999999999999</v>
      </c>
      <c r="D4" s="10">
        <f>0.012</f>
        <v>1.2E-2</v>
      </c>
      <c r="E4" s="10">
        <f>0.003</f>
        <v>3.0000000000000001E-3</v>
      </c>
      <c r="F4" s="10">
        <f>0.018</f>
        <v>1.7999999999999999E-2</v>
      </c>
      <c r="G4" s="10">
        <f>76</f>
        <v>76</v>
      </c>
    </row>
    <row r="5" spans="1:7" x14ac:dyDescent="0.3">
      <c r="A5" t="s">
        <v>164</v>
      </c>
      <c r="B5" s="10">
        <v>0</v>
      </c>
      <c r="C5" s="10">
        <v>0.16</v>
      </c>
      <c r="D5" s="10">
        <v>0.06</v>
      </c>
      <c r="E5" s="10">
        <v>3.0000000000000001E-3</v>
      </c>
      <c r="F5" s="10">
        <v>0</v>
      </c>
      <c r="G5" s="10">
        <v>65</v>
      </c>
    </row>
    <row r="6" spans="1:7" x14ac:dyDescent="0.3">
      <c r="A6" s="14" t="s">
        <v>180</v>
      </c>
      <c r="B6" s="10">
        <v>0</v>
      </c>
      <c r="C6" s="10">
        <f>0.176</f>
        <v>0.17599999999999999</v>
      </c>
      <c r="D6" s="10">
        <v>8.9999999999999993E-3</v>
      </c>
      <c r="E6" s="10">
        <v>3.0000000000000001E-3</v>
      </c>
      <c r="F6" s="10">
        <v>1.7000000000000001E-2</v>
      </c>
      <c r="G6" s="10">
        <v>76</v>
      </c>
    </row>
    <row r="7" spans="1:7" x14ac:dyDescent="0.3">
      <c r="A7" t="s">
        <v>58</v>
      </c>
      <c r="B7" s="10">
        <v>0</v>
      </c>
      <c r="C7" s="10">
        <f>0.126</f>
        <v>0.126</v>
      </c>
      <c r="D7" s="10">
        <v>0.01</v>
      </c>
      <c r="E7" s="10">
        <f>0.002</f>
        <v>2E-3</v>
      </c>
      <c r="F7" s="10">
        <f>0.016</f>
        <v>1.6E-2</v>
      </c>
      <c r="G7" s="10">
        <f>56</f>
        <v>56</v>
      </c>
    </row>
    <row r="8" spans="1:7" x14ac:dyDescent="0.3">
      <c r="A8" t="s">
        <v>194</v>
      </c>
      <c r="B8" s="10">
        <v>0</v>
      </c>
      <c r="C8" s="10">
        <v>0.1</v>
      </c>
      <c r="D8" s="10">
        <v>2E-3</v>
      </c>
      <c r="E8" s="10">
        <v>0</v>
      </c>
      <c r="F8" s="10">
        <v>1.84E-2</v>
      </c>
      <c r="G8" s="10">
        <v>44</v>
      </c>
    </row>
    <row r="9" spans="1:7" x14ac:dyDescent="0.3">
      <c r="A9" t="s">
        <v>195</v>
      </c>
      <c r="B9" s="10">
        <v>0</v>
      </c>
      <c r="C9" s="10">
        <v>0.13700000000000001</v>
      </c>
      <c r="D9" s="10">
        <v>3.0000000000000001E-3</v>
      </c>
      <c r="E9" s="10">
        <v>1E-3</v>
      </c>
      <c r="F9" s="10">
        <v>0.02</v>
      </c>
      <c r="G9" s="10">
        <v>57</v>
      </c>
    </row>
    <row r="10" spans="1:7" x14ac:dyDescent="0.3">
      <c r="A10" t="s">
        <v>192</v>
      </c>
      <c r="B10" s="10">
        <v>0</v>
      </c>
      <c r="C10" s="10">
        <f>0.107</f>
        <v>0.107</v>
      </c>
      <c r="D10" s="10">
        <f>0.004</f>
        <v>4.0000000000000001E-3</v>
      </c>
      <c r="E10" s="10">
        <f>0.001</f>
        <v>1E-3</v>
      </c>
      <c r="F10" s="10">
        <f>0.017</f>
        <v>1.7000000000000001E-2</v>
      </c>
      <c r="G10" s="10">
        <f>46</f>
        <v>46</v>
      </c>
    </row>
    <row r="11" spans="1:7" x14ac:dyDescent="0.3">
      <c r="A11" t="s">
        <v>193</v>
      </c>
      <c r="B11" s="10">
        <v>0</v>
      </c>
      <c r="C11" s="10">
        <f>0.094</f>
        <v>9.4E-2</v>
      </c>
      <c r="D11" s="10">
        <f>0.005</f>
        <v>5.0000000000000001E-3</v>
      </c>
      <c r="E11" s="10">
        <f>0.001</f>
        <v>1E-3</v>
      </c>
      <c r="F11" s="10">
        <f>0.019</f>
        <v>1.9E-2</v>
      </c>
      <c r="G11" s="10">
        <v>42</v>
      </c>
    </row>
    <row r="12" spans="1:7" x14ac:dyDescent="0.3">
      <c r="A12" t="s">
        <v>191</v>
      </c>
      <c r="B12" s="10">
        <v>0</v>
      </c>
      <c r="C12" s="10">
        <f>0.1</f>
        <v>0.1</v>
      </c>
      <c r="D12" s="10">
        <v>3.0000000000000001E-3</v>
      </c>
      <c r="E12" s="10">
        <v>1E-3</v>
      </c>
      <c r="F12" s="10">
        <v>1.7000000000000001E-2</v>
      </c>
      <c r="G12" s="10">
        <v>43</v>
      </c>
    </row>
    <row r="13" spans="1:7" x14ac:dyDescent="0.3">
      <c r="A13" t="s">
        <v>167</v>
      </c>
      <c r="B13" s="10">
        <v>0</v>
      </c>
      <c r="C13" s="10">
        <f>0.159</f>
        <v>0.159</v>
      </c>
      <c r="D13" s="10">
        <f>0.005</f>
        <v>5.0000000000000001E-3</v>
      </c>
      <c r="E13" s="10">
        <f>0.002</f>
        <v>2E-3</v>
      </c>
      <c r="F13" s="10">
        <f>0.022</f>
        <v>2.1999999999999999E-2</v>
      </c>
      <c r="G13" s="10">
        <f>68</f>
        <v>68</v>
      </c>
    </row>
    <row r="14" spans="1:7" x14ac:dyDescent="0.3">
      <c r="A14" t="s">
        <v>147</v>
      </c>
      <c r="B14" s="10">
        <v>0</v>
      </c>
      <c r="C14" s="10">
        <f>0.049</f>
        <v>4.9000000000000002E-2</v>
      </c>
      <c r="D14" s="10">
        <f>0.005</f>
        <v>5.0000000000000001E-3</v>
      </c>
      <c r="E14" s="10">
        <f>0.002</f>
        <v>2E-3</v>
      </c>
      <c r="F14" s="10">
        <f>0.007</f>
        <v>7.0000000000000001E-3</v>
      </c>
      <c r="G14" s="10">
        <f>24</f>
        <v>24</v>
      </c>
    </row>
    <row r="15" spans="1:7" x14ac:dyDescent="0.3">
      <c r="A15" t="s">
        <v>82</v>
      </c>
      <c r="B15" s="10">
        <v>0</v>
      </c>
      <c r="C15" s="10">
        <f>0.127</f>
        <v>0.127</v>
      </c>
      <c r="D15" s="10">
        <f>0.002</f>
        <v>2E-3</v>
      </c>
      <c r="E15" s="10">
        <f>0.003</f>
        <v>3.0000000000000001E-3</v>
      </c>
      <c r="F15" s="10">
        <f>0.038</f>
        <v>3.7999999999999999E-2</v>
      </c>
      <c r="G15" s="10">
        <f>59</f>
        <v>59</v>
      </c>
    </row>
    <row r="16" spans="1:7" x14ac:dyDescent="0.3">
      <c r="A16" t="s">
        <v>196</v>
      </c>
      <c r="B16" s="10">
        <v>0</v>
      </c>
      <c r="C16" s="10">
        <v>8.5999999999999993E-2</v>
      </c>
      <c r="D16" s="10">
        <v>3.0000000000000001E-3</v>
      </c>
      <c r="E16" s="10">
        <v>1E-3</v>
      </c>
      <c r="F16" s="10">
        <v>3.7999999999999999E-2</v>
      </c>
      <c r="G16" s="10">
        <v>42</v>
      </c>
    </row>
    <row r="17" spans="1:7" x14ac:dyDescent="0.3">
      <c r="A17" t="s">
        <v>190</v>
      </c>
      <c r="B17" s="10">
        <v>0</v>
      </c>
      <c r="C17" s="10">
        <f>0.092</f>
        <v>9.1999999999999998E-2</v>
      </c>
      <c r="D17" s="10">
        <v>3.0000000000000001E-3</v>
      </c>
      <c r="E17" s="10">
        <v>5.0000000000000001E-3</v>
      </c>
      <c r="F17" s="10">
        <v>3.7999999999999999E-2</v>
      </c>
      <c r="G17" s="10">
        <v>48</v>
      </c>
    </row>
    <row r="18" spans="1:7" x14ac:dyDescent="0.3">
      <c r="A18" t="s">
        <v>138</v>
      </c>
      <c r="B18" s="10">
        <v>0</v>
      </c>
      <c r="C18" s="10">
        <v>0.10199999999999999</v>
      </c>
      <c r="D18" s="10">
        <f>0.003</f>
        <v>3.0000000000000001E-3</v>
      </c>
      <c r="E18" s="10">
        <v>5.0000000000000001E-3</v>
      </c>
      <c r="F18" s="10">
        <v>3.7999999999999999E-2</v>
      </c>
      <c r="G18" s="10">
        <v>52</v>
      </c>
    </row>
    <row r="19" spans="1:7" x14ac:dyDescent="0.3">
      <c r="A19" t="s">
        <v>197</v>
      </c>
      <c r="B19" s="10">
        <v>0</v>
      </c>
      <c r="C19" s="10">
        <v>8.7999999999999995E-2</v>
      </c>
      <c r="D19" s="10">
        <v>3.0000000000000001E-3</v>
      </c>
      <c r="E19" s="10">
        <v>1E-3</v>
      </c>
      <c r="F19" s="10">
        <v>3.7999999999999999E-2</v>
      </c>
      <c r="G19" s="10">
        <v>43</v>
      </c>
    </row>
    <row r="20" spans="1:7" x14ac:dyDescent="0.3">
      <c r="A20" t="s">
        <v>110</v>
      </c>
      <c r="B20" s="10">
        <v>0</v>
      </c>
      <c r="C20" s="10">
        <f>0.058</f>
        <v>5.8000000000000003E-2</v>
      </c>
      <c r="D20" s="10">
        <f>0.007</f>
        <v>7.0000000000000001E-3</v>
      </c>
      <c r="E20" s="10">
        <f>0</f>
        <v>0</v>
      </c>
      <c r="F20" s="10">
        <f>0.019</f>
        <v>1.9E-2</v>
      </c>
      <c r="G20" s="10">
        <f>28</f>
        <v>28</v>
      </c>
    </row>
    <row r="21" spans="1:7" x14ac:dyDescent="0.3">
      <c r="A21" t="s">
        <v>96</v>
      </c>
      <c r="B21" s="10">
        <v>0</v>
      </c>
      <c r="C21" s="10">
        <f>0.062</f>
        <v>6.2E-2</v>
      </c>
      <c r="D21" s="10">
        <f>0.006</f>
        <v>6.0000000000000001E-3</v>
      </c>
      <c r="E21" s="10">
        <f>0</f>
        <v>0</v>
      </c>
      <c r="F21" s="10">
        <f>0.016</f>
        <v>1.6E-2</v>
      </c>
      <c r="G21" s="10">
        <f>29</f>
        <v>29</v>
      </c>
    </row>
    <row r="22" spans="1:7" x14ac:dyDescent="0.3">
      <c r="A22" t="s">
        <v>116</v>
      </c>
      <c r="B22" s="10">
        <v>0</v>
      </c>
      <c r="C22" s="10">
        <f>0.105</f>
        <v>0.105</v>
      </c>
      <c r="D22" s="10">
        <f>0.005</f>
        <v>5.0000000000000001E-3</v>
      </c>
      <c r="E22" s="10">
        <f>0.001</f>
        <v>1E-3</v>
      </c>
      <c r="F22" s="10">
        <f>0.016</f>
        <v>1.6E-2</v>
      </c>
      <c r="G22" s="10">
        <f>45</f>
        <v>45</v>
      </c>
    </row>
    <row r="23" spans="1:7" s="10" customFormat="1" x14ac:dyDescent="0.3">
      <c r="A23" t="s">
        <v>124</v>
      </c>
      <c r="B23" s="10">
        <v>0</v>
      </c>
      <c r="C23" s="10">
        <f>0.215</f>
        <v>0.215</v>
      </c>
      <c r="D23" s="10">
        <v>4.0000000000000001E-3</v>
      </c>
      <c r="E23" s="10">
        <f>0.001</f>
        <v>1E-3</v>
      </c>
      <c r="F23" s="10">
        <f>0.014</f>
        <v>1.4E-2</v>
      </c>
      <c r="G23" s="10">
        <v>86</v>
      </c>
    </row>
  </sheetData>
  <sortState xmlns:xlrd2="http://schemas.microsoft.com/office/spreadsheetml/2017/richdata2" ref="A3:G23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Pasta riso e cereali</vt:lpstr>
      <vt:lpstr>Prodotti da forno e cereali</vt:lpstr>
      <vt:lpstr>Legumi</vt:lpstr>
      <vt:lpstr>Verdure</vt:lpstr>
      <vt:lpstr>Carne</vt:lpstr>
      <vt:lpstr>Formaggio</vt:lpstr>
      <vt:lpstr>Pesce</vt:lpstr>
      <vt:lpstr>Uova</vt:lpstr>
      <vt:lpstr>Frutta</vt:lpstr>
      <vt:lpstr>Frutta secca e semi oleaginosi</vt:lpstr>
      <vt:lpstr>Bevande</vt:lpstr>
      <vt:lpstr>Dolci</vt:lpstr>
      <vt:lpstr>Condimenti</vt:lpstr>
      <vt:lpstr>Aperitivi</vt:lpstr>
      <vt:lpstr>Stuzzichini</vt:lpstr>
      <vt:lpstr>Sughi pronti</vt:lpstr>
      <vt:lpstr>Conserve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Placido</dc:creator>
  <cp:lastModifiedBy>Daniele Placido</cp:lastModifiedBy>
  <dcterms:created xsi:type="dcterms:W3CDTF">2015-06-05T18:17:20Z</dcterms:created>
  <dcterms:modified xsi:type="dcterms:W3CDTF">2021-03-28T11:48:38Z</dcterms:modified>
</cp:coreProperties>
</file>