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comments6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Google Drive\Recruiting\Foresight Energy\"/>
    </mc:Choice>
  </mc:AlternateContent>
  <xr:revisionPtr revIDLastSave="0" documentId="13_ncr:1_{13F4474A-9210-49D9-B980-9C1BB78C0DA4}" xr6:coauthVersionLast="43" xr6:coauthVersionMax="43" xr10:uidLastSave="{00000000-0000-0000-0000-000000000000}"/>
  <bookViews>
    <workbookView xWindow="32400" yWindow="0" windowWidth="2000" windowHeight="10200" activeTab="1" xr2:uid="{0CAA9296-9711-484A-8131-2AA6DF55C556}"/>
  </bookViews>
  <sheets>
    <sheet name="Summary" sheetId="11" r:id="rId1"/>
    <sheet name="Valuation" sheetId="7" r:id="rId2"/>
    <sheet name="Tower" sheetId="6" r:id="rId3"/>
    <sheet name="Debt" sheetId="12" r:id="rId4"/>
    <sheet name="Assumptions" sheetId="9" r:id="rId5"/>
    <sheet name="Rev Cost Build" sheetId="2" r:id="rId6"/>
    <sheet name="Capitalization" sheetId="1" r:id="rId7"/>
    <sheet name="Raw Data --&gt;" sheetId="5" r:id="rId8"/>
    <sheet name="Financials" sheetId="4" r:id="rId9"/>
  </sheets>
  <definedNames>
    <definedName name="_xlnm.Print_Area" localSheetId="6">Capitalization!$A$1:$H$29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5" i="7" l="1"/>
  <c r="K78" i="7" l="1"/>
  <c r="J78" i="7"/>
  <c r="K13" i="7"/>
  <c r="K12" i="7"/>
  <c r="K11" i="7"/>
  <c r="K10" i="7"/>
  <c r="D6" i="7" l="1"/>
  <c r="C6" i="7"/>
  <c r="I6" i="7" s="1"/>
  <c r="B6" i="7"/>
  <c r="E69" i="7"/>
  <c r="E70" i="7" s="1"/>
  <c r="E71" i="7" s="1"/>
  <c r="E72" i="7" s="1"/>
  <c r="I67" i="7"/>
  <c r="J67" i="7" s="1"/>
  <c r="G67" i="7"/>
  <c r="F67" i="7"/>
  <c r="I12" i="7" l="1"/>
  <c r="I13" i="7"/>
  <c r="I10" i="7"/>
  <c r="I11" i="7"/>
  <c r="B50" i="7"/>
  <c r="B49" i="7"/>
  <c r="L4" i="9"/>
  <c r="M4" i="9"/>
  <c r="K4" i="9"/>
  <c r="I4" i="9"/>
  <c r="J4" i="9"/>
  <c r="H4" i="9"/>
  <c r="H14" i="7"/>
  <c r="H13" i="7"/>
  <c r="H12" i="7"/>
  <c r="D11" i="11"/>
  <c r="E11" i="11"/>
  <c r="C9" i="11"/>
  <c r="D9" i="11"/>
  <c r="E9" i="11"/>
  <c r="C11" i="11"/>
  <c r="H76" i="2"/>
  <c r="I76" i="2" s="1"/>
  <c r="J76" i="2" s="1"/>
  <c r="K76" i="2" s="1"/>
  <c r="L76" i="2" s="1"/>
  <c r="H70" i="2"/>
  <c r="I70" i="2" s="1"/>
  <c r="J70" i="2" s="1"/>
  <c r="K70" i="2" s="1"/>
  <c r="L70" i="2" s="1"/>
  <c r="H72" i="2"/>
  <c r="I72" i="2" s="1"/>
  <c r="J72" i="2" s="1"/>
  <c r="K72" i="2" s="1"/>
  <c r="L72" i="2" s="1"/>
  <c r="I33" i="2"/>
  <c r="H37" i="2"/>
  <c r="K37" i="2" s="1"/>
  <c r="L37" i="2" s="1"/>
  <c r="H41" i="2"/>
  <c r="C15" i="11"/>
  <c r="D7" i="7"/>
  <c r="B7" i="7"/>
  <c r="J27" i="2"/>
  <c r="K27" i="2" s="1"/>
  <c r="I27" i="2"/>
  <c r="I22" i="2"/>
  <c r="J22" i="2"/>
  <c r="K22" i="2"/>
  <c r="L22" i="2"/>
  <c r="H22" i="2"/>
  <c r="G22" i="2"/>
  <c r="G24" i="2" s="1"/>
  <c r="G23" i="2"/>
  <c r="G21" i="2" a="1"/>
  <c r="G21" i="2" s="1"/>
  <c r="H7" i="2"/>
  <c r="I7" i="2"/>
  <c r="J7" i="2"/>
  <c r="K7" i="2"/>
  <c r="L7" i="2"/>
  <c r="G7" i="2"/>
  <c r="I6" i="2"/>
  <c r="J6" i="2" s="1"/>
  <c r="K6" i="2" s="1"/>
  <c r="L6" i="2" s="1"/>
  <c r="H6" i="2"/>
  <c r="I46" i="2"/>
  <c r="J46" i="2" s="1"/>
  <c r="K46" i="2" s="1"/>
  <c r="L46" i="2" s="1"/>
  <c r="H46" i="2"/>
  <c r="H29" i="2"/>
  <c r="I29" i="2"/>
  <c r="J29" i="2"/>
  <c r="G29" i="2"/>
  <c r="J26" i="2" a="1"/>
  <c r="J26" i="2" s="1"/>
  <c r="I26" i="2" a="1"/>
  <c r="I26" i="2" s="1"/>
  <c r="H26" i="2" a="1"/>
  <c r="H26" i="2" s="1"/>
  <c r="G26" i="2" a="1"/>
  <c r="G26" i="2" s="1"/>
  <c r="H17" i="2"/>
  <c r="I17" i="2"/>
  <c r="J17" i="2"/>
  <c r="K17" i="2"/>
  <c r="L17" i="2"/>
  <c r="G17" i="2"/>
  <c r="H18" i="2"/>
  <c r="I18" i="2"/>
  <c r="J18" i="2"/>
  <c r="K18" i="2"/>
  <c r="L18" i="2"/>
  <c r="G18" i="2"/>
  <c r="L15" i="2" a="1"/>
  <c r="L15" i="2" s="1"/>
  <c r="K15" i="2" a="1"/>
  <c r="K15" i="2" s="1"/>
  <c r="J15" i="2" a="1"/>
  <c r="J15" i="2" s="1"/>
  <c r="I15" i="2" a="1"/>
  <c r="I15" i="2" s="1"/>
  <c r="H15" i="2" a="1"/>
  <c r="H15" i="2" s="1"/>
  <c r="G15" i="2" a="1"/>
  <c r="G15" i="2" s="1"/>
  <c r="H12" i="2"/>
  <c r="I12" i="2" s="1"/>
  <c r="J12" i="2" s="1"/>
  <c r="K12" i="2" s="1"/>
  <c r="L12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H8" i="2"/>
  <c r="I8" i="2" s="1"/>
  <c r="J8" i="2" s="1"/>
  <c r="K8" i="2" s="1"/>
  <c r="L8" i="2" s="1"/>
  <c r="G9" i="2" a="1"/>
  <c r="G9" i="2" s="1"/>
  <c r="H10" i="2"/>
  <c r="I10" i="2" s="1"/>
  <c r="G5" i="2" a="1"/>
  <c r="G5" i="2" s="1"/>
  <c r="L27" i="2" l="1"/>
  <c r="K29" i="2"/>
  <c r="K26" i="2" a="1"/>
  <c r="K26" i="2" s="1"/>
  <c r="I24" i="2"/>
  <c r="I21" i="2" a="1"/>
  <c r="I21" i="2" s="1"/>
  <c r="I23" i="2"/>
  <c r="H24" i="2"/>
  <c r="H21" i="2" a="1"/>
  <c r="H21" i="2" s="1"/>
  <c r="H23" i="2"/>
  <c r="J24" i="2"/>
  <c r="J21" i="2" a="1"/>
  <c r="J21" i="2" s="1"/>
  <c r="J23" i="2"/>
  <c r="I9" i="2" a="1"/>
  <c r="I9" i="2" s="1"/>
  <c r="J10" i="2"/>
  <c r="H9" i="2" a="1"/>
  <c r="H9" i="2" s="1"/>
  <c r="D17" i="11"/>
  <c r="E17" i="11"/>
  <c r="C17" i="11"/>
  <c r="D15" i="11"/>
  <c r="E15" i="11"/>
  <c r="D23" i="11"/>
  <c r="C22" i="11"/>
  <c r="K55" i="7"/>
  <c r="D83" i="12"/>
  <c r="G71" i="12"/>
  <c r="H69" i="12"/>
  <c r="H70" i="12" s="1"/>
  <c r="D48" i="12"/>
  <c r="G45" i="12"/>
  <c r="H42" i="12" s="1"/>
  <c r="M44" i="12"/>
  <c r="L44" i="12"/>
  <c r="L21" i="12" s="1"/>
  <c r="K44" i="12"/>
  <c r="K21" i="12" s="1"/>
  <c r="J44" i="12"/>
  <c r="J21" i="12" s="1"/>
  <c r="J135" i="6" s="1"/>
  <c r="I44" i="12"/>
  <c r="I21" i="12" s="1"/>
  <c r="I135" i="6" s="1"/>
  <c r="H44" i="12"/>
  <c r="J43" i="12"/>
  <c r="J20" i="12" s="1"/>
  <c r="I43" i="12"/>
  <c r="H43" i="12"/>
  <c r="D36" i="12"/>
  <c r="G33" i="12"/>
  <c r="H31" i="12" s="1"/>
  <c r="M27" i="12"/>
  <c r="L27" i="12"/>
  <c r="K27" i="12"/>
  <c r="J27" i="12"/>
  <c r="I27" i="12"/>
  <c r="H27" i="12"/>
  <c r="M26" i="12"/>
  <c r="L26" i="12"/>
  <c r="K26" i="12"/>
  <c r="J26" i="12"/>
  <c r="I26" i="12"/>
  <c r="H26" i="12"/>
  <c r="M21" i="12"/>
  <c r="M135" i="6" s="1"/>
  <c r="M20" i="12"/>
  <c r="L20" i="12"/>
  <c r="K20" i="12"/>
  <c r="I20" i="12"/>
  <c r="H20" i="12"/>
  <c r="G13" i="12"/>
  <c r="G80" i="12" s="1"/>
  <c r="H78" i="12" s="1"/>
  <c r="G10" i="12"/>
  <c r="G63" i="12" s="1"/>
  <c r="H61" i="12" s="1"/>
  <c r="G9" i="12"/>
  <c r="G54" i="12" s="1"/>
  <c r="H52" i="12" s="1"/>
  <c r="G8" i="12"/>
  <c r="G12" i="12" s="1"/>
  <c r="E26" i="2"/>
  <c r="H89" i="2"/>
  <c r="H87" i="2"/>
  <c r="H85" i="2"/>
  <c r="G91" i="2"/>
  <c r="G44" i="2"/>
  <c r="H5" i="6"/>
  <c r="D7" i="11"/>
  <c r="E7" i="11"/>
  <c r="F7" i="11"/>
  <c r="G7" i="11"/>
  <c r="H7" i="11"/>
  <c r="I7" i="11"/>
  <c r="J7" i="11"/>
  <c r="K7" i="11"/>
  <c r="C7" i="11"/>
  <c r="M140" i="6"/>
  <c r="L140" i="6"/>
  <c r="K140" i="6"/>
  <c r="J140" i="6"/>
  <c r="I140" i="6"/>
  <c r="H140" i="6"/>
  <c r="M139" i="6"/>
  <c r="L139" i="6"/>
  <c r="K139" i="6"/>
  <c r="J139" i="6"/>
  <c r="I139" i="6"/>
  <c r="H139" i="6"/>
  <c r="M138" i="6"/>
  <c r="L138" i="6"/>
  <c r="K138" i="6"/>
  <c r="J138" i="6"/>
  <c r="I138" i="6"/>
  <c r="H138" i="6"/>
  <c r="M137" i="6"/>
  <c r="L137" i="6"/>
  <c r="K137" i="6"/>
  <c r="J137" i="6"/>
  <c r="I137" i="6"/>
  <c r="H137" i="6"/>
  <c r="M136" i="6"/>
  <c r="L136" i="6"/>
  <c r="K136" i="6"/>
  <c r="J136" i="6"/>
  <c r="I136" i="6"/>
  <c r="H136" i="6"/>
  <c r="M134" i="6"/>
  <c r="L134" i="6"/>
  <c r="K134" i="6"/>
  <c r="J134" i="6"/>
  <c r="I134" i="6"/>
  <c r="H134" i="6"/>
  <c r="M133" i="6"/>
  <c r="L133" i="6"/>
  <c r="K133" i="6"/>
  <c r="J133" i="6"/>
  <c r="I133" i="6"/>
  <c r="H133" i="6"/>
  <c r="M132" i="6"/>
  <c r="L132" i="6"/>
  <c r="K132" i="6"/>
  <c r="J132" i="6"/>
  <c r="I132" i="6"/>
  <c r="M131" i="6"/>
  <c r="L131" i="6"/>
  <c r="K131" i="6"/>
  <c r="J131" i="6"/>
  <c r="I131" i="6"/>
  <c r="H131" i="6"/>
  <c r="M128" i="6"/>
  <c r="L128" i="6"/>
  <c r="K128" i="6"/>
  <c r="J128" i="6"/>
  <c r="I128" i="6"/>
  <c r="H128" i="6"/>
  <c r="M127" i="6"/>
  <c r="L127" i="6"/>
  <c r="K127" i="6"/>
  <c r="J127" i="6"/>
  <c r="I127" i="6"/>
  <c r="H127" i="6"/>
  <c r="M126" i="6"/>
  <c r="L126" i="6"/>
  <c r="K126" i="6"/>
  <c r="J126" i="6"/>
  <c r="I126" i="6"/>
  <c r="H126" i="6"/>
  <c r="M125" i="6"/>
  <c r="L125" i="6"/>
  <c r="K125" i="6"/>
  <c r="J125" i="6"/>
  <c r="I125" i="6"/>
  <c r="H125" i="6"/>
  <c r="M121" i="6"/>
  <c r="L121" i="6"/>
  <c r="K121" i="6"/>
  <c r="J121" i="6"/>
  <c r="I121" i="6"/>
  <c r="H121" i="6"/>
  <c r="M120" i="6"/>
  <c r="L120" i="6"/>
  <c r="K120" i="6"/>
  <c r="J120" i="6"/>
  <c r="I120" i="6"/>
  <c r="H120" i="6"/>
  <c r="M119" i="6"/>
  <c r="L119" i="6"/>
  <c r="K119" i="6"/>
  <c r="J119" i="6"/>
  <c r="I119" i="6"/>
  <c r="H119" i="6"/>
  <c r="M118" i="6"/>
  <c r="L118" i="6"/>
  <c r="K118" i="6"/>
  <c r="J118" i="6"/>
  <c r="I118" i="6"/>
  <c r="M117" i="6"/>
  <c r="L117" i="6"/>
  <c r="K117" i="6"/>
  <c r="J117" i="6"/>
  <c r="I117" i="6"/>
  <c r="H117" i="6"/>
  <c r="M116" i="6"/>
  <c r="L116" i="6"/>
  <c r="K116" i="6"/>
  <c r="J116" i="6"/>
  <c r="I116" i="6"/>
  <c r="H116" i="6"/>
  <c r="M115" i="6"/>
  <c r="L115" i="6"/>
  <c r="K115" i="6"/>
  <c r="J115" i="6"/>
  <c r="I115" i="6"/>
  <c r="H115" i="6"/>
  <c r="M110" i="6"/>
  <c r="L110" i="6"/>
  <c r="K110" i="6"/>
  <c r="J110" i="6"/>
  <c r="I110" i="6"/>
  <c r="H110" i="6"/>
  <c r="M109" i="6"/>
  <c r="L109" i="6"/>
  <c r="K109" i="6"/>
  <c r="J109" i="6"/>
  <c r="I109" i="6"/>
  <c r="H109" i="6"/>
  <c r="M108" i="6"/>
  <c r="L108" i="6"/>
  <c r="K108" i="6"/>
  <c r="J108" i="6"/>
  <c r="I108" i="6"/>
  <c r="H108" i="6"/>
  <c r="M107" i="6"/>
  <c r="L107" i="6"/>
  <c r="K107" i="6"/>
  <c r="J107" i="6"/>
  <c r="I107" i="6"/>
  <c r="H107" i="6"/>
  <c r="M106" i="6"/>
  <c r="L106" i="6"/>
  <c r="K106" i="6"/>
  <c r="J106" i="6"/>
  <c r="I106" i="6"/>
  <c r="H106" i="6"/>
  <c r="M105" i="6"/>
  <c r="L105" i="6"/>
  <c r="K105" i="6"/>
  <c r="J105" i="6"/>
  <c r="I105" i="6"/>
  <c r="H105" i="6"/>
  <c r="M104" i="6"/>
  <c r="L104" i="6"/>
  <c r="K104" i="6"/>
  <c r="J104" i="6"/>
  <c r="I104" i="6"/>
  <c r="H104" i="6"/>
  <c r="M103" i="6"/>
  <c r="L103" i="6"/>
  <c r="K103" i="6"/>
  <c r="J103" i="6"/>
  <c r="I103" i="6"/>
  <c r="H103" i="6"/>
  <c r="M102" i="6"/>
  <c r="L102" i="6"/>
  <c r="K102" i="6"/>
  <c r="J102" i="6"/>
  <c r="I102" i="6"/>
  <c r="H102" i="6"/>
  <c r="M101" i="6"/>
  <c r="L101" i="6"/>
  <c r="K101" i="6"/>
  <c r="J101" i="6"/>
  <c r="I101" i="6"/>
  <c r="H101" i="6"/>
  <c r="M100" i="6"/>
  <c r="L100" i="6"/>
  <c r="K100" i="6"/>
  <c r="J100" i="6"/>
  <c r="I100" i="6"/>
  <c r="H100" i="6"/>
  <c r="M99" i="6"/>
  <c r="L99" i="6"/>
  <c r="K99" i="6"/>
  <c r="J99" i="6"/>
  <c r="I99" i="6"/>
  <c r="H99" i="6"/>
  <c r="M98" i="6"/>
  <c r="L98" i="6"/>
  <c r="K98" i="6"/>
  <c r="J98" i="6"/>
  <c r="I98" i="6"/>
  <c r="H98" i="6"/>
  <c r="I59" i="7"/>
  <c r="J59" i="7" s="1"/>
  <c r="C7" i="7"/>
  <c r="H10" i="7"/>
  <c r="H11" i="7"/>
  <c r="H9" i="7"/>
  <c r="H117" i="7"/>
  <c r="H106" i="7"/>
  <c r="H113" i="7" s="1"/>
  <c r="E61" i="7"/>
  <c r="G55" i="7"/>
  <c r="H55" i="7"/>
  <c r="L55" i="7" s="1"/>
  <c r="I55" i="7"/>
  <c r="J55" i="7"/>
  <c r="F55" i="7"/>
  <c r="L56" i="2"/>
  <c r="I13" i="6"/>
  <c r="J13" i="6"/>
  <c r="K13" i="6"/>
  <c r="L13" i="6"/>
  <c r="M13" i="6"/>
  <c r="I16" i="6"/>
  <c r="J16" i="6"/>
  <c r="K16" i="6"/>
  <c r="L16" i="6"/>
  <c r="M16" i="6"/>
  <c r="I17" i="6"/>
  <c r="J17" i="6"/>
  <c r="K17" i="6"/>
  <c r="L17" i="6"/>
  <c r="M17" i="6"/>
  <c r="I18" i="6"/>
  <c r="J18" i="6"/>
  <c r="K18" i="6"/>
  <c r="L18" i="6"/>
  <c r="M18" i="6"/>
  <c r="I19" i="6"/>
  <c r="J19" i="6"/>
  <c r="K19" i="6"/>
  <c r="L19" i="6"/>
  <c r="M19" i="6"/>
  <c r="I23" i="6"/>
  <c r="J23" i="6"/>
  <c r="K23" i="6"/>
  <c r="L23" i="6"/>
  <c r="M23" i="6"/>
  <c r="I24" i="6"/>
  <c r="J24" i="6"/>
  <c r="K24" i="6"/>
  <c r="L24" i="6"/>
  <c r="M24" i="6"/>
  <c r="I25" i="6"/>
  <c r="J25" i="6"/>
  <c r="K25" i="6"/>
  <c r="L25" i="6"/>
  <c r="M25" i="6"/>
  <c r="D106" i="2"/>
  <c r="C106" i="2"/>
  <c r="D108" i="2"/>
  <c r="E108" i="2"/>
  <c r="C108" i="2"/>
  <c r="D43" i="2"/>
  <c r="E43" i="2"/>
  <c r="F43" i="2"/>
  <c r="E40" i="2"/>
  <c r="F40" i="2"/>
  <c r="D40" i="2"/>
  <c r="A20" i="7"/>
  <c r="A21" i="7" s="1"/>
  <c r="A22" i="7" s="1"/>
  <c r="H25" i="6"/>
  <c r="H24" i="6"/>
  <c r="H23" i="6"/>
  <c r="H19" i="6"/>
  <c r="H18" i="6"/>
  <c r="H17" i="6"/>
  <c r="H16" i="6"/>
  <c r="G14" i="12" l="1"/>
  <c r="E21" i="11"/>
  <c r="E62" i="7"/>
  <c r="E63" i="7" s="1"/>
  <c r="E64" i="7" s="1"/>
  <c r="L26" i="2" a="1"/>
  <c r="L26" i="2" s="1"/>
  <c r="L29" i="2"/>
  <c r="K24" i="2"/>
  <c r="K21" i="2" s="1" a="1"/>
  <c r="K21" i="2" s="1"/>
  <c r="K23" i="2"/>
  <c r="H118" i="7"/>
  <c r="K10" i="2"/>
  <c r="J9" i="2" a="1"/>
  <c r="J9" i="2" s="1"/>
  <c r="J57" i="2" s="1"/>
  <c r="C21" i="11"/>
  <c r="D21" i="11"/>
  <c r="D22" i="11"/>
  <c r="L135" i="6"/>
  <c r="L141" i="6" s="1"/>
  <c r="K135" i="6"/>
  <c r="K141" i="6" s="1"/>
  <c r="C23" i="11"/>
  <c r="E23" i="11"/>
  <c r="H53" i="12"/>
  <c r="H54" i="12" s="1"/>
  <c r="H45" i="12"/>
  <c r="H47" i="12" s="1"/>
  <c r="H48" i="12" s="1"/>
  <c r="H80" i="12"/>
  <c r="H82" i="12" s="1"/>
  <c r="H83" i="12" s="1"/>
  <c r="E22" i="11"/>
  <c r="H62" i="12"/>
  <c r="H63" i="12" s="1"/>
  <c r="H71" i="12"/>
  <c r="I141" i="6"/>
  <c r="M141" i="6"/>
  <c r="J141" i="6"/>
  <c r="G59" i="7"/>
  <c r="F59" i="7" s="1"/>
  <c r="G141" i="6"/>
  <c r="G129" i="6"/>
  <c r="G60" i="6"/>
  <c r="G41" i="9" s="1"/>
  <c r="G6" i="6"/>
  <c r="E97" i="6"/>
  <c r="F97" i="6"/>
  <c r="G97" i="6"/>
  <c r="E98" i="6"/>
  <c r="F98" i="6"/>
  <c r="G98" i="6"/>
  <c r="E99" i="6"/>
  <c r="F99" i="6"/>
  <c r="G99" i="6"/>
  <c r="E100" i="6"/>
  <c r="F100" i="6"/>
  <c r="G100" i="6"/>
  <c r="E101" i="6"/>
  <c r="F101" i="6"/>
  <c r="G101" i="6"/>
  <c r="E102" i="6"/>
  <c r="F102" i="6"/>
  <c r="G102" i="6"/>
  <c r="E103" i="6"/>
  <c r="F103" i="6"/>
  <c r="G103" i="6"/>
  <c r="E104" i="6"/>
  <c r="F104" i="6"/>
  <c r="G104" i="6"/>
  <c r="E105" i="6"/>
  <c r="F105" i="6"/>
  <c r="G105" i="6"/>
  <c r="E106" i="6"/>
  <c r="F106" i="6"/>
  <c r="G106" i="6"/>
  <c r="E107" i="6"/>
  <c r="F107" i="6"/>
  <c r="G107" i="6"/>
  <c r="E108" i="6"/>
  <c r="F108" i="6"/>
  <c r="G108" i="6"/>
  <c r="E109" i="6"/>
  <c r="F109" i="6"/>
  <c r="G109" i="6"/>
  <c r="E110" i="6"/>
  <c r="F110" i="6"/>
  <c r="G110" i="6"/>
  <c r="E112" i="6"/>
  <c r="F112" i="6"/>
  <c r="G112" i="6"/>
  <c r="E113" i="6"/>
  <c r="F113" i="6"/>
  <c r="G113" i="6"/>
  <c r="E114" i="6"/>
  <c r="F114" i="6"/>
  <c r="G114" i="6"/>
  <c r="E115" i="6"/>
  <c r="F115" i="6"/>
  <c r="G115" i="6"/>
  <c r="E116" i="6"/>
  <c r="F116" i="6"/>
  <c r="G116" i="6"/>
  <c r="E117" i="6"/>
  <c r="F117" i="6"/>
  <c r="G117" i="6"/>
  <c r="E118" i="6"/>
  <c r="F118" i="6"/>
  <c r="G118" i="6"/>
  <c r="E119" i="6"/>
  <c r="F119" i="6"/>
  <c r="G119" i="6"/>
  <c r="E120" i="6"/>
  <c r="F120" i="6"/>
  <c r="G120" i="6"/>
  <c r="E121" i="6"/>
  <c r="F121" i="6"/>
  <c r="G121" i="6"/>
  <c r="E122" i="6"/>
  <c r="F122" i="6"/>
  <c r="E124" i="6"/>
  <c r="E25" i="9" s="1"/>
  <c r="F124" i="6"/>
  <c r="F25" i="9" s="1"/>
  <c r="G124" i="6"/>
  <c r="G25" i="9" s="1"/>
  <c r="E125" i="6"/>
  <c r="F125" i="6"/>
  <c r="G125" i="6"/>
  <c r="E126" i="6"/>
  <c r="F126" i="6"/>
  <c r="G126" i="6"/>
  <c r="E127" i="6"/>
  <c r="F127" i="6"/>
  <c r="G127" i="6"/>
  <c r="E128" i="6"/>
  <c r="F128" i="6"/>
  <c r="G128" i="6"/>
  <c r="E129" i="6"/>
  <c r="F129" i="6"/>
  <c r="E131" i="6"/>
  <c r="F131" i="6"/>
  <c r="G131" i="6"/>
  <c r="E132" i="6"/>
  <c r="F132" i="6"/>
  <c r="G132" i="6"/>
  <c r="E133" i="6"/>
  <c r="F133" i="6"/>
  <c r="G133" i="6"/>
  <c r="E134" i="6"/>
  <c r="F134" i="6"/>
  <c r="G134" i="6"/>
  <c r="E135" i="6"/>
  <c r="F135" i="6"/>
  <c r="G135" i="6"/>
  <c r="E136" i="6"/>
  <c r="F136" i="6"/>
  <c r="G136" i="6"/>
  <c r="E137" i="6"/>
  <c r="F137" i="6"/>
  <c r="G137" i="6"/>
  <c r="E138" i="6"/>
  <c r="F138" i="6"/>
  <c r="G138" i="6"/>
  <c r="E139" i="6"/>
  <c r="F139" i="6"/>
  <c r="G139" i="6"/>
  <c r="E140" i="6"/>
  <c r="F140" i="6"/>
  <c r="G140" i="6"/>
  <c r="E141" i="6"/>
  <c r="F141" i="6"/>
  <c r="E142" i="6"/>
  <c r="F142" i="6"/>
  <c r="E143" i="6"/>
  <c r="F143" i="6"/>
  <c r="G143" i="6"/>
  <c r="E144" i="6"/>
  <c r="F144" i="6"/>
  <c r="G144" i="6"/>
  <c r="H143" i="6" s="1"/>
  <c r="F95" i="6"/>
  <c r="G95" i="6"/>
  <c r="E95" i="6"/>
  <c r="E51" i="6"/>
  <c r="E32" i="9" s="1"/>
  <c r="F51" i="6"/>
  <c r="F32" i="9" s="1"/>
  <c r="G51" i="6"/>
  <c r="E52" i="6"/>
  <c r="E33" i="9" s="1"/>
  <c r="F52" i="6"/>
  <c r="F33" i="9" s="1"/>
  <c r="G52" i="6"/>
  <c r="E53" i="6"/>
  <c r="E34" i="9" s="1"/>
  <c r="F53" i="6"/>
  <c r="F34" i="9" s="1"/>
  <c r="G53" i="6"/>
  <c r="E54" i="6"/>
  <c r="E35" i="9" s="1"/>
  <c r="F54" i="6"/>
  <c r="F35" i="9" s="1"/>
  <c r="G54" i="6"/>
  <c r="E55" i="6"/>
  <c r="E36" i="9" s="1"/>
  <c r="F55" i="6"/>
  <c r="F36" i="9" s="1"/>
  <c r="G55" i="6"/>
  <c r="E56" i="6"/>
  <c r="E37" i="9" s="1"/>
  <c r="F56" i="6"/>
  <c r="F37" i="9" s="1"/>
  <c r="G56" i="6"/>
  <c r="E57" i="6"/>
  <c r="E38" i="9" s="1"/>
  <c r="F57" i="6"/>
  <c r="F38" i="9" s="1"/>
  <c r="G57" i="6"/>
  <c r="E58" i="6"/>
  <c r="E39" i="9" s="1"/>
  <c r="F58" i="6"/>
  <c r="F39" i="9" s="1"/>
  <c r="G58" i="6"/>
  <c r="E59" i="6"/>
  <c r="E40" i="9" s="1"/>
  <c r="F59" i="6"/>
  <c r="F40" i="9" s="1"/>
  <c r="G59" i="6"/>
  <c r="E60" i="6"/>
  <c r="E41" i="9" s="1"/>
  <c r="F60" i="6"/>
  <c r="F41" i="9" s="1"/>
  <c r="E61" i="6"/>
  <c r="F61" i="6"/>
  <c r="G61" i="6"/>
  <c r="E62" i="6"/>
  <c r="F62" i="6"/>
  <c r="G62" i="6"/>
  <c r="E63" i="6"/>
  <c r="F63" i="6"/>
  <c r="G63" i="6"/>
  <c r="E64" i="6"/>
  <c r="F64" i="6"/>
  <c r="G64" i="6"/>
  <c r="E65" i="6"/>
  <c r="F65" i="6"/>
  <c r="G65" i="6"/>
  <c r="E66" i="6"/>
  <c r="F66" i="6"/>
  <c r="G66" i="6"/>
  <c r="E67" i="6"/>
  <c r="F67" i="6"/>
  <c r="E70" i="6"/>
  <c r="E44" i="9" s="1"/>
  <c r="F70" i="6"/>
  <c r="F44" i="9" s="1"/>
  <c r="G70" i="6"/>
  <c r="E71" i="6"/>
  <c r="E45" i="9" s="1"/>
  <c r="F71" i="6"/>
  <c r="F45" i="9" s="1"/>
  <c r="G71" i="6"/>
  <c r="E72" i="6"/>
  <c r="E46" i="9" s="1"/>
  <c r="F72" i="6"/>
  <c r="F46" i="9" s="1"/>
  <c r="G72" i="6"/>
  <c r="E73" i="6"/>
  <c r="E47" i="9" s="1"/>
  <c r="F73" i="6"/>
  <c r="F47" i="9" s="1"/>
  <c r="G73" i="6"/>
  <c r="E74" i="6"/>
  <c r="E48" i="9" s="1"/>
  <c r="F74" i="6"/>
  <c r="F48" i="9" s="1"/>
  <c r="G74" i="6"/>
  <c r="E75" i="6"/>
  <c r="E49" i="9" s="1"/>
  <c r="F75" i="6"/>
  <c r="F49" i="9" s="1"/>
  <c r="G75" i="6"/>
  <c r="E76" i="6"/>
  <c r="E50" i="9" s="1"/>
  <c r="F76" i="6"/>
  <c r="F50" i="9" s="1"/>
  <c r="G76" i="6"/>
  <c r="E77" i="6"/>
  <c r="E51" i="9" s="1"/>
  <c r="F77" i="6"/>
  <c r="F51" i="9" s="1"/>
  <c r="G77" i="6"/>
  <c r="E78" i="6"/>
  <c r="E52" i="9" s="1"/>
  <c r="F78" i="6"/>
  <c r="F52" i="9" s="1"/>
  <c r="E79" i="6"/>
  <c r="F79" i="6"/>
  <c r="G79" i="6"/>
  <c r="E80" i="6"/>
  <c r="F80" i="6"/>
  <c r="G80" i="6"/>
  <c r="E81" i="6"/>
  <c r="F81" i="6"/>
  <c r="G81" i="6"/>
  <c r="E82" i="6"/>
  <c r="F82" i="6"/>
  <c r="G82" i="6"/>
  <c r="E83" i="6"/>
  <c r="F83" i="6"/>
  <c r="G83" i="6"/>
  <c r="E84" i="6"/>
  <c r="F84" i="6"/>
  <c r="G84" i="6"/>
  <c r="E85" i="6"/>
  <c r="F85" i="6"/>
  <c r="E87" i="6"/>
  <c r="F87" i="6"/>
  <c r="G87" i="6"/>
  <c r="E88" i="6"/>
  <c r="F88" i="6"/>
  <c r="G88" i="6"/>
  <c r="E89" i="6"/>
  <c r="F89" i="6"/>
  <c r="E90" i="6"/>
  <c r="F90" i="6"/>
  <c r="G90" i="6"/>
  <c r="F50" i="6"/>
  <c r="G50" i="6"/>
  <c r="E50" i="6"/>
  <c r="E5" i="6"/>
  <c r="F5" i="6"/>
  <c r="G5" i="6"/>
  <c r="E6" i="6"/>
  <c r="F6" i="6"/>
  <c r="E9" i="6"/>
  <c r="F9" i="6"/>
  <c r="G9" i="6"/>
  <c r="E10" i="6"/>
  <c r="F10" i="6"/>
  <c r="G10" i="6"/>
  <c r="E11" i="6"/>
  <c r="F11" i="6"/>
  <c r="G11" i="6"/>
  <c r="E12" i="6"/>
  <c r="E26" i="9" s="1"/>
  <c r="F12" i="6"/>
  <c r="F26" i="9" s="1"/>
  <c r="G12" i="6"/>
  <c r="G26" i="9" s="1"/>
  <c r="E13" i="6"/>
  <c r="F13" i="6"/>
  <c r="G13" i="6"/>
  <c r="E14" i="6"/>
  <c r="F14" i="6"/>
  <c r="H14" i="6" s="1"/>
  <c r="J14" i="6" s="1"/>
  <c r="L14" i="6" s="1"/>
  <c r="G14" i="6"/>
  <c r="I14" i="6" s="1"/>
  <c r="K14" i="6" s="1"/>
  <c r="M14" i="6" s="1"/>
  <c r="E15" i="6"/>
  <c r="E6" i="9" s="1"/>
  <c r="F15" i="6"/>
  <c r="F6" i="9" s="1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E22" i="6"/>
  <c r="F22" i="6"/>
  <c r="G22" i="6"/>
  <c r="E23" i="6"/>
  <c r="F23" i="6"/>
  <c r="G23" i="6"/>
  <c r="E24" i="6"/>
  <c r="F24" i="6"/>
  <c r="G24" i="6"/>
  <c r="E25" i="6"/>
  <c r="F25" i="6"/>
  <c r="G25" i="6"/>
  <c r="E26" i="6"/>
  <c r="C18" i="11" s="1"/>
  <c r="F26" i="6"/>
  <c r="D18" i="11" s="1"/>
  <c r="E27" i="6"/>
  <c r="F27" i="6"/>
  <c r="G27" i="6"/>
  <c r="E28" i="6"/>
  <c r="F28" i="6"/>
  <c r="G28" i="6"/>
  <c r="E30" i="6"/>
  <c r="F30" i="6"/>
  <c r="G30" i="6"/>
  <c r="E31" i="6"/>
  <c r="F31" i="6"/>
  <c r="G31" i="6"/>
  <c r="E32" i="6"/>
  <c r="F32" i="6"/>
  <c r="G32" i="6"/>
  <c r="E34" i="6"/>
  <c r="F34" i="6"/>
  <c r="G34" i="6"/>
  <c r="E35" i="6"/>
  <c r="F35" i="6"/>
  <c r="G35" i="6"/>
  <c r="E36" i="6"/>
  <c r="F36" i="6"/>
  <c r="G36" i="6"/>
  <c r="E38" i="6"/>
  <c r="F38" i="6"/>
  <c r="G38" i="6"/>
  <c r="E39" i="6"/>
  <c r="F39" i="6"/>
  <c r="G39" i="6"/>
  <c r="E40" i="6"/>
  <c r="F40" i="6"/>
  <c r="G40" i="6"/>
  <c r="E42" i="6"/>
  <c r="F42" i="6"/>
  <c r="G42" i="6"/>
  <c r="E43" i="6"/>
  <c r="F43" i="6"/>
  <c r="G43" i="6"/>
  <c r="F4" i="6"/>
  <c r="G4" i="6"/>
  <c r="E4" i="6"/>
  <c r="H151" i="4"/>
  <c r="I152" i="4"/>
  <c r="I153" i="4"/>
  <c r="H153" i="4"/>
  <c r="H152" i="4"/>
  <c r="G152" i="4"/>
  <c r="G153" i="4"/>
  <c r="G105" i="4"/>
  <c r="H105" i="4"/>
  <c r="I105" i="4"/>
  <c r="G106" i="4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I111" i="4"/>
  <c r="G112" i="4"/>
  <c r="H112" i="4"/>
  <c r="I112" i="4"/>
  <c r="G113" i="4"/>
  <c r="H113" i="4"/>
  <c r="I113" i="4"/>
  <c r="G114" i="4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H122" i="4"/>
  <c r="I122" i="4"/>
  <c r="G123" i="4"/>
  <c r="H123" i="4"/>
  <c r="I123" i="4"/>
  <c r="G124" i="4"/>
  <c r="H124" i="4"/>
  <c r="I124" i="4"/>
  <c r="G125" i="4"/>
  <c r="H125" i="4"/>
  <c r="I125" i="4"/>
  <c r="G126" i="4"/>
  <c r="H126" i="4"/>
  <c r="I126" i="4"/>
  <c r="G127" i="4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I132" i="4"/>
  <c r="G133" i="4"/>
  <c r="H133" i="4"/>
  <c r="I133" i="4"/>
  <c r="G134" i="4"/>
  <c r="H134" i="4"/>
  <c r="I134" i="4"/>
  <c r="G135" i="4"/>
  <c r="H135" i="4"/>
  <c r="I135" i="4"/>
  <c r="G136" i="4"/>
  <c r="H136" i="4"/>
  <c r="I136" i="4"/>
  <c r="G137" i="4"/>
  <c r="H137" i="4"/>
  <c r="I137" i="4"/>
  <c r="G138" i="4"/>
  <c r="H138" i="4"/>
  <c r="I138" i="4"/>
  <c r="G139" i="4"/>
  <c r="H139" i="4"/>
  <c r="I139" i="4"/>
  <c r="G140" i="4"/>
  <c r="H140" i="4"/>
  <c r="I140" i="4"/>
  <c r="G141" i="4"/>
  <c r="H141" i="4"/>
  <c r="I141" i="4"/>
  <c r="G142" i="4"/>
  <c r="H142" i="4"/>
  <c r="I142" i="4"/>
  <c r="G143" i="4"/>
  <c r="H143" i="4"/>
  <c r="I143" i="4"/>
  <c r="G144" i="4"/>
  <c r="H144" i="4"/>
  <c r="I144" i="4"/>
  <c r="G145" i="4"/>
  <c r="H145" i="4"/>
  <c r="I145" i="4"/>
  <c r="G146" i="4"/>
  <c r="H146" i="4"/>
  <c r="I146" i="4"/>
  <c r="G147" i="4"/>
  <c r="H147" i="4"/>
  <c r="I147" i="4"/>
  <c r="G148" i="4"/>
  <c r="H148" i="4"/>
  <c r="I148" i="4"/>
  <c r="G149" i="4"/>
  <c r="H149" i="4"/>
  <c r="I149" i="4"/>
  <c r="G150" i="4"/>
  <c r="H150" i="4"/>
  <c r="I150" i="4"/>
  <c r="G151" i="4"/>
  <c r="I151" i="4"/>
  <c r="G58" i="4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H63" i="4"/>
  <c r="I63" i="4"/>
  <c r="G64" i="4"/>
  <c r="H64" i="4"/>
  <c r="I64" i="4"/>
  <c r="G65" i="4"/>
  <c r="H65" i="4"/>
  <c r="I65" i="4"/>
  <c r="G66" i="4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H79" i="4"/>
  <c r="I79" i="4"/>
  <c r="G80" i="4"/>
  <c r="H80" i="4"/>
  <c r="I80" i="4"/>
  <c r="G81" i="4"/>
  <c r="H81" i="4"/>
  <c r="I81" i="4"/>
  <c r="G82" i="4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H95" i="4"/>
  <c r="I95" i="4"/>
  <c r="G96" i="4"/>
  <c r="H96" i="4"/>
  <c r="I96" i="4"/>
  <c r="G97" i="4"/>
  <c r="H97" i="4"/>
  <c r="I97" i="4"/>
  <c r="G8" i="4"/>
  <c r="H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H42" i="4"/>
  <c r="I42" i="4"/>
  <c r="G43" i="4"/>
  <c r="H43" i="4"/>
  <c r="I43" i="4"/>
  <c r="G44" i="4"/>
  <c r="H44" i="4"/>
  <c r="I44" i="4"/>
  <c r="G45" i="4"/>
  <c r="H45" i="4"/>
  <c r="I45" i="4"/>
  <c r="I104" i="4"/>
  <c r="H104" i="4"/>
  <c r="G104" i="4"/>
  <c r="I57" i="4"/>
  <c r="H57" i="4"/>
  <c r="G57" i="4"/>
  <c r="G7" i="4"/>
  <c r="H7" i="4"/>
  <c r="I7" i="4"/>
  <c r="G95" i="2"/>
  <c r="H95" i="2" s="1"/>
  <c r="I95" i="2" s="1"/>
  <c r="J95" i="2" s="1"/>
  <c r="K95" i="2" s="1"/>
  <c r="L95" i="2" s="1"/>
  <c r="F94" i="2"/>
  <c r="G94" i="2" s="1"/>
  <c r="H94" i="2" s="1"/>
  <c r="I94" i="2" s="1"/>
  <c r="J94" i="2" s="1"/>
  <c r="K94" i="2" s="1"/>
  <c r="L94" i="2" s="1"/>
  <c r="F93" i="2"/>
  <c r="G93" i="2" s="1"/>
  <c r="H93" i="2" s="1"/>
  <c r="I93" i="2" s="1"/>
  <c r="D98" i="2"/>
  <c r="F39" i="2"/>
  <c r="G39" i="2" s="1"/>
  <c r="E39" i="2"/>
  <c r="F37" i="2"/>
  <c r="G37" i="2" s="1"/>
  <c r="E37" i="2"/>
  <c r="F35" i="2"/>
  <c r="G35" i="2" s="1"/>
  <c r="E35" i="2"/>
  <c r="E33" i="2"/>
  <c r="F33" i="2"/>
  <c r="G33" i="2" s="1"/>
  <c r="E76" i="2"/>
  <c r="E74" i="2"/>
  <c r="E72" i="2"/>
  <c r="E70" i="2"/>
  <c r="E78" i="2"/>
  <c r="F78" i="2"/>
  <c r="E105" i="2"/>
  <c r="E106" i="2" s="1"/>
  <c r="F107" i="2"/>
  <c r="F105" i="2"/>
  <c r="E102" i="2"/>
  <c r="F102" i="2"/>
  <c r="F26" i="2" s="1"/>
  <c r="F64" i="2"/>
  <c r="H56" i="2"/>
  <c r="I56" i="2"/>
  <c r="J56" i="2"/>
  <c r="K56" i="2"/>
  <c r="H57" i="2"/>
  <c r="I57" i="2"/>
  <c r="G57" i="2"/>
  <c r="G56" i="2"/>
  <c r="E46" i="2"/>
  <c r="F46" i="2"/>
  <c r="D58" i="2"/>
  <c r="E58" i="2"/>
  <c r="E103" i="2" s="1"/>
  <c r="E104" i="2" s="1"/>
  <c r="F58" i="2"/>
  <c r="F103" i="2" s="1"/>
  <c r="E21" i="2"/>
  <c r="F21" i="2"/>
  <c r="Q15" i="1"/>
  <c r="M15" i="1"/>
  <c r="N15" i="1"/>
  <c r="O15" i="1"/>
  <c r="P15" i="1"/>
  <c r="P14" i="1"/>
  <c r="O9" i="1"/>
  <c r="N8" i="1"/>
  <c r="L11" i="1"/>
  <c r="L10" i="1"/>
  <c r="L15" i="1" s="1"/>
  <c r="D22" i="1"/>
  <c r="D21" i="1"/>
  <c r="J14" i="1"/>
  <c r="J11" i="1"/>
  <c r="J10" i="1"/>
  <c r="J9" i="1"/>
  <c r="J8" i="1"/>
  <c r="C22" i="1"/>
  <c r="B39" i="1"/>
  <c r="B34" i="1"/>
  <c r="C21" i="1" s="1"/>
  <c r="M2" i="1"/>
  <c r="N2" i="1" s="1"/>
  <c r="O2" i="1" s="1"/>
  <c r="P2" i="1" s="1"/>
  <c r="C13" i="1"/>
  <c r="C15" i="1" s="1"/>
  <c r="C18" i="1" s="1"/>
  <c r="C6" i="1"/>
  <c r="D25" i="1"/>
  <c r="C25" i="1"/>
  <c r="L23" i="2" l="1"/>
  <c r="L24" i="2"/>
  <c r="L21" i="2" a="1"/>
  <c r="L21" i="2" s="1"/>
  <c r="F104" i="2"/>
  <c r="L10" i="2"/>
  <c r="L9" i="2" s="1" a="1"/>
  <c r="L9" i="2" s="1"/>
  <c r="L57" i="2" s="1"/>
  <c r="K9" i="2" a="1"/>
  <c r="K9" i="2" s="1"/>
  <c r="K57" i="2" s="1"/>
  <c r="I61" i="12"/>
  <c r="H10" i="12"/>
  <c r="I10" i="12" s="1"/>
  <c r="J10" i="12" s="1"/>
  <c r="K10" i="12" s="1"/>
  <c r="L10" i="12" s="1"/>
  <c r="M10" i="12" s="1"/>
  <c r="G87" i="12"/>
  <c r="G28" i="12"/>
  <c r="H17" i="12" s="1"/>
  <c r="H73" i="12"/>
  <c r="H74" i="12" s="1"/>
  <c r="I69" i="12"/>
  <c r="H11" i="12"/>
  <c r="I11" i="12" s="1"/>
  <c r="J11" i="12" s="1"/>
  <c r="K11" i="12" s="1"/>
  <c r="L11" i="12" s="1"/>
  <c r="M11" i="12" s="1"/>
  <c r="H9" i="12"/>
  <c r="I9" i="12" s="1"/>
  <c r="J9" i="12" s="1"/>
  <c r="K9" i="12" s="1"/>
  <c r="L9" i="12" s="1"/>
  <c r="M9" i="12" s="1"/>
  <c r="I52" i="12"/>
  <c r="H65" i="12"/>
  <c r="H66" i="12" s="1"/>
  <c r="H21" i="12"/>
  <c r="H135" i="6" s="1"/>
  <c r="H13" i="12"/>
  <c r="I78" i="12"/>
  <c r="H8" i="12"/>
  <c r="I42" i="12"/>
  <c r="H56" i="12"/>
  <c r="H57" i="12" s="1"/>
  <c r="F106" i="2"/>
  <c r="F70" i="2"/>
  <c r="F108" i="2"/>
  <c r="G41" i="2"/>
  <c r="F78" i="7"/>
  <c r="H78" i="7" s="1"/>
  <c r="E10" i="11"/>
  <c r="G6" i="9"/>
  <c r="H6" i="9" s="1"/>
  <c r="I6" i="9" s="1"/>
  <c r="H10" i="6"/>
  <c r="I10" i="6" s="1"/>
  <c r="D10" i="11"/>
  <c r="I5" i="6"/>
  <c r="J5" i="6" s="1"/>
  <c r="C16" i="11"/>
  <c r="H81" i="6"/>
  <c r="I81" i="6" s="1"/>
  <c r="J81" i="6" s="1"/>
  <c r="K81" i="6" s="1"/>
  <c r="L81" i="6" s="1"/>
  <c r="M81" i="6" s="1"/>
  <c r="F109" i="7"/>
  <c r="H74" i="6"/>
  <c r="G48" i="9"/>
  <c r="F102" i="7"/>
  <c r="H70" i="6"/>
  <c r="G44" i="9"/>
  <c r="F98" i="7"/>
  <c r="H65" i="6"/>
  <c r="I65" i="6" s="1"/>
  <c r="J65" i="6" s="1"/>
  <c r="K65" i="6" s="1"/>
  <c r="L65" i="6" s="1"/>
  <c r="M65" i="6" s="1"/>
  <c r="F93" i="7"/>
  <c r="H93" i="7" s="1"/>
  <c r="G27" i="9"/>
  <c r="H24" i="9" s="1"/>
  <c r="F89" i="7"/>
  <c r="H89" i="7" s="1"/>
  <c r="E54" i="9"/>
  <c r="H58" i="6"/>
  <c r="F86" i="7"/>
  <c r="H86" i="7" s="1"/>
  <c r="G39" i="9"/>
  <c r="G35" i="9"/>
  <c r="F82" i="7"/>
  <c r="H82" i="7" s="1"/>
  <c r="H82" i="6"/>
  <c r="I82" i="6" s="1"/>
  <c r="J82" i="6" s="1"/>
  <c r="K82" i="6" s="1"/>
  <c r="L82" i="6" s="1"/>
  <c r="M82" i="6" s="1"/>
  <c r="F110" i="7"/>
  <c r="H75" i="6"/>
  <c r="G49" i="9"/>
  <c r="F103" i="7"/>
  <c r="H71" i="6"/>
  <c r="G45" i="9"/>
  <c r="F99" i="7"/>
  <c r="H66" i="6"/>
  <c r="I66" i="6" s="1"/>
  <c r="J66" i="6" s="1"/>
  <c r="K66" i="6" s="1"/>
  <c r="L66" i="6" s="1"/>
  <c r="M66" i="6" s="1"/>
  <c r="F94" i="7"/>
  <c r="H94" i="7" s="1"/>
  <c r="H62" i="6"/>
  <c r="I62" i="6" s="1"/>
  <c r="J62" i="6" s="1"/>
  <c r="K62" i="6" s="1"/>
  <c r="L62" i="6" s="1"/>
  <c r="M62" i="6" s="1"/>
  <c r="F90" i="7"/>
  <c r="H90" i="7" s="1"/>
  <c r="H59" i="6"/>
  <c r="G40" i="9"/>
  <c r="F87" i="7"/>
  <c r="H87" i="7" s="1"/>
  <c r="H55" i="6"/>
  <c r="F83" i="7"/>
  <c r="H83" i="7" s="1"/>
  <c r="G36" i="9"/>
  <c r="G12" i="9"/>
  <c r="G32" i="9"/>
  <c r="F79" i="7"/>
  <c r="H79" i="7" s="1"/>
  <c r="H87" i="6"/>
  <c r="I87" i="6" s="1"/>
  <c r="J87" i="6" s="1"/>
  <c r="K87" i="6" s="1"/>
  <c r="L87" i="6" s="1"/>
  <c r="M87" i="6" s="1"/>
  <c r="F115" i="7"/>
  <c r="H83" i="6"/>
  <c r="I83" i="6" s="1"/>
  <c r="J83" i="6" s="1"/>
  <c r="K83" i="6" s="1"/>
  <c r="L83" i="6" s="1"/>
  <c r="M83" i="6" s="1"/>
  <c r="F111" i="7"/>
  <c r="F107" i="7"/>
  <c r="H76" i="6"/>
  <c r="F104" i="7"/>
  <c r="G50" i="9"/>
  <c r="H72" i="6"/>
  <c r="F100" i="7"/>
  <c r="G46" i="9"/>
  <c r="H63" i="6"/>
  <c r="I63" i="6" s="1"/>
  <c r="J63" i="6" s="1"/>
  <c r="K63" i="6" s="1"/>
  <c r="L63" i="6" s="1"/>
  <c r="M63" i="6" s="1"/>
  <c r="F91" i="7"/>
  <c r="H91" i="7" s="1"/>
  <c r="H56" i="6"/>
  <c r="F84" i="7"/>
  <c r="H84" i="7" s="1"/>
  <c r="G37" i="9"/>
  <c r="G13" i="9"/>
  <c r="F80" i="7"/>
  <c r="H80" i="7" s="1"/>
  <c r="G33" i="9"/>
  <c r="D14" i="11"/>
  <c r="D16" i="11"/>
  <c r="H88" i="6"/>
  <c r="I88" i="6" s="1"/>
  <c r="J88" i="6" s="1"/>
  <c r="K88" i="6" s="1"/>
  <c r="L88" i="6" s="1"/>
  <c r="M88" i="6" s="1"/>
  <c r="F116" i="7"/>
  <c r="H84" i="6"/>
  <c r="I84" i="6" s="1"/>
  <c r="J84" i="6" s="1"/>
  <c r="K84" i="6" s="1"/>
  <c r="L84" i="6" s="1"/>
  <c r="M84" i="6" s="1"/>
  <c r="F112" i="7"/>
  <c r="H80" i="6"/>
  <c r="I80" i="6" s="1"/>
  <c r="J80" i="6" s="1"/>
  <c r="K80" i="6" s="1"/>
  <c r="L80" i="6" s="1"/>
  <c r="M80" i="6" s="1"/>
  <c r="F108" i="7"/>
  <c r="H77" i="6"/>
  <c r="G51" i="9"/>
  <c r="F105" i="7"/>
  <c r="F101" i="7"/>
  <c r="G47" i="9"/>
  <c r="H64" i="6"/>
  <c r="I64" i="6" s="1"/>
  <c r="J64" i="6" s="1"/>
  <c r="K64" i="6" s="1"/>
  <c r="L64" i="6" s="1"/>
  <c r="M64" i="6" s="1"/>
  <c r="F92" i="7"/>
  <c r="H92" i="7" s="1"/>
  <c r="F54" i="9"/>
  <c r="H57" i="6"/>
  <c r="F85" i="7"/>
  <c r="H85" i="7" s="1"/>
  <c r="G38" i="9"/>
  <c r="H53" i="6"/>
  <c r="I53" i="6" s="1"/>
  <c r="G34" i="9"/>
  <c r="F81" i="7"/>
  <c r="H81" i="7" s="1"/>
  <c r="E5" i="9"/>
  <c r="G14" i="9"/>
  <c r="E13" i="9"/>
  <c r="E19" i="9"/>
  <c r="G5" i="9"/>
  <c r="E14" i="9"/>
  <c r="F12" i="9"/>
  <c r="F14" i="9"/>
  <c r="G19" i="9"/>
  <c r="F13" i="9"/>
  <c r="E12" i="9"/>
  <c r="F19" i="9"/>
  <c r="F5" i="9"/>
  <c r="F4" i="9"/>
  <c r="E4" i="9"/>
  <c r="G4" i="9"/>
  <c r="F98" i="2"/>
  <c r="F72" i="2"/>
  <c r="F74" i="2"/>
  <c r="F76" i="2"/>
  <c r="G20" i="6"/>
  <c r="G89" i="6"/>
  <c r="G122" i="6"/>
  <c r="G142" i="6" s="1"/>
  <c r="G67" i="6"/>
  <c r="G91" i="6" s="1"/>
  <c r="G78" i="6"/>
  <c r="F91" i="6"/>
  <c r="J93" i="2"/>
  <c r="E73" i="2"/>
  <c r="F71" i="2"/>
  <c r="E59" i="2"/>
  <c r="E71" i="2"/>
  <c r="E77" i="2"/>
  <c r="E75" i="2"/>
  <c r="F45" i="2"/>
  <c r="E45" i="2"/>
  <c r="F59" i="2"/>
  <c r="E98" i="2"/>
  <c r="H35" i="2"/>
  <c r="G20" i="2"/>
  <c r="G43" i="2" s="1"/>
  <c r="G51" i="2" s="1"/>
  <c r="G62" i="2" s="1"/>
  <c r="C26" i="1"/>
  <c r="D26" i="1"/>
  <c r="D27" i="1"/>
  <c r="C27" i="1"/>
  <c r="J15" i="1"/>
  <c r="C23" i="1" s="1"/>
  <c r="D23" i="1" s="1"/>
  <c r="D28" i="1" s="1"/>
  <c r="I45" i="12" l="1"/>
  <c r="G88" i="12"/>
  <c r="H86" i="12"/>
  <c r="I70" i="12"/>
  <c r="I71" i="12" s="1"/>
  <c r="I80" i="12"/>
  <c r="I53" i="12"/>
  <c r="I54" i="12" s="1"/>
  <c r="I62" i="12"/>
  <c r="I63" i="12"/>
  <c r="J61" i="12" s="1"/>
  <c r="H5" i="9"/>
  <c r="I87" i="2"/>
  <c r="J87" i="2" s="1"/>
  <c r="K87" i="2" s="1"/>
  <c r="H91" i="2"/>
  <c r="K5" i="6"/>
  <c r="L5" i="6" s="1"/>
  <c r="D12" i="11"/>
  <c r="H34" i="9"/>
  <c r="H88" i="7"/>
  <c r="H95" i="7" s="1"/>
  <c r="K6" i="7" s="1"/>
  <c r="C14" i="11"/>
  <c r="C12" i="11" s="1"/>
  <c r="H12" i="9"/>
  <c r="G85" i="6"/>
  <c r="G52" i="9"/>
  <c r="G54" i="9" s="1"/>
  <c r="G55" i="9" s="1"/>
  <c r="F88" i="7"/>
  <c r="F95" i="7" s="1"/>
  <c r="I71" i="6"/>
  <c r="H45" i="9"/>
  <c r="F106" i="7"/>
  <c r="G26" i="6"/>
  <c r="E18" i="11" s="1"/>
  <c r="E16" i="11"/>
  <c r="E14" i="11"/>
  <c r="E12" i="11" s="1"/>
  <c r="I56" i="6"/>
  <c r="H37" i="9"/>
  <c r="I76" i="6"/>
  <c r="H50" i="9"/>
  <c r="I59" i="6"/>
  <c r="H40" i="9"/>
  <c r="I74" i="6"/>
  <c r="H48" i="9"/>
  <c r="I72" i="6"/>
  <c r="H46" i="9"/>
  <c r="F117" i="7"/>
  <c r="I55" i="6"/>
  <c r="H36" i="9"/>
  <c r="I58" i="6"/>
  <c r="H39" i="9"/>
  <c r="I70" i="6"/>
  <c r="H44" i="9"/>
  <c r="I57" i="6"/>
  <c r="H38" i="9"/>
  <c r="I77" i="6"/>
  <c r="H51" i="9"/>
  <c r="I75" i="6"/>
  <c r="H49" i="9"/>
  <c r="F55" i="9"/>
  <c r="J10" i="6"/>
  <c r="J53" i="6"/>
  <c r="I34" i="9"/>
  <c r="H13" i="9"/>
  <c r="I13" i="9" s="1"/>
  <c r="J13" i="9" s="1"/>
  <c r="H14" i="9"/>
  <c r="I14" i="9" s="1"/>
  <c r="I12" i="9"/>
  <c r="H19" i="9"/>
  <c r="J6" i="9"/>
  <c r="K6" i="9" s="1"/>
  <c r="I89" i="2"/>
  <c r="H44" i="2"/>
  <c r="F73" i="2"/>
  <c r="F47" i="2"/>
  <c r="E47" i="2"/>
  <c r="F75" i="2"/>
  <c r="I85" i="2"/>
  <c r="F77" i="2"/>
  <c r="F57" i="2"/>
  <c r="F56" i="2"/>
  <c r="K93" i="2"/>
  <c r="L93" i="2" s="1"/>
  <c r="E79" i="2"/>
  <c r="D79" i="2"/>
  <c r="G40" i="2"/>
  <c r="G102" i="2" s="1"/>
  <c r="G25" i="2" s="1"/>
  <c r="F26" i="11" s="1"/>
  <c r="G45" i="2"/>
  <c r="G52" i="2" s="1"/>
  <c r="I41" i="2"/>
  <c r="H20" i="2"/>
  <c r="I35" i="2"/>
  <c r="D29" i="1"/>
  <c r="C28" i="1"/>
  <c r="C29" i="1"/>
  <c r="C11" i="7" l="1"/>
  <c r="G53" i="2"/>
  <c r="G63" i="2"/>
  <c r="J69" i="12"/>
  <c r="I73" i="12"/>
  <c r="I74" i="12" s="1"/>
  <c r="J52" i="12"/>
  <c r="I56" i="12"/>
  <c r="I57" i="12" s="1"/>
  <c r="I65" i="12"/>
  <c r="I66" i="12" s="1"/>
  <c r="J78" i="12"/>
  <c r="I13" i="12"/>
  <c r="I8" i="12"/>
  <c r="J42" i="12"/>
  <c r="J62" i="12"/>
  <c r="J63" i="12" s="1"/>
  <c r="I82" i="12"/>
  <c r="I83" i="12" s="1"/>
  <c r="I47" i="12"/>
  <c r="I48" i="12" s="1"/>
  <c r="I5" i="9"/>
  <c r="I91" i="2"/>
  <c r="L87" i="2"/>
  <c r="H43" i="2"/>
  <c r="H51" i="2" s="1"/>
  <c r="H62" i="2" s="1"/>
  <c r="J72" i="6"/>
  <c r="I46" i="9"/>
  <c r="J59" i="6"/>
  <c r="I40" i="9"/>
  <c r="J56" i="6"/>
  <c r="I37" i="9"/>
  <c r="H8" i="7"/>
  <c r="F113" i="7"/>
  <c r="F118" i="7" s="1"/>
  <c r="J77" i="6"/>
  <c r="I51" i="9"/>
  <c r="J70" i="6"/>
  <c r="I44" i="9"/>
  <c r="J55" i="6"/>
  <c r="I36" i="9"/>
  <c r="J74" i="6"/>
  <c r="I48" i="9"/>
  <c r="J76" i="6"/>
  <c r="I50" i="9"/>
  <c r="J71" i="6"/>
  <c r="I45" i="9"/>
  <c r="J75" i="6"/>
  <c r="I49" i="9"/>
  <c r="J57" i="6"/>
  <c r="I38" i="9"/>
  <c r="J58" i="6"/>
  <c r="I39" i="9"/>
  <c r="K10" i="6"/>
  <c r="K53" i="6"/>
  <c r="J34" i="9"/>
  <c r="K13" i="9"/>
  <c r="L13" i="9" s="1"/>
  <c r="M13" i="9" s="1"/>
  <c r="I19" i="9"/>
  <c r="J14" i="9"/>
  <c r="J12" i="9"/>
  <c r="K12" i="9" s="1"/>
  <c r="L6" i="9"/>
  <c r="M6" i="9" s="1"/>
  <c r="M5" i="6"/>
  <c r="E86" i="2"/>
  <c r="E84" i="2"/>
  <c r="E88" i="2"/>
  <c r="F88" i="2"/>
  <c r="F86" i="2"/>
  <c r="F84" i="2"/>
  <c r="J89" i="2"/>
  <c r="I44" i="2"/>
  <c r="F79" i="2"/>
  <c r="G47" i="2"/>
  <c r="J85" i="2"/>
  <c r="G38" i="2"/>
  <c r="G77" i="2" s="1"/>
  <c r="G36" i="2"/>
  <c r="G75" i="2" s="1"/>
  <c r="G34" i="2"/>
  <c r="G73" i="2" s="1"/>
  <c r="G32" i="2"/>
  <c r="G71" i="2" s="1"/>
  <c r="H40" i="2"/>
  <c r="H102" i="2" s="1"/>
  <c r="H25" i="2" s="1"/>
  <c r="G26" i="11" s="1"/>
  <c r="H45" i="2"/>
  <c r="H52" i="2" s="1"/>
  <c r="H63" i="2" s="1"/>
  <c r="I20" i="2"/>
  <c r="J39" i="2"/>
  <c r="J35" i="2"/>
  <c r="J41" i="2"/>
  <c r="K14" i="7" l="1"/>
  <c r="I9" i="7"/>
  <c r="I14" i="7"/>
  <c r="K61" i="12"/>
  <c r="J65" i="12"/>
  <c r="J66" i="12" s="1"/>
  <c r="J80" i="12"/>
  <c r="J82" i="12" s="1"/>
  <c r="J83" i="12" s="1"/>
  <c r="J53" i="12"/>
  <c r="J54" i="12" s="1"/>
  <c r="K52" i="12" s="1"/>
  <c r="J45" i="12"/>
  <c r="J70" i="12"/>
  <c r="J71" i="12"/>
  <c r="K69" i="12" s="1"/>
  <c r="H53" i="2"/>
  <c r="I43" i="2"/>
  <c r="I51" i="2" s="1"/>
  <c r="I62" i="2" s="1"/>
  <c r="J5" i="9"/>
  <c r="J91" i="2"/>
  <c r="K57" i="6"/>
  <c r="J38" i="9"/>
  <c r="K71" i="6"/>
  <c r="J45" i="9"/>
  <c r="K74" i="6"/>
  <c r="J48" i="9"/>
  <c r="K70" i="6"/>
  <c r="J44" i="9"/>
  <c r="K9" i="7"/>
  <c r="K59" i="6"/>
  <c r="J40" i="9"/>
  <c r="K58" i="6"/>
  <c r="J39" i="9"/>
  <c r="K75" i="6"/>
  <c r="J49" i="9"/>
  <c r="K76" i="6"/>
  <c r="J50" i="9"/>
  <c r="K55" i="6"/>
  <c r="J36" i="9"/>
  <c r="K77" i="6"/>
  <c r="J51" i="9"/>
  <c r="K56" i="6"/>
  <c r="J37" i="9"/>
  <c r="K72" i="6"/>
  <c r="J46" i="9"/>
  <c r="L10" i="6"/>
  <c r="L53" i="6"/>
  <c r="K34" i="9"/>
  <c r="K14" i="9"/>
  <c r="L14" i="9" s="1"/>
  <c r="M14" i="9" s="1"/>
  <c r="J19" i="9"/>
  <c r="K19" i="9" s="1"/>
  <c r="L12" i="9"/>
  <c r="M12" i="9" s="1"/>
  <c r="G84" i="2"/>
  <c r="G88" i="2"/>
  <c r="G86" i="2"/>
  <c r="K89" i="2"/>
  <c r="L89" i="2" s="1"/>
  <c r="J44" i="2"/>
  <c r="H47" i="2"/>
  <c r="G64" i="2"/>
  <c r="H4" i="6" s="1"/>
  <c r="H32" i="2"/>
  <c r="H71" i="2" s="1"/>
  <c r="H38" i="2"/>
  <c r="H77" i="2" s="1"/>
  <c r="H36" i="2"/>
  <c r="H75" i="2" s="1"/>
  <c r="H34" i="2"/>
  <c r="K85" i="2"/>
  <c r="G78" i="2"/>
  <c r="I40" i="2"/>
  <c r="I102" i="2" s="1"/>
  <c r="I25" i="2" s="1"/>
  <c r="H26" i="11" s="1"/>
  <c r="I45" i="2"/>
  <c r="I52" i="2" s="1"/>
  <c r="I63" i="2" s="1"/>
  <c r="K35" i="2"/>
  <c r="L35" i="2" s="1"/>
  <c r="J20" i="2"/>
  <c r="L41" i="2" l="1"/>
  <c r="K41" i="2"/>
  <c r="K42" i="12"/>
  <c r="J8" i="12"/>
  <c r="J56" i="12"/>
  <c r="J57" i="12" s="1"/>
  <c r="K70" i="12"/>
  <c r="K71" i="12" s="1"/>
  <c r="J73" i="12"/>
  <c r="J74" i="12" s="1"/>
  <c r="K53" i="12"/>
  <c r="K54" i="12" s="1"/>
  <c r="L52" i="12" s="1"/>
  <c r="K78" i="12"/>
  <c r="J13" i="12"/>
  <c r="J47" i="12"/>
  <c r="J48" i="12" s="1"/>
  <c r="K62" i="12"/>
  <c r="K63" i="12" s="1"/>
  <c r="L61" i="12" s="1"/>
  <c r="I53" i="2"/>
  <c r="K5" i="9"/>
  <c r="L5" i="9" s="1"/>
  <c r="L85" i="2"/>
  <c r="L91" i="2" s="1"/>
  <c r="K91" i="2"/>
  <c r="J43" i="2"/>
  <c r="J51" i="2" s="1"/>
  <c r="K20" i="2"/>
  <c r="L20" i="2"/>
  <c r="L70" i="6"/>
  <c r="K44" i="9"/>
  <c r="L71" i="6"/>
  <c r="K45" i="9"/>
  <c r="H51" i="6"/>
  <c r="H32" i="9" s="1"/>
  <c r="L72" i="6"/>
  <c r="K46" i="9"/>
  <c r="L77" i="6"/>
  <c r="K51" i="9"/>
  <c r="L76" i="6"/>
  <c r="K50" i="9"/>
  <c r="L58" i="6"/>
  <c r="K39" i="9"/>
  <c r="L56" i="6"/>
  <c r="K37" i="9"/>
  <c r="L55" i="6"/>
  <c r="K36" i="9"/>
  <c r="L75" i="6"/>
  <c r="K49" i="9"/>
  <c r="L59" i="6"/>
  <c r="K40" i="9"/>
  <c r="L74" i="6"/>
  <c r="K48" i="9"/>
  <c r="L57" i="6"/>
  <c r="K38" i="9"/>
  <c r="M10" i="6"/>
  <c r="M53" i="6"/>
  <c r="M34" i="9" s="1"/>
  <c r="L34" i="9"/>
  <c r="L19" i="9"/>
  <c r="M19" i="9" s="1"/>
  <c r="H88" i="2"/>
  <c r="H86" i="2"/>
  <c r="H84" i="2"/>
  <c r="I47" i="2"/>
  <c r="H52" i="6"/>
  <c r="H33" i="9" s="1"/>
  <c r="H6" i="6"/>
  <c r="F9" i="11" s="1"/>
  <c r="H64" i="2"/>
  <c r="I4" i="6" s="1"/>
  <c r="I32" i="2"/>
  <c r="I71" i="2" s="1"/>
  <c r="I36" i="2"/>
  <c r="I75" i="2" s="1"/>
  <c r="I34" i="2"/>
  <c r="I38" i="2"/>
  <c r="I77" i="2" s="1"/>
  <c r="H9" i="6"/>
  <c r="F11" i="11" s="1"/>
  <c r="H73" i="2"/>
  <c r="H78" i="2" s="1"/>
  <c r="I9" i="6" s="1"/>
  <c r="I54" i="6" s="1"/>
  <c r="I35" i="9" s="1"/>
  <c r="J40" i="2"/>
  <c r="J102" i="2" s="1"/>
  <c r="J25" i="2" s="1"/>
  <c r="I26" i="11" s="1"/>
  <c r="J45" i="2"/>
  <c r="J52" i="2" s="1"/>
  <c r="J63" i="2" s="1"/>
  <c r="G11" i="11" l="1"/>
  <c r="J53" i="2"/>
  <c r="J62" i="2"/>
  <c r="L69" i="12"/>
  <c r="K73" i="12"/>
  <c r="K74" i="12" s="1"/>
  <c r="K65" i="12"/>
  <c r="K66" i="12" s="1"/>
  <c r="K80" i="12"/>
  <c r="K82" i="12" s="1"/>
  <c r="K83" i="12" s="1"/>
  <c r="L53" i="12"/>
  <c r="L54" i="12" s="1"/>
  <c r="M52" i="12" s="1"/>
  <c r="L70" i="12"/>
  <c r="L71" i="12" s="1"/>
  <c r="M69" i="12" s="1"/>
  <c r="L62" i="12"/>
  <c r="L63" i="12" s="1"/>
  <c r="K56" i="12"/>
  <c r="K57" i="12" s="1"/>
  <c r="K45" i="12"/>
  <c r="K47" i="12" s="1"/>
  <c r="K48" i="12" s="1"/>
  <c r="K40" i="2"/>
  <c r="K32" i="2" s="1"/>
  <c r="K71" i="2" s="1"/>
  <c r="M5" i="9"/>
  <c r="H112" i="6"/>
  <c r="L44" i="2"/>
  <c r="L43" i="2" s="1"/>
  <c r="L51" i="2" s="1"/>
  <c r="L62" i="2" s="1"/>
  <c r="K44" i="2"/>
  <c r="K43" i="2" s="1"/>
  <c r="K45" i="2"/>
  <c r="K52" i="2" s="1"/>
  <c r="K63" i="2" s="1"/>
  <c r="L40" i="2"/>
  <c r="I6" i="6"/>
  <c r="G9" i="11" s="1"/>
  <c r="I52" i="6"/>
  <c r="I51" i="6"/>
  <c r="M74" i="6"/>
  <c r="M48" i="9" s="1"/>
  <c r="L48" i="9"/>
  <c r="M75" i="6"/>
  <c r="M49" i="9" s="1"/>
  <c r="L49" i="9"/>
  <c r="M56" i="6"/>
  <c r="M37" i="9" s="1"/>
  <c r="L37" i="9"/>
  <c r="M76" i="6"/>
  <c r="M50" i="9" s="1"/>
  <c r="L50" i="9"/>
  <c r="M72" i="6"/>
  <c r="M46" i="9" s="1"/>
  <c r="L46" i="9"/>
  <c r="M71" i="6"/>
  <c r="M45" i="9" s="1"/>
  <c r="L45" i="9"/>
  <c r="H54" i="6"/>
  <c r="H35" i="9" s="1"/>
  <c r="H73" i="6"/>
  <c r="M57" i="6"/>
  <c r="M38" i="9" s="1"/>
  <c r="L38" i="9"/>
  <c r="M59" i="6"/>
  <c r="M40" i="9" s="1"/>
  <c r="L40" i="9"/>
  <c r="M55" i="6"/>
  <c r="M36" i="9" s="1"/>
  <c r="L36" i="9"/>
  <c r="M58" i="6"/>
  <c r="M39" i="9" s="1"/>
  <c r="L39" i="9"/>
  <c r="M77" i="6"/>
  <c r="M51" i="9" s="1"/>
  <c r="L51" i="9"/>
  <c r="L44" i="9"/>
  <c r="M70" i="6"/>
  <c r="M44" i="9" s="1"/>
  <c r="H15" i="6"/>
  <c r="H25" i="9"/>
  <c r="H124" i="6" s="1"/>
  <c r="H113" i="6"/>
  <c r="I86" i="2"/>
  <c r="I84" i="2"/>
  <c r="I88" i="2"/>
  <c r="J47" i="2"/>
  <c r="I64" i="2"/>
  <c r="J4" i="6" s="1"/>
  <c r="K36" i="2"/>
  <c r="K75" i="2" s="1"/>
  <c r="I73" i="2"/>
  <c r="I78" i="2" s="1"/>
  <c r="J9" i="6" s="1"/>
  <c r="J54" i="6" s="1"/>
  <c r="J114" i="6" s="1"/>
  <c r="J32" i="2"/>
  <c r="J71" i="2" s="1"/>
  <c r="J36" i="2"/>
  <c r="J75" i="2" s="1"/>
  <c r="J34" i="2"/>
  <c r="J38" i="2"/>
  <c r="J77" i="2" s="1"/>
  <c r="H11" i="11" l="1"/>
  <c r="K38" i="2"/>
  <c r="K77" i="2" s="1"/>
  <c r="M61" i="12"/>
  <c r="L65" i="12"/>
  <c r="L66" i="12" s="1"/>
  <c r="M53" i="12"/>
  <c r="M54" i="12" s="1"/>
  <c r="M56" i="12" s="1"/>
  <c r="M57" i="12" s="1"/>
  <c r="K8" i="12"/>
  <c r="L42" i="12"/>
  <c r="L78" i="12"/>
  <c r="K13" i="12"/>
  <c r="M70" i="12"/>
  <c r="M71" i="12" s="1"/>
  <c r="M73" i="12" s="1"/>
  <c r="M74" i="12" s="1"/>
  <c r="L73" i="12"/>
  <c r="L74" i="12" s="1"/>
  <c r="L56" i="12"/>
  <c r="L57" i="12" s="1"/>
  <c r="K51" i="2"/>
  <c r="K34" i="2"/>
  <c r="K102" i="2"/>
  <c r="K25" i="2" s="1"/>
  <c r="J26" i="11" s="1"/>
  <c r="K47" i="2"/>
  <c r="K86" i="2" s="1"/>
  <c r="L45" i="2"/>
  <c r="J35" i="9"/>
  <c r="I114" i="6"/>
  <c r="H114" i="6"/>
  <c r="L102" i="2"/>
  <c r="L25" i="2" s="1"/>
  <c r="K26" i="11" s="1"/>
  <c r="L34" i="2"/>
  <c r="L73" i="2" s="1"/>
  <c r="L38" i="2"/>
  <c r="L77" i="2" s="1"/>
  <c r="L32" i="2"/>
  <c r="L71" i="2" s="1"/>
  <c r="L36" i="2"/>
  <c r="L75" i="2" s="1"/>
  <c r="J6" i="6"/>
  <c r="H9" i="11" s="1"/>
  <c r="J52" i="6"/>
  <c r="J51" i="6"/>
  <c r="J32" i="9" s="1"/>
  <c r="I33" i="9"/>
  <c r="I32" i="9"/>
  <c r="I112" i="6"/>
  <c r="I113" i="6"/>
  <c r="I25" i="9"/>
  <c r="I124" i="6" s="1"/>
  <c r="I15" i="6"/>
  <c r="H118" i="6"/>
  <c r="H47" i="9"/>
  <c r="H78" i="6"/>
  <c r="I73" i="6"/>
  <c r="H129" i="6"/>
  <c r="H19" i="12" s="1"/>
  <c r="F52" i="7"/>
  <c r="J86" i="2"/>
  <c r="J84" i="2"/>
  <c r="J88" i="2"/>
  <c r="J64" i="2"/>
  <c r="J73" i="2"/>
  <c r="J78" i="2" s="1"/>
  <c r="K9" i="6" s="1"/>
  <c r="K54" i="6" s="1"/>
  <c r="K73" i="2"/>
  <c r="G58" i="2"/>
  <c r="F27" i="11" s="1"/>
  <c r="H58" i="2"/>
  <c r="I58" i="2"/>
  <c r="K78" i="2" l="1"/>
  <c r="L9" i="6" s="1"/>
  <c r="L54" i="6" s="1"/>
  <c r="L35" i="9" s="1"/>
  <c r="K88" i="2"/>
  <c r="K84" i="2"/>
  <c r="H103" i="2"/>
  <c r="G27" i="11"/>
  <c r="I103" i="2"/>
  <c r="H27" i="11"/>
  <c r="K53" i="2"/>
  <c r="K62" i="2"/>
  <c r="K64" i="2" s="1"/>
  <c r="K58" i="2" s="1"/>
  <c r="J27" i="11" s="1"/>
  <c r="L80" i="12"/>
  <c r="L82" i="12"/>
  <c r="L83" i="12" s="1"/>
  <c r="L45" i="12"/>
  <c r="L47" i="12" s="1"/>
  <c r="L48" i="12" s="1"/>
  <c r="M63" i="12"/>
  <c r="M65" i="12" s="1"/>
  <c r="M66" i="12" s="1"/>
  <c r="M62" i="12"/>
  <c r="L52" i="2"/>
  <c r="L47" i="2"/>
  <c r="L84" i="2" s="1"/>
  <c r="K35" i="9"/>
  <c r="G59" i="2"/>
  <c r="G103" i="2"/>
  <c r="G104" i="2" s="1"/>
  <c r="K114" i="6"/>
  <c r="L78" i="2"/>
  <c r="J58" i="2"/>
  <c r="K4" i="6"/>
  <c r="I11" i="11" s="1"/>
  <c r="J33" i="9"/>
  <c r="J113" i="6"/>
  <c r="J112" i="6"/>
  <c r="J25" i="9"/>
  <c r="J124" i="6" s="1"/>
  <c r="J15" i="6"/>
  <c r="G52" i="7"/>
  <c r="I129" i="6"/>
  <c r="I19" i="12" s="1"/>
  <c r="H52" i="9"/>
  <c r="I47" i="9"/>
  <c r="I78" i="6"/>
  <c r="J73" i="6"/>
  <c r="I90" i="2"/>
  <c r="I107" i="2" s="1"/>
  <c r="H29" i="11" s="1"/>
  <c r="I59" i="2"/>
  <c r="H97" i="2"/>
  <c r="H59" i="2"/>
  <c r="J97" i="2"/>
  <c r="L114" i="6" l="1"/>
  <c r="I104" i="2"/>
  <c r="L4" i="6"/>
  <c r="J11" i="11" s="1"/>
  <c r="L53" i="2"/>
  <c r="L63" i="2"/>
  <c r="L64" i="2" s="1"/>
  <c r="M4" i="6" s="1"/>
  <c r="M51" i="6" s="1"/>
  <c r="M32" i="9" s="1"/>
  <c r="J103" i="2"/>
  <c r="J104" i="2" s="1"/>
  <c r="I27" i="11"/>
  <c r="L8" i="12"/>
  <c r="M42" i="12"/>
  <c r="L13" i="12"/>
  <c r="M78" i="12"/>
  <c r="L86" i="2"/>
  <c r="L88" i="2"/>
  <c r="K59" i="2"/>
  <c r="J59" i="2"/>
  <c r="H104" i="2"/>
  <c r="J98" i="2"/>
  <c r="K11" i="6"/>
  <c r="H98" i="2"/>
  <c r="H105" i="2" s="1"/>
  <c r="G28" i="11" s="1"/>
  <c r="I11" i="6"/>
  <c r="M9" i="6"/>
  <c r="M54" i="6" s="1"/>
  <c r="K103" i="2"/>
  <c r="K6" i="6"/>
  <c r="I9" i="11" s="1"/>
  <c r="K52" i="6"/>
  <c r="K51" i="6"/>
  <c r="J129" i="6"/>
  <c r="J19" i="12" s="1"/>
  <c r="H52" i="7"/>
  <c r="I52" i="9"/>
  <c r="J47" i="9"/>
  <c r="K73" i="6"/>
  <c r="J78" i="6"/>
  <c r="G97" i="2"/>
  <c r="F90" i="2"/>
  <c r="F97" i="2"/>
  <c r="I97" i="2"/>
  <c r="K97" i="2"/>
  <c r="H90" i="2"/>
  <c r="H107" i="2" s="1"/>
  <c r="G29" i="11" s="1"/>
  <c r="E97" i="2"/>
  <c r="E90" i="2"/>
  <c r="G90" i="2"/>
  <c r="G107" i="2" s="1"/>
  <c r="J90" i="2"/>
  <c r="J107" i="2" s="1"/>
  <c r="K90" i="2"/>
  <c r="K107" i="2" s="1"/>
  <c r="J29" i="11" s="1"/>
  <c r="D33" i="2"/>
  <c r="D35" i="2"/>
  <c r="D37" i="2"/>
  <c r="D39" i="2"/>
  <c r="D45" i="2"/>
  <c r="D102" i="2"/>
  <c r="L90" i="2" l="1"/>
  <c r="L107" i="2" s="1"/>
  <c r="K29" i="11" s="1"/>
  <c r="L51" i="6"/>
  <c r="L32" i="9" s="1"/>
  <c r="L52" i="6"/>
  <c r="L33" i="9" s="1"/>
  <c r="L97" i="2"/>
  <c r="L98" i="2" s="1"/>
  <c r="L6" i="6"/>
  <c r="J9" i="11" s="1"/>
  <c r="M6" i="6"/>
  <c r="K9" i="11" s="1"/>
  <c r="L58" i="2"/>
  <c r="L59" i="2" s="1"/>
  <c r="M52" i="6"/>
  <c r="M33" i="9" s="1"/>
  <c r="G108" i="2"/>
  <c r="F29" i="11"/>
  <c r="J108" i="2"/>
  <c r="I29" i="11"/>
  <c r="K11" i="11"/>
  <c r="M80" i="12"/>
  <c r="M13" i="12" s="1"/>
  <c r="M45" i="12"/>
  <c r="M8" i="12" s="1"/>
  <c r="H108" i="2"/>
  <c r="G98" i="2"/>
  <c r="G105" i="2" s="1"/>
  <c r="H11" i="6"/>
  <c r="I98" i="2"/>
  <c r="I105" i="2" s="1"/>
  <c r="J11" i="6"/>
  <c r="K108" i="2"/>
  <c r="M35" i="9"/>
  <c r="M114" i="6"/>
  <c r="K98" i="2"/>
  <c r="K105" i="2" s="1"/>
  <c r="J28" i="11" s="1"/>
  <c r="L11" i="6"/>
  <c r="K104" i="2"/>
  <c r="K33" i="9"/>
  <c r="K113" i="6"/>
  <c r="K32" i="9"/>
  <c r="K112" i="6"/>
  <c r="I12" i="11"/>
  <c r="K25" i="9"/>
  <c r="K124" i="6" s="1"/>
  <c r="K15" i="6"/>
  <c r="K47" i="9"/>
  <c r="L73" i="6"/>
  <c r="K78" i="6"/>
  <c r="J52" i="9"/>
  <c r="I108" i="2"/>
  <c r="J105" i="2"/>
  <c r="I28" i="11" s="1"/>
  <c r="D47" i="2"/>
  <c r="L108" i="2" l="1"/>
  <c r="M112" i="6"/>
  <c r="L112" i="6"/>
  <c r="L113" i="6"/>
  <c r="M11" i="6"/>
  <c r="L25" i="9"/>
  <c r="L124" i="6" s="1"/>
  <c r="L129" i="6" s="1"/>
  <c r="L19" i="12" s="1"/>
  <c r="M25" i="9"/>
  <c r="M124" i="6" s="1"/>
  <c r="M129" i="6" s="1"/>
  <c r="M19" i="12" s="1"/>
  <c r="M15" i="6"/>
  <c r="K12" i="11"/>
  <c r="L103" i="2"/>
  <c r="L104" i="2" s="1"/>
  <c r="L15" i="6"/>
  <c r="K10" i="11"/>
  <c r="L105" i="2"/>
  <c r="K28" i="11" s="1"/>
  <c r="M113" i="6"/>
  <c r="K27" i="11"/>
  <c r="I106" i="2"/>
  <c r="H28" i="11"/>
  <c r="G106" i="2"/>
  <c r="F28" i="11"/>
  <c r="M47" i="12"/>
  <c r="M48" i="12" s="1"/>
  <c r="M82" i="12"/>
  <c r="M83" i="12" s="1"/>
  <c r="H106" i="2"/>
  <c r="J12" i="11"/>
  <c r="J10" i="11"/>
  <c r="I10" i="11"/>
  <c r="K129" i="6"/>
  <c r="K19" i="12" s="1"/>
  <c r="I52" i="7"/>
  <c r="K52" i="9"/>
  <c r="L47" i="9"/>
  <c r="M73" i="6"/>
  <c r="L78" i="6"/>
  <c r="K106" i="2"/>
  <c r="J106" i="2"/>
  <c r="D88" i="2"/>
  <c r="D86" i="2"/>
  <c r="D84" i="2"/>
  <c r="J52" i="7" l="1"/>
  <c r="L106" i="2"/>
  <c r="D90" i="2"/>
  <c r="D97" i="2"/>
  <c r="M47" i="9"/>
  <c r="M78" i="6"/>
  <c r="L52" i="9"/>
  <c r="H10" i="11"/>
  <c r="F12" i="11"/>
  <c r="G12" i="11"/>
  <c r="H12" i="11"/>
  <c r="G10" i="11"/>
  <c r="F10" i="11"/>
  <c r="M52" i="9" l="1"/>
  <c r="H10" i="9"/>
  <c r="I10" i="9"/>
  <c r="J10" i="9"/>
  <c r="K10" i="9"/>
  <c r="L10" i="9"/>
  <c r="M10" i="9"/>
  <c r="I24" i="9"/>
  <c r="J24" i="9"/>
  <c r="K24" i="9"/>
  <c r="L24" i="9"/>
  <c r="M24" i="9"/>
  <c r="H26" i="9"/>
  <c r="I26" i="9"/>
  <c r="J26" i="9"/>
  <c r="K26" i="9"/>
  <c r="L26" i="9"/>
  <c r="M26" i="9"/>
  <c r="H27" i="9"/>
  <c r="I27" i="9"/>
  <c r="J27" i="9"/>
  <c r="K27" i="9"/>
  <c r="L27" i="9"/>
  <c r="M27" i="9"/>
  <c r="H41" i="9"/>
  <c r="I41" i="9"/>
  <c r="J41" i="9"/>
  <c r="K41" i="9"/>
  <c r="L41" i="9"/>
  <c r="M41" i="9"/>
  <c r="H54" i="9"/>
  <c r="I54" i="9"/>
  <c r="J54" i="9"/>
  <c r="K54" i="9"/>
  <c r="L54" i="9"/>
  <c r="M54" i="9"/>
  <c r="H55" i="9"/>
  <c r="I55" i="9"/>
  <c r="J55" i="9"/>
  <c r="K55" i="9"/>
  <c r="L55" i="9"/>
  <c r="M55" i="9"/>
  <c r="H7" i="12"/>
  <c r="I7" i="12"/>
  <c r="J7" i="12"/>
  <c r="K7" i="12"/>
  <c r="L7" i="12"/>
  <c r="M7" i="12"/>
  <c r="H12" i="12"/>
  <c r="I12" i="12"/>
  <c r="J12" i="12"/>
  <c r="K12" i="12"/>
  <c r="L12" i="12"/>
  <c r="M12" i="12"/>
  <c r="H14" i="12"/>
  <c r="I14" i="12"/>
  <c r="J14" i="12"/>
  <c r="K14" i="12"/>
  <c r="L14" i="12"/>
  <c r="M14" i="12"/>
  <c r="I17" i="12"/>
  <c r="J17" i="12"/>
  <c r="K17" i="12"/>
  <c r="L17" i="12"/>
  <c r="M17" i="12"/>
  <c r="H18" i="12"/>
  <c r="I18" i="12"/>
  <c r="J18" i="12"/>
  <c r="K18" i="12"/>
  <c r="L18" i="12"/>
  <c r="M18" i="12"/>
  <c r="H23" i="12"/>
  <c r="I23" i="12"/>
  <c r="J23" i="12"/>
  <c r="K23" i="12"/>
  <c r="L23" i="12"/>
  <c r="M23" i="12"/>
  <c r="H24" i="12"/>
  <c r="I24" i="12"/>
  <c r="J24" i="12"/>
  <c r="K24" i="12"/>
  <c r="L24" i="12"/>
  <c r="M24" i="12"/>
  <c r="H25" i="12"/>
  <c r="I25" i="12"/>
  <c r="J25" i="12"/>
  <c r="K25" i="12"/>
  <c r="L25" i="12"/>
  <c r="M25" i="12"/>
  <c r="H28" i="12"/>
  <c r="I28" i="12"/>
  <c r="J28" i="12"/>
  <c r="K28" i="12"/>
  <c r="L28" i="12"/>
  <c r="M28" i="12"/>
  <c r="I31" i="12"/>
  <c r="J31" i="12"/>
  <c r="K31" i="12"/>
  <c r="L31" i="12"/>
  <c r="M31" i="12"/>
  <c r="H32" i="12"/>
  <c r="I32" i="12"/>
  <c r="J32" i="12"/>
  <c r="K32" i="12"/>
  <c r="L32" i="12"/>
  <c r="M32" i="12"/>
  <c r="H33" i="12"/>
  <c r="I33" i="12"/>
  <c r="J33" i="12"/>
  <c r="K33" i="12"/>
  <c r="L33" i="12"/>
  <c r="M33" i="12"/>
  <c r="H35" i="12"/>
  <c r="I35" i="12"/>
  <c r="J35" i="12"/>
  <c r="K35" i="12"/>
  <c r="L35" i="12"/>
  <c r="M35" i="12"/>
  <c r="H36" i="12"/>
  <c r="I36" i="12"/>
  <c r="J36" i="12"/>
  <c r="K36" i="12"/>
  <c r="L36" i="12"/>
  <c r="M36" i="12"/>
  <c r="H38" i="12"/>
  <c r="I38" i="12"/>
  <c r="J38" i="12"/>
  <c r="K38" i="12"/>
  <c r="L38" i="12"/>
  <c r="M38" i="12"/>
  <c r="H39" i="12"/>
  <c r="I39" i="12"/>
  <c r="J39" i="12"/>
  <c r="K39" i="12"/>
  <c r="L39" i="12"/>
  <c r="M39" i="12"/>
  <c r="I86" i="12"/>
  <c r="J86" i="12"/>
  <c r="K86" i="12"/>
  <c r="L86" i="12"/>
  <c r="M86" i="12"/>
  <c r="H87" i="12"/>
  <c r="I87" i="12"/>
  <c r="J87" i="12"/>
  <c r="K87" i="12"/>
  <c r="L87" i="12"/>
  <c r="M87" i="12"/>
  <c r="H88" i="12"/>
  <c r="I88" i="12"/>
  <c r="J88" i="12"/>
  <c r="K88" i="12"/>
  <c r="L88" i="12"/>
  <c r="M88" i="12"/>
  <c r="H90" i="12"/>
  <c r="I90" i="12"/>
  <c r="J90" i="12"/>
  <c r="K90" i="12"/>
  <c r="L90" i="12"/>
  <c r="M90" i="12"/>
  <c r="F13" i="11"/>
  <c r="G13" i="11"/>
  <c r="H13" i="11"/>
  <c r="I13" i="11"/>
  <c r="J13" i="11"/>
  <c r="K13" i="11"/>
  <c r="F14" i="11"/>
  <c r="G14" i="11"/>
  <c r="H14" i="11"/>
  <c r="I14" i="11"/>
  <c r="J14" i="11"/>
  <c r="K14" i="11"/>
  <c r="F15" i="11"/>
  <c r="G15" i="11"/>
  <c r="H15" i="11"/>
  <c r="I15" i="11"/>
  <c r="J15" i="11"/>
  <c r="K15" i="11"/>
  <c r="F16" i="11"/>
  <c r="G16" i="11"/>
  <c r="H16" i="11"/>
  <c r="I16" i="11"/>
  <c r="J16" i="11"/>
  <c r="K16" i="11"/>
  <c r="F17" i="11"/>
  <c r="G17" i="11"/>
  <c r="H17" i="11"/>
  <c r="I17" i="11"/>
  <c r="J17" i="11"/>
  <c r="K17" i="11"/>
  <c r="F18" i="11"/>
  <c r="G18" i="11"/>
  <c r="H18" i="11"/>
  <c r="I18" i="11"/>
  <c r="J18" i="11"/>
  <c r="K18" i="11"/>
  <c r="F21" i="11"/>
  <c r="G21" i="11"/>
  <c r="H21" i="11"/>
  <c r="I21" i="11"/>
  <c r="J21" i="11"/>
  <c r="K21" i="11"/>
  <c r="F22" i="11"/>
  <c r="G22" i="11"/>
  <c r="H22" i="11"/>
  <c r="I22" i="11"/>
  <c r="J22" i="11"/>
  <c r="K22" i="11"/>
  <c r="F23" i="11"/>
  <c r="G23" i="11"/>
  <c r="H23" i="11"/>
  <c r="I23" i="11"/>
  <c r="J23" i="11"/>
  <c r="K23" i="11"/>
  <c r="F33" i="11"/>
  <c r="G33" i="11"/>
  <c r="H33" i="11"/>
  <c r="I33" i="11"/>
  <c r="J33" i="11"/>
  <c r="K33" i="11"/>
  <c r="F35" i="11"/>
  <c r="G35" i="11"/>
  <c r="H35" i="11"/>
  <c r="I35" i="11"/>
  <c r="J35" i="11"/>
  <c r="K35" i="11"/>
  <c r="F36" i="11"/>
  <c r="G36" i="11"/>
  <c r="H36" i="11"/>
  <c r="I36" i="11"/>
  <c r="J36" i="11"/>
  <c r="K36" i="11"/>
  <c r="F37" i="11"/>
  <c r="G37" i="11"/>
  <c r="H37" i="11"/>
  <c r="I37" i="11"/>
  <c r="J37" i="11"/>
  <c r="K37" i="11"/>
  <c r="H12" i="6"/>
  <c r="I12" i="6"/>
  <c r="J12" i="6"/>
  <c r="K12" i="6"/>
  <c r="L12" i="6"/>
  <c r="M12" i="6"/>
  <c r="H20" i="6"/>
  <c r="I20" i="6"/>
  <c r="J20" i="6"/>
  <c r="K20" i="6"/>
  <c r="L20" i="6"/>
  <c r="M20" i="6"/>
  <c r="H22" i="6"/>
  <c r="I22" i="6"/>
  <c r="J22" i="6"/>
  <c r="K22" i="6"/>
  <c r="L22" i="6"/>
  <c r="M22" i="6"/>
  <c r="H26" i="6"/>
  <c r="I26" i="6"/>
  <c r="J26" i="6"/>
  <c r="K26" i="6"/>
  <c r="L26" i="6"/>
  <c r="M26" i="6"/>
  <c r="H50" i="6"/>
  <c r="I50" i="6"/>
  <c r="J50" i="6"/>
  <c r="K50" i="6"/>
  <c r="L50" i="6"/>
  <c r="M50" i="6"/>
  <c r="H60" i="6"/>
  <c r="I60" i="6"/>
  <c r="J60" i="6"/>
  <c r="K60" i="6"/>
  <c r="L60" i="6"/>
  <c r="M60" i="6"/>
  <c r="H61" i="6"/>
  <c r="I61" i="6"/>
  <c r="J61" i="6"/>
  <c r="K61" i="6"/>
  <c r="L61" i="6"/>
  <c r="M61" i="6"/>
  <c r="H67" i="6"/>
  <c r="I67" i="6"/>
  <c r="J67" i="6"/>
  <c r="K67" i="6"/>
  <c r="L67" i="6"/>
  <c r="M67" i="6"/>
  <c r="H79" i="6"/>
  <c r="I79" i="6"/>
  <c r="J79" i="6"/>
  <c r="K79" i="6"/>
  <c r="L79" i="6"/>
  <c r="M79" i="6"/>
  <c r="H85" i="6"/>
  <c r="I85" i="6"/>
  <c r="J85" i="6"/>
  <c r="K85" i="6"/>
  <c r="L85" i="6"/>
  <c r="M85" i="6"/>
  <c r="H89" i="6"/>
  <c r="I89" i="6"/>
  <c r="J89" i="6"/>
  <c r="K89" i="6"/>
  <c r="L89" i="6"/>
  <c r="M89" i="6"/>
  <c r="H90" i="6"/>
  <c r="I90" i="6"/>
  <c r="J90" i="6"/>
  <c r="K90" i="6"/>
  <c r="L90" i="6"/>
  <c r="M90" i="6"/>
  <c r="H91" i="6"/>
  <c r="I91" i="6"/>
  <c r="J91" i="6"/>
  <c r="K91" i="6"/>
  <c r="L91" i="6"/>
  <c r="M91" i="6"/>
  <c r="H92" i="6"/>
  <c r="I92" i="6"/>
  <c r="J92" i="6"/>
  <c r="K92" i="6"/>
  <c r="L92" i="6"/>
  <c r="M92" i="6"/>
  <c r="H95" i="6"/>
  <c r="I95" i="6"/>
  <c r="J95" i="6"/>
  <c r="K95" i="6"/>
  <c r="L95" i="6"/>
  <c r="M95" i="6"/>
  <c r="H97" i="6"/>
  <c r="I97" i="6"/>
  <c r="J97" i="6"/>
  <c r="K97" i="6"/>
  <c r="L97" i="6"/>
  <c r="M97" i="6"/>
  <c r="H122" i="6"/>
  <c r="I122" i="6"/>
  <c r="J122" i="6"/>
  <c r="K122" i="6"/>
  <c r="L122" i="6"/>
  <c r="M122" i="6"/>
  <c r="H132" i="6"/>
  <c r="H141" i="6"/>
  <c r="H142" i="6"/>
  <c r="I142" i="6"/>
  <c r="J142" i="6"/>
  <c r="K142" i="6"/>
  <c r="L142" i="6"/>
  <c r="M142" i="6"/>
  <c r="I143" i="6"/>
  <c r="J143" i="6"/>
  <c r="K143" i="6"/>
  <c r="L143" i="6"/>
  <c r="M143" i="6"/>
  <c r="H144" i="6"/>
  <c r="I144" i="6"/>
  <c r="J144" i="6"/>
  <c r="K144" i="6"/>
  <c r="L144" i="6"/>
  <c r="M144" i="6"/>
  <c r="J6" i="7"/>
  <c r="B9" i="7"/>
  <c r="C9" i="7"/>
  <c r="D9" i="7"/>
  <c r="J9" i="7"/>
  <c r="B10" i="7"/>
  <c r="C10" i="7"/>
  <c r="D10" i="7"/>
  <c r="J10" i="7"/>
  <c r="J11" i="7"/>
  <c r="J12" i="7"/>
  <c r="J13" i="7"/>
  <c r="J14" i="7"/>
  <c r="C30" i="7"/>
  <c r="G30" i="7"/>
  <c r="A37" i="7"/>
  <c r="B37" i="7"/>
  <c r="C37" i="7"/>
  <c r="E37" i="7"/>
  <c r="F37" i="7"/>
  <c r="G37" i="7"/>
  <c r="F44" i="7"/>
  <c r="G44" i="7"/>
  <c r="H44" i="7"/>
  <c r="I44" i="7"/>
  <c r="J44" i="7"/>
  <c r="K44" i="7"/>
  <c r="F45" i="7"/>
  <c r="G45" i="7"/>
  <c r="H45" i="7"/>
  <c r="I45" i="7"/>
  <c r="J45" i="7"/>
  <c r="K45" i="7"/>
  <c r="F46" i="7"/>
  <c r="G46" i="7"/>
  <c r="H46" i="7"/>
  <c r="I46" i="7"/>
  <c r="J46" i="7"/>
  <c r="K46" i="7"/>
  <c r="L46" i="7"/>
  <c r="F48" i="7"/>
  <c r="G48" i="7"/>
  <c r="H48" i="7"/>
  <c r="I48" i="7"/>
  <c r="J48" i="7"/>
  <c r="F50" i="7"/>
  <c r="G50" i="7"/>
  <c r="H50" i="7"/>
  <c r="I50" i="7"/>
  <c r="J50" i="7"/>
  <c r="F51" i="7"/>
  <c r="G51" i="7"/>
  <c r="H51" i="7"/>
  <c r="I51" i="7"/>
  <c r="J51" i="7"/>
  <c r="F53" i="7"/>
  <c r="G53" i="7"/>
  <c r="H53" i="7"/>
  <c r="I53" i="7"/>
  <c r="J53" i="7"/>
  <c r="F54" i="7"/>
  <c r="G54" i="7"/>
  <c r="H54" i="7"/>
  <c r="I54" i="7"/>
  <c r="J54" i="7"/>
  <c r="K54" i="7"/>
  <c r="L54" i="7"/>
  <c r="F56" i="7"/>
  <c r="G56" i="7"/>
  <c r="H56" i="7"/>
  <c r="I56" i="7"/>
  <c r="J56" i="7"/>
  <c r="K56" i="7"/>
  <c r="L56" i="7"/>
  <c r="E59" i="7"/>
  <c r="E6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Li</author>
  </authors>
  <commentList>
    <comment ref="B46" authorId="0" shapeId="0" xr:uid="{4BBEAEE1-051A-46E8-A8BB-F8BAB6DA0D2D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3mo T</t>
        </r>
      </text>
    </comment>
    <comment ref="B53" authorId="0" shapeId="0" xr:uid="{45AC0853-EA5E-490A-8971-286152D18699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Used Average Debt / Equity of comps instead of target debt to equity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Li</author>
  </authors>
  <commentList>
    <comment ref="B5" authorId="0" shapeId="0" xr:uid="{F5FAD7D4-E71B-4328-93C0-4D7DFE15B7C0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Assumes run rate of 1Q19 associated with Murray royalty payments and flat thereafter</t>
        </r>
      </text>
    </comment>
    <comment ref="H5" authorId="0" shapeId="0" xr:uid="{CF247F8D-66A7-447D-94BA-CCF201CEF3B1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Assumes run rate 1Q19 and averaged thereafter</t>
        </r>
      </text>
    </comment>
    <comment ref="H13" authorId="0" shapeId="0" xr:uid="{C07698E3-DD35-438E-8453-6C4C4ACB38FE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Incorporates Q1 number  and controls for large write-off due to push down and Hillsboro. Previous year occurred in Q1 as well</t>
        </r>
      </text>
    </comment>
    <comment ref="H14" authorId="0" shapeId="0" xr:uid="{0C7CE4DB-8485-48F9-B407-932017F98F95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adjusts for $10.9mm associated with hillsboro</t>
        </r>
      </text>
    </comment>
    <comment ref="H16" authorId="0" shapeId="0" xr:uid="{39CCE7BE-E772-4F23-8EC0-488976C4F4E1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previous two years associated with hillboro writeoff. Year before relates to prepaid royalties also associated with hillsboro. 1Q19 earnings call no mention of additional impairment</t>
        </r>
      </text>
    </comment>
    <comment ref="H18" authorId="0" shapeId="0" xr:uid="{CB9DAC1A-A41D-47C7-88AF-1366F56D05EF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no mention of newly opened commodity contracts</t>
        </r>
      </text>
    </comment>
    <comment ref="H19" authorId="0" shapeId="0" xr:uid="{1B04B368-DDAA-43F1-9906-CEF89EBE9969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assumes no additional insurance paypouts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Li</author>
  </authors>
  <commentList>
    <comment ref="D39" authorId="0" shapeId="0" xr:uid="{329AA4D9-8D45-4F94-B2D4-DAAD325DD909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b/c above 3.5x leverage</t>
        </r>
      </text>
    </comment>
    <comment ref="H43" authorId="0" shapeId="0" xr:uid="{C2E91972-52E7-4844-9287-935D41087826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due to 2018 ECF. Assumed to be similar to 2017 number to maturity due to similar cash flow profile</t>
        </r>
      </text>
    </comment>
    <comment ref="H44" authorId="0" shapeId="0" xr:uid="{2C3739B2-3ADC-422A-B9AF-EEBF700284BA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ECF Sweep from 2017 prepaid all amort on TL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Li</author>
  </authors>
  <commentList>
    <comment ref="H4" authorId="0" shapeId="0" xr:uid="{AC1304E4-E2A7-4A8E-AEE8-3326397871EA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Conform to Capex guidance of 70-85mm</t>
        </r>
      </text>
    </comment>
    <comment ref="H6" authorId="0" shapeId="0" xr:uid="{A0B52472-717D-4881-B1A6-9F2A00D094D4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adjusts for increased legal expense associated with hillsboro but leaves higher cost associated with export volume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Li</author>
  </authors>
  <commentList>
    <comment ref="A5" authorId="0" shapeId="0" xr:uid="{1118912B-3EB9-4F9B-B371-03874A3B7708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CME ICE IL Basin Coal</t>
        </r>
      </text>
    </comment>
    <comment ref="A9" authorId="0" shapeId="0" xr:uid="{7F50B83F-3EF1-4FDB-83A0-AAD12A6104B7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CME API2 Strip is bull case</t>
        </r>
      </text>
    </comment>
    <comment ref="A15" authorId="0" shapeId="0" xr:uid="{4D12F3CB-16EC-482E-B00C-863C6A427D01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S&amp;P Mining Report</t>
        </r>
      </text>
    </comment>
    <comment ref="G22" authorId="0" shapeId="0" xr:uid="{A154E6E9-9C2D-47DF-B9CF-AF634C36F595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expectation that share will fall due to distress / leverage overhang and reliability issues - directionally confirms with low end of mgmt guidance of 20-22mm </t>
        </r>
      </text>
    </comment>
    <comment ref="G23" authorId="0" shapeId="0" xr:uid="{F75CB738-DC51-491D-80C0-DDE2066AEB79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expectation that share will fall due to distress / leverage overhang and reliability issues - directionally confirms with low end of mgmt guidance of 20-22mm </t>
        </r>
      </text>
    </comment>
    <comment ref="G24" authorId="0" shapeId="0" xr:uid="{62565557-6859-4892-8115-223AEE74E1DF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expectation that share will fall due to distress / leverage overhang and reliability issues - directionally confirms with low end of mgmt guidance of 20-22mm </t>
        </r>
      </text>
    </comment>
    <comment ref="G35" authorId="0" shapeId="0" xr:uid="{585CCFB1-9DF6-4B02-AE65-E31F4E748089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mgmt guided will not be shifting capacity away from sugar camp</t>
        </r>
      </text>
    </comment>
    <comment ref="G46" authorId="0" shapeId="0" xr:uid="{73637CAB-7850-4D67-A349-31653585AA8A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contracted 6 tons expecting minor overperformance based on previous year guidance and performance</t>
        </r>
      </text>
    </comment>
    <comment ref="G74" authorId="0" shapeId="0" xr:uid="{5E8992A6-7703-49E3-957F-D658A84DB698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mining cost sub 20 in earnings call due to longwall capped at 9mm of capacity</t>
        </r>
      </text>
    </comment>
    <comment ref="G87" authorId="0" shapeId="0" xr:uid="{89C35A35-38BE-47E9-9D1B-B799AAEEE1C3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reflects expectation that poor river conditions will continue to hurt barge usage</t>
        </r>
      </text>
    </comment>
    <comment ref="A98" authorId="0" shapeId="0" xr:uid="{1814D1C2-A593-4D7B-9E20-EE3D4BBF0A27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sales realization - netback to mine realization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Li</author>
  </authors>
  <commentList>
    <comment ref="A5" authorId="0" shapeId="0" xr:uid="{54517270-3C40-46C8-87D0-63F063091D91}">
      <text>
        <r>
          <rPr>
            <b/>
            <sz val="9"/>
            <color indexed="81"/>
            <rFont val="Tahoma"/>
            <family val="2"/>
          </rPr>
          <t>Alex Li:</t>
        </r>
        <r>
          <rPr>
            <sz val="9"/>
            <color indexed="81"/>
            <rFont val="Tahoma"/>
            <family val="2"/>
          </rPr>
          <t xml:space="preserve">
net of $12.3mm L/Cs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<sst xmlns="http://schemas.openxmlformats.org/spreadsheetml/2006/main" count="849" uniqueCount="414">
  <si>
    <t>Liquidity</t>
  </si>
  <si>
    <t>($ in mm)</t>
  </si>
  <si>
    <t>As of</t>
  </si>
  <si>
    <t>Leverage</t>
  </si>
  <si>
    <t>Maturity</t>
  </si>
  <si>
    <t>Coupon</t>
  </si>
  <si>
    <t>Price</t>
  </si>
  <si>
    <t>Yield</t>
  </si>
  <si>
    <t>Cash and Cash Equivalents</t>
  </si>
  <si>
    <t>Revolver Availability</t>
  </si>
  <si>
    <t>$170mm 1st Lien Revolver</t>
  </si>
  <si>
    <t>1st Lien Term Loan</t>
  </si>
  <si>
    <t>2nd Lien Notes</t>
  </si>
  <si>
    <t>5.780% Longwall Financing Arrangement</t>
  </si>
  <si>
    <t>5.555% Longwall Financing Arrangement</t>
  </si>
  <si>
    <t>Total Secured Debt</t>
  </si>
  <si>
    <t>Market Capitalization</t>
  </si>
  <si>
    <t xml:space="preserve">Total Capitalization </t>
  </si>
  <si>
    <t>LTM Operating Metrics</t>
  </si>
  <si>
    <t>Adj. EBITDA</t>
  </si>
  <si>
    <t>Capital Expenditures</t>
  </si>
  <si>
    <t>Est. Cash Interest</t>
  </si>
  <si>
    <t>YE2018</t>
  </si>
  <si>
    <t>LTM Credit Metrics</t>
  </si>
  <si>
    <t>Secured Debt / Adj. EBITDA</t>
  </si>
  <si>
    <t>Adj. EBITDA / Cash Interest</t>
  </si>
  <si>
    <t>(Adj. EBITDA - Capex) / Cash Interest</t>
  </si>
  <si>
    <t>Total Liquidity</t>
  </si>
  <si>
    <t>Total 1L Debt</t>
  </si>
  <si>
    <t>Finance Lease Obligations</t>
  </si>
  <si>
    <t>Source</t>
  </si>
  <si>
    <t>Maturities</t>
  </si>
  <si>
    <t>EBITDA</t>
  </si>
  <si>
    <t>2019 Q1</t>
  </si>
  <si>
    <t>FY2018</t>
  </si>
  <si>
    <t>2018 Q1</t>
  </si>
  <si>
    <t>Capex</t>
  </si>
  <si>
    <t>LTM</t>
  </si>
  <si>
    <t>LIBOR</t>
  </si>
  <si>
    <t>Cash Interest</t>
  </si>
  <si>
    <t>1L Debt / Adj. EBITDA</t>
  </si>
  <si>
    <t>10Q and Reorg</t>
  </si>
  <si>
    <t>2014A</t>
  </si>
  <si>
    <t>2015A</t>
  </si>
  <si>
    <t>2016A</t>
  </si>
  <si>
    <t>2017A</t>
  </si>
  <si>
    <t>2018A</t>
  </si>
  <si>
    <t>2019E</t>
  </si>
  <si>
    <t>2020E</t>
  </si>
  <si>
    <t>2021E</t>
  </si>
  <si>
    <t>2022E</t>
  </si>
  <si>
    <t>2023E</t>
  </si>
  <si>
    <t>API2 (Export)</t>
  </si>
  <si>
    <t>ILB</t>
  </si>
  <si>
    <t>Price Strips</t>
  </si>
  <si>
    <t>Illinois Basin Production</t>
  </si>
  <si>
    <t>FELP Share</t>
  </si>
  <si>
    <t>Tons Sold</t>
  </si>
  <si>
    <t>Tons Produced</t>
  </si>
  <si>
    <t>Coal sales realization per ton sold</t>
  </si>
  <si>
    <t>Netback to mine realization per ton sold</t>
  </si>
  <si>
    <t>Cash costs per ton sold</t>
  </si>
  <si>
    <t>FELP Production</t>
  </si>
  <si>
    <t>Per Mine Production</t>
  </si>
  <si>
    <t>Total Tons</t>
  </si>
  <si>
    <t>Fixed Costs</t>
  </si>
  <si>
    <t>Raw Data</t>
  </si>
  <si>
    <t>Proven and</t>
  </si>
  <si>
    <t>Production (3)</t>
  </si>
  <si>
    <t>Available Mining</t>
  </si>
  <si>
    <t>Transportation</t>
  </si>
  <si>
    <t>Probable</t>
  </si>
  <si>
    <t>Year Ended December 31,</t>
  </si>
  <si>
    <t>Complex</t>
  </si>
  <si>
    <t>Methods (1)</t>
  </si>
  <si>
    <t>Access (2)</t>
  </si>
  <si>
    <t>Reserves</t>
  </si>
  <si>
    <t>(In Millions of Tons)</t>
  </si>
  <si>
    <t>Williamson</t>
  </si>
  <si>
    <t>LW, CM</t>
  </si>
  <si>
    <t>Rail (CN), Barge (OHR, MSR), Truck</t>
  </si>
  <si>
    <t>Sugar Camp</t>
  </si>
  <si>
    <t>Rail (CN, NS, CSX, BNSF), Barge (OHR, MSR), Truck</t>
  </si>
  <si>
    <t>Hillsboro</t>
  </si>
  <si>
    <t>Rail (UP, NS, CN), Barge (OHR, MSR), Truck</t>
  </si>
  <si>
    <t>Macoupin</t>
  </si>
  <si>
    <t>CM, LW</t>
  </si>
  <si>
    <t>Coal Sales Realization</t>
  </si>
  <si>
    <t>(Successor) Year Ended December 31, 2018</t>
  </si>
  <si>
    <t>(Successor) Period From April 1, 2017 through December 31, 2017</t>
  </si>
  <si>
    <t>(Predecessor) Period From January 1, 2017 through March 31, 2017</t>
  </si>
  <si>
    <t>Combined - Period From January 1, 2017 through December 31, 2017</t>
  </si>
  <si>
    <t>Variance — Year Ended December 31, 2018 versus Combined Period from January 1, 2017 to December 31, 2017</t>
  </si>
  <si>
    <t>Coal sales</t>
  </si>
  <si>
    <t>Tons sold</t>
  </si>
  <si>
    <t>Coal sales realization per ton sold(1)</t>
  </si>
  <si>
    <t>Netback to mine realization per ton sold(2)</t>
  </si>
  <si>
    <t>(1) - Coal sales realization per ton sold is defined as coal sales divided by tons sold.</t>
  </si>
  <si>
    <t>(2) - Netback to mine realization per ton sold is defined as coal sales less transportation expense divided by tons sold.</t>
  </si>
  <si>
    <t>Domestic</t>
  </si>
  <si>
    <t>Export</t>
  </si>
  <si>
    <t>Blended Coal Sales Realization</t>
  </si>
  <si>
    <t>Coal sales - Domestic</t>
  </si>
  <si>
    <t>Coal Sales - International</t>
  </si>
  <si>
    <t>Total Coal Sales</t>
  </si>
  <si>
    <t>Total Tonnage</t>
  </si>
  <si>
    <t>Costs</t>
  </si>
  <si>
    <t>Key Metrics</t>
  </si>
  <si>
    <t xml:space="preserve">(Successor) Year Ended December 31, 2018 </t>
  </si>
  <si>
    <t xml:space="preserve">(Successor) Period From April 1, 2017 through December 31, 2017 </t>
  </si>
  <si>
    <t xml:space="preserve">(Predecessor) Period From January 1, 2017 through March 31, 2017 </t>
  </si>
  <si>
    <t xml:space="preserve">Combined - Period From January 1, 2017 through December 31, 2017 </t>
  </si>
  <si>
    <t xml:space="preserve">Variance — Year Ended December 31, 2018 versus Combined Period from January 1, 2017 to December 31, 2017 </t>
  </si>
  <si>
    <t>Cost of coal produced (excluding depreciation, depletion and amortization)</t>
  </si>
  <si>
    <t>Produced tons sold</t>
  </si>
  <si>
    <t>Cash cost per ton sold(1)</t>
  </si>
  <si>
    <t xml:space="preserve"> $- </t>
  </si>
  <si>
    <t xml:space="preserve"> -% </t>
  </si>
  <si>
    <t>Tons produced</t>
  </si>
  <si>
    <t>(1) - Cash cost per ton sold is defined as cost of coal produced (excluding depreciation, depletion and amortization) divided by produced tons sold.</t>
  </si>
  <si>
    <t>Per Mine Cash Cost per Ton</t>
  </si>
  <si>
    <t>Cost of Coal Produced</t>
  </si>
  <si>
    <t>Cash Cost</t>
  </si>
  <si>
    <t>Transportation Cost per ton sold</t>
  </si>
  <si>
    <t>Total Transportation Cost</t>
  </si>
  <si>
    <t>Barge</t>
  </si>
  <si>
    <t>Rail / Truck</t>
  </si>
  <si>
    <t>Tons carried each method</t>
  </si>
  <si>
    <t>Cost per Method</t>
  </si>
  <si>
    <t>(Successor)</t>
  </si>
  <si>
    <t>(Predecessor)</t>
  </si>
  <si>
    <t>Year Ended December 31, 2018</t>
  </si>
  <si>
    <t>Period from April 1, 2017 through December 31, 2017</t>
  </si>
  <si>
    <t>Period from January 1, 2017 through March 31, 2017</t>
  </si>
  <si>
    <t>Year Ended December 31, 2016</t>
  </si>
  <si>
    <t>Revenues</t>
  </si>
  <si>
    <t>Other revenues</t>
  </si>
  <si>
    <t>Total revenues</t>
  </si>
  <si>
    <t>Costs and expenses</t>
  </si>
  <si>
    <t>Cost of coal purchased</t>
  </si>
  <si>
    <t>Depreciation, depletion and amortization</t>
  </si>
  <si>
    <t>Contract amortization and write-off</t>
  </si>
  <si>
    <t>Accretion and changes in estimates on asset retirement obligations</t>
  </si>
  <si>
    <t>Selling, general and administrative</t>
  </si>
  <si>
    <t>Long-lived asset impairments</t>
  </si>
  <si>
    <t>Transition and reorganization costs</t>
  </si>
  <si>
    <t>Loss on commodity derivative contracts</t>
  </si>
  <si>
    <t>Other operating (income) expense, net</t>
  </si>
  <si>
    <t>Operating income</t>
  </si>
  <si>
    <t>Other expenses</t>
  </si>
  <si>
    <t>Interest expense, net</t>
  </si>
  <si>
    <t>Debt restructuring costs</t>
  </si>
  <si>
    <t>Change in fair value of warrants</t>
  </si>
  <si>
    <t>Loss on early extinguishment of debt</t>
  </si>
  <si>
    <t>Net loss</t>
  </si>
  <si>
    <t>Less: net income attributable to noncontrolling interests</t>
  </si>
  <si>
    <t>Net loss attributable to limited partner units</t>
  </si>
  <si>
    <t>Net loss available to limited partner units - basic and diluted:</t>
  </si>
  <si>
    <t>Common unitholders</t>
  </si>
  <si>
    <t>Subordinated unitholders</t>
  </si>
  <si>
    <t>Net loss per limited partner unit - basic and diluted:</t>
  </si>
  <si>
    <t>Weighted average limited partner units outstanding - basic and diluted:</t>
  </si>
  <si>
    <t>Common units</t>
  </si>
  <si>
    <t>Subordinated units</t>
  </si>
  <si>
    <t>Distributions declared per limited partner unit</t>
  </si>
  <si>
    <t>See accompanying notes.</t>
  </si>
  <si>
    <t>Income Statement</t>
  </si>
  <si>
    <t>December 31,</t>
  </si>
  <si>
    <t>Assets</t>
  </si>
  <si>
    <t>Current assets:</t>
  </si>
  <si>
    <t>Cash and cash equivalents</t>
  </si>
  <si>
    <t>Accounts receivable</t>
  </si>
  <si>
    <t>Due from affiliates</t>
  </si>
  <si>
    <t>Financing receivables - affiliate</t>
  </si>
  <si>
    <t>Inventories, net</t>
  </si>
  <si>
    <t>Prepaid royalties</t>
  </si>
  <si>
    <t>Deferred longwall costs</t>
  </si>
  <si>
    <t>Other prepaid expenses and current assets</t>
  </si>
  <si>
    <t>Contract-based intangibles</t>
  </si>
  <si>
    <t>Total current assets</t>
  </si>
  <si>
    <t>Property, plant, equipment, and development, net</t>
  </si>
  <si>
    <t>Other assets</t>
  </si>
  <si>
    <t>Total assets</t>
  </si>
  <si>
    <t>Liabilities and partners’ capital</t>
  </si>
  <si>
    <t>Current liabilities:</t>
  </si>
  <si>
    <t>Current portion of long-term debt and capital lease obligations</t>
  </si>
  <si>
    <t>Current portion of sale-leaseback financing arrangements</t>
  </si>
  <si>
    <t>Accrued interest</t>
  </si>
  <si>
    <t>Accounts payable</t>
  </si>
  <si>
    <t>Accrued expenses and other current liabilities</t>
  </si>
  <si>
    <t>Asset retirement obligations</t>
  </si>
  <si>
    <t>Due to affiliates</t>
  </si>
  <si>
    <t>Total current liabilities</t>
  </si>
  <si>
    <t>Long-term debt and capital lease obligations</t>
  </si>
  <si>
    <t>Sale-leaseback financing arrangements</t>
  </si>
  <si>
    <t>Other long-term liabilities</t>
  </si>
  <si>
    <t>Total liabilities</t>
  </si>
  <si>
    <t>Limited partners' capital:</t>
  </si>
  <si>
    <t>Common unitholders (80,844 and 77,644 units outstanding as of December 31, 2018 and 2017, respectively)</t>
  </si>
  <si>
    <t>Subordinated unitholders (64,955 units outstanding as of December 31, 2018 and 2017)</t>
  </si>
  <si>
    <t>Total limited partners' capital</t>
  </si>
  <si>
    <t>Total liabilities and partners' capital</t>
  </si>
  <si>
    <t>Balance Sheet</t>
  </si>
  <si>
    <t>Coal Derivative assets</t>
  </si>
  <si>
    <t>Warrant Liability</t>
  </si>
  <si>
    <t>Cash Flow</t>
  </si>
  <si>
    <t>Period From January 1, 2017 through March 31, 2017</t>
  </si>
  <si>
    <t>Cash flows from operating activities</t>
  </si>
  <si>
    <t>Adjustments to reconcile net loss to net cash provided by operating activities:</t>
  </si>
  <si>
    <t>Amortization of debt issuance costs and debt discount</t>
  </si>
  <si>
    <t>Equity-based compensation</t>
  </si>
  <si>
    <t>Settlements and losses on commodity derivative contracts</t>
  </si>
  <si>
    <t>Realized gains on commodity derivative contracts included in investing activities</t>
  </si>
  <si>
    <t>Insurance proceeds included in investing activities</t>
  </si>
  <si>
    <t>Transition and reorganization expenses paid by Foresight Reserves (affiliate)</t>
  </si>
  <si>
    <t>Current period interest expense converted into debt</t>
  </si>
  <si>
    <t>Non-cash debt extinguishment expense</t>
  </si>
  <si>
    <t>Non-cash impact of recording coal inventory to fair value in pushdown accounting</t>
  </si>
  <si>
    <t>Changes in operating assets and liabilities:</t>
  </si>
  <si>
    <t>Due from/to affiliates, net</t>
  </si>
  <si>
    <t>Inventories</t>
  </si>
  <si>
    <t>Prepaid expenses and other assets</t>
  </si>
  <si>
    <t>Commodity derivative assets and liabilities</t>
  </si>
  <si>
    <t>Other</t>
  </si>
  <si>
    <t>Net cash provided by operating activities</t>
  </si>
  <si>
    <t>Cash flows from investing activities</t>
  </si>
  <si>
    <t>Investment in property, plant, equipment and development</t>
  </si>
  <si>
    <t>Realized gains on commodity derivative contracts</t>
  </si>
  <si>
    <t>Return of investment on financing arrangements with Murray Energy (affiliate)</t>
  </si>
  <si>
    <t>Proceeds from sale of equipment and other</t>
  </si>
  <si>
    <t>Net cash used in investing activities</t>
  </si>
  <si>
    <t>Cash flows from financing activities</t>
  </si>
  <si>
    <t>Borrowings under revolving credit facility</t>
  </si>
  <si>
    <t>Payments on revolving credit facility</t>
  </si>
  <si>
    <t>Net change in borrowings under A/R securitization program</t>
  </si>
  <si>
    <t>Proceeds from long-term debt and capital lease obligations</t>
  </si>
  <si>
    <t>Payments on long-term debt and capital lease obligations</t>
  </si>
  <si>
    <t>Proceeds from issuance of common units to Murray Energy (affiliate)</t>
  </si>
  <si>
    <t>Distributions paid</t>
  </si>
  <si>
    <t>Debt extinguishment costs</t>
  </si>
  <si>
    <t>Debt issuance costs paid</t>
  </si>
  <si>
    <t>Payments on sale-leaseback and short-term financing arrangements</t>
  </si>
  <si>
    <t>Net cash used in financing activities</t>
  </si>
  <si>
    <t>Net (decrease) increase in cash, cash equivalents, and restricted cash</t>
  </si>
  <si>
    <t>Cash, cash equivalents, and restricted cash, beginning of period</t>
  </si>
  <si>
    <t>Cash, cash equivalents, and restricted cash, end of period</t>
  </si>
  <si>
    <t>CFS</t>
  </si>
  <si>
    <t>s</t>
  </si>
  <si>
    <t>Debt Schedule</t>
  </si>
  <si>
    <t>Beginning Cash</t>
  </si>
  <si>
    <t>Cash from Operations</t>
  </si>
  <si>
    <t>Cash from Investing</t>
  </si>
  <si>
    <t>Minimum Cash</t>
  </si>
  <si>
    <t>PP&amp;E Schedule</t>
  </si>
  <si>
    <t>Beginning Balance</t>
  </si>
  <si>
    <t>Depreciation</t>
  </si>
  <si>
    <t>Ending Balance</t>
  </si>
  <si>
    <t>Capex (% Revenue)</t>
  </si>
  <si>
    <t>Depreciation (% PP&amp;E)</t>
  </si>
  <si>
    <t>SG&amp;A (% Revenue)</t>
  </si>
  <si>
    <t>Cash for Revolver</t>
  </si>
  <si>
    <t>Paydown (Drawdown) of Revolver</t>
  </si>
  <si>
    <t>Cash for 2L Notes</t>
  </si>
  <si>
    <t>Optional Paydown</t>
  </si>
  <si>
    <t>Ending Cash Balance</t>
  </si>
  <si>
    <t>Revolver</t>
  </si>
  <si>
    <t>BB</t>
  </si>
  <si>
    <t>Drawdown / Paydown</t>
  </si>
  <si>
    <t>EB</t>
  </si>
  <si>
    <t>Term Loan</t>
  </si>
  <si>
    <t>Amort</t>
  </si>
  <si>
    <t>Average Balance</t>
  </si>
  <si>
    <t>Undrawn Cash Interest</t>
  </si>
  <si>
    <t>Average Unused</t>
  </si>
  <si>
    <t>Cash</t>
  </si>
  <si>
    <t>L/Cs</t>
  </si>
  <si>
    <t>Borrowings</t>
  </si>
  <si>
    <t>Net Income (loss)</t>
  </si>
  <si>
    <t>($ in thousands)</t>
  </si>
  <si>
    <t>Total Debt</t>
  </si>
  <si>
    <t>Capital Lease</t>
  </si>
  <si>
    <t>Interest</t>
  </si>
  <si>
    <t>Total Cash Interest</t>
  </si>
  <si>
    <t>Cash income</t>
  </si>
  <si>
    <t>BS Projections / Drivers</t>
  </si>
  <si>
    <t>Accounts Receivable Days</t>
  </si>
  <si>
    <t>Comparable Universe</t>
  </si>
  <si>
    <t>Peabody Energy</t>
  </si>
  <si>
    <t>DCF</t>
  </si>
  <si>
    <t>Valuation Summary</t>
  </si>
  <si>
    <t>Liquidation</t>
  </si>
  <si>
    <t>Enterprise Value Range</t>
  </si>
  <si>
    <t>Multiple</t>
  </si>
  <si>
    <t>Low</t>
  </si>
  <si>
    <t>Mid</t>
  </si>
  <si>
    <t>High</t>
  </si>
  <si>
    <t>2019E GAAP EBITDA</t>
  </si>
  <si>
    <t>Term Yr.</t>
  </si>
  <si>
    <t>D&amp;A</t>
  </si>
  <si>
    <t>EBIT</t>
  </si>
  <si>
    <t>Adj. Market Risk Premium</t>
  </si>
  <si>
    <t>Ke</t>
  </si>
  <si>
    <t>Kd</t>
  </si>
  <si>
    <t>WACC</t>
  </si>
  <si>
    <t>EBIAT</t>
  </si>
  <si>
    <t>Tax</t>
  </si>
  <si>
    <t>(Capex)</t>
  </si>
  <si>
    <t>(Increase in NWC)</t>
  </si>
  <si>
    <t>Unlevered FCF</t>
  </si>
  <si>
    <t>Comparables</t>
  </si>
  <si>
    <t>Median</t>
  </si>
  <si>
    <t>x</t>
  </si>
  <si>
    <t>Production by Segment</t>
  </si>
  <si>
    <t>Revenue by Segment</t>
  </si>
  <si>
    <t>% of Total tons</t>
  </si>
  <si>
    <t>% of Total Tons</t>
  </si>
  <si>
    <t>Production Projections (by Ton)</t>
  </si>
  <si>
    <t>Sales Projections ($)</t>
  </si>
  <si>
    <t xml:space="preserve">% of total Tons </t>
  </si>
  <si>
    <t>% of Tons produced</t>
  </si>
  <si>
    <t>2024E</t>
  </si>
  <si>
    <t>Working Capital Schedule</t>
  </si>
  <si>
    <t>Current Assets</t>
  </si>
  <si>
    <t>Days</t>
  </si>
  <si>
    <t>Current Liabilities</t>
  </si>
  <si>
    <t>Working Capital</t>
  </si>
  <si>
    <t>Discount Factor</t>
  </si>
  <si>
    <t>PV</t>
  </si>
  <si>
    <t>Enterprise Value</t>
  </si>
  <si>
    <t>% Recovery</t>
  </si>
  <si>
    <t>Value</t>
  </si>
  <si>
    <t>Claims</t>
  </si>
  <si>
    <t>Total Value</t>
  </si>
  <si>
    <t>Recovery %</t>
  </si>
  <si>
    <t>Longwall</t>
  </si>
  <si>
    <t>Finance Leases</t>
  </si>
  <si>
    <t>2L Notes</t>
  </si>
  <si>
    <t>Terminal Multiple</t>
  </si>
  <si>
    <t>Financials</t>
  </si>
  <si>
    <t>Credit Stats</t>
  </si>
  <si>
    <t>Total Debt / EBITDA</t>
  </si>
  <si>
    <t>EBITDA / Interest Expense</t>
  </si>
  <si>
    <t>Growth</t>
  </si>
  <si>
    <t>Gross Income</t>
  </si>
  <si>
    <t>Gross Margin</t>
  </si>
  <si>
    <t>Net Income</t>
  </si>
  <si>
    <t>Total Revenue</t>
  </si>
  <si>
    <t>EBIT Margin</t>
  </si>
  <si>
    <t>EBITDA Margin</t>
  </si>
  <si>
    <t>NI Margin</t>
  </si>
  <si>
    <t>Historical</t>
  </si>
  <si>
    <t>Projections</t>
  </si>
  <si>
    <t>Other Data</t>
  </si>
  <si>
    <t>Paydown</t>
  </si>
  <si>
    <t>5.780% Longwall</t>
  </si>
  <si>
    <t>5.555% Longwall</t>
  </si>
  <si>
    <t>Mandatory Amort</t>
  </si>
  <si>
    <t>Scheduled Payments</t>
  </si>
  <si>
    <t>Mandatory Amort / Scheduled Payments</t>
  </si>
  <si>
    <t>ECF Sweep</t>
  </si>
  <si>
    <t>Tons Sold per Segment</t>
  </si>
  <si>
    <t>$ in mm</t>
  </si>
  <si>
    <t>1L Debt</t>
  </si>
  <si>
    <t>1L Debt / EBITDA</t>
  </si>
  <si>
    <t>For the Year Ended December 31,</t>
  </si>
  <si>
    <t>For the Year Ended December 31, 2018</t>
  </si>
  <si>
    <t>January 1, 2017 through March 31, 2017</t>
  </si>
  <si>
    <t>(In Thousands, Except per Unit Data)</t>
  </si>
  <si>
    <t>Costs and expenses:</t>
  </si>
  <si>
    <t>Accretion and changes in estimates on asset retirement obligations (10)</t>
  </si>
  <si>
    <t>Other operating (income) expense, net (1)</t>
  </si>
  <si>
    <t>Other expenses:</t>
  </si>
  <si>
    <t>Net (loss) income</t>
  </si>
  <si>
    <t>Net (loss) income attributable to controlling interests</t>
  </si>
  <si>
    <t>Less: net income attributable to predecessor equity</t>
  </si>
  <si>
    <t>Net (loss) income attributable to limited partner units</t>
  </si>
  <si>
    <t>Per Unit Data</t>
  </si>
  <si>
    <t>Net (loss) income subsequent to initial public offering per limited partner unit - basic and diluted (8)(9)</t>
  </si>
  <si>
    <t>Statements of Cash Flows</t>
  </si>
  <si>
    <t>Balance Sheet Data (at period end)</t>
  </si>
  <si>
    <t>Property, plant, equipment and development, net</t>
  </si>
  <si>
    <t>Total long-term debt and capital lease obligations (2)</t>
  </si>
  <si>
    <t>Total partners’ capital (deficit)</t>
  </si>
  <si>
    <t>Adjusted EBITDA (3)</t>
  </si>
  <si>
    <t>Tons produced (4)</t>
  </si>
  <si>
    <t>Tons sold(4)</t>
  </si>
  <si>
    <t>Coal sales realization per ton sold (5)</t>
  </si>
  <si>
    <t>Netback to mine realization per ton sold (6)</t>
  </si>
  <si>
    <t>Cash costs per ton sold (7)</t>
  </si>
  <si>
    <t>Summary Financials</t>
  </si>
  <si>
    <t>Revolver Capacity</t>
  </si>
  <si>
    <t>Case</t>
  </si>
  <si>
    <t>Base</t>
  </si>
  <si>
    <t>Bull</t>
  </si>
  <si>
    <t>Bear</t>
  </si>
  <si>
    <t>Alliance Resource</t>
  </si>
  <si>
    <t>Westmoreland Coal</t>
  </si>
  <si>
    <t>Consol</t>
  </si>
  <si>
    <t>Mean</t>
  </si>
  <si>
    <t>1L Revolver</t>
  </si>
  <si>
    <t>Current Liab.</t>
  </si>
  <si>
    <t>Enterprise Value as  Multiple of EBITDA</t>
  </si>
  <si>
    <t>(% in mm)</t>
  </si>
  <si>
    <t>Cash Schedule</t>
  </si>
  <si>
    <t>Equity % of Cap</t>
  </si>
  <si>
    <t>Debt % of Cap</t>
  </si>
  <si>
    <t>Rf</t>
  </si>
  <si>
    <t>Beta</t>
  </si>
  <si>
    <t>5 year</t>
  </si>
  <si>
    <t>3 Year</t>
  </si>
  <si>
    <t>5 Year</t>
  </si>
  <si>
    <t>1L Term Loan</t>
  </si>
  <si>
    <t>Revolver Pool</t>
  </si>
  <si>
    <t>Non Revolver 1L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</si>
</sst>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0.0;\(0.0\);\-_)"/>
    <numFmt numFmtId="165" formatCode="\L\+0;\(0.0\);\-_)"/>
    <numFmt numFmtId="166" formatCode="0.0"/>
    <numFmt numFmtId="167" formatCode="0.0\x"/>
    <numFmt numFmtId="168" formatCode="_(0_);_(\(0\);_(&quot;-&quot;_);@_)"/>
    <numFmt numFmtId="169" formatCode="_(#,##0.0_);_(\(#,##0.0\);_(&quot;-&quot;_);_(@_)"/>
    <numFmt numFmtId="170" formatCode="_(#,##0_);_(\(#,##0\);_(&quot;-&quot;_);_(@_)"/>
    <numFmt numFmtId="171" formatCode="_(\$* #,##0_);_(\$* \(#,##0\);_(\$* &quot;-&quot;_);_(@_)"/>
    <numFmt numFmtId="172" formatCode="_(#,##0.0%_);_(\(#,##0.0\)%;_(&quot;-&quot;\%_);@"/>
    <numFmt numFmtId="173" formatCode="_(\$* #,##0.00_);_(\$* \(#,##0.00\);_(\$* &quot;-&quot;_);_(@_)"/>
    <numFmt numFmtId="174" formatCode="&quot;$&quot;#,##0.00"/>
    <numFmt numFmtId="175" formatCode="0.0%"/>
    <numFmt numFmtId="176" formatCode="0.0000%"/>
    <numFmt numFmtId="177" formatCode="&quot;$&quot;#,##0.0"/>
    <numFmt numFmtId="178" formatCode="#,##0.0_);\(#,##0.0\)"/>
    <numFmt numFmtId="179" formatCode=";;"/>
    <numFmt numFmtId="180" formatCode="0%;&quot;No Recovery&quot;;"/>
    <numFmt numFmtId="181" formatCode="&quot;$&quot;#,##0"/>
    <numFmt numFmtId="182" formatCode="0.00\x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b/>
      <sz val="11"/>
      <name val="Calibri"/>
      <family val="2"/>
    </font>
    <font>
      <b/>
      <u/>
      <sz val="11"/>
      <color rgb="FF0000FF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</font>
    <font>
      <sz val="11"/>
      <color rgb="FF00B050"/>
      <name val="Calibri"/>
      <family val="2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2">
    <xf numFmtId="0" fontId="0" fillId="0" borderId="0" xfId="0"/>
    <xf numFmtId="14" fontId="0" fillId="0" borderId="0" xfId="0" applyNumberFormat="1"/>
    <xf numFmtId="0" fontId="4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0" xfId="0" applyNumberFormat="1"/>
    <xf numFmtId="164" fontId="0" fillId="0" borderId="3" xfId="1" applyNumberFormat="1" applyFont="1" applyBorder="1"/>
    <xf numFmtId="164" fontId="4" fillId="0" borderId="0" xfId="0" applyNumberFormat="1" applyFont="1"/>
    <xf numFmtId="164" fontId="4" fillId="0" borderId="2" xfId="0" applyNumberFormat="1" applyFont="1" applyBorder="1"/>
    <xf numFmtId="164" fontId="0" fillId="0" borderId="3" xfId="0" applyNumberFormat="1" applyBorder="1"/>
    <xf numFmtId="164" fontId="0" fillId="0" borderId="2" xfId="0" applyNumberFormat="1" applyBorder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Continuous"/>
    </xf>
    <xf numFmtId="14" fontId="4" fillId="0" borderId="0" xfId="0" applyNumberFormat="1" applyFont="1"/>
    <xf numFmtId="165" fontId="0" fillId="0" borderId="0" xfId="0" applyNumberFormat="1"/>
    <xf numFmtId="10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2" fontId="4" fillId="0" borderId="0" xfId="0" applyNumberFormat="1" applyFont="1"/>
    <xf numFmtId="166" fontId="0" fillId="0" borderId="0" xfId="0" applyNumberFormat="1"/>
    <xf numFmtId="1" fontId="0" fillId="0" borderId="0" xfId="0" applyNumberFormat="1"/>
    <xf numFmtId="167" fontId="0" fillId="0" borderId="0" xfId="0" applyNumberFormat="1"/>
    <xf numFmtId="0" fontId="5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68" fontId="8" fillId="0" borderId="0" xfId="0" applyNumberFormat="1" applyFont="1" applyAlignment="1">
      <alignment horizontal="left"/>
    </xf>
    <xf numFmtId="168" fontId="9" fillId="0" borderId="0" xfId="0" applyNumberFormat="1" applyFont="1" applyAlignment="1">
      <alignment horizontal="right"/>
    </xf>
    <xf numFmtId="168" fontId="9" fillId="0" borderId="0" xfId="0" applyNumberFormat="1" applyFont="1" applyAlignment="1">
      <alignment horizontal="centerContinuous"/>
    </xf>
    <xf numFmtId="168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168" fontId="8" fillId="0" borderId="0" xfId="0" applyNumberFormat="1" applyFont="1" applyAlignment="1">
      <alignment horizontal="centerContinuous"/>
    </xf>
    <xf numFmtId="169" fontId="8" fillId="0" borderId="0" xfId="0" applyNumberFormat="1" applyFont="1"/>
    <xf numFmtId="170" fontId="8" fillId="0" borderId="0" xfId="0" applyNumberFormat="1" applyFont="1"/>
    <xf numFmtId="9" fontId="0" fillId="0" borderId="0" xfId="0" applyNumberFormat="1"/>
    <xf numFmtId="9" fontId="8" fillId="0" borderId="0" xfId="0" applyNumberFormat="1" applyFont="1"/>
    <xf numFmtId="9" fontId="11" fillId="0" borderId="0" xfId="0" applyNumberFormat="1" applyFont="1" applyAlignment="1">
      <alignment horizontal="left" indent="1"/>
    </xf>
    <xf numFmtId="9" fontId="11" fillId="0" borderId="0" xfId="0" applyNumberFormat="1" applyFont="1"/>
    <xf numFmtId="9" fontId="12" fillId="0" borderId="0" xfId="0" applyNumberFormat="1" applyFont="1"/>
    <xf numFmtId="169" fontId="0" fillId="0" borderId="0" xfId="0" applyNumberFormat="1"/>
    <xf numFmtId="9" fontId="3" fillId="0" borderId="0" xfId="0" applyNumberFormat="1" applyFont="1"/>
    <xf numFmtId="166" fontId="4" fillId="0" borderId="2" xfId="0" applyNumberFormat="1" applyFont="1" applyBorder="1"/>
    <xf numFmtId="9" fontId="13" fillId="0" borderId="0" xfId="0" applyNumberFormat="1" applyFont="1"/>
    <xf numFmtId="0" fontId="0" fillId="0" borderId="0" xfId="0"/>
    <xf numFmtId="0" fontId="0" fillId="0" borderId="0" xfId="0" applyAlignment="1">
      <alignment horizontal="left"/>
    </xf>
    <xf numFmtId="168" fontId="9" fillId="0" borderId="0" xfId="0" applyNumberFormat="1" applyFont="1" applyAlignment="1">
      <alignment horizontal="right"/>
    </xf>
    <xf numFmtId="168" fontId="9" fillId="0" borderId="0" xfId="0" applyNumberFormat="1" applyFont="1" applyAlignment="1">
      <alignment horizontal="centerContinuous"/>
    </xf>
    <xf numFmtId="168" fontId="8" fillId="0" borderId="0" xfId="0" applyNumberFormat="1" applyFont="1" applyAlignment="1">
      <alignment horizontal="right"/>
    </xf>
    <xf numFmtId="171" fontId="8" fillId="0" borderId="0" xfId="0" applyNumberFormat="1" applyFont="1"/>
    <xf numFmtId="172" fontId="8" fillId="0" borderId="0" xfId="0" applyNumberFormat="1" applyFont="1"/>
    <xf numFmtId="170" fontId="8" fillId="0" borderId="0" xfId="0" applyNumberFormat="1" applyFont="1"/>
    <xf numFmtId="173" fontId="8" fillId="0" borderId="0" xfId="0" applyNumberFormat="1" applyFont="1"/>
    <xf numFmtId="0" fontId="4" fillId="0" borderId="0" xfId="0" applyFont="1" applyBorder="1"/>
    <xf numFmtId="169" fontId="9" fillId="0" borderId="0" xfId="0" applyNumberFormat="1" applyFont="1" applyBorder="1"/>
    <xf numFmtId="166" fontId="4" fillId="0" borderId="0" xfId="0" applyNumberFormat="1" applyFont="1" applyBorder="1"/>
    <xf numFmtId="0" fontId="0" fillId="0" borderId="0" xfId="0" applyFont="1" applyBorder="1"/>
    <xf numFmtId="9" fontId="0" fillId="0" borderId="0" xfId="0" applyNumberFormat="1" applyFont="1" applyBorder="1"/>
    <xf numFmtId="9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Fill="1" applyBorder="1"/>
    <xf numFmtId="169" fontId="8" fillId="0" borderId="0" xfId="0" applyNumberFormat="1" applyFont="1" applyBorder="1"/>
    <xf numFmtId="166" fontId="0" fillId="0" borderId="0" xfId="0" applyNumberFormat="1" applyFont="1" applyBorder="1"/>
    <xf numFmtId="170" fontId="8" fillId="0" borderId="0" xfId="0" applyNumberFormat="1" applyFont="1" applyBorder="1"/>
    <xf numFmtId="168" fontId="8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5" fillId="0" borderId="5" xfId="0" applyFont="1" applyBorder="1"/>
    <xf numFmtId="166" fontId="0" fillId="0" borderId="5" xfId="0" applyNumberFormat="1" applyBorder="1"/>
    <xf numFmtId="9" fontId="0" fillId="0" borderId="5" xfId="0" applyNumberFormat="1" applyBorder="1"/>
    <xf numFmtId="169" fontId="8" fillId="0" borderId="5" xfId="0" applyNumberFormat="1" applyFont="1" applyBorder="1"/>
    <xf numFmtId="9" fontId="12" fillId="0" borderId="5" xfId="0" applyNumberFormat="1" applyFont="1" applyBorder="1"/>
    <xf numFmtId="170" fontId="8" fillId="0" borderId="5" xfId="0" applyNumberFormat="1" applyFont="1" applyBorder="1"/>
    <xf numFmtId="169" fontId="9" fillId="0" borderId="5" xfId="0" applyNumberFormat="1" applyFont="1" applyBorder="1"/>
    <xf numFmtId="173" fontId="8" fillId="0" borderId="5" xfId="0" applyNumberFormat="1" applyFont="1" applyBorder="1"/>
    <xf numFmtId="168" fontId="9" fillId="0" borderId="5" xfId="0" applyNumberFormat="1" applyFont="1" applyBorder="1" applyAlignment="1">
      <alignment horizontal="centerContinuous"/>
    </xf>
    <xf numFmtId="168" fontId="9" fillId="0" borderId="5" xfId="0" applyNumberFormat="1" applyFont="1" applyBorder="1" applyAlignment="1">
      <alignment horizontal="right"/>
    </xf>
    <xf numFmtId="168" fontId="8" fillId="0" borderId="5" xfId="0" applyNumberFormat="1" applyFont="1" applyBorder="1" applyAlignment="1">
      <alignment horizontal="centerContinuous"/>
    </xf>
    <xf numFmtId="168" fontId="8" fillId="0" borderId="5" xfId="0" applyNumberFormat="1" applyFont="1" applyBorder="1" applyAlignment="1">
      <alignment horizontal="right"/>
    </xf>
    <xf numFmtId="171" fontId="8" fillId="0" borderId="5" xfId="0" applyNumberFormat="1" applyFont="1" applyBorder="1"/>
    <xf numFmtId="0" fontId="0" fillId="0" borderId="5" xfId="0" applyBorder="1" applyAlignment="1">
      <alignment horizontal="left"/>
    </xf>
    <xf numFmtId="174" fontId="0" fillId="0" borderId="5" xfId="0" applyNumberFormat="1" applyBorder="1"/>
    <xf numFmtId="174" fontId="0" fillId="0" borderId="0" xfId="0" applyNumberFormat="1"/>
    <xf numFmtId="9" fontId="14" fillId="0" borderId="0" xfId="0" applyNumberFormat="1" applyFont="1"/>
    <xf numFmtId="173" fontId="4" fillId="0" borderId="0" xfId="0" applyNumberFormat="1" applyFont="1"/>
    <xf numFmtId="173" fontId="9" fillId="0" borderId="5" xfId="0" applyNumberFormat="1" applyFont="1" applyBorder="1"/>
    <xf numFmtId="174" fontId="4" fillId="0" borderId="0" xfId="0" applyNumberFormat="1" applyFont="1"/>
    <xf numFmtId="169" fontId="15" fillId="0" borderId="5" xfId="0" applyNumberFormat="1" applyFont="1" applyBorder="1"/>
    <xf numFmtId="169" fontId="15" fillId="0" borderId="0" xfId="0" applyNumberFormat="1" applyFont="1"/>
    <xf numFmtId="170" fontId="15" fillId="0" borderId="0" xfId="0" applyNumberFormat="1" applyFont="1"/>
    <xf numFmtId="170" fontId="15" fillId="0" borderId="5" xfId="0" applyNumberFormat="1" applyFont="1" applyBorder="1"/>
    <xf numFmtId="169" fontId="0" fillId="0" borderId="5" xfId="0" applyNumberFormat="1" applyBorder="1"/>
    <xf numFmtId="173" fontId="0" fillId="0" borderId="5" xfId="0" applyNumberFormat="1" applyBorder="1"/>
    <xf numFmtId="169" fontId="0" fillId="0" borderId="0" xfId="0" applyNumberFormat="1" applyBorder="1"/>
    <xf numFmtId="173" fontId="0" fillId="0" borderId="0" xfId="0" applyNumberFormat="1" applyBorder="1"/>
    <xf numFmtId="0" fontId="2" fillId="2" borderId="0" xfId="0" applyFont="1" applyFill="1"/>
    <xf numFmtId="0" fontId="2" fillId="2" borderId="5" xfId="0" applyFont="1" applyFill="1" applyBorder="1"/>
    <xf numFmtId="6" fontId="0" fillId="0" borderId="0" xfId="0" applyNumberFormat="1"/>
    <xf numFmtId="6" fontId="0" fillId="0" borderId="5" xfId="0" applyNumberFormat="1" applyBorder="1"/>
    <xf numFmtId="3" fontId="0" fillId="0" borderId="0" xfId="0" applyNumberFormat="1"/>
    <xf numFmtId="3" fontId="0" fillId="0" borderId="5" xfId="0" applyNumberFormat="1" applyBorder="1"/>
    <xf numFmtId="8" fontId="0" fillId="0" borderId="0" xfId="0" applyNumberFormat="1"/>
    <xf numFmtId="8" fontId="0" fillId="0" borderId="5" xfId="0" applyNumberFormat="1" applyBorder="1"/>
    <xf numFmtId="9" fontId="4" fillId="0" borderId="0" xfId="0" applyNumberFormat="1" applyFont="1"/>
    <xf numFmtId="174" fontId="0" fillId="0" borderId="0" xfId="0" applyNumberFormat="1" applyBorder="1"/>
    <xf numFmtId="7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168" fontId="9" fillId="0" borderId="0" xfId="0" applyNumberFormat="1" applyFont="1" applyAlignment="1">
      <alignment horizontal="right"/>
    </xf>
    <xf numFmtId="168" fontId="8" fillId="0" borderId="0" xfId="0" applyNumberFormat="1" applyFont="1" applyAlignment="1">
      <alignment horizontal="right"/>
    </xf>
    <xf numFmtId="171" fontId="8" fillId="0" borderId="0" xfId="0" applyNumberFormat="1" applyFont="1"/>
    <xf numFmtId="170" fontId="8" fillId="0" borderId="0" xfId="0" applyNumberFormat="1" applyFont="1"/>
    <xf numFmtId="173" fontId="8" fillId="0" borderId="0" xfId="0" applyNumberFormat="1" applyFont="1"/>
    <xf numFmtId="0" fontId="10" fillId="0" borderId="0" xfId="0" applyFont="1"/>
    <xf numFmtId="171" fontId="0" fillId="0" borderId="0" xfId="0" applyNumberFormat="1"/>
    <xf numFmtId="0" fontId="0" fillId="0" borderId="0" xfId="0" applyAlignment="1">
      <alignment horizontal="left"/>
    </xf>
    <xf numFmtId="168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168" fontId="8" fillId="0" borderId="0" xfId="0" applyNumberFormat="1" applyFont="1" applyAlignment="1">
      <alignment horizontal="right"/>
    </xf>
    <xf numFmtId="171" fontId="8" fillId="0" borderId="0" xfId="0" applyNumberFormat="1" applyFont="1"/>
    <xf numFmtId="170" fontId="8" fillId="0" borderId="0" xfId="0" applyNumberFormat="1" applyFont="1"/>
    <xf numFmtId="0" fontId="0" fillId="0" borderId="0" xfId="0"/>
    <xf numFmtId="0" fontId="0" fillId="0" borderId="0" xfId="0" applyAlignment="1">
      <alignment horizontal="left"/>
    </xf>
    <xf numFmtId="168" fontId="9" fillId="0" borderId="0" xfId="0" applyNumberFormat="1" applyFont="1" applyAlignment="1">
      <alignment horizontal="right"/>
    </xf>
    <xf numFmtId="168" fontId="8" fillId="0" borderId="0" xfId="0" applyNumberFormat="1" applyFont="1" applyAlignment="1">
      <alignment horizontal="right"/>
    </xf>
    <xf numFmtId="171" fontId="8" fillId="0" borderId="0" xfId="0" applyNumberFormat="1" applyFont="1"/>
    <xf numFmtId="170" fontId="8" fillId="0" borderId="0" xfId="0" applyNumberFormat="1" applyFont="1"/>
    <xf numFmtId="0" fontId="0" fillId="0" borderId="0" xfId="0"/>
    <xf numFmtId="0" fontId="0" fillId="0" borderId="0" xfId="0" applyAlignment="1">
      <alignment horizontal="left"/>
    </xf>
    <xf numFmtId="168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168" fontId="8" fillId="0" borderId="0" xfId="0" applyNumberFormat="1" applyFont="1" applyAlignment="1">
      <alignment horizontal="right"/>
    </xf>
    <xf numFmtId="171" fontId="8" fillId="0" borderId="0" xfId="0" applyNumberFormat="1" applyFont="1"/>
    <xf numFmtId="170" fontId="8" fillId="0" borderId="0" xfId="0" applyNumberFormat="1" applyFont="1"/>
    <xf numFmtId="170" fontId="8" fillId="3" borderId="0" xfId="0" applyNumberFormat="1" applyFont="1" applyFill="1"/>
    <xf numFmtId="171" fontId="8" fillId="3" borderId="0" xfId="0" applyNumberFormat="1" applyFont="1" applyFill="1"/>
    <xf numFmtId="0" fontId="4" fillId="0" borderId="0" xfId="0" applyFont="1" applyAlignment="1">
      <alignment horizontal="left"/>
    </xf>
    <xf numFmtId="170" fontId="9" fillId="0" borderId="0" xfId="0" applyNumberFormat="1" applyFont="1"/>
    <xf numFmtId="0" fontId="4" fillId="0" borderId="2" xfId="0" applyFont="1" applyBorder="1" applyAlignment="1">
      <alignment horizontal="left"/>
    </xf>
    <xf numFmtId="170" fontId="9" fillId="0" borderId="2" xfId="0" applyNumberFormat="1" applyFont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3" xfId="0" applyBorder="1" applyAlignment="1">
      <alignment horizontal="left" indent="3"/>
    </xf>
    <xf numFmtId="170" fontId="8" fillId="0" borderId="3" xfId="0" applyNumberFormat="1" applyFont="1" applyBorder="1"/>
    <xf numFmtId="170" fontId="9" fillId="0" borderId="0" xfId="0" applyNumberFormat="1" applyFont="1" applyBorder="1"/>
    <xf numFmtId="170" fontId="8" fillId="0" borderId="2" xfId="0" applyNumberFormat="1" applyFont="1" applyBorder="1"/>
    <xf numFmtId="171" fontId="8" fillId="0" borderId="2" xfId="0" applyNumberFormat="1" applyFont="1" applyBorder="1"/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 indent="2"/>
    </xf>
    <xf numFmtId="0" fontId="0" fillId="0" borderId="2" xfId="0" applyFont="1" applyBorder="1"/>
    <xf numFmtId="0" fontId="0" fillId="0" borderId="2" xfId="0" applyFont="1" applyBorder="1" applyAlignment="1">
      <alignment horizontal="left" indent="3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/>
    <xf numFmtId="170" fontId="8" fillId="0" borderId="6" xfId="0" applyNumberFormat="1" applyFont="1" applyBorder="1"/>
    <xf numFmtId="0" fontId="0" fillId="0" borderId="0" xfId="0" applyBorder="1" applyAlignment="1">
      <alignment horizontal="left" indent="3"/>
    </xf>
    <xf numFmtId="168" fontId="8" fillId="0" borderId="2" xfId="0" applyNumberFormat="1" applyFont="1" applyBorder="1" applyAlignment="1">
      <alignment horizontal="right"/>
    </xf>
    <xf numFmtId="170" fontId="0" fillId="0" borderId="0" xfId="0" applyNumberFormat="1"/>
    <xf numFmtId="171" fontId="4" fillId="0" borderId="2" xfId="0" applyNumberFormat="1" applyFont="1" applyBorder="1"/>
    <xf numFmtId="171" fontId="16" fillId="0" borderId="0" xfId="0" applyNumberFormat="1" applyFont="1"/>
    <xf numFmtId="170" fontId="5" fillId="0" borderId="0" xfId="0" applyNumberFormat="1" applyFont="1"/>
    <xf numFmtId="170" fontId="16" fillId="0" borderId="0" xfId="0" applyNumberFormat="1" applyFont="1"/>
    <xf numFmtId="0" fontId="0" fillId="3" borderId="0" xfId="0" applyFill="1"/>
    <xf numFmtId="0" fontId="0" fillId="0" borderId="0" xfId="0" applyFont="1" applyBorder="1" applyAlignment="1">
      <alignment horizontal="left"/>
    </xf>
    <xf numFmtId="170" fontId="0" fillId="0" borderId="0" xfId="0" applyNumberFormat="1" applyFont="1" applyBorder="1"/>
    <xf numFmtId="170" fontId="0" fillId="0" borderId="2" xfId="0" applyNumberFormat="1" applyFont="1" applyBorder="1"/>
    <xf numFmtId="168" fontId="0" fillId="0" borderId="0" xfId="0" applyNumberFormat="1"/>
    <xf numFmtId="170" fontId="0" fillId="0" borderId="3" xfId="0" applyNumberFormat="1" applyBorder="1"/>
    <xf numFmtId="171" fontId="0" fillId="0" borderId="2" xfId="0" applyNumberFormat="1" applyBorder="1"/>
    <xf numFmtId="171" fontId="0" fillId="0" borderId="0" xfId="0" applyNumberFormat="1" applyBorder="1"/>
    <xf numFmtId="171" fontId="0" fillId="0" borderId="3" xfId="0" applyNumberFormat="1" applyBorder="1"/>
    <xf numFmtId="9" fontId="0" fillId="0" borderId="0" xfId="0" applyNumberFormat="1" applyAlignment="1">
      <alignment horizontal="left"/>
    </xf>
    <xf numFmtId="171" fontId="0" fillId="0" borderId="0" xfId="0" applyNumberFormat="1" applyFill="1"/>
    <xf numFmtId="175" fontId="0" fillId="0" borderId="0" xfId="0" applyNumberFormat="1" applyAlignment="1">
      <alignment horizontal="left"/>
    </xf>
    <xf numFmtId="175" fontId="0" fillId="0" borderId="0" xfId="0" applyNumberFormat="1"/>
    <xf numFmtId="175" fontId="8" fillId="0" borderId="0" xfId="0" applyNumberFormat="1" applyFont="1"/>
    <xf numFmtId="175" fontId="3" fillId="0" borderId="0" xfId="0" applyNumberFormat="1" applyFont="1"/>
    <xf numFmtId="170" fontId="0" fillId="0" borderId="2" xfId="0" applyNumberFormat="1" applyBorder="1"/>
    <xf numFmtId="0" fontId="0" fillId="0" borderId="0" xfId="0" applyFill="1" applyBorder="1"/>
    <xf numFmtId="0" fontId="0" fillId="0" borderId="2" xfId="0" applyFill="1" applyBorder="1"/>
    <xf numFmtId="3" fontId="0" fillId="0" borderId="0" xfId="0" applyNumberFormat="1" applyBorder="1"/>
    <xf numFmtId="166" fontId="0" fillId="0" borderId="2" xfId="0" applyNumberFormat="1" applyBorder="1"/>
    <xf numFmtId="10" fontId="0" fillId="0" borderId="0" xfId="0" applyNumberFormat="1" applyBorder="1"/>
    <xf numFmtId="39" fontId="0" fillId="0" borderId="0" xfId="0" applyNumberFormat="1"/>
    <xf numFmtId="39" fontId="0" fillId="0" borderId="0" xfId="0" applyNumberFormat="1" applyBorder="1"/>
    <xf numFmtId="9" fontId="0" fillId="0" borderId="0" xfId="0" applyNumberFormat="1" applyBorder="1"/>
    <xf numFmtId="9" fontId="5" fillId="0" borderId="0" xfId="0" applyNumberFormat="1" applyFont="1" applyBorder="1"/>
    <xf numFmtId="170" fontId="0" fillId="0" borderId="0" xfId="0" applyNumberFormat="1" applyBorder="1"/>
    <xf numFmtId="170" fontId="3" fillId="0" borderId="0" xfId="0" applyNumberFormat="1" applyFont="1" applyBorder="1"/>
    <xf numFmtId="170" fontId="5" fillId="0" borderId="0" xfId="0" applyNumberFormat="1" applyFont="1" applyBorder="1"/>
    <xf numFmtId="168" fontId="5" fillId="0" borderId="0" xfId="0" applyNumberFormat="1" applyFont="1" applyBorder="1"/>
    <xf numFmtId="0" fontId="4" fillId="0" borderId="0" xfId="0" applyFont="1" applyBorder="1" applyAlignment="1">
      <alignment horizontal="left"/>
    </xf>
    <xf numFmtId="0" fontId="2" fillId="2" borderId="0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17" fillId="0" borderId="0" xfId="0" applyFont="1" applyFill="1"/>
    <xf numFmtId="0" fontId="17" fillId="0" borderId="0" xfId="0" applyFont="1" applyFill="1" applyBorder="1"/>
    <xf numFmtId="0" fontId="14" fillId="0" borderId="0" xfId="0" applyFont="1"/>
    <xf numFmtId="0" fontId="14" fillId="0" borderId="0" xfId="0" applyFont="1" applyBorder="1"/>
    <xf numFmtId="0" fontId="14" fillId="0" borderId="0" xfId="0" applyFont="1" applyFill="1"/>
    <xf numFmtId="0" fontId="0" fillId="0" borderId="8" xfId="0" applyBorder="1"/>
    <xf numFmtId="0" fontId="0" fillId="0" borderId="0" xfId="0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"/>
    </xf>
    <xf numFmtId="167" fontId="0" fillId="0" borderId="7" xfId="0" applyNumberFormat="1" applyBorder="1" applyAlignment="1">
      <alignment horizontal="center"/>
    </xf>
    <xf numFmtId="177" fontId="0" fillId="0" borderId="7" xfId="0" applyNumberFormat="1" applyBorder="1" applyAlignment="1">
      <alignment horizontal="center"/>
    </xf>
    <xf numFmtId="0" fontId="18" fillId="0" borderId="0" xfId="0" applyFont="1"/>
    <xf numFmtId="9" fontId="15" fillId="0" borderId="0" xfId="0" applyNumberFormat="1" applyFont="1" applyBorder="1"/>
    <xf numFmtId="9" fontId="15" fillId="0" borderId="5" xfId="0" applyNumberFormat="1" applyFont="1" applyBorder="1"/>
    <xf numFmtId="0" fontId="4" fillId="3" borderId="2" xfId="0" applyFont="1" applyFill="1" applyBorder="1"/>
    <xf numFmtId="6" fontId="4" fillId="3" borderId="2" xfId="0" applyNumberFormat="1" applyFont="1" applyFill="1" applyBorder="1"/>
    <xf numFmtId="6" fontId="4" fillId="3" borderId="4" xfId="0" applyNumberFormat="1" applyFont="1" applyFill="1" applyBorder="1"/>
    <xf numFmtId="5" fontId="4" fillId="3" borderId="2" xfId="0" applyNumberFormat="1" applyFont="1" applyFill="1" applyBorder="1"/>
    <xf numFmtId="166" fontId="0" fillId="3" borderId="0" xfId="0" applyNumberFormat="1" applyFill="1"/>
    <xf numFmtId="166" fontId="0" fillId="3" borderId="5" xfId="0" applyNumberFormat="1" applyFill="1" applyBorder="1"/>
    <xf numFmtId="169" fontId="9" fillId="0" borderId="2" xfId="0" applyNumberFormat="1" applyFont="1" applyBorder="1"/>
    <xf numFmtId="166" fontId="5" fillId="0" borderId="0" xfId="0" applyNumberFormat="1" applyFont="1"/>
    <xf numFmtId="166" fontId="5" fillId="0" borderId="5" xfId="0" applyNumberFormat="1" applyFont="1" applyBorder="1"/>
    <xf numFmtId="0" fontId="2" fillId="4" borderId="0" xfId="0" applyFont="1" applyFill="1"/>
    <xf numFmtId="0" fontId="2" fillId="4" borderId="5" xfId="0" applyFont="1" applyFill="1" applyBorder="1"/>
    <xf numFmtId="166" fontId="4" fillId="0" borderId="0" xfId="0" applyNumberFormat="1" applyFont="1"/>
    <xf numFmtId="166" fontId="0" fillId="0" borderId="0" xfId="0" applyNumberFormat="1" applyBorder="1"/>
    <xf numFmtId="169" fontId="9" fillId="0" borderId="4" xfId="0" applyNumberFormat="1" applyFont="1" applyBorder="1"/>
    <xf numFmtId="166" fontId="4" fillId="0" borderId="4" xfId="0" applyNumberFormat="1" applyFont="1" applyBorder="1"/>
    <xf numFmtId="0" fontId="4" fillId="0" borderId="2" xfId="0" applyFont="1" applyFill="1" applyBorder="1"/>
    <xf numFmtId="0" fontId="0" fillId="3" borderId="2" xfId="0" applyFont="1" applyFill="1" applyBorder="1"/>
    <xf numFmtId="169" fontId="8" fillId="3" borderId="2" xfId="0" applyNumberFormat="1" applyFont="1" applyFill="1" applyBorder="1"/>
    <xf numFmtId="169" fontId="8" fillId="3" borderId="4" xfId="0" applyNumberFormat="1" applyFont="1" applyFill="1" applyBorder="1"/>
    <xf numFmtId="166" fontId="0" fillId="3" borderId="2" xfId="0" applyNumberFormat="1" applyFont="1" applyFill="1" applyBorder="1"/>
    <xf numFmtId="9" fontId="0" fillId="0" borderId="0" xfId="0" applyNumberFormat="1" applyFill="1" applyBorder="1"/>
    <xf numFmtId="175" fontId="0" fillId="0" borderId="0" xfId="0" applyNumberFormat="1" applyFill="1" applyBorder="1"/>
    <xf numFmtId="0" fontId="0" fillId="0" borderId="0" xfId="0" applyFill="1" applyBorder="1" applyAlignment="1">
      <alignment horizontal="left" inden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0" applyFont="1" applyAlignment="1">
      <alignment wrapText="1"/>
    </xf>
    <xf numFmtId="0" fontId="0" fillId="0" borderId="2" xfId="0" applyBorder="1" applyAlignment="1">
      <alignment horizontal="left" indent="1"/>
    </xf>
    <xf numFmtId="178" fontId="0" fillId="0" borderId="0" xfId="0" applyNumberFormat="1"/>
    <xf numFmtId="178" fontId="0" fillId="0" borderId="2" xfId="0" applyNumberFormat="1" applyBorder="1"/>
    <xf numFmtId="0" fontId="14" fillId="0" borderId="0" xfId="0" applyFont="1" applyFill="1" applyBorder="1"/>
    <xf numFmtId="37" fontId="14" fillId="0" borderId="0" xfId="0" applyNumberFormat="1" applyFont="1" applyFill="1"/>
    <xf numFmtId="37" fontId="14" fillId="0" borderId="0" xfId="0" applyNumberFormat="1" applyFont="1" applyFill="1" applyBorder="1"/>
    <xf numFmtId="37" fontId="17" fillId="0" borderId="0" xfId="0" applyNumberFormat="1" applyFont="1" applyFill="1" applyBorder="1"/>
    <xf numFmtId="37" fontId="17" fillId="0" borderId="0" xfId="0" applyNumberFormat="1" applyFont="1" applyFill="1"/>
    <xf numFmtId="37" fontId="14" fillId="0" borderId="0" xfId="0" applyNumberFormat="1" applyFont="1" applyBorder="1"/>
    <xf numFmtId="37" fontId="14" fillId="0" borderId="0" xfId="0" applyNumberFormat="1" applyFont="1"/>
    <xf numFmtId="0" fontId="14" fillId="0" borderId="2" xfId="0" applyFont="1" applyFill="1" applyBorder="1"/>
    <xf numFmtId="37" fontId="14" fillId="0" borderId="2" xfId="0" applyNumberFormat="1" applyFont="1" applyFill="1" applyBorder="1"/>
    <xf numFmtId="9" fontId="17" fillId="0" borderId="0" xfId="0" applyNumberFormat="1" applyFont="1" applyFill="1"/>
    <xf numFmtId="39" fontId="14" fillId="0" borderId="0" xfId="0" applyNumberFormat="1" applyFont="1" applyFill="1" applyBorder="1"/>
    <xf numFmtId="177" fontId="0" fillId="0" borderId="0" xfId="0" applyNumberFormat="1" applyBorder="1" applyAlignment="1">
      <alignment horizontal="center"/>
    </xf>
    <xf numFmtId="9" fontId="14" fillId="0" borderId="0" xfId="0" applyNumberFormat="1" applyFont="1" applyFill="1"/>
    <xf numFmtId="167" fontId="14" fillId="0" borderId="0" xfId="0" applyNumberFormat="1" applyFont="1" applyFill="1" applyAlignment="1">
      <alignment wrapText="1"/>
    </xf>
    <xf numFmtId="9" fontId="14" fillId="0" borderId="0" xfId="0" applyNumberFormat="1" applyFont="1" applyFill="1" applyAlignment="1">
      <alignment wrapText="1"/>
    </xf>
    <xf numFmtId="179" fontId="14" fillId="0" borderId="0" xfId="0" applyNumberFormat="1" applyFont="1" applyFill="1" applyAlignment="1">
      <alignment wrapText="1"/>
    </xf>
    <xf numFmtId="37" fontId="14" fillId="0" borderId="10" xfId="0" applyNumberFormat="1" applyFont="1" applyFill="1" applyBorder="1" applyAlignment="1">
      <alignment wrapText="1"/>
    </xf>
    <xf numFmtId="37" fontId="14" fillId="0" borderId="2" xfId="0" applyNumberFormat="1" applyFont="1" applyFill="1" applyBorder="1" applyAlignment="1">
      <alignment wrapText="1"/>
    </xf>
    <xf numFmtId="37" fontId="14" fillId="0" borderId="4" xfId="0" applyNumberFormat="1" applyFont="1" applyFill="1" applyBorder="1" applyAlignment="1">
      <alignment wrapText="1"/>
    </xf>
    <xf numFmtId="37" fontId="14" fillId="0" borderId="11" xfId="0" applyNumberFormat="1" applyFont="1" applyFill="1" applyBorder="1" applyAlignment="1">
      <alignment wrapText="1"/>
    </xf>
    <xf numFmtId="37" fontId="14" fillId="0" borderId="5" xfId="0" applyNumberFormat="1" applyFont="1" applyFill="1" applyBorder="1" applyAlignment="1">
      <alignment wrapText="1"/>
    </xf>
    <xf numFmtId="37" fontId="14" fillId="0" borderId="12" xfId="0" applyNumberFormat="1" applyFont="1" applyFill="1" applyBorder="1" applyAlignment="1">
      <alignment wrapText="1"/>
    </xf>
    <xf numFmtId="37" fontId="14" fillId="0" borderId="1" xfId="0" applyNumberFormat="1" applyFont="1" applyFill="1" applyBorder="1" applyAlignment="1">
      <alignment wrapText="1"/>
    </xf>
    <xf numFmtId="37" fontId="14" fillId="0" borderId="13" xfId="0" applyNumberFormat="1" applyFont="1" applyFill="1" applyBorder="1" applyAlignment="1">
      <alignment wrapText="1"/>
    </xf>
    <xf numFmtId="37" fontId="14" fillId="0" borderId="7" xfId="0" applyNumberFormat="1" applyFont="1" applyFill="1" applyBorder="1" applyAlignment="1">
      <alignment wrapText="1"/>
    </xf>
    <xf numFmtId="37" fontId="0" fillId="0" borderId="9" xfId="0" applyNumberFormat="1" applyBorder="1"/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81" fontId="14" fillId="0" borderId="10" xfId="0" applyNumberFormat="1" applyFont="1" applyFill="1" applyBorder="1"/>
    <xf numFmtId="181" fontId="14" fillId="0" borderId="2" xfId="0" applyNumberFormat="1" applyFont="1" applyFill="1" applyBorder="1"/>
    <xf numFmtId="181" fontId="14" fillId="0" borderId="4" xfId="0" applyNumberFormat="1" applyFont="1" applyFill="1" applyBorder="1"/>
    <xf numFmtId="3" fontId="14" fillId="0" borderId="11" xfId="0" applyNumberFormat="1" applyFont="1" applyFill="1" applyBorder="1"/>
    <xf numFmtId="3" fontId="14" fillId="0" borderId="0" xfId="0" applyNumberFormat="1" applyFont="1" applyFill="1" applyBorder="1"/>
    <xf numFmtId="3" fontId="14" fillId="0" borderId="5" xfId="0" applyNumberFormat="1" applyFont="1" applyFill="1" applyBorder="1"/>
    <xf numFmtId="3" fontId="14" fillId="0" borderId="12" xfId="0" applyNumberFormat="1" applyFont="1" applyFill="1" applyBorder="1"/>
    <xf numFmtId="3" fontId="14" fillId="0" borderId="1" xfId="0" applyNumberFormat="1" applyFont="1" applyFill="1" applyBorder="1"/>
    <xf numFmtId="3" fontId="14" fillId="0" borderId="13" xfId="0" applyNumberFormat="1" applyFont="1" applyFill="1" applyBorder="1"/>
    <xf numFmtId="37" fontId="0" fillId="0" borderId="0" xfId="0" applyNumberFormat="1"/>
    <xf numFmtId="175" fontId="0" fillId="0" borderId="0" xfId="0" applyNumberFormat="1" applyAlignment="1">
      <alignment horizontal="right"/>
    </xf>
    <xf numFmtId="170" fontId="14" fillId="0" borderId="0" xfId="0" applyNumberFormat="1" applyFont="1"/>
    <xf numFmtId="0" fontId="0" fillId="0" borderId="7" xfId="0" applyBorder="1"/>
    <xf numFmtId="164" fontId="0" fillId="0" borderId="0" xfId="0" applyNumberFormat="1" applyBorder="1"/>
    <xf numFmtId="166" fontId="0" fillId="0" borderId="0" xfId="0" applyNumberFormat="1" applyFill="1" applyBorder="1"/>
    <xf numFmtId="10" fontId="0" fillId="0" borderId="2" xfId="0" applyNumberFormat="1" applyBorder="1"/>
    <xf numFmtId="166" fontId="0" fillId="0" borderId="2" xfId="0" applyNumberFormat="1" applyFill="1" applyBorder="1"/>
    <xf numFmtId="170" fontId="4" fillId="0" borderId="2" xfId="0" applyNumberFormat="1" applyFont="1" applyBorder="1"/>
    <xf numFmtId="170" fontId="8" fillId="0" borderId="0" xfId="0" applyNumberFormat="1" applyFont="1" applyFill="1"/>
    <xf numFmtId="171" fontId="8" fillId="0" borderId="3" xfId="0" applyNumberFormat="1" applyFont="1" applyFill="1" applyBorder="1"/>
    <xf numFmtId="168" fontId="0" fillId="0" borderId="0" xfId="0" applyNumberFormat="1" applyFill="1"/>
    <xf numFmtId="170" fontId="0" fillId="0" borderId="0" xfId="0" applyNumberFormat="1" applyFont="1" applyFill="1" applyBorder="1"/>
    <xf numFmtId="175" fontId="0" fillId="0" borderId="5" xfId="0" applyNumberFormat="1" applyBorder="1"/>
    <xf numFmtId="9" fontId="14" fillId="0" borderId="0" xfId="0" applyNumberFormat="1" applyFont="1" applyBorder="1"/>
    <xf numFmtId="8" fontId="5" fillId="0" borderId="0" xfId="0" applyNumberFormat="1" applyFont="1"/>
    <xf numFmtId="164" fontId="4" fillId="0" borderId="2" xfId="0" applyNumberFormat="1" applyFont="1" applyBorder="1" applyAlignment="1">
      <alignment horizontal="left" indent="1"/>
    </xf>
    <xf numFmtId="0" fontId="0" fillId="0" borderId="0" xfId="0" applyAlignment="1">
      <alignment horizontal="left"/>
    </xf>
    <xf numFmtId="168" fontId="9" fillId="0" borderId="0" xfId="0" applyNumberFormat="1" applyFont="1" applyAlignment="1">
      <alignment horizontal="right"/>
    </xf>
    <xf numFmtId="168" fontId="9" fillId="0" borderId="0" xfId="0" applyNumberFormat="1" applyFont="1" applyAlignment="1">
      <alignment horizontal="centerContinuous"/>
    </xf>
    <xf numFmtId="168" fontId="8" fillId="0" borderId="0" xfId="0" applyNumberFormat="1" applyFont="1" applyAlignment="1">
      <alignment horizontal="centerContinuous"/>
    </xf>
    <xf numFmtId="168" fontId="8" fillId="0" borderId="0" xfId="0" applyNumberFormat="1" applyFont="1" applyAlignment="1">
      <alignment horizontal="right"/>
    </xf>
    <xf numFmtId="171" fontId="8" fillId="0" borderId="0" xfId="0" applyNumberFormat="1" applyFont="1"/>
    <xf numFmtId="170" fontId="8" fillId="0" borderId="0" xfId="0" applyNumberFormat="1" applyFont="1"/>
    <xf numFmtId="0" fontId="9" fillId="0" borderId="0" xfId="0" applyFont="1" applyAlignment="1">
      <alignment horizontal="left"/>
    </xf>
    <xf numFmtId="173" fontId="8" fillId="0" borderId="0" xfId="0" applyNumberFormat="1" applyFont="1"/>
    <xf numFmtId="0" fontId="0" fillId="0" borderId="0" xfId="0"/>
    <xf numFmtId="0" fontId="0" fillId="0" borderId="0" xfId="0" applyAlignment="1">
      <alignment horizontal="left"/>
    </xf>
    <xf numFmtId="168" fontId="9" fillId="0" borderId="0" xfId="0" applyNumberFormat="1" applyFont="1" applyAlignment="1">
      <alignment horizontal="right"/>
    </xf>
    <xf numFmtId="168" fontId="9" fillId="0" borderId="0" xfId="0" applyNumberFormat="1" applyFont="1" applyAlignment="1">
      <alignment horizontal="centerContinuous"/>
    </xf>
    <xf numFmtId="168" fontId="8" fillId="0" borderId="0" xfId="0" applyNumberFormat="1" applyFont="1" applyAlignment="1">
      <alignment horizontal="centerContinuous"/>
    </xf>
    <xf numFmtId="168" fontId="8" fillId="0" borderId="0" xfId="0" applyNumberFormat="1" applyFont="1" applyAlignment="1">
      <alignment horizontal="right"/>
    </xf>
    <xf numFmtId="171" fontId="8" fillId="0" borderId="0" xfId="0" applyNumberFormat="1" applyFont="1"/>
    <xf numFmtId="170" fontId="8" fillId="0" borderId="0" xfId="0" applyNumberFormat="1" applyFont="1"/>
    <xf numFmtId="0" fontId="9" fillId="0" borderId="0" xfId="0" applyFont="1" applyAlignment="1">
      <alignment horizontal="left"/>
    </xf>
    <xf numFmtId="173" fontId="8" fillId="0" borderId="0" xfId="0" applyNumberFormat="1" applyFont="1"/>
    <xf numFmtId="0" fontId="11" fillId="0" borderId="0" xfId="0" applyFont="1"/>
    <xf numFmtId="175" fontId="11" fillId="0" borderId="0" xfId="0" applyNumberFormat="1" applyFont="1"/>
    <xf numFmtId="175" fontId="11" fillId="0" borderId="0" xfId="0" applyNumberFormat="1" applyFont="1" applyAlignment="1">
      <alignment horizontal="right"/>
    </xf>
    <xf numFmtId="0" fontId="2" fillId="0" borderId="5" xfId="0" applyFont="1" applyFill="1" applyBorder="1"/>
    <xf numFmtId="0" fontId="19" fillId="0" borderId="8" xfId="0" applyFont="1" applyBorder="1"/>
    <xf numFmtId="0" fontId="19" fillId="0" borderId="6" xfId="0" applyFont="1" applyBorder="1"/>
    <xf numFmtId="9" fontId="20" fillId="0" borderId="8" xfId="0" applyNumberFormat="1" applyFont="1" applyBorder="1"/>
    <xf numFmtId="9" fontId="20" fillId="0" borderId="6" xfId="0" applyNumberFormat="1" applyFont="1" applyBorder="1"/>
    <xf numFmtId="182" fontId="0" fillId="0" borderId="0" xfId="0" applyNumberFormat="1"/>
    <xf numFmtId="2" fontId="0" fillId="0" borderId="0" xfId="0" applyNumberFormat="1" applyAlignment="1">
      <alignment horizontal="left"/>
    </xf>
    <xf numFmtId="2" fontId="15" fillId="0" borderId="0" xfId="0" applyNumberFormat="1" applyFont="1"/>
    <xf numFmtId="2" fontId="15" fillId="0" borderId="5" xfId="0" applyNumberFormat="1" applyFont="1" applyBorder="1"/>
    <xf numFmtId="2" fontId="3" fillId="0" borderId="0" xfId="0" applyNumberFormat="1" applyFont="1"/>
    <xf numFmtId="2" fontId="0" fillId="0" borderId="0" xfId="0" applyNumberFormat="1" applyAlignment="1">
      <alignment horizontal="left" indent="1"/>
    </xf>
    <xf numFmtId="2" fontId="4" fillId="0" borderId="0" xfId="0" applyNumberFormat="1" applyFont="1" applyBorder="1"/>
    <xf numFmtId="0" fontId="0" fillId="0" borderId="10" xfId="0" applyBorder="1"/>
    <xf numFmtId="0" fontId="0" fillId="0" borderId="2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11" xfId="0" applyBorder="1"/>
    <xf numFmtId="0" fontId="4" fillId="0" borderId="11" xfId="0" applyFont="1" applyBorder="1"/>
    <xf numFmtId="0" fontId="0" fillId="0" borderId="11" xfId="0" applyBorder="1" applyAlignment="1">
      <alignment horizontal="left" indent="1"/>
    </xf>
    <xf numFmtId="37" fontId="0" fillId="0" borderId="0" xfId="0" applyNumberFormat="1" applyBorder="1"/>
    <xf numFmtId="37" fontId="0" fillId="0" borderId="5" xfId="0" applyNumberFormat="1" applyBorder="1"/>
    <xf numFmtId="0" fontId="11" fillId="0" borderId="11" xfId="0" applyFont="1" applyBorder="1" applyAlignment="1">
      <alignment horizontal="left" indent="2"/>
    </xf>
    <xf numFmtId="39" fontId="11" fillId="0" borderId="0" xfId="0" applyNumberFormat="1" applyFont="1" applyBorder="1"/>
    <xf numFmtId="9" fontId="11" fillId="0" borderId="0" xfId="0" applyNumberFormat="1" applyFont="1" applyBorder="1"/>
    <xf numFmtId="9" fontId="11" fillId="0" borderId="5" xfId="0" applyNumberFormat="1" applyFont="1" applyBorder="1"/>
    <xf numFmtId="175" fontId="11" fillId="0" borderId="0" xfId="0" applyNumberFormat="1" applyFont="1" applyBorder="1"/>
    <xf numFmtId="175" fontId="11" fillId="0" borderId="5" xfId="0" applyNumberFormat="1" applyFont="1" applyBorder="1"/>
    <xf numFmtId="39" fontId="0" fillId="0" borderId="5" xfId="0" applyNumberFormat="1" applyBorder="1"/>
    <xf numFmtId="175" fontId="11" fillId="0" borderId="0" xfId="0" applyNumberFormat="1" applyFont="1" applyBorder="1" applyAlignment="1">
      <alignment horizontal="right"/>
    </xf>
    <xf numFmtId="175" fontId="11" fillId="0" borderId="5" xfId="0" applyNumberFormat="1" applyFont="1" applyBorder="1" applyAlignment="1">
      <alignment horizontal="right"/>
    </xf>
    <xf numFmtId="175" fontId="0" fillId="0" borderId="0" xfId="0" applyNumberFormat="1" applyBorder="1" applyAlignment="1">
      <alignment horizontal="right"/>
    </xf>
    <xf numFmtId="175" fontId="0" fillId="0" borderId="5" xfId="0" applyNumberFormat="1" applyBorder="1" applyAlignment="1">
      <alignment horizontal="right"/>
    </xf>
    <xf numFmtId="0" fontId="0" fillId="0" borderId="11" xfId="0" applyFont="1" applyBorder="1" applyAlignment="1">
      <alignment horizontal="left" indent="1"/>
    </xf>
    <xf numFmtId="167" fontId="0" fillId="0" borderId="0" xfId="0" applyNumberFormat="1" applyBorder="1"/>
    <xf numFmtId="167" fontId="0" fillId="0" borderId="5" xfId="0" applyNumberFormat="1" applyBorder="1"/>
    <xf numFmtId="174" fontId="8" fillId="0" borderId="0" xfId="0" applyNumberFormat="1" applyFont="1" applyBorder="1"/>
    <xf numFmtId="0" fontId="11" fillId="0" borderId="0" xfId="0" applyFont="1" applyBorder="1"/>
    <xf numFmtId="5" fontId="0" fillId="0" borderId="0" xfId="0" applyNumberFormat="1" applyBorder="1"/>
    <xf numFmtId="5" fontId="0" fillId="0" borderId="5" xfId="0" applyNumberFormat="1" applyBorder="1"/>
    <xf numFmtId="3" fontId="8" fillId="0" borderId="0" xfId="0" applyNumberFormat="1" applyFont="1" applyBorder="1"/>
    <xf numFmtId="3" fontId="0" fillId="0" borderId="11" xfId="0" applyNumberFormat="1" applyBorder="1" applyAlignment="1">
      <alignment horizontal="left" indent="1"/>
    </xf>
    <xf numFmtId="3" fontId="0" fillId="0" borderId="0" xfId="0" applyNumberFormat="1" applyFill="1" applyBorder="1"/>
    <xf numFmtId="181" fontId="0" fillId="0" borderId="0" xfId="0" applyNumberFormat="1" applyFill="1" applyBorder="1"/>
    <xf numFmtId="181" fontId="0" fillId="0" borderId="11" xfId="0" applyNumberFormat="1" applyBorder="1" applyAlignment="1">
      <alignment horizontal="left" indent="1"/>
    </xf>
    <xf numFmtId="181" fontId="0" fillId="0" borderId="0" xfId="0" applyNumberFormat="1" applyBorder="1"/>
    <xf numFmtId="181" fontId="0" fillId="0" borderId="5" xfId="0" applyNumberFormat="1" applyBorder="1"/>
    <xf numFmtId="181" fontId="0" fillId="0" borderId="0" xfId="0" applyNumberFormat="1"/>
    <xf numFmtId="3" fontId="0" fillId="0" borderId="10" xfId="0" applyNumberFormat="1" applyBorder="1" applyAlignment="1">
      <alignment horizontal="left" indent="1"/>
    </xf>
    <xf numFmtId="3" fontId="0" fillId="0" borderId="2" xfId="0" applyNumberFormat="1" applyBorder="1"/>
    <xf numFmtId="3" fontId="0" fillId="0" borderId="4" xfId="0" applyNumberFormat="1" applyBorder="1"/>
    <xf numFmtId="3" fontId="0" fillId="0" borderId="8" xfId="0" applyNumberFormat="1" applyBorder="1" applyAlignment="1">
      <alignment horizontal="left" indent="1"/>
    </xf>
    <xf numFmtId="3" fontId="0" fillId="0" borderId="6" xfId="0" applyNumberFormat="1" applyBorder="1"/>
    <xf numFmtId="3" fontId="0" fillId="0" borderId="9" xfId="0" applyNumberFormat="1" applyBorder="1"/>
    <xf numFmtId="0" fontId="2" fillId="2" borderId="7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9" fontId="0" fillId="0" borderId="0" xfId="0" applyNumberFormat="1" applyFont="1" applyFill="1" applyBorder="1"/>
    <xf numFmtId="2" fontId="4" fillId="0" borderId="0" xfId="0" applyNumberFormat="1" applyFont="1" applyFill="1" applyBorder="1"/>
    <xf numFmtId="9" fontId="11" fillId="0" borderId="0" xfId="0" applyNumberFormat="1" applyFont="1" applyFill="1" applyBorder="1"/>
    <xf numFmtId="2" fontId="0" fillId="0" borderId="0" xfId="0" applyNumberFormat="1" applyFill="1" applyBorder="1"/>
    <xf numFmtId="174" fontId="0" fillId="0" borderId="0" xfId="0" applyNumberFormat="1" applyFill="1" applyBorder="1"/>
    <xf numFmtId="0" fontId="17" fillId="0" borderId="0" xfId="0" applyFont="1" applyFill="1" applyAlignment="1">
      <alignment horizontal="center"/>
    </xf>
    <xf numFmtId="180" fontId="0" fillId="0" borderId="0" xfId="0" applyNumberFormat="1" applyAlignment="1">
      <alignment horizontal="center"/>
    </xf>
    <xf numFmtId="0" fontId="17" fillId="0" borderId="2" xfId="0" applyFont="1" applyFill="1" applyBorder="1"/>
    <xf numFmtId="0" fontId="17" fillId="0" borderId="2" xfId="0" applyFont="1" applyFill="1" applyBorder="1" applyAlignment="1">
      <alignment horizontal="centerContinuous"/>
    </xf>
    <xf numFmtId="0" fontId="17" fillId="0" borderId="4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181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>
      <alignment horizontal="center"/>
    </xf>
    <xf numFmtId="17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80" fontId="0" fillId="0" borderId="0" xfId="0" applyNumberFormat="1" applyBorder="1" applyAlignment="1">
      <alignment horizontal="center"/>
    </xf>
    <xf numFmtId="180" fontId="0" fillId="0" borderId="5" xfId="0" applyNumberFormat="1" applyBorder="1" applyAlignment="1">
      <alignment horizontal="center"/>
    </xf>
    <xf numFmtId="170" fontId="0" fillId="0" borderId="1" xfId="0" applyNumberFormat="1" applyBorder="1"/>
    <xf numFmtId="180" fontId="0" fillId="0" borderId="1" xfId="0" applyNumberFormat="1" applyBorder="1" applyAlignment="1">
      <alignment horizontal="center"/>
    </xf>
    <xf numFmtId="180" fontId="0" fillId="0" borderId="13" xfId="0" applyNumberFormat="1" applyBorder="1" applyAlignment="1">
      <alignment horizontal="center"/>
    </xf>
    <xf numFmtId="0" fontId="17" fillId="0" borderId="10" xfId="0" applyFont="1" applyFill="1" applyBorder="1"/>
    <xf numFmtId="0" fontId="0" fillId="0" borderId="12" xfId="0" applyBorder="1" applyAlignment="1">
      <alignment horizontal="left" indent="1"/>
    </xf>
    <xf numFmtId="0" fontId="21" fillId="0" borderId="0" xfId="0" applyFont="1" applyFill="1"/>
    <xf numFmtId="0" fontId="11" fillId="0" borderId="10" xfId="0" applyFont="1" applyBorder="1"/>
    <xf numFmtId="164" fontId="4" fillId="0" borderId="0" xfId="0" applyNumberFormat="1" applyFont="1" applyBorder="1"/>
    <xf numFmtId="10" fontId="14" fillId="0" borderId="0" xfId="0" applyNumberFormat="1" applyFont="1" applyFill="1"/>
    <xf numFmtId="0" fontId="14" fillId="0" borderId="8" xfId="0" applyFont="1" applyFill="1" applyBorder="1"/>
    <xf numFmtId="176" fontId="14" fillId="0" borderId="9" xfId="0" applyNumberFormat="1" applyFont="1" applyFill="1" applyBorder="1"/>
    <xf numFmtId="10" fontId="14" fillId="0" borderId="9" xfId="0" applyNumberFormat="1" applyFont="1" applyFill="1" applyBorder="1"/>
    <xf numFmtId="167" fontId="14" fillId="0" borderId="9" xfId="0" applyNumberFormat="1" applyFont="1" applyFill="1" applyBorder="1"/>
    <xf numFmtId="9" fontId="14" fillId="0" borderId="9" xfId="0" applyNumberFormat="1" applyFont="1" applyFill="1" applyBorder="1"/>
    <xf numFmtId="9" fontId="5" fillId="0" borderId="0" xfId="0" applyNumberFormat="1" applyFont="1" applyFill="1"/>
    <xf numFmtId="39" fontId="14" fillId="0" borderId="0" xfId="0" applyNumberFormat="1" applyFont="1" applyFill="1"/>
    <xf numFmtId="37" fontId="17" fillId="0" borderId="0" xfId="0" applyNumberFormat="1" applyFont="1" applyFill="1" applyBorder="1" applyAlignment="1">
      <alignment horizontal="centerContinuous"/>
    </xf>
    <xf numFmtId="37" fontId="17" fillId="0" borderId="0" xfId="0" applyNumberFormat="1" applyFont="1" applyFill="1" applyAlignment="1">
      <alignment horizontal="centerContinuous"/>
    </xf>
    <xf numFmtId="0" fontId="17" fillId="0" borderId="11" xfId="0" applyFont="1" applyFill="1" applyBorder="1"/>
    <xf numFmtId="0" fontId="17" fillId="0" borderId="5" xfId="0" applyFont="1" applyFill="1" applyBorder="1"/>
    <xf numFmtId="0" fontId="14" fillId="0" borderId="0" xfId="0" applyFont="1" applyFill="1" applyAlignment="1">
      <alignment horizontal="left" indent="1"/>
    </xf>
  </cellXfs>
  <cellStyles count="2">
    <cellStyle name="Normal" xfId="0" builtinId="0"/>
    <cellStyle name="Percent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Maturity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Debt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Capitalization!$L$2:$P$2</c:f>
              <c:numCache>
                <c:formatCode>0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Capitalization!$L$15:$P$15</c:f>
              <c:numCache>
                <c:formatCode>0.0;\(0.0\);\-_)</c:formatCode>
                <c:ptCount val="5"/>
                <c:pt idx="0">
                  <c:v>12.4</c:v>
                </c:pt>
                <c:pt idx="1">
                  <c:v>0</c:v>
                </c:pt>
                <c:pt idx="2">
                  <c:v>45</c:v>
                </c:pt>
                <c:pt idx="3">
                  <c:v>762.9</c:v>
                </c:pt>
                <c:pt idx="4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EE-44F4-8FA7-5AA07C0CA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3273104"/>
        <c:axId val="410243472"/>
      </c:barChart>
      <c:catAx>
        <c:axId val="40327310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43472"/>
        <c:crosses val="autoZero"/>
        <c:auto val="1"/>
        <c:lblAlgn val="ctr"/>
        <c:lblOffset val="100"/>
        <c:noMultiLvlLbl val="0"/>
      </c:catAx>
      <c:valAx>
        <c:axId val="41024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\(0.0\);\-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27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135</xdr:row>
      <xdr:rowOff>81643</xdr:rowOff>
    </xdr:from>
    <xdr:to>
      <xdr:col>12</xdr:col>
      <xdr:colOff>206414</xdr:colOff>
      <xdr:row>150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0A681F-3658-43BD-BA62-F4FE974DB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43072"/>
          <a:ext cx="9069200" cy="26397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22</xdr:col>
      <xdr:colOff>68881</xdr:colOff>
      <xdr:row>195</xdr:row>
      <xdr:rowOff>118095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25AB50-933D-4531-9B43-B623C4223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484286"/>
          <a:ext cx="15009524" cy="59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428625</xdr:colOff>
      <xdr:row>17</xdr:row>
      <xdr:rowOff>76200</xdr:rowOff>
    </xdr:from>
    <xdr:to>
      <xdr:col>18</xdr:col>
      <xdr:colOff>123825</xdr:colOff>
      <xdr:row>32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9EF254-F1A0-48AD-85B8-1CD9FB419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msec.com/filing/156459019004592/1?table=169&amp;utm_source=table-download&amp;utm_medium=excel&amp;utm_campaign=t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8263-9677-480E-8D5F-75448559DC98}">
  <dimension ref="B1:L102"/>
  <sheetViews>
    <sheetView showGridLines="0" zoomScale="70" zoomScaleNormal="70" workbookViewId="0">
      <selection activeCell="C1" sqref="C1"/>
    </sheetView>
  </sheetViews>
  <sheetFormatPr defaultRowHeight="14.5" outlineLevelCol="1" x14ac:dyDescent="0.35"/>
  <cols>
    <col min="1" max="1" width="1.6328125" style="3" customWidth="1"/>
    <col min="2" max="2" width="34.54296875" bestFit="1" customWidth="1"/>
    <col min="3" max="8" width="15.6328125" customWidth="1"/>
    <col min="9" max="11" width="15.6328125" hidden="1" customWidth="1" outlineLevel="1"/>
    <col min="12" max="12" width="8.7265625" style="3" collapsed="1"/>
    <col min="13" max="16384" width="8.7265625" style="3"/>
  </cols>
  <sheetData>
    <row r="1" spans="2:11" x14ac:dyDescent="0.35">
      <c r="B1" s="208" t="s">
        <v>391</v>
      </c>
      <c r="C1" s="380">
        <v>1</v>
      </c>
      <c r="D1" s="315"/>
      <c r="E1" s="340" t="s">
        <v>392</v>
      </c>
      <c r="F1" s="73">
        <v>1</v>
      </c>
      <c r="G1" s="315"/>
      <c r="H1" s="315"/>
      <c r="I1" s="315"/>
      <c r="J1" s="315"/>
      <c r="K1" s="315"/>
    </row>
    <row r="2" spans="2:11" x14ac:dyDescent="0.35">
      <c r="B2" s="315"/>
      <c r="C2" s="315"/>
      <c r="D2" s="315"/>
      <c r="E2" s="343" t="s">
        <v>393</v>
      </c>
      <c r="F2" s="74">
        <v>2</v>
      </c>
      <c r="G2" s="315"/>
      <c r="H2" s="315"/>
      <c r="I2" s="315"/>
      <c r="J2" s="315"/>
      <c r="K2" s="315"/>
    </row>
    <row r="3" spans="2:11" x14ac:dyDescent="0.35">
      <c r="B3" s="315"/>
      <c r="C3" s="315"/>
      <c r="D3" s="315"/>
      <c r="E3" s="381" t="s">
        <v>394</v>
      </c>
      <c r="F3" s="382">
        <v>3</v>
      </c>
      <c r="G3" s="315"/>
      <c r="H3" s="315"/>
      <c r="I3" s="315"/>
      <c r="J3" s="315"/>
      <c r="K3" s="315"/>
    </row>
    <row r="4" spans="2:11" x14ac:dyDescent="0.35">
      <c r="B4" s="315"/>
      <c r="C4" s="315"/>
      <c r="D4" s="315"/>
      <c r="E4" s="315"/>
      <c r="F4" s="315"/>
      <c r="G4" s="315"/>
      <c r="H4" s="315"/>
      <c r="I4" s="315"/>
      <c r="J4" s="315"/>
      <c r="K4" s="315"/>
    </row>
    <row r="5" spans="2:11" x14ac:dyDescent="0.35">
      <c r="B5" s="315"/>
      <c r="C5" s="315"/>
      <c r="D5" s="315"/>
      <c r="E5" s="315"/>
      <c r="F5" s="315"/>
      <c r="G5" s="315"/>
      <c r="H5" s="315"/>
      <c r="I5" s="315"/>
      <c r="J5" s="315"/>
      <c r="K5" s="315"/>
    </row>
    <row r="6" spans="2:11" x14ac:dyDescent="0.35">
      <c r="B6" s="407" t="s">
        <v>361</v>
      </c>
      <c r="C6" s="341" t="s">
        <v>350</v>
      </c>
      <c r="D6" s="341"/>
      <c r="E6" s="341"/>
      <c r="F6" s="341" t="s">
        <v>351</v>
      </c>
      <c r="G6" s="341"/>
      <c r="H6" s="342"/>
      <c r="I6" s="135"/>
      <c r="J6" s="135"/>
      <c r="K6" s="135"/>
    </row>
    <row r="7" spans="2:11" s="186" customFormat="1" x14ac:dyDescent="0.35">
      <c r="B7" s="343"/>
      <c r="C7" s="3" t="str">
        <f>Tower!E1</f>
        <v>2016A</v>
      </c>
      <c r="D7" s="3" t="str">
        <f>Tower!F1</f>
        <v>2017A</v>
      </c>
      <c r="E7" s="3" t="str">
        <f>Tower!G1</f>
        <v>2018A</v>
      </c>
      <c r="F7" s="3" t="str">
        <f>Tower!H1</f>
        <v>2019E</v>
      </c>
      <c r="G7" s="3" t="str">
        <f>Tower!I1</f>
        <v>2020E</v>
      </c>
      <c r="H7" s="74" t="str">
        <f>Tower!J1</f>
        <v>2021E</v>
      </c>
      <c r="I7" s="135" t="str">
        <f>Tower!K1</f>
        <v>2022E</v>
      </c>
      <c r="J7" s="135" t="str">
        <f>Tower!L1</f>
        <v>2023E</v>
      </c>
      <c r="K7" s="135" t="str">
        <f>Tower!M1</f>
        <v>2024E</v>
      </c>
    </row>
    <row r="8" spans="2:11" x14ac:dyDescent="0.35">
      <c r="B8" s="344" t="s">
        <v>338</v>
      </c>
      <c r="C8" s="3"/>
      <c r="D8" s="3"/>
      <c r="E8" s="3"/>
      <c r="F8" s="3"/>
      <c r="G8" s="3"/>
      <c r="H8" s="74"/>
      <c r="I8" s="135"/>
      <c r="J8" s="135"/>
      <c r="K8" s="135"/>
    </row>
    <row r="9" spans="2:11" x14ac:dyDescent="0.35">
      <c r="B9" s="345" t="s">
        <v>346</v>
      </c>
      <c r="C9" s="364">
        <f>Tower!E6/1000</f>
        <v>875.83199999999999</v>
      </c>
      <c r="D9" s="364">
        <f>Tower!F6/1000</f>
        <v>954.53800000000001</v>
      </c>
      <c r="E9" s="364">
        <f>Tower!G6/1000</f>
        <v>1104.991</v>
      </c>
      <c r="F9" s="364">
        <f ca="1">Tower!H6/1000</f>
        <v>1050.1038639719625</v>
      </c>
      <c r="G9" s="364">
        <f ca="1">Tower!I6/1000</f>
        <v>1043.9543505696943</v>
      </c>
      <c r="H9" s="365">
        <f ca="1">Tower!J6/1000</f>
        <v>1014.7650568052358</v>
      </c>
      <c r="I9" s="289">
        <f ca="1">Tower!K6/1000</f>
        <v>951.29620144432772</v>
      </c>
      <c r="J9" s="289">
        <f ca="1">Tower!L6/1000</f>
        <v>973.16653749500097</v>
      </c>
      <c r="K9" s="289">
        <f ca="1">Tower!M6/1000</f>
        <v>995.64508295758435</v>
      </c>
    </row>
    <row r="10" spans="2:11" s="363" customFormat="1" x14ac:dyDescent="0.35">
      <c r="B10" s="348" t="s">
        <v>342</v>
      </c>
      <c r="C10" s="349"/>
      <c r="D10" s="350">
        <f>D9/C9-1</f>
        <v>8.9864266206304499E-2</v>
      </c>
      <c r="E10" s="350">
        <f>E9/D9-1</f>
        <v>0.15761865949810261</v>
      </c>
      <c r="F10" s="350">
        <f ca="1">F9/E9-1</f>
        <v>-4.9672020883461898E-2</v>
      </c>
      <c r="G10" s="350">
        <f ca="1">G9/F9-1</f>
        <v>-5.856100156614974E-3</v>
      </c>
      <c r="H10" s="351">
        <f ca="1">H9/G9-1</f>
        <v>-2.7960316223146764E-2</v>
      </c>
      <c r="I10" s="45">
        <f t="shared" ref="I10:K10" ca="1" si="0">I9/H9-1</f>
        <v>-6.2545369428393394E-2</v>
      </c>
      <c r="J10" s="45">
        <f t="shared" ca="1" si="0"/>
        <v>2.2990038241998745E-2</v>
      </c>
      <c r="K10" s="45">
        <f t="shared" ca="1" si="0"/>
        <v>2.3098354286250622E-2</v>
      </c>
    </row>
    <row r="11" spans="2:11" x14ac:dyDescent="0.35">
      <c r="B11" s="345" t="s">
        <v>343</v>
      </c>
      <c r="C11" s="346">
        <f>(Tower!E4-SUM(Tower!E9))/1000</f>
        <v>442.63299999999998</v>
      </c>
      <c r="D11" s="346">
        <f>(Tower!F4-SUM(Tower!F9:F10))/1000</f>
        <v>450.851</v>
      </c>
      <c r="E11" s="346">
        <f>(Tower!G4-SUM(Tower!G9:G10))/1000</f>
        <v>555.80999999999995</v>
      </c>
      <c r="F11" s="346">
        <f ca="1">(Tower!H4-SUM(Tower!H9:H10))/1000</f>
        <v>524.77669263239852</v>
      </c>
      <c r="G11" s="346">
        <f ca="1">(Tower!I4-SUM(Tower!I9:I10))/1000</f>
        <v>523.80464088441579</v>
      </c>
      <c r="H11" s="347">
        <f ca="1">(Tower!J4-SUM(Tower!J9:J10))/1000</f>
        <v>513.93101882296889</v>
      </c>
      <c r="I11" s="289">
        <f ca="1">(Tower!K4-SUM(Tower!K9:K10))/1000</f>
        <v>496.35311102640304</v>
      </c>
      <c r="J11" s="289">
        <f ca="1">(Tower!L4-SUM(Tower!L9:L10))/1000</f>
        <v>518.45794831838953</v>
      </c>
      <c r="K11" s="289">
        <f ca="1">(Tower!M4-SUM(Tower!M9:M10))/1000</f>
        <v>541.04440544260717</v>
      </c>
    </row>
    <row r="12" spans="2:11" s="363" customFormat="1" x14ac:dyDescent="0.35">
      <c r="B12" s="348" t="s">
        <v>344</v>
      </c>
      <c r="C12" s="352">
        <f t="shared" ref="C12:H12" si="1">C11/C9</f>
        <v>0.50538573607723858</v>
      </c>
      <c r="D12" s="352">
        <f t="shared" si="1"/>
        <v>0.47232378386193108</v>
      </c>
      <c r="E12" s="352">
        <f t="shared" si="1"/>
        <v>0.5029995719422149</v>
      </c>
      <c r="F12" s="352">
        <f t="shared" ca="1" si="1"/>
        <v>0.49973789320939965</v>
      </c>
      <c r="G12" s="352">
        <f t="shared" ca="1" si="1"/>
        <v>0.5017505225190847</v>
      </c>
      <c r="H12" s="353">
        <f t="shared" ca="1" si="1"/>
        <v>0.50645320843128705</v>
      </c>
      <c r="I12" s="326">
        <f t="shared" ref="I12:K12" ca="1" si="2">I11/I9</f>
        <v>0.52176505096183845</v>
      </c>
      <c r="J12" s="326">
        <f t="shared" ca="1" si="2"/>
        <v>0.53275357129822476</v>
      </c>
      <c r="K12" s="326">
        <f t="shared" ca="1" si="2"/>
        <v>0.5434109148969265</v>
      </c>
    </row>
    <row r="13" spans="2:11" x14ac:dyDescent="0.35">
      <c r="B13" s="345" t="s">
        <v>19</v>
      </c>
      <c r="C13" s="192">
        <v>308.79899999999998</v>
      </c>
      <c r="D13" s="192">
        <v>294.5</v>
      </c>
      <c r="E13" s="192">
        <v>313.584</v>
      </c>
      <c r="F13" s="192">
        <f ca="1">(Tower!H20+Tower!H12)/1000</f>
        <v>281.63990703690934</v>
      </c>
      <c r="G13" s="192">
        <f ca="1">(Tower!I20+Tower!I12)/1000</f>
        <v>290.46535324004827</v>
      </c>
      <c r="H13" s="354">
        <f ca="1">(Tower!J20+Tower!J12)/1000</f>
        <v>279.60178151286055</v>
      </c>
      <c r="I13" s="191">
        <f ca="1">(Tower!K20+Tower!K12)/1000</f>
        <v>290.93841016129028</v>
      </c>
      <c r="J13" s="191">
        <f ca="1">(Tower!L20+Tower!L12)/1000</f>
        <v>299.32629657354846</v>
      </c>
      <c r="K13" s="191">
        <f ca="1">(Tower!M20+Tower!M12)/1000</f>
        <v>330.79175582266254</v>
      </c>
    </row>
    <row r="14" spans="2:11" s="363" customFormat="1" x14ac:dyDescent="0.35">
      <c r="B14" s="348" t="s">
        <v>348</v>
      </c>
      <c r="C14" s="352">
        <f t="shared" ref="C14:H14" si="3">C13/C9</f>
        <v>0.3525778916504535</v>
      </c>
      <c r="D14" s="352">
        <f t="shared" si="3"/>
        <v>0.30852621896666238</v>
      </c>
      <c r="E14" s="352">
        <f t="shared" si="3"/>
        <v>0.28378873674084226</v>
      </c>
      <c r="F14" s="352">
        <f t="shared" ca="1" si="3"/>
        <v>0.26820195287313892</v>
      </c>
      <c r="G14" s="352">
        <f t="shared" ca="1" si="3"/>
        <v>0.27823568442579794</v>
      </c>
      <c r="H14" s="353">
        <f t="shared" ca="1" si="3"/>
        <v>0.27553351353378797</v>
      </c>
      <c r="I14" s="326">
        <f t="shared" ref="I14:K14" ca="1" si="4">I13/I9</f>
        <v>0.30583367169927328</v>
      </c>
      <c r="J14" s="326">
        <f t="shared" ca="1" si="4"/>
        <v>0.30757972560794722</v>
      </c>
      <c r="K14" s="326">
        <f t="shared" ca="1" si="4"/>
        <v>0.3322386274836398</v>
      </c>
    </row>
    <row r="15" spans="2:11" x14ac:dyDescent="0.35">
      <c r="B15" s="345" t="s">
        <v>299</v>
      </c>
      <c r="C15" s="346">
        <f>Tower!E20/1000</f>
        <v>22.728999999999999</v>
      </c>
      <c r="D15" s="346">
        <f>Tower!F20/1000</f>
        <v>22.283000000000001</v>
      </c>
      <c r="E15" s="346">
        <f>Tower!G20/1000</f>
        <v>84.522999999999996</v>
      </c>
      <c r="F15" s="346">
        <f ca="1">Tower!H20/1000</f>
        <v>73.09053897624905</v>
      </c>
      <c r="G15" s="346">
        <f ca="1">Tower!I20/1000</f>
        <v>107.05032002047578</v>
      </c>
      <c r="H15" s="347">
        <f ca="1">Tower!J20/1000</f>
        <v>101.74200818661251</v>
      </c>
      <c r="I15" s="289">
        <f ca="1">Tower!K20/1000</f>
        <v>123.57218825447804</v>
      </c>
      <c r="J15" s="289">
        <f ca="1">Tower!L20/1000</f>
        <v>143.48574781152652</v>
      </c>
      <c r="K15" s="289">
        <f ca="1">Tower!M20/1000</f>
        <v>182.49531682968711</v>
      </c>
    </row>
    <row r="16" spans="2:11" s="363" customFormat="1" x14ac:dyDescent="0.35">
      <c r="B16" s="348" t="s">
        <v>347</v>
      </c>
      <c r="C16" s="352">
        <f t="shared" ref="C16:H16" si="5">C15/C9</f>
        <v>2.5951323998209701E-2</v>
      </c>
      <c r="D16" s="352">
        <f t="shared" si="5"/>
        <v>2.3344277545786548E-2</v>
      </c>
      <c r="E16" s="352">
        <f t="shared" si="5"/>
        <v>7.6492025726906374E-2</v>
      </c>
      <c r="F16" s="352">
        <f t="shared" ca="1" si="5"/>
        <v>6.9603152110866387E-2</v>
      </c>
      <c r="G16" s="352">
        <f t="shared" ca="1" si="5"/>
        <v>0.10254310445859779</v>
      </c>
      <c r="H16" s="353">
        <f t="shared" ca="1" si="5"/>
        <v>0.10026163938569664</v>
      </c>
      <c r="I16" s="326">
        <f t="shared" ref="I16:K16" ca="1" si="6">I15/I9</f>
        <v>0.12989875084843361</v>
      </c>
      <c r="J16" s="326">
        <f t="shared" ca="1" si="6"/>
        <v>0.14744213069724829</v>
      </c>
      <c r="K16" s="326">
        <f t="shared" ca="1" si="6"/>
        <v>0.18329354501262737</v>
      </c>
    </row>
    <row r="17" spans="2:12" x14ac:dyDescent="0.35">
      <c r="B17" s="345" t="s">
        <v>345</v>
      </c>
      <c r="C17" s="346">
        <f>Tower!E26/1000</f>
        <v>-178.62</v>
      </c>
      <c r="D17" s="346">
        <f>Tower!F26/1000</f>
        <v>-215.233</v>
      </c>
      <c r="E17" s="346">
        <f>Tower!G26/1000</f>
        <v>-61.613</v>
      </c>
      <c r="F17" s="346">
        <f ca="1">Tower!H26/1000</f>
        <v>-40.816171482321138</v>
      </c>
      <c r="G17" s="346">
        <f ca="1">Tower!I26/1000</f>
        <v>-1.7459734171984456</v>
      </c>
      <c r="H17" s="347">
        <f ca="1">Tower!J26/1000</f>
        <v>-2.3906267471720786</v>
      </c>
      <c r="I17" s="289">
        <f ca="1">Tower!K26/1000</f>
        <v>22.349135401569875</v>
      </c>
      <c r="J17" s="289">
        <f ca="1">Tower!L26/1000</f>
        <v>43.662853923000888</v>
      </c>
      <c r="K17" s="289">
        <f ca="1">Tower!M26/1000</f>
        <v>84.213454787690424</v>
      </c>
    </row>
    <row r="18" spans="2:12" s="363" customFormat="1" x14ac:dyDescent="0.35">
      <c r="B18" s="348" t="s">
        <v>349</v>
      </c>
      <c r="C18" s="355" t="str">
        <f t="shared" ref="C18:H18" si="7">IF(C17&lt;0,"NA",C17/C9)</f>
        <v>NA</v>
      </c>
      <c r="D18" s="355" t="str">
        <f t="shared" si="7"/>
        <v>NA</v>
      </c>
      <c r="E18" s="355" t="str">
        <f t="shared" si="7"/>
        <v>NA</v>
      </c>
      <c r="F18" s="355" t="str">
        <f t="shared" ca="1" si="7"/>
        <v>NA</v>
      </c>
      <c r="G18" s="355" t="str">
        <f t="shared" ca="1" si="7"/>
        <v>NA</v>
      </c>
      <c r="H18" s="356" t="str">
        <f t="shared" ca="1" si="7"/>
        <v>NA</v>
      </c>
      <c r="I18" s="327">
        <f t="shared" ref="I18:K18" ca="1" si="8">IF(I17&lt;0,"NA",I17/I9)</f>
        <v>2.3493350827678883E-2</v>
      </c>
      <c r="J18" s="327">
        <f t="shared" ca="1" si="8"/>
        <v>4.4866785119217253E-2</v>
      </c>
      <c r="K18" s="327">
        <f t="shared" ca="1" si="8"/>
        <v>8.4581801516593252E-2</v>
      </c>
    </row>
    <row r="19" spans="2:12" x14ac:dyDescent="0.35">
      <c r="B19" s="343"/>
      <c r="C19" s="357"/>
      <c r="D19" s="357"/>
      <c r="E19" s="357"/>
      <c r="F19" s="357"/>
      <c r="G19" s="357"/>
      <c r="H19" s="358"/>
      <c r="I19" s="290"/>
      <c r="J19" s="290"/>
      <c r="K19" s="290"/>
    </row>
    <row r="20" spans="2:12" x14ac:dyDescent="0.35">
      <c r="B20" s="344" t="s">
        <v>339</v>
      </c>
      <c r="C20" s="3"/>
      <c r="D20" s="3"/>
      <c r="E20" s="3"/>
      <c r="F20" s="3"/>
      <c r="G20" s="3"/>
      <c r="H20" s="74"/>
    </row>
    <row r="21" spans="2:12" x14ac:dyDescent="0.35">
      <c r="B21" s="359" t="s">
        <v>363</v>
      </c>
      <c r="C21" s="360">
        <f>Debt!E12/Summary!C13</f>
        <v>2.5323916204391854</v>
      </c>
      <c r="D21" s="360">
        <f>Debt!F12/Summary!D13</f>
        <v>3.0628183361629882</v>
      </c>
      <c r="E21" s="360">
        <f>Debt!G12/Summary!E13</f>
        <v>2.6347007500382671</v>
      </c>
      <c r="F21" s="360">
        <f ca="1">Debt!H12/Summary!F13/1000</f>
        <v>2.6684325320651814</v>
      </c>
      <c r="G21" s="360">
        <f ca="1">Debt!I12/Summary!G13/1000</f>
        <v>2.4040732989690041</v>
      </c>
      <c r="H21" s="361">
        <f ca="1">Debt!J12/Summary!H13/1000</f>
        <v>2.3365373298594334</v>
      </c>
      <c r="I21" s="30">
        <f ca="1">Debt!K12/Summary!I13/1000</f>
        <v>2.2454924382030681</v>
      </c>
      <c r="J21" s="30">
        <f ca="1">Debt!L12/Summary!J13/1000</f>
        <v>2.1825680118267705</v>
      </c>
      <c r="K21" s="30">
        <f ca="1">Debt!M12/Summary!K13/1000</f>
        <v>1.9749585305573156</v>
      </c>
    </row>
    <row r="22" spans="2:12" x14ac:dyDescent="0.35">
      <c r="B22" s="345" t="s">
        <v>340</v>
      </c>
      <c r="C22" s="360">
        <f>Debt!E14/Summary!C13</f>
        <v>3.3095962098322858</v>
      </c>
      <c r="D22" s="360">
        <f>Debt!F14/Summary!D13</f>
        <v>4.0916808149405774</v>
      </c>
      <c r="E22" s="360">
        <f>Debt!G14/Summary!E13</f>
        <v>3.9899994897698856</v>
      </c>
      <c r="F22" s="360">
        <f ca="1">Debt!H14/Summary!F13/1000</f>
        <v>4.1774516354705202</v>
      </c>
      <c r="G22" s="360">
        <f ca="1">Debt!I14/Summary!G13/1000</f>
        <v>3.8672426417469321</v>
      </c>
      <c r="H22" s="361">
        <f ca="1">Debt!J14/Summary!H13/1000</f>
        <v>3.8565562571367327</v>
      </c>
      <c r="I22" s="30">
        <f ca="1">Debt!K14/Summary!I13/1000</f>
        <v>3.7062827125583477</v>
      </c>
      <c r="J22" s="30">
        <f ca="1">Debt!L14/Summary!J13/1000</f>
        <v>3.6024232162143073</v>
      </c>
      <c r="K22" s="30">
        <f ca="1">Debt!M14/Summary!K13/1000</f>
        <v>3.259754758150855</v>
      </c>
      <c r="L22" s="360"/>
    </row>
    <row r="23" spans="2:12" x14ac:dyDescent="0.35">
      <c r="B23" s="345" t="s">
        <v>341</v>
      </c>
      <c r="C23" s="360">
        <f>C13/Capitalization!$C$23</f>
        <v>2.6673656431136137</v>
      </c>
      <c r="D23" s="360">
        <f>D13/Capitalization!$C$23</f>
        <v>2.5438527388267422</v>
      </c>
      <c r="E23" s="360">
        <f>E13/Capitalization!$C$23</f>
        <v>2.7086978514507476</v>
      </c>
      <c r="F23" s="360">
        <f ca="1">F13/Capitalization!$C$23</f>
        <v>2.4327689265831949</v>
      </c>
      <c r="G23" s="360">
        <f ca="1">G13/Capitalization!$C$23</f>
        <v>2.509001984291932</v>
      </c>
      <c r="H23" s="361">
        <f ca="1">H13/Capitalization!$C$23</f>
        <v>2.4151638630978836</v>
      </c>
      <c r="I23" s="30">
        <f ca="1">I13/Capitalization!$C$23</f>
        <v>2.5130881885184939</v>
      </c>
      <c r="J23" s="30">
        <f ca="1">J13/Capitalization!$C$23</f>
        <v>2.5855416616009745</v>
      </c>
      <c r="K23" s="30">
        <f ca="1">K13/Capitalization!$C$23</f>
        <v>2.857336210630856</v>
      </c>
    </row>
    <row r="24" spans="2:12" x14ac:dyDescent="0.35">
      <c r="B24" s="343"/>
      <c r="C24" s="3"/>
      <c r="D24" s="3"/>
      <c r="E24" s="3"/>
      <c r="F24" s="3"/>
      <c r="G24" s="3"/>
      <c r="H24" s="74"/>
      <c r="I24" s="135"/>
      <c r="J24" s="135"/>
      <c r="K24" s="135"/>
    </row>
    <row r="25" spans="2:12" x14ac:dyDescent="0.35">
      <c r="B25" s="344" t="s">
        <v>352</v>
      </c>
      <c r="C25" s="3"/>
      <c r="D25" s="3"/>
      <c r="E25" s="3"/>
      <c r="F25" s="3"/>
      <c r="G25" s="3"/>
      <c r="H25" s="74"/>
    </row>
    <row r="26" spans="2:12" x14ac:dyDescent="0.35">
      <c r="B26" s="345" t="s">
        <v>57</v>
      </c>
      <c r="C26" s="366">
        <v>19270</v>
      </c>
      <c r="D26" s="188">
        <v>21368</v>
      </c>
      <c r="E26" s="366">
        <v>23395</v>
      </c>
      <c r="F26" s="188">
        <f ca="1">'Rev Cost Build'!G25*1000</f>
        <v>22078.710280373831</v>
      </c>
      <c r="G26" s="188">
        <f ca="1">'Rev Cost Build'!H25*1000</f>
        <v>21623.060068695584</v>
      </c>
      <c r="H26" s="108">
        <f ca="1">'Rev Cost Build'!I25*1000</f>
        <v>20728.066466970206</v>
      </c>
      <c r="I26" s="29">
        <f ca="1">'Rev Cost Build'!J25*1000</f>
        <v>19153.027900790796</v>
      </c>
      <c r="J26" s="29">
        <f ca="1">'Rev Cost Build'!K25*1000</f>
        <v>19323.510721303617</v>
      </c>
      <c r="K26" s="29">
        <f ca="1">'Rev Cost Build'!L25*1000</f>
        <v>19493.993541816435</v>
      </c>
    </row>
    <row r="27" spans="2:12" x14ac:dyDescent="0.35">
      <c r="B27" s="345" t="s">
        <v>59</v>
      </c>
      <c r="C27" s="362">
        <v>44.97</v>
      </c>
      <c r="D27" s="362">
        <v>43.834999999999994</v>
      </c>
      <c r="E27" s="362">
        <v>46.91</v>
      </c>
      <c r="F27" s="112">
        <f ca="1">'Rev Cost Build'!G58</f>
        <v>46.764929380341876</v>
      </c>
      <c r="G27" s="112">
        <f ca="1">'Rev Cost Build'!H58</f>
        <v>46.920007521367523</v>
      </c>
      <c r="H27" s="89">
        <f ca="1">'Rev Cost Build'!I58</f>
        <v>47.566176602564092</v>
      </c>
      <c r="I27" s="90">
        <f ca="1">'Rev Cost Build'!J58</f>
        <v>48.23096162393162</v>
      </c>
      <c r="J27" s="90">
        <f ca="1">'Rev Cost Build'!K58</f>
        <v>48.914362585470073</v>
      </c>
      <c r="K27" s="90">
        <f ca="1">'Rev Cost Build'!L58</f>
        <v>49.616379487179479</v>
      </c>
    </row>
    <row r="28" spans="2:12" x14ac:dyDescent="0.35">
      <c r="B28" s="345" t="s">
        <v>60</v>
      </c>
      <c r="C28" s="362">
        <v>37.729999999999997</v>
      </c>
      <c r="D28" s="362">
        <v>36.354999999999997</v>
      </c>
      <c r="E28" s="362">
        <v>37.07</v>
      </c>
      <c r="F28" s="112">
        <f ca="1">'Rev Cost Build'!G105</f>
        <v>37.344429380341879</v>
      </c>
      <c r="G28" s="112">
        <f ca="1">'Rev Cost Build'!H105</f>
        <v>37.220707521367522</v>
      </c>
      <c r="H28" s="89">
        <f ca="1">'Rev Cost Build'!I105</f>
        <v>37.866876602564091</v>
      </c>
      <c r="I28" s="90">
        <f ca="1">'Rev Cost Build'!J105</f>
        <v>38.531661623931619</v>
      </c>
      <c r="J28" s="90">
        <f ca="1">'Rev Cost Build'!K105</f>
        <v>39.215062585470072</v>
      </c>
      <c r="K28" s="90">
        <f ca="1">'Rev Cost Build'!L105</f>
        <v>39.917079487179478</v>
      </c>
    </row>
    <row r="29" spans="2:12" x14ac:dyDescent="0.35">
      <c r="B29" s="345" t="s">
        <v>61</v>
      </c>
      <c r="C29" s="362">
        <v>22.32</v>
      </c>
      <c r="D29" s="362">
        <v>22.835000000000001</v>
      </c>
      <c r="E29" s="362">
        <v>22.85</v>
      </c>
      <c r="F29" s="112">
        <f ca="1">'Rev Cost Build'!G107</f>
        <v>22.7</v>
      </c>
      <c r="G29" s="112">
        <f ca="1">'Rev Cost Build'!H107</f>
        <v>22.640273504273505</v>
      </c>
      <c r="H29" s="89">
        <f ca="1">'Rev Cost Build'!I107</f>
        <v>22.704807692307686</v>
      </c>
      <c r="I29" s="90">
        <f ca="1">'Rev Cost Build'!J107</f>
        <v>22.224341880341875</v>
      </c>
      <c r="J29" s="90">
        <f ca="1">'Rev Cost Build'!K107</f>
        <v>22.016376068376061</v>
      </c>
      <c r="K29" s="90">
        <f ca="1">'Rev Cost Build'!L107</f>
        <v>21.81841025641025</v>
      </c>
    </row>
    <row r="30" spans="2:12" x14ac:dyDescent="0.35">
      <c r="B30" s="343"/>
      <c r="C30" s="3"/>
      <c r="D30" s="3"/>
      <c r="E30" s="3"/>
      <c r="F30" s="3"/>
      <c r="G30" s="3"/>
      <c r="H30" s="74"/>
    </row>
    <row r="31" spans="2:12" s="186" customFormat="1" x14ac:dyDescent="0.35">
      <c r="B31" s="344" t="s">
        <v>0</v>
      </c>
      <c r="C31" s="3"/>
      <c r="D31" s="3"/>
      <c r="E31" s="3"/>
      <c r="F31" s="3"/>
      <c r="G31" s="3"/>
      <c r="H31" s="74"/>
      <c r="I31"/>
      <c r="J31"/>
      <c r="K31"/>
    </row>
    <row r="32" spans="2:12" s="369" customFormat="1" x14ac:dyDescent="0.35">
      <c r="B32" s="370" t="s">
        <v>390</v>
      </c>
      <c r="C32" s="371"/>
      <c r="D32" s="371"/>
      <c r="E32" s="371"/>
      <c r="F32" s="371">
        <v>170</v>
      </c>
      <c r="G32" s="371">
        <v>170</v>
      </c>
      <c r="H32" s="372">
        <v>170</v>
      </c>
      <c r="I32" s="373">
        <v>170</v>
      </c>
      <c r="J32" s="373">
        <v>170</v>
      </c>
      <c r="K32" s="373">
        <v>170</v>
      </c>
    </row>
    <row r="33" spans="2:11" s="368" customFormat="1" x14ac:dyDescent="0.35">
      <c r="B33" s="367" t="s">
        <v>276</v>
      </c>
      <c r="C33" s="188"/>
      <c r="D33" s="188"/>
      <c r="E33" s="188"/>
      <c r="F33" s="188">
        <f ca="1">Debt!H33/1000</f>
        <v>8.2370902651023652</v>
      </c>
      <c r="G33" s="188">
        <f ca="1">Debt!I33/1000</f>
        <v>0</v>
      </c>
      <c r="H33" s="108">
        <f ca="1">Debt!J33/1000</f>
        <v>0</v>
      </c>
      <c r="I33" s="107">
        <f ca="1">Debt!K33/1000</f>
        <v>0</v>
      </c>
      <c r="J33" s="107">
        <f ca="1">Debt!L33/1000</f>
        <v>0</v>
      </c>
      <c r="K33" s="107">
        <f ca="1">Debt!M33/1000</f>
        <v>0</v>
      </c>
    </row>
    <row r="34" spans="2:11" s="368" customFormat="1" x14ac:dyDescent="0.35">
      <c r="B34" s="367" t="s">
        <v>275</v>
      </c>
      <c r="C34" s="188"/>
      <c r="D34" s="188"/>
      <c r="E34" s="188"/>
      <c r="F34" s="188">
        <v>12.3</v>
      </c>
      <c r="G34" s="188">
        <v>12.3</v>
      </c>
      <c r="H34" s="108">
        <v>12.3</v>
      </c>
      <c r="I34" s="107">
        <v>12.3</v>
      </c>
      <c r="J34" s="107">
        <v>12.3</v>
      </c>
      <c r="K34" s="107">
        <v>12.3</v>
      </c>
    </row>
    <row r="35" spans="2:11" s="368" customFormat="1" x14ac:dyDescent="0.35">
      <c r="B35" s="374" t="s">
        <v>9</v>
      </c>
      <c r="C35" s="375"/>
      <c r="D35" s="375"/>
      <c r="E35" s="375"/>
      <c r="F35" s="375">
        <f t="shared" ref="F35:K35" ca="1" si="9">F32-SUM(F33:F34)</f>
        <v>149.46290973489764</v>
      </c>
      <c r="G35" s="375">
        <f t="shared" ca="1" si="9"/>
        <v>157.69999999999999</v>
      </c>
      <c r="H35" s="376">
        <f t="shared" ca="1" si="9"/>
        <v>157.69999999999999</v>
      </c>
      <c r="I35" s="375">
        <f t="shared" ca="1" si="9"/>
        <v>157.69999999999999</v>
      </c>
      <c r="J35" s="375">
        <f t="shared" ca="1" si="9"/>
        <v>157.69999999999999</v>
      </c>
      <c r="K35" s="375">
        <f t="shared" ca="1" si="9"/>
        <v>157.69999999999999</v>
      </c>
    </row>
    <row r="36" spans="2:11" s="368" customFormat="1" x14ac:dyDescent="0.35">
      <c r="B36" s="367" t="s">
        <v>274</v>
      </c>
      <c r="C36" s="188"/>
      <c r="D36" s="188"/>
      <c r="E36" s="188"/>
      <c r="F36" s="188">
        <f ca="1">Tower!H50/1000</f>
        <v>10</v>
      </c>
      <c r="G36" s="188">
        <f ca="1">Tower!I50/1000</f>
        <v>81.102194444293346</v>
      </c>
      <c r="H36" s="108">
        <f ca="1">Tower!J50/1000</f>
        <v>151.6969993289915</v>
      </c>
      <c r="I36" s="107">
        <f ca="1">Tower!K50/1000</f>
        <v>293.11861061957842</v>
      </c>
      <c r="J36" s="107">
        <f ca="1">Tower!L50/1000</f>
        <v>431.7287922054972</v>
      </c>
      <c r="K36" s="107">
        <f ca="1">Tower!M50/1000</f>
        <v>601.32497992537196</v>
      </c>
    </row>
    <row r="37" spans="2:11" s="368" customFormat="1" x14ac:dyDescent="0.35">
      <c r="B37" s="377" t="s">
        <v>27</v>
      </c>
      <c r="C37" s="378"/>
      <c r="D37" s="378"/>
      <c r="E37" s="378"/>
      <c r="F37" s="378">
        <f ca="1">F36+F35</f>
        <v>159.46290973489764</v>
      </c>
      <c r="G37" s="378">
        <f t="shared" ref="G37:K37" ca="1" si="10">G36+G35</f>
        <v>238.80219444429332</v>
      </c>
      <c r="H37" s="379">
        <f t="shared" ca="1" si="10"/>
        <v>309.39699932899146</v>
      </c>
      <c r="I37" s="375">
        <f t="shared" ca="1" si="10"/>
        <v>450.81861061957841</v>
      </c>
      <c r="J37" s="375">
        <f t="shared" ca="1" si="10"/>
        <v>589.42879220549719</v>
      </c>
      <c r="K37" s="375">
        <f t="shared" ca="1" si="10"/>
        <v>759.02497992537201</v>
      </c>
    </row>
    <row r="40" spans="2:11" x14ac:dyDescent="0.35">
      <c r="B40" s="316"/>
      <c r="C40" s="317"/>
      <c r="D40" s="317"/>
      <c r="E40" s="317"/>
      <c r="F40" s="318"/>
      <c r="G40" s="318"/>
      <c r="H40" s="318"/>
    </row>
    <row r="41" spans="2:11" x14ac:dyDescent="0.35">
      <c r="B41" s="316"/>
      <c r="C41" s="317"/>
      <c r="D41" s="317"/>
      <c r="E41" s="317"/>
      <c r="F41" s="317"/>
      <c r="G41" s="317"/>
      <c r="H41" s="317"/>
    </row>
    <row r="42" spans="2:11" x14ac:dyDescent="0.35">
      <c r="B42" s="316"/>
      <c r="C42" s="317"/>
      <c r="D42" s="317"/>
      <c r="E42" s="317"/>
      <c r="F42" s="317"/>
      <c r="G42" s="317"/>
      <c r="H42" s="317"/>
    </row>
    <row r="43" spans="2:11" x14ac:dyDescent="0.35">
      <c r="B43" s="316"/>
      <c r="C43" s="316"/>
      <c r="D43" s="316"/>
      <c r="E43" s="319"/>
      <c r="F43" s="319"/>
      <c r="G43" s="319"/>
      <c r="H43" s="319"/>
    </row>
    <row r="44" spans="2:11" x14ac:dyDescent="0.35">
      <c r="B44" s="316"/>
      <c r="C44" s="320"/>
      <c r="D44" s="320"/>
      <c r="E44" s="320"/>
      <c r="F44" s="320"/>
      <c r="G44" s="320"/>
      <c r="H44" s="320"/>
    </row>
    <row r="45" spans="2:11" x14ac:dyDescent="0.35">
      <c r="B45" s="316"/>
      <c r="C45" s="321"/>
      <c r="D45" s="321"/>
      <c r="E45" s="321"/>
      <c r="F45" s="321"/>
      <c r="G45" s="321"/>
      <c r="H45" s="321"/>
    </row>
    <row r="46" spans="2:11" x14ac:dyDescent="0.35">
      <c r="B46" s="316"/>
      <c r="C46" s="322"/>
      <c r="D46" s="322"/>
      <c r="E46" s="322"/>
      <c r="F46" s="322"/>
      <c r="G46" s="322"/>
      <c r="H46" s="322"/>
    </row>
    <row r="47" spans="2:11" x14ac:dyDescent="0.35">
      <c r="B47" s="316"/>
      <c r="C47" s="322"/>
      <c r="D47" s="322"/>
      <c r="E47" s="322"/>
      <c r="F47" s="322"/>
      <c r="G47" s="322"/>
      <c r="H47" s="322"/>
    </row>
    <row r="48" spans="2:11" x14ac:dyDescent="0.35">
      <c r="B48" s="316"/>
      <c r="C48" s="320"/>
      <c r="D48" s="320"/>
      <c r="E48" s="320"/>
      <c r="F48" s="320"/>
      <c r="G48" s="320"/>
      <c r="H48" s="320"/>
    </row>
    <row r="49" spans="2:8" x14ac:dyDescent="0.35">
      <c r="B49" s="316"/>
      <c r="C49" s="320"/>
      <c r="D49" s="320"/>
      <c r="E49" s="320"/>
      <c r="F49" s="320"/>
      <c r="G49" s="320"/>
      <c r="H49" s="320"/>
    </row>
    <row r="50" spans="2:8" x14ac:dyDescent="0.35">
      <c r="B50" s="316"/>
      <c r="C50" s="322"/>
      <c r="D50" s="322"/>
      <c r="E50" s="322"/>
      <c r="F50" s="322"/>
      <c r="G50" s="322"/>
      <c r="H50" s="322"/>
    </row>
    <row r="51" spans="2:8" x14ac:dyDescent="0.35">
      <c r="B51" s="316"/>
      <c r="C51" s="322"/>
      <c r="D51" s="322"/>
      <c r="E51" s="322"/>
      <c r="F51" s="322"/>
      <c r="G51" s="322"/>
      <c r="H51" s="322"/>
    </row>
    <row r="52" spans="2:8" x14ac:dyDescent="0.35">
      <c r="B52" s="316"/>
      <c r="C52" s="322"/>
      <c r="D52" s="322"/>
      <c r="E52" s="322"/>
      <c r="F52" s="322"/>
      <c r="G52" s="322"/>
      <c r="H52" s="322"/>
    </row>
    <row r="53" spans="2:8" x14ac:dyDescent="0.35">
      <c r="B53" s="316"/>
      <c r="C53" s="322"/>
      <c r="D53" s="322"/>
      <c r="E53" s="322"/>
      <c r="F53" s="322"/>
      <c r="G53" s="322"/>
      <c r="H53" s="322"/>
    </row>
    <row r="54" spans="2:8" x14ac:dyDescent="0.35">
      <c r="B54" s="316"/>
      <c r="C54" s="322"/>
      <c r="D54" s="322"/>
      <c r="E54" s="322"/>
      <c r="F54" s="322"/>
      <c r="G54" s="322"/>
      <c r="H54" s="322"/>
    </row>
    <row r="55" spans="2:8" x14ac:dyDescent="0.35">
      <c r="B55" s="316"/>
      <c r="C55" s="322"/>
      <c r="D55" s="322"/>
      <c r="E55" s="322"/>
      <c r="F55" s="322"/>
      <c r="G55" s="322"/>
      <c r="H55" s="322"/>
    </row>
    <row r="56" spans="2:8" x14ac:dyDescent="0.35">
      <c r="B56" s="316"/>
      <c r="C56" s="322"/>
      <c r="D56" s="322"/>
      <c r="E56" s="322"/>
      <c r="F56" s="322"/>
      <c r="G56" s="322"/>
      <c r="H56" s="322"/>
    </row>
    <row r="57" spans="2:8" x14ac:dyDescent="0.35">
      <c r="B57" s="316"/>
      <c r="C57" s="322"/>
      <c r="D57" s="322"/>
      <c r="E57" s="322"/>
      <c r="F57" s="322"/>
      <c r="G57" s="322"/>
      <c r="H57" s="322"/>
    </row>
    <row r="58" spans="2:8" x14ac:dyDescent="0.35">
      <c r="B58" s="316"/>
      <c r="C58" s="322"/>
      <c r="D58" s="322"/>
      <c r="E58" s="322"/>
      <c r="F58" s="322"/>
      <c r="G58" s="322"/>
      <c r="H58" s="322"/>
    </row>
    <row r="59" spans="2:8" x14ac:dyDescent="0.35">
      <c r="B59" s="316"/>
      <c r="C59" s="322"/>
      <c r="D59" s="322"/>
      <c r="E59" s="322"/>
      <c r="F59" s="322"/>
      <c r="G59" s="322"/>
      <c r="H59" s="322"/>
    </row>
    <row r="60" spans="2:8" x14ac:dyDescent="0.35">
      <c r="B60" s="316"/>
      <c r="C60" s="322"/>
      <c r="D60" s="322"/>
      <c r="E60" s="322"/>
      <c r="F60" s="322"/>
      <c r="G60" s="322"/>
      <c r="H60" s="322"/>
    </row>
    <row r="61" spans="2:8" x14ac:dyDescent="0.35">
      <c r="B61" s="316"/>
      <c r="C61" s="322"/>
      <c r="D61" s="322"/>
      <c r="E61" s="322"/>
      <c r="F61" s="322"/>
      <c r="G61" s="322"/>
      <c r="H61" s="322"/>
    </row>
    <row r="62" spans="2:8" x14ac:dyDescent="0.35">
      <c r="B62" s="316"/>
      <c r="C62" s="320"/>
      <c r="D62" s="320"/>
      <c r="E62" s="320"/>
      <c r="F62" s="320"/>
      <c r="G62" s="320"/>
      <c r="H62" s="320"/>
    </row>
    <row r="63" spans="2:8" x14ac:dyDescent="0.35">
      <c r="B63" s="316"/>
      <c r="C63" s="322"/>
      <c r="D63" s="322"/>
      <c r="E63" s="322"/>
      <c r="F63" s="322"/>
      <c r="G63" s="322"/>
      <c r="H63" s="322"/>
    </row>
    <row r="64" spans="2:8" x14ac:dyDescent="0.35">
      <c r="B64" s="316"/>
      <c r="C64" s="322"/>
      <c r="D64" s="322"/>
      <c r="E64" s="322"/>
      <c r="F64" s="322"/>
      <c r="G64" s="322"/>
      <c r="H64" s="322"/>
    </row>
    <row r="65" spans="2:8" x14ac:dyDescent="0.35">
      <c r="B65" s="316"/>
      <c r="C65" s="322"/>
      <c r="D65" s="322"/>
      <c r="E65" s="322"/>
      <c r="F65" s="322"/>
      <c r="G65" s="322"/>
      <c r="H65" s="322"/>
    </row>
    <row r="66" spans="2:8" x14ac:dyDescent="0.35">
      <c r="B66" s="316"/>
      <c r="C66" s="322"/>
      <c r="D66" s="322"/>
      <c r="E66" s="322"/>
      <c r="F66" s="322"/>
      <c r="G66" s="322"/>
      <c r="H66" s="322"/>
    </row>
    <row r="67" spans="2:8" x14ac:dyDescent="0.35">
      <c r="B67" s="316"/>
      <c r="C67" s="322"/>
      <c r="D67" s="322"/>
      <c r="E67" s="322"/>
      <c r="F67" s="322"/>
      <c r="G67" s="322"/>
      <c r="H67" s="322"/>
    </row>
    <row r="68" spans="2:8" x14ac:dyDescent="0.35">
      <c r="B68" s="316"/>
      <c r="C68" s="322"/>
      <c r="D68" s="322"/>
      <c r="E68" s="322"/>
      <c r="F68" s="322"/>
      <c r="G68" s="322"/>
      <c r="H68" s="322"/>
    </row>
    <row r="69" spans="2:8" x14ac:dyDescent="0.35">
      <c r="B69" s="316"/>
      <c r="C69" s="322"/>
      <c r="D69" s="322"/>
      <c r="E69" s="322"/>
      <c r="F69" s="322"/>
      <c r="G69" s="322"/>
      <c r="H69" s="322"/>
    </row>
    <row r="70" spans="2:8" x14ac:dyDescent="0.35">
      <c r="B70" s="316"/>
      <c r="C70" s="322"/>
      <c r="D70" s="322"/>
      <c r="E70" s="322"/>
      <c r="F70" s="322"/>
      <c r="G70" s="322"/>
      <c r="H70" s="322"/>
    </row>
    <row r="71" spans="2:8" x14ac:dyDescent="0.35">
      <c r="B71" s="316"/>
      <c r="C71" s="321"/>
      <c r="D71" s="321"/>
      <c r="E71" s="321"/>
      <c r="F71" s="321"/>
      <c r="G71" s="321"/>
      <c r="H71" s="321"/>
    </row>
    <row r="72" spans="2:8" x14ac:dyDescent="0.35">
      <c r="B72" s="316"/>
      <c r="C72" s="320"/>
      <c r="D72" s="320"/>
      <c r="E72" s="320"/>
      <c r="F72" s="320"/>
      <c r="G72" s="320"/>
      <c r="H72" s="320"/>
    </row>
    <row r="73" spans="2:8" x14ac:dyDescent="0.35">
      <c r="B73" s="323"/>
      <c r="C73" s="320"/>
      <c r="D73" s="320"/>
      <c r="E73" s="320"/>
      <c r="F73" s="320"/>
      <c r="G73" s="320"/>
      <c r="H73" s="320"/>
    </row>
    <row r="74" spans="2:8" x14ac:dyDescent="0.35">
      <c r="B74" s="316"/>
      <c r="C74" s="324"/>
      <c r="D74" s="324"/>
      <c r="E74" s="324"/>
      <c r="F74" s="324"/>
      <c r="G74" s="324"/>
      <c r="H74" s="324"/>
    </row>
    <row r="75" spans="2:8" x14ac:dyDescent="0.35">
      <c r="B75" s="316"/>
      <c r="C75" s="324"/>
      <c r="D75" s="324"/>
      <c r="E75" s="321"/>
      <c r="F75" s="321"/>
      <c r="G75" s="324"/>
      <c r="H75" s="324"/>
    </row>
    <row r="76" spans="2:8" x14ac:dyDescent="0.35">
      <c r="B76" s="323"/>
      <c r="C76" s="320"/>
      <c r="D76" s="320"/>
      <c r="E76" s="320"/>
      <c r="F76" s="320"/>
      <c r="G76" s="320"/>
      <c r="H76" s="320"/>
    </row>
    <row r="77" spans="2:8" x14ac:dyDescent="0.35">
      <c r="B77" s="316"/>
      <c r="C77" s="321"/>
      <c r="D77" s="321"/>
      <c r="E77" s="321"/>
      <c r="F77" s="321"/>
      <c r="G77" s="321"/>
      <c r="H77" s="321"/>
    </row>
    <row r="78" spans="2:8" x14ac:dyDescent="0.35">
      <c r="B78" s="316"/>
      <c r="C78" s="321"/>
      <c r="D78" s="321"/>
      <c r="E78" s="321"/>
      <c r="F78" s="321"/>
      <c r="G78" s="321"/>
      <c r="H78" s="321"/>
    </row>
    <row r="79" spans="2:8" x14ac:dyDescent="0.35">
      <c r="B79" s="316"/>
      <c r="C79" s="321"/>
      <c r="D79" s="321"/>
      <c r="E79" s="321"/>
      <c r="F79" s="321"/>
      <c r="G79" s="321"/>
      <c r="H79" s="321"/>
    </row>
    <row r="80" spans="2:8" x14ac:dyDescent="0.35">
      <c r="B80" s="323"/>
      <c r="C80" s="320"/>
      <c r="D80" s="320"/>
      <c r="E80" s="320"/>
      <c r="F80" s="320"/>
      <c r="G80" s="320"/>
      <c r="H80" s="320"/>
    </row>
    <row r="81" spans="2:8" x14ac:dyDescent="0.35">
      <c r="B81" s="316"/>
      <c r="C81" s="321"/>
      <c r="D81" s="321"/>
      <c r="E81" s="321"/>
      <c r="F81" s="321"/>
      <c r="G81" s="321"/>
      <c r="H81" s="321"/>
    </row>
    <row r="82" spans="2:8" x14ac:dyDescent="0.35">
      <c r="B82" s="316"/>
      <c r="C82" s="321"/>
      <c r="D82" s="321"/>
      <c r="E82" s="321"/>
      <c r="F82" s="321"/>
      <c r="G82" s="321"/>
      <c r="H82" s="321"/>
    </row>
    <row r="83" spans="2:8" x14ac:dyDescent="0.35">
      <c r="B83" s="316"/>
      <c r="C83" s="321"/>
      <c r="D83" s="321"/>
      <c r="E83" s="321"/>
      <c r="F83" s="321"/>
      <c r="G83" s="321"/>
      <c r="H83" s="321"/>
    </row>
    <row r="84" spans="2:8" x14ac:dyDescent="0.35">
      <c r="B84" s="316"/>
      <c r="C84" s="321"/>
      <c r="D84" s="321"/>
      <c r="E84" s="321"/>
      <c r="F84" s="321"/>
      <c r="G84" s="321"/>
      <c r="H84" s="321"/>
    </row>
    <row r="85" spans="2:8" x14ac:dyDescent="0.35">
      <c r="B85" s="316"/>
      <c r="C85" s="321"/>
      <c r="D85" s="321"/>
      <c r="E85" s="321"/>
      <c r="F85" s="321"/>
      <c r="G85" s="321"/>
      <c r="H85" s="321"/>
    </row>
    <row r="86" spans="2:8" x14ac:dyDescent="0.35">
      <c r="B86" s="323"/>
      <c r="C86" s="320"/>
      <c r="D86" s="320"/>
      <c r="E86" s="320"/>
      <c r="F86" s="320"/>
      <c r="G86" s="320"/>
      <c r="H86" s="320"/>
    </row>
    <row r="87" spans="2:8" x14ac:dyDescent="0.35">
      <c r="B87" s="316"/>
      <c r="C87" s="321"/>
      <c r="D87" s="321"/>
      <c r="E87" s="321"/>
      <c r="F87" s="321"/>
      <c r="G87" s="321"/>
      <c r="H87" s="321"/>
    </row>
    <row r="88" spans="2:8" x14ac:dyDescent="0.35">
      <c r="B88" s="316"/>
      <c r="C88" s="322"/>
      <c r="D88" s="322"/>
      <c r="E88" s="322"/>
      <c r="F88" s="322"/>
      <c r="G88" s="322"/>
      <c r="H88" s="322"/>
    </row>
    <row r="89" spans="2:8" x14ac:dyDescent="0.35">
      <c r="B89" s="316"/>
      <c r="C89" s="322"/>
      <c r="D89" s="322"/>
      <c r="E89" s="322"/>
      <c r="F89" s="322"/>
      <c r="G89" s="322"/>
      <c r="H89" s="322"/>
    </row>
    <row r="90" spans="2:8" x14ac:dyDescent="0.35">
      <c r="B90" s="316"/>
      <c r="C90" s="324"/>
      <c r="D90" s="324"/>
      <c r="E90" s="324"/>
      <c r="F90" s="324"/>
      <c r="G90" s="324"/>
      <c r="H90" s="324"/>
    </row>
    <row r="91" spans="2:8" x14ac:dyDescent="0.35">
      <c r="B91" s="316"/>
      <c r="C91" s="324"/>
      <c r="D91" s="324"/>
      <c r="E91" s="324"/>
      <c r="F91" s="324"/>
      <c r="G91" s="324"/>
      <c r="H91" s="324"/>
    </row>
    <row r="92" spans="2:8" x14ac:dyDescent="0.35">
      <c r="B92" s="316"/>
      <c r="C92" s="324"/>
      <c r="D92" s="324"/>
      <c r="E92" s="324"/>
      <c r="F92" s="324"/>
      <c r="G92" s="324"/>
      <c r="H92" s="324"/>
    </row>
    <row r="102" spans="9:9" x14ac:dyDescent="0.35">
      <c r="I102" t="s">
        <v>247</v>
      </c>
    </row>
  </sheetData>
  <conditionalFormatting sqref="E21">
    <cfRule type="cellIs" dxfId="4" priority="4" operator="greaterThan">
      <formula>3.25</formula>
    </cfRule>
  </conditionalFormatting>
  <conditionalFormatting sqref="C21:D21">
    <cfRule type="cellIs" dxfId="3" priority="3" operator="greaterThan">
      <formula>3.25</formula>
    </cfRule>
  </conditionalFormatting>
  <conditionalFormatting sqref="F21:G21">
    <cfRule type="cellIs" dxfId="2" priority="2" operator="greaterThan">
      <formula>3.5</formula>
    </cfRule>
  </conditionalFormatting>
  <conditionalFormatting sqref="H21:K21">
    <cfRule type="cellIs" dxfId="1" priority="1" operator="greaterThan">
      <formula>3.25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8227-2272-4AF8-83C7-726D72B39BF7}">
  <dimension ref="A2:L119"/>
  <sheetViews>
    <sheetView showGridLines="0" tabSelected="1" zoomScale="70" zoomScaleNormal="70" workbookViewId="0">
      <selection activeCell="K26" sqref="K25:K26"/>
    </sheetView>
  </sheetViews>
  <sheetFormatPr defaultRowHeight="14.5" x14ac:dyDescent="0.35"/>
  <cols>
    <col min="1" max="5" width="15.6328125" customWidth="1"/>
    <col min="6" max="6" width="15.6328125" style="3" customWidth="1"/>
    <col min="7" max="11" width="15.6328125" customWidth="1"/>
    <col min="12" max="12" width="11.36328125" bestFit="1" customWidth="1"/>
  </cols>
  <sheetData>
    <row r="2" spans="1:11" s="103" customFormat="1" x14ac:dyDescent="0.35">
      <c r="A2" s="103" t="s">
        <v>289</v>
      </c>
      <c r="F2" s="200"/>
    </row>
    <row r="3" spans="1:11" s="201" customFormat="1" x14ac:dyDescent="0.35">
      <c r="A3" s="406" t="s">
        <v>402</v>
      </c>
      <c r="F3" s="202"/>
    </row>
    <row r="4" spans="1:11" s="203" customFormat="1" x14ac:dyDescent="0.35">
      <c r="B4" s="388" t="s">
        <v>293</v>
      </c>
      <c r="C4" s="388" t="s">
        <v>294</v>
      </c>
      <c r="D4" s="388" t="s">
        <v>295</v>
      </c>
      <c r="F4" s="204"/>
      <c r="G4" s="404"/>
      <c r="H4" s="390"/>
      <c r="I4" s="391" t="s">
        <v>333</v>
      </c>
      <c r="J4" s="391"/>
      <c r="K4" s="392"/>
    </row>
    <row r="5" spans="1:11" s="203" customFormat="1" x14ac:dyDescent="0.35">
      <c r="A5" s="203" t="s">
        <v>288</v>
      </c>
      <c r="F5" s="204"/>
      <c r="G5" s="343"/>
      <c r="H5" s="204"/>
      <c r="I5" s="393" t="s">
        <v>288</v>
      </c>
      <c r="J5" s="393" t="s">
        <v>309</v>
      </c>
      <c r="K5" s="394" t="s">
        <v>290</v>
      </c>
    </row>
    <row r="6" spans="1:11" s="203" customFormat="1" x14ac:dyDescent="0.35">
      <c r="A6" s="421" t="s">
        <v>409</v>
      </c>
      <c r="B6" s="280">
        <f>F70</f>
        <v>957042.69237606879</v>
      </c>
      <c r="C6" s="281">
        <f>H70</f>
        <v>1175629.02608102</v>
      </c>
      <c r="D6" s="282">
        <f>J70</f>
        <v>1394215.3597859712</v>
      </c>
      <c r="F6" s="204"/>
      <c r="G6" s="344" t="s">
        <v>332</v>
      </c>
      <c r="H6" s="204"/>
      <c r="I6" s="395">
        <f>C6</f>
        <v>1175629.02608102</v>
      </c>
      <c r="J6" s="396">
        <f ca="1">C9</f>
        <v>978606.23529501189</v>
      </c>
      <c r="K6" s="397">
        <f>H95</f>
        <v>642256.15</v>
      </c>
    </row>
    <row r="7" spans="1:11" s="203" customFormat="1" x14ac:dyDescent="0.35">
      <c r="A7" s="421" t="s">
        <v>410</v>
      </c>
      <c r="B7" s="283">
        <f>F62</f>
        <v>1055184.8652563849</v>
      </c>
      <c r="C7" s="284">
        <f>H62</f>
        <v>1260580.5199388536</v>
      </c>
      <c r="D7" s="285">
        <f>J62</f>
        <v>1465976.1746213222</v>
      </c>
      <c r="F7" s="204"/>
      <c r="G7" s="340" t="s">
        <v>331</v>
      </c>
      <c r="H7" s="3"/>
      <c r="I7" s="393"/>
      <c r="J7" s="393"/>
      <c r="K7" s="398"/>
    </row>
    <row r="8" spans="1:11" s="203" customFormat="1" x14ac:dyDescent="0.35">
      <c r="A8" s="203" t="s">
        <v>309</v>
      </c>
      <c r="B8" s="419"/>
      <c r="C8" s="204"/>
      <c r="D8" s="420"/>
      <c r="F8" s="204"/>
      <c r="G8" s="345" t="s">
        <v>400</v>
      </c>
      <c r="H8" s="195">
        <f>F106</f>
        <v>284981</v>
      </c>
      <c r="I8" s="399">
        <v>1</v>
      </c>
      <c r="J8" s="399">
        <v>1</v>
      </c>
      <c r="K8" s="400">
        <v>1</v>
      </c>
    </row>
    <row r="9" spans="1:11" s="203" customFormat="1" x14ac:dyDescent="0.35">
      <c r="A9" s="421" t="s">
        <v>49</v>
      </c>
      <c r="B9" s="283">
        <f ca="1">E37</f>
        <v>838805.34453858167</v>
      </c>
      <c r="C9" s="284">
        <f ca="1">F37</f>
        <v>978606.23529501189</v>
      </c>
      <c r="D9" s="285">
        <f ca="1">G37</f>
        <v>1118407.1260514422</v>
      </c>
      <c r="F9" s="204"/>
      <c r="G9" s="345" t="s">
        <v>399</v>
      </c>
      <c r="H9" s="195">
        <f>Capitalization!C8*1000</f>
        <v>45000</v>
      </c>
      <c r="I9" s="399">
        <f>IF(($I$6-SUM($H$8:H8))&gt;H9,100%,(($I$6-SUM($H$8:H8))/H9))</f>
        <v>1</v>
      </c>
      <c r="J9" s="399">
        <f ca="1">IF(($J$6-SUM($H$8:H8))&gt;H9,100%,(($J$6-SUM($H$8:H8))/H9))</f>
        <v>1</v>
      </c>
      <c r="K9" s="400">
        <f>IF(($K$6-SUM($H$8:H8))&gt;H9,100%,(($K$6-SUM($H$8:H8))/H9))</f>
        <v>1</v>
      </c>
    </row>
    <row r="10" spans="1:11" s="203" customFormat="1" x14ac:dyDescent="0.35">
      <c r="A10" s="421" t="s">
        <v>47</v>
      </c>
      <c r="B10" s="283">
        <f ca="1">A37</f>
        <v>844919.72111072787</v>
      </c>
      <c r="C10" s="284">
        <f ca="1">B37</f>
        <v>985739.67462918255</v>
      </c>
      <c r="D10" s="285">
        <f ca="1">C37</f>
        <v>1126559.6281476372</v>
      </c>
      <c r="F10" s="204"/>
      <c r="G10" s="345" t="s">
        <v>411</v>
      </c>
      <c r="H10" s="195">
        <f>Capitalization!C9*1000</f>
        <v>762900</v>
      </c>
      <c r="I10" s="399">
        <f>IF(($I$6-SUM($H$8:H9))&gt;SUM(H10:H13),100%,(($I$6-SUM($H$8:H9))/SUM(H10:H13)))</f>
        <v>1</v>
      </c>
      <c r="J10" s="399">
        <f ca="1">IF(($J$6-SUM($H$8:H9))&gt;SUM(H10:H13),100%,(($J$6-SUM($H$8:H9))/SUM(H10:H13)))</f>
        <v>0.82501301869118782</v>
      </c>
      <c r="K10" s="400">
        <f>IF(($K$6-SUM($H$8:H9))&gt;SUM(H10:H13),100%,(($K$6-SUM($H$8:H9))/SUM(H10:H13)))</f>
        <v>0.39719556092597308</v>
      </c>
    </row>
    <row r="11" spans="1:11" s="203" customFormat="1" x14ac:dyDescent="0.35">
      <c r="A11" s="203" t="s">
        <v>290</v>
      </c>
      <c r="B11" s="286"/>
      <c r="C11" s="287">
        <f>K6</f>
        <v>642256.15</v>
      </c>
      <c r="D11" s="288"/>
      <c r="F11" s="204"/>
      <c r="G11" s="345" t="s">
        <v>334</v>
      </c>
      <c r="H11" s="195">
        <f>Capitalization!C10*1000</f>
        <v>9300</v>
      </c>
      <c r="I11" s="399">
        <f>IF(($I$6-SUM($H$8:H9))&gt;SUM(H10:H13),100%,(($I$6-SUM($H$8:H9))/SUM(H10:H13)))</f>
        <v>1</v>
      </c>
      <c r="J11" s="399">
        <f ca="1">IF(($J$6-SUM($H$8:H9))&gt;SUM(H10:H13),100%,(($J$6-SUM($H$8:H9))/SUM(H10:H13)))</f>
        <v>0.82501301869118782</v>
      </c>
      <c r="K11" s="400">
        <f>IF(($K$6-SUM($H$8:H9))&gt;SUM(H10:H13),100%,(($K$6-SUM($H$8:H9))/SUM(H10:H13)))</f>
        <v>0.39719556092597308</v>
      </c>
    </row>
    <row r="12" spans="1:11" s="203" customFormat="1" x14ac:dyDescent="0.35">
      <c r="A12" s="207"/>
      <c r="B12" s="284"/>
      <c r="C12" s="284"/>
      <c r="D12" s="284"/>
      <c r="F12" s="204"/>
      <c r="G12" s="345" t="s">
        <v>334</v>
      </c>
      <c r="H12" s="195">
        <f>Capitalization!C11*1000</f>
        <v>3100</v>
      </c>
      <c r="I12" s="399">
        <f>IF(($I$6-SUM($H$8:H9))&gt;SUM(H10:H13),100%,(($I$6-SUM($H$8:H9))/SUM(H10:H13)))</f>
        <v>1</v>
      </c>
      <c r="J12" s="399">
        <f ca="1">IF(($J$6-SUM($H$8:H9))&gt;SUM(H10:H13),100%,(($J$6-SUM($H$8:H9))/SUM(H10:H13)))</f>
        <v>0.82501301869118782</v>
      </c>
      <c r="K12" s="400">
        <f>IF(($K$6-SUM($H$8:H9))&gt;SUM(H10:H13),100%,(($K$6-SUM($H$8:H9))/SUM(H10:H13)))</f>
        <v>0.39719556092597308</v>
      </c>
    </row>
    <row r="13" spans="1:11" s="205" customFormat="1" x14ac:dyDescent="0.35">
      <c r="F13" s="206"/>
      <c r="G13" s="345" t="s">
        <v>335</v>
      </c>
      <c r="H13" s="195">
        <f>Capitalization!C12*1000</f>
        <v>10900</v>
      </c>
      <c r="I13" s="399">
        <f>IF(($I$6-SUM($H$8:H9))&gt;SUM(H10:H13),100%,(($I$6-SUM($H$8:H9))/SUM(H10:H13)))</f>
        <v>1</v>
      </c>
      <c r="J13" s="399">
        <f ca="1">IF(($J$6-SUM($H$8:H9))&gt;SUM(H10:H13),100%,(($J$6-SUM($H$8:H9))/SUM(H10:H13)))</f>
        <v>0.82501301869118782</v>
      </c>
      <c r="K13" s="400">
        <f>IF(($K$6-SUM($H$8:H9))&gt;SUM(H10:H13),100%,(($K$6-SUM($H$8:H9))/SUM(H10:H13)))</f>
        <v>0.39719556092597308</v>
      </c>
    </row>
    <row r="14" spans="1:11" s="205" customFormat="1" x14ac:dyDescent="0.35">
      <c r="F14" s="206"/>
      <c r="G14" s="405" t="s">
        <v>336</v>
      </c>
      <c r="H14" s="401">
        <f>Capitalization!C14*1000</f>
        <v>425000</v>
      </c>
      <c r="I14" s="402">
        <f>IF(($I$6-SUM($H$8:H13))&gt;H14,100%,(($I$6-SUM($H$8:H13))/H14))</f>
        <v>0.13987770842592945</v>
      </c>
      <c r="J14" s="402">
        <f ca="1">IF(($J$6-SUM($H$8:H13))&gt;H14,100%,(($J$6-SUM($H$8:H13))/H14))</f>
        <v>-0.32370532871761909</v>
      </c>
      <c r="K14" s="403">
        <f>IF(($K$6-SUM($H$8:H13))&gt;H14,100%,(($K$6-SUM($H$8:H13))/H14))</f>
        <v>-1.115117294117647</v>
      </c>
    </row>
    <row r="15" spans="1:11" s="205" customFormat="1" x14ac:dyDescent="0.35">
      <c r="F15" s="206"/>
      <c r="G15" s="315"/>
      <c r="H15" s="165"/>
      <c r="I15" s="389"/>
      <c r="J15" s="389"/>
      <c r="K15" s="389"/>
    </row>
    <row r="16" spans="1:11" s="103" customFormat="1" x14ac:dyDescent="0.35">
      <c r="A16" s="103" t="s">
        <v>309</v>
      </c>
      <c r="F16" s="200"/>
    </row>
    <row r="17" spans="1:7" x14ac:dyDescent="0.35">
      <c r="A17" t="s">
        <v>286</v>
      </c>
    </row>
    <row r="19" spans="1:7" x14ac:dyDescent="0.35">
      <c r="A19">
        <v>1</v>
      </c>
      <c r="B19" t="s">
        <v>395</v>
      </c>
    </row>
    <row r="20" spans="1:7" x14ac:dyDescent="0.35">
      <c r="A20">
        <f>A19+1</f>
        <v>2</v>
      </c>
      <c r="B20" t="s">
        <v>287</v>
      </c>
    </row>
    <row r="21" spans="1:7" x14ac:dyDescent="0.35">
      <c r="A21" s="135">
        <f t="shared" ref="A21:A22" si="0">A20+1</f>
        <v>3</v>
      </c>
      <c r="B21" t="s">
        <v>396</v>
      </c>
    </row>
    <row r="22" spans="1:7" x14ac:dyDescent="0.35">
      <c r="A22" s="135">
        <f t="shared" si="0"/>
        <v>4</v>
      </c>
      <c r="B22" t="s">
        <v>397</v>
      </c>
    </row>
    <row r="23" spans="1:7" x14ac:dyDescent="0.35">
      <c r="A23" s="135"/>
    </row>
    <row r="25" spans="1:7" s="135" customFormat="1" x14ac:dyDescent="0.35">
      <c r="A25" s="135" t="s">
        <v>401</v>
      </c>
      <c r="F25" s="3"/>
    </row>
    <row r="26" spans="1:7" s="135" customFormat="1" x14ac:dyDescent="0.35">
      <c r="A26" s="2" t="s">
        <v>310</v>
      </c>
      <c r="B26" s="333">
        <v>3.7</v>
      </c>
      <c r="F26" s="3"/>
    </row>
    <row r="27" spans="1:7" s="135" customFormat="1" x14ac:dyDescent="0.35">
      <c r="A27" s="2" t="s">
        <v>398</v>
      </c>
      <c r="B27" s="333">
        <v>3.85</v>
      </c>
      <c r="F27" s="3"/>
    </row>
    <row r="30" spans="1:7" s="135" customFormat="1" x14ac:dyDescent="0.35">
      <c r="A30" s="208" t="s">
        <v>296</v>
      </c>
      <c r="B30" s="161"/>
      <c r="C30" s="276">
        <f ca="1">F46</f>
        <v>281639.90703690931</v>
      </c>
      <c r="E30" s="208" t="s">
        <v>296</v>
      </c>
      <c r="F30" s="161"/>
      <c r="G30" s="276">
        <f ca="1">H46</f>
        <v>279601.78151286056</v>
      </c>
    </row>
    <row r="31" spans="1:7" s="315" customFormat="1" x14ac:dyDescent="0.35">
      <c r="G31" s="3"/>
    </row>
    <row r="32" spans="1:7" s="135" customFormat="1" x14ac:dyDescent="0.35">
      <c r="G32" s="3"/>
    </row>
    <row r="33" spans="1:12" s="135" customFormat="1" x14ac:dyDescent="0.35">
      <c r="A33" s="209" t="s">
        <v>291</v>
      </c>
      <c r="B33" s="209"/>
      <c r="C33" s="209"/>
      <c r="G33" s="3"/>
    </row>
    <row r="34" spans="1:12" s="135" customFormat="1" x14ac:dyDescent="0.35">
      <c r="A34" s="210" t="s">
        <v>292</v>
      </c>
      <c r="B34" s="211"/>
      <c r="C34" s="212"/>
      <c r="E34" s="210" t="s">
        <v>292</v>
      </c>
      <c r="F34" s="211"/>
      <c r="G34" s="212"/>
    </row>
    <row r="35" spans="1:12" s="135" customFormat="1" x14ac:dyDescent="0.35">
      <c r="A35" s="213" t="s">
        <v>293</v>
      </c>
      <c r="B35" s="213" t="s">
        <v>294</v>
      </c>
      <c r="C35" s="213" t="s">
        <v>295</v>
      </c>
      <c r="E35" s="213" t="s">
        <v>293</v>
      </c>
      <c r="F35" s="213" t="s">
        <v>294</v>
      </c>
      <c r="G35" s="213" t="s">
        <v>295</v>
      </c>
    </row>
    <row r="36" spans="1:12" s="135" customFormat="1" x14ac:dyDescent="0.35">
      <c r="A36" s="214">
        <v>3</v>
      </c>
      <c r="B36" s="214">
        <v>3.5</v>
      </c>
      <c r="C36" s="214">
        <v>4</v>
      </c>
      <c r="E36" s="214">
        <v>3</v>
      </c>
      <c r="F36" s="214">
        <v>3.5</v>
      </c>
      <c r="G36" s="214">
        <v>4</v>
      </c>
    </row>
    <row r="37" spans="1:12" s="135" customFormat="1" x14ac:dyDescent="0.35">
      <c r="A37" s="215">
        <f ca="1">A36*$C$30</f>
        <v>844919.72111072787</v>
      </c>
      <c r="B37" s="215">
        <f ca="1">B36*$C$30</f>
        <v>985739.67462918255</v>
      </c>
      <c r="C37" s="215">
        <f ca="1">C36*$C$30</f>
        <v>1126559.6281476372</v>
      </c>
      <c r="E37" s="215">
        <f ca="1">E36*$G$30</f>
        <v>838805.34453858167</v>
      </c>
      <c r="F37" s="215">
        <f t="shared" ref="F37:G37" ca="1" si="1">F36*$G$30</f>
        <v>978606.23529501189</v>
      </c>
      <c r="G37" s="215">
        <f t="shared" ca="1" si="1"/>
        <v>1118407.1260514422</v>
      </c>
    </row>
    <row r="38" spans="1:12" s="135" customFormat="1" x14ac:dyDescent="0.35">
      <c r="A38" s="30"/>
      <c r="B38" s="30"/>
      <c r="C38" s="30"/>
      <c r="F38" s="3"/>
    </row>
    <row r="41" spans="1:12" s="103" customFormat="1" x14ac:dyDescent="0.35">
      <c r="A41" s="103" t="s">
        <v>288</v>
      </c>
      <c r="F41" s="200"/>
    </row>
    <row r="42" spans="1:12" s="203" customFormat="1" x14ac:dyDescent="0.35">
      <c r="J42" s="204"/>
      <c r="K42" s="388" t="s">
        <v>297</v>
      </c>
      <c r="L42" s="388" t="s">
        <v>297</v>
      </c>
    </row>
    <row r="43" spans="1:12" s="203" customFormat="1" x14ac:dyDescent="0.35">
      <c r="A43" s="207"/>
      <c r="E43" s="207"/>
      <c r="F43" s="207">
        <v>1</v>
      </c>
      <c r="G43" s="207">
        <v>2</v>
      </c>
      <c r="H43" s="207">
        <v>3</v>
      </c>
      <c r="I43" s="207">
        <v>4</v>
      </c>
      <c r="J43" s="251">
        <v>5</v>
      </c>
      <c r="K43" s="207">
        <v>5</v>
      </c>
      <c r="L43" s="207">
        <v>3</v>
      </c>
    </row>
    <row r="44" spans="1:12" s="203" customFormat="1" x14ac:dyDescent="0.35">
      <c r="A44" s="207"/>
      <c r="E44" s="207" t="s">
        <v>299</v>
      </c>
      <c r="F44" s="252">
        <f ca="1">Tower!H20</f>
        <v>73090.538976249052</v>
      </c>
      <c r="G44" s="252">
        <f ca="1">Tower!I20</f>
        <v>107050.32002047577</v>
      </c>
      <c r="H44" s="252">
        <f ca="1">Tower!J20</f>
        <v>101742.00818661251</v>
      </c>
      <c r="I44" s="252">
        <f ca="1">Tower!K20</f>
        <v>123572.18825447792</v>
      </c>
      <c r="J44" s="252">
        <f ca="1">Tower!L20</f>
        <v>143485.74781152653</v>
      </c>
      <c r="K44" s="252">
        <f ca="1">Tower!M20</f>
        <v>182495.3168296871</v>
      </c>
    </row>
    <row r="45" spans="1:12" s="203" customFormat="1" x14ac:dyDescent="0.35">
      <c r="A45" s="207"/>
      <c r="E45" s="207" t="s">
        <v>298</v>
      </c>
      <c r="F45" s="252">
        <f ca="1">Tower!H12</f>
        <v>208549.36806066026</v>
      </c>
      <c r="G45" s="252">
        <f ca="1">Tower!I12</f>
        <v>183415.03321957254</v>
      </c>
      <c r="H45" s="252">
        <f ca="1">Tower!J12</f>
        <v>177859.77332624802</v>
      </c>
      <c r="I45" s="252">
        <f ca="1">Tower!K12</f>
        <v>167366.22190681225</v>
      </c>
      <c r="J45" s="252">
        <f ca="1">Tower!L12</f>
        <v>155840.54876202191</v>
      </c>
      <c r="K45" s="252">
        <f ca="1">Tower!M12</f>
        <v>148296.43899297551</v>
      </c>
    </row>
    <row r="46" spans="1:12" s="203" customFormat="1" x14ac:dyDescent="0.35">
      <c r="A46" s="207" t="s">
        <v>406</v>
      </c>
      <c r="B46" s="409">
        <v>2.0299999999999999E-2</v>
      </c>
      <c r="E46" s="258" t="s">
        <v>32</v>
      </c>
      <c r="F46" s="259">
        <f ca="1">SUM(F44:F45)</f>
        <v>281639.90703690931</v>
      </c>
      <c r="G46" s="259">
        <f t="shared" ref="G46:K46" ca="1" si="2">SUM(G44:G45)</f>
        <v>290465.35324004828</v>
      </c>
      <c r="H46" s="259">
        <f t="shared" ca="1" si="2"/>
        <v>279601.78151286056</v>
      </c>
      <c r="I46" s="259">
        <f t="shared" ca="1" si="2"/>
        <v>290938.4101612902</v>
      </c>
      <c r="J46" s="259">
        <f t="shared" ca="1" si="2"/>
        <v>299326.29657354846</v>
      </c>
      <c r="K46" s="259">
        <f t="shared" ca="1" si="2"/>
        <v>330791.75582266261</v>
      </c>
      <c r="L46" s="255">
        <f ca="1">I46</f>
        <v>290938.4101612902</v>
      </c>
    </row>
    <row r="47" spans="1:12" s="203" customFormat="1" x14ac:dyDescent="0.35">
      <c r="A47" s="207" t="s">
        <v>407</v>
      </c>
      <c r="B47" s="207">
        <v>-0.41</v>
      </c>
      <c r="F47" s="253"/>
      <c r="G47" s="252"/>
      <c r="H47" s="252"/>
      <c r="I47" s="252"/>
      <c r="J47" s="252"/>
      <c r="K47" s="252"/>
    </row>
    <row r="48" spans="1:12" s="203" customFormat="1" x14ac:dyDescent="0.35">
      <c r="A48" s="207" t="s">
        <v>300</v>
      </c>
      <c r="B48" s="263">
        <v>0.06</v>
      </c>
      <c r="E48" s="207" t="s">
        <v>299</v>
      </c>
      <c r="F48" s="253">
        <f ca="1">F44</f>
        <v>73090.538976249052</v>
      </c>
      <c r="G48" s="253">
        <f t="shared" ref="G48:J48" ca="1" si="3">G44</f>
        <v>107050.32002047577</v>
      </c>
      <c r="H48" s="253">
        <f t="shared" ca="1" si="3"/>
        <v>101742.00818661251</v>
      </c>
      <c r="I48" s="253">
        <f t="shared" ca="1" si="3"/>
        <v>123572.18825447792</v>
      </c>
      <c r="J48" s="253">
        <f t="shared" ca="1" si="3"/>
        <v>143485.74781152653</v>
      </c>
      <c r="K48" s="253"/>
    </row>
    <row r="49" spans="1:12" s="203" customFormat="1" x14ac:dyDescent="0.35">
      <c r="A49" s="410" t="s">
        <v>301</v>
      </c>
      <c r="B49" s="411">
        <f>B46+B47*B48</f>
        <v>-4.2999999999999983E-3</v>
      </c>
      <c r="E49" s="207" t="s">
        <v>305</v>
      </c>
      <c r="F49" s="253">
        <v>0</v>
      </c>
      <c r="G49" s="253">
        <v>0</v>
      </c>
      <c r="H49" s="253">
        <v>0</v>
      </c>
      <c r="I49" s="253">
        <v>0</v>
      </c>
      <c r="J49" s="253">
        <v>0</v>
      </c>
      <c r="K49" s="253"/>
    </row>
    <row r="50" spans="1:12" s="203" customFormat="1" x14ac:dyDescent="0.35">
      <c r="A50" s="207" t="s">
        <v>404</v>
      </c>
      <c r="B50" s="263">
        <f>1-B53</f>
        <v>6.9999999999999951E-2</v>
      </c>
      <c r="E50" s="258" t="s">
        <v>304</v>
      </c>
      <c r="F50" s="259">
        <f ca="1">SUM(F48:F49)</f>
        <v>73090.538976249052</v>
      </c>
      <c r="G50" s="259">
        <f t="shared" ref="G50:J50" ca="1" si="4">SUM(G48:G49)</f>
        <v>107050.32002047577</v>
      </c>
      <c r="H50" s="259">
        <f t="shared" ca="1" si="4"/>
        <v>101742.00818661251</v>
      </c>
      <c r="I50" s="259">
        <f t="shared" ca="1" si="4"/>
        <v>123572.18825447792</v>
      </c>
      <c r="J50" s="259">
        <f t="shared" ca="1" si="4"/>
        <v>143485.74781152653</v>
      </c>
      <c r="K50" s="253"/>
    </row>
    <row r="51" spans="1:12" s="203" customFormat="1" x14ac:dyDescent="0.35">
      <c r="E51" s="207" t="s">
        <v>298</v>
      </c>
      <c r="F51" s="253">
        <f ca="1">F45</f>
        <v>208549.36806066026</v>
      </c>
      <c r="G51" s="253">
        <f t="shared" ref="G51:J51" ca="1" si="5">G45</f>
        <v>183415.03321957254</v>
      </c>
      <c r="H51" s="253">
        <f t="shared" ca="1" si="5"/>
        <v>177859.77332624802</v>
      </c>
      <c r="I51" s="253">
        <f t="shared" ca="1" si="5"/>
        <v>167366.22190681225</v>
      </c>
      <c r="J51" s="253">
        <f t="shared" ca="1" si="5"/>
        <v>155840.54876202191</v>
      </c>
      <c r="K51" s="253"/>
    </row>
    <row r="52" spans="1:12" s="203" customFormat="1" x14ac:dyDescent="0.35">
      <c r="A52" s="410" t="s">
        <v>302</v>
      </c>
      <c r="B52" s="412">
        <v>0.115</v>
      </c>
      <c r="E52" s="207" t="s">
        <v>306</v>
      </c>
      <c r="F52" s="253">
        <f ca="1">Tower!H124</f>
        <v>-74716.729138859519</v>
      </c>
      <c r="G52" s="253">
        <f ca="1">Tower!I124</f>
        <v>-69059.408736799189</v>
      </c>
      <c r="H52" s="253">
        <f ca="1">Tower!J124</f>
        <v>-62054.660546308573</v>
      </c>
      <c r="I52" s="253">
        <f ca="1">Tower!K124</f>
        <v>-58173.428877686158</v>
      </c>
      <c r="J52" s="253">
        <f ca="1">Tower!L124</f>
        <v>-59510.838232252354</v>
      </c>
      <c r="K52" s="253"/>
    </row>
    <row r="53" spans="1:12" s="203" customFormat="1" x14ac:dyDescent="0.35">
      <c r="A53" s="207" t="s">
        <v>405</v>
      </c>
      <c r="B53" s="415">
        <v>0.93</v>
      </c>
      <c r="E53" s="207" t="s">
        <v>307</v>
      </c>
      <c r="F53" s="253">
        <f ca="1">Assumptions!H55</f>
        <v>-18353.557704581995</v>
      </c>
      <c r="G53" s="253">
        <f ca="1">Assumptions!I55</f>
        <v>-67609.651065574901</v>
      </c>
      <c r="H53" s="253">
        <f ca="1">Assumptions!J55</f>
        <v>-68414.486032767338</v>
      </c>
      <c r="I53" s="253">
        <f ca="1">Assumptions!K55</f>
        <v>-131541.92843069579</v>
      </c>
      <c r="J53" s="253">
        <f ca="1">Assumptions!L55</f>
        <v>-139992.56445277057</v>
      </c>
      <c r="K53" s="253"/>
    </row>
    <row r="54" spans="1:12" s="203" customFormat="1" x14ac:dyDescent="0.35">
      <c r="E54" s="258" t="s">
        <v>308</v>
      </c>
      <c r="F54" s="259">
        <f ca="1">SUM(F50:F53)</f>
        <v>188569.6201934678</v>
      </c>
      <c r="G54" s="259">
        <f t="shared" ref="G54:J54" ca="1" si="6">SUM(G50:G53)</f>
        <v>153796.29343767418</v>
      </c>
      <c r="H54" s="259">
        <f t="shared" ca="1" si="6"/>
        <v>149132.63493378466</v>
      </c>
      <c r="I54" s="259">
        <f t="shared" ca="1" si="6"/>
        <v>101223.05285290827</v>
      </c>
      <c r="J54" s="259">
        <f t="shared" ca="1" si="6"/>
        <v>99822.893888525548</v>
      </c>
      <c r="K54" s="253">
        <f ca="1">B57*K46</f>
        <v>1157771.1453793191</v>
      </c>
      <c r="L54" s="253">
        <f ca="1">B57*L46</f>
        <v>1018284.4355645156</v>
      </c>
    </row>
    <row r="55" spans="1:12" s="203" customFormat="1" x14ac:dyDescent="0.35">
      <c r="A55" s="410" t="s">
        <v>303</v>
      </c>
      <c r="B55" s="414">
        <f>(B50*B49)+B52*B53</f>
        <v>0.10664900000000001</v>
      </c>
      <c r="E55" s="207" t="s">
        <v>326</v>
      </c>
      <c r="F55" s="261">
        <f t="shared" ref="F55:K55" si="7">1/(1+$B$55)^F43</f>
        <v>0.90362888323217205</v>
      </c>
      <c r="G55" s="261">
        <f t="shared" si="7"/>
        <v>0.81654515861142252</v>
      </c>
      <c r="H55" s="261">
        <f t="shared" si="7"/>
        <v>0.73785378978467653</v>
      </c>
      <c r="I55" s="261">
        <f t="shared" si="7"/>
        <v>0.66674599605175322</v>
      </c>
      <c r="J55" s="261">
        <f t="shared" si="7"/>
        <v>0.60249093981176793</v>
      </c>
      <c r="K55" s="261">
        <f t="shared" si="7"/>
        <v>0.60249093981176793</v>
      </c>
      <c r="L55" s="416">
        <f>H55</f>
        <v>0.73785378978467653</v>
      </c>
    </row>
    <row r="56" spans="1:12" s="203" customFormat="1" x14ac:dyDescent="0.35">
      <c r="E56" s="207" t="s">
        <v>327</v>
      </c>
      <c r="F56" s="253">
        <f ca="1">F54*F55</f>
        <v>170396.95530693815</v>
      </c>
      <c r="G56" s="253">
        <f t="shared" ref="G56:L56" ca="1" si="8">G54*G55</f>
        <v>125581.61881891455</v>
      </c>
      <c r="H56" s="253">
        <f t="shared" ca="1" si="8"/>
        <v>110038.07986646765</v>
      </c>
      <c r="I56" s="253">
        <f t="shared" ca="1" si="8"/>
        <v>67490.065197811578</v>
      </c>
      <c r="J56" s="253">
        <f t="shared" ca="1" si="8"/>
        <v>60142.389153628144</v>
      </c>
      <c r="K56" s="253">
        <f t="shared" ca="1" si="8"/>
        <v>697546.62546653301</v>
      </c>
      <c r="L56" s="253">
        <f t="shared" ca="1" si="8"/>
        <v>751345.02986002807</v>
      </c>
    </row>
    <row r="57" spans="1:12" s="203" customFormat="1" x14ac:dyDescent="0.35">
      <c r="A57" s="410" t="s">
        <v>337</v>
      </c>
      <c r="B57" s="413">
        <v>3.5</v>
      </c>
      <c r="C57" s="277"/>
      <c r="F57" s="254"/>
      <c r="G57" s="255"/>
      <c r="H57" s="255"/>
      <c r="I57" s="255"/>
      <c r="J57" s="255"/>
      <c r="K57" s="255"/>
    </row>
    <row r="58" spans="1:12" s="203" customFormat="1" x14ac:dyDescent="0.35">
      <c r="A58" s="278"/>
      <c r="B58" s="278"/>
      <c r="C58" s="278"/>
      <c r="E58" s="203" t="s">
        <v>328</v>
      </c>
      <c r="F58" s="417" t="s">
        <v>408</v>
      </c>
      <c r="G58" s="418"/>
      <c r="H58" s="418"/>
      <c r="I58" s="418"/>
      <c r="J58" s="418"/>
      <c r="K58" s="255"/>
    </row>
    <row r="59" spans="1:12" s="203" customFormat="1" x14ac:dyDescent="0.35">
      <c r="A59" s="279"/>
      <c r="B59" s="279"/>
      <c r="C59" s="279"/>
      <c r="E59" s="266">
        <f ca="1">SUM(F56:K56)</f>
        <v>1231195.733810293</v>
      </c>
      <c r="F59" s="264">
        <f>G59-0.5</f>
        <v>2.5</v>
      </c>
      <c r="G59" s="264">
        <f>H59-0.5</f>
        <v>3</v>
      </c>
      <c r="H59" s="264">
        <v>3.5</v>
      </c>
      <c r="I59" s="264">
        <f>H59+0.5</f>
        <v>4</v>
      </c>
      <c r="J59" s="264">
        <f>I59+0.5</f>
        <v>4.5</v>
      </c>
      <c r="K59" s="255"/>
    </row>
    <row r="60" spans="1:12" s="203" customFormat="1" x14ac:dyDescent="0.35">
      <c r="A60" s="262"/>
      <c r="B60" s="262"/>
      <c r="C60" s="262"/>
      <c r="E60" s="265">
        <v>0.12</v>
      </c>
      <c r="F60" s="267">
        <f t="dataTable" ref="F60:J64" dt2D="1" dtr="1" r1="B57" r2="B55" ca="1"/>
        <v>987342.44529185491</v>
      </c>
      <c r="G60" s="268">
        <v>1081192.5082438989</v>
      </c>
      <c r="H60" s="268">
        <v>1175042.5711959428</v>
      </c>
      <c r="I60" s="268">
        <v>1268892.6341479868</v>
      </c>
      <c r="J60" s="269">
        <v>1362742.697100031</v>
      </c>
      <c r="K60" s="255"/>
    </row>
    <row r="61" spans="1:12" s="203" customFormat="1" x14ac:dyDescent="0.35">
      <c r="A61" s="262"/>
      <c r="B61" s="262"/>
      <c r="C61" s="262"/>
      <c r="E61" s="265">
        <f>E60-0.01</f>
        <v>0.11</v>
      </c>
      <c r="F61" s="270">
        <v>1020442.366122897</v>
      </c>
      <c r="G61" s="267">
        <v>1118596.7695247878</v>
      </c>
      <c r="H61" s="268">
        <v>1216751.1729266783</v>
      </c>
      <c r="I61" s="269">
        <v>1314905.5763285693</v>
      </c>
      <c r="J61" s="271">
        <v>1413059.9797304601</v>
      </c>
      <c r="K61" s="255"/>
    </row>
    <row r="62" spans="1:12" s="203" customFormat="1" x14ac:dyDescent="0.35">
      <c r="A62" s="262"/>
      <c r="B62" s="262"/>
      <c r="C62" s="262"/>
      <c r="E62" s="265">
        <f t="shared" ref="E62:E64" si="9">E61-0.01</f>
        <v>0.1</v>
      </c>
      <c r="F62" s="270">
        <v>1055184.8652563849</v>
      </c>
      <c r="G62" s="270">
        <v>1157882.6925976193</v>
      </c>
      <c r="H62" s="275">
        <v>1260580.5199388536</v>
      </c>
      <c r="I62" s="271">
        <v>1363278.3472800879</v>
      </c>
      <c r="J62" s="271">
        <v>1465976.1746213222</v>
      </c>
      <c r="K62" s="255"/>
    </row>
    <row r="63" spans="1:12" s="203" customFormat="1" x14ac:dyDescent="0.35">
      <c r="A63" s="262"/>
      <c r="B63" s="262"/>
      <c r="C63" s="262"/>
      <c r="E63" s="265">
        <f t="shared" si="9"/>
        <v>9.0000000000000011E-2</v>
      </c>
      <c r="F63" s="270">
        <v>1091671.5272985138</v>
      </c>
      <c r="G63" s="272">
        <v>1199167.4995174576</v>
      </c>
      <c r="H63" s="273">
        <v>1306663.4717364009</v>
      </c>
      <c r="I63" s="274">
        <v>1414159.4439553441</v>
      </c>
      <c r="J63" s="271">
        <v>1521655.4161742874</v>
      </c>
      <c r="K63" s="255"/>
    </row>
    <row r="64" spans="1:12" s="203" customFormat="1" x14ac:dyDescent="0.35">
      <c r="A64" s="262"/>
      <c r="B64" s="262"/>
      <c r="C64" s="262"/>
      <c r="E64" s="265">
        <f t="shared" si="9"/>
        <v>8.0000000000000016E-2</v>
      </c>
      <c r="F64" s="272">
        <v>1130011.3534838934</v>
      </c>
      <c r="G64" s="273">
        <v>1242577.0088489917</v>
      </c>
      <c r="H64" s="273">
        <v>1355142.66421409</v>
      </c>
      <c r="I64" s="273">
        <v>1467708.319579188</v>
      </c>
      <c r="J64" s="274">
        <v>1580273.974944286</v>
      </c>
      <c r="K64" s="255"/>
    </row>
    <row r="65" spans="1:11" s="203" customFormat="1" x14ac:dyDescent="0.35">
      <c r="A65" s="262"/>
      <c r="B65" s="262"/>
      <c r="C65" s="262"/>
      <c r="E65" s="260"/>
      <c r="F65" s="254"/>
      <c r="G65" s="255"/>
      <c r="H65" s="255"/>
      <c r="I65" s="255"/>
      <c r="J65" s="255"/>
      <c r="K65" s="255"/>
    </row>
    <row r="66" spans="1:11" s="203" customFormat="1" x14ac:dyDescent="0.35">
      <c r="A66" s="262"/>
      <c r="B66" s="262"/>
      <c r="C66" s="262"/>
      <c r="E66" s="203" t="s">
        <v>328</v>
      </c>
      <c r="F66" s="417" t="s">
        <v>409</v>
      </c>
      <c r="G66" s="418"/>
      <c r="H66" s="418"/>
      <c r="I66" s="418"/>
      <c r="J66" s="418"/>
      <c r="K66" s="255"/>
    </row>
    <row r="67" spans="1:11" s="203" customFormat="1" x14ac:dyDescent="0.35">
      <c r="A67" s="262"/>
      <c r="B67" s="262"/>
      <c r="C67" s="262"/>
      <c r="E67" s="266">
        <f ca="1">SUM(F56:H56)+L56</f>
        <v>1157361.6838523485</v>
      </c>
      <c r="F67" s="264">
        <f>G67-0.5</f>
        <v>2.5</v>
      </c>
      <c r="G67" s="264">
        <f>H67-0.5</f>
        <v>3</v>
      </c>
      <c r="H67" s="264">
        <v>3.5</v>
      </c>
      <c r="I67" s="264">
        <f>H67+0.5</f>
        <v>4</v>
      </c>
      <c r="J67" s="264">
        <f>I67+0.5</f>
        <v>4.5</v>
      </c>
      <c r="K67" s="255"/>
    </row>
    <row r="68" spans="1:11" s="203" customFormat="1" x14ac:dyDescent="0.35">
      <c r="A68" s="262"/>
      <c r="B68" s="262"/>
      <c r="C68" s="262"/>
      <c r="E68" s="265">
        <v>0.12</v>
      </c>
      <c r="F68" s="267">
        <f t="dataTable" ref="F68:J72" dt2D="1" dtr="1" r1="B57" r2="B55" ca="1"/>
        <v>914831.39389199368</v>
      </c>
      <c r="G68" s="268">
        <v>1018373.5007335151</v>
      </c>
      <c r="H68" s="268">
        <v>1121915.6075750366</v>
      </c>
      <c r="I68" s="268">
        <v>1225457.7144165579</v>
      </c>
      <c r="J68" s="269">
        <v>1328999.8212580797</v>
      </c>
      <c r="K68" s="255"/>
    </row>
    <row r="69" spans="1:11" s="203" customFormat="1" x14ac:dyDescent="0.35">
      <c r="A69" s="262"/>
      <c r="B69" s="262"/>
      <c r="C69" s="262"/>
      <c r="E69" s="265">
        <f>E68-0.01</f>
        <v>0.11</v>
      </c>
      <c r="F69" s="270">
        <v>935580.70495126245</v>
      </c>
      <c r="G69" s="267">
        <v>1041946.5339509305</v>
      </c>
      <c r="H69" s="268">
        <v>1148312.3629505984</v>
      </c>
      <c r="I69" s="269">
        <v>1254678.1919502667</v>
      </c>
      <c r="J69" s="271">
        <v>1361044.0209499348</v>
      </c>
      <c r="K69" s="255"/>
    </row>
    <row r="70" spans="1:11" s="203" customFormat="1" x14ac:dyDescent="0.35">
      <c r="A70" s="262"/>
      <c r="B70" s="262"/>
      <c r="C70" s="262"/>
      <c r="E70" s="265">
        <f t="shared" ref="E70:E72" si="10">E69-0.01</f>
        <v>0.1</v>
      </c>
      <c r="F70" s="270">
        <v>957042.69237606879</v>
      </c>
      <c r="G70" s="270">
        <v>1066335.8592285444</v>
      </c>
      <c r="H70" s="275">
        <v>1175629.02608102</v>
      </c>
      <c r="I70" s="271">
        <v>1284922.1929334956</v>
      </c>
      <c r="J70" s="271">
        <v>1394215.3597859712</v>
      </c>
      <c r="K70" s="255"/>
    </row>
    <row r="71" spans="1:11" s="203" customFormat="1" x14ac:dyDescent="0.35">
      <c r="A71" s="262"/>
      <c r="B71" s="262"/>
      <c r="C71" s="262"/>
      <c r="E71" s="265">
        <f t="shared" si="10"/>
        <v>9.0000000000000011E-2</v>
      </c>
      <c r="F71" s="270">
        <v>979249.25691697572</v>
      </c>
      <c r="G71" s="272">
        <v>1091578.1739378648</v>
      </c>
      <c r="H71" s="273">
        <v>1203907.0909587541</v>
      </c>
      <c r="I71" s="274">
        <v>1316236.0079796431</v>
      </c>
      <c r="J71" s="271">
        <v>1428564.9250005325</v>
      </c>
      <c r="K71" s="255"/>
    </row>
    <row r="72" spans="1:11" s="203" customFormat="1" x14ac:dyDescent="0.35">
      <c r="A72" s="262"/>
      <c r="B72" s="262"/>
      <c r="C72" s="262"/>
      <c r="E72" s="265">
        <f t="shared" si="10"/>
        <v>8.0000000000000016E-2</v>
      </c>
      <c r="F72" s="272">
        <v>1002234.0521034641</v>
      </c>
      <c r="G72" s="273">
        <v>1117712.197172055</v>
      </c>
      <c r="H72" s="273">
        <v>1233190.3422406462</v>
      </c>
      <c r="I72" s="273">
        <v>1348668.4873092375</v>
      </c>
      <c r="J72" s="274">
        <v>1464146.6323778287</v>
      </c>
      <c r="K72" s="255"/>
    </row>
    <row r="73" spans="1:11" s="205" customFormat="1" x14ac:dyDescent="0.35">
      <c r="F73" s="256"/>
      <c r="G73" s="257"/>
      <c r="H73" s="257"/>
      <c r="I73" s="257"/>
      <c r="J73" s="257"/>
      <c r="K73" s="257"/>
    </row>
    <row r="74" spans="1:11" s="103" customFormat="1" x14ac:dyDescent="0.35">
      <c r="A74" s="103" t="s">
        <v>290</v>
      </c>
      <c r="F74" s="200"/>
    </row>
    <row r="76" spans="1:11" x14ac:dyDescent="0.35">
      <c r="A76" s="138" t="s">
        <v>168</v>
      </c>
      <c r="B76" s="135"/>
      <c r="C76" s="135"/>
      <c r="D76" s="135"/>
      <c r="E76" s="135"/>
      <c r="F76" s="135"/>
    </row>
    <row r="77" spans="1:11" x14ac:dyDescent="0.35">
      <c r="A77" s="136" t="s">
        <v>169</v>
      </c>
      <c r="B77" s="135"/>
      <c r="C77" s="135"/>
      <c r="D77" s="135"/>
      <c r="E77" s="135"/>
      <c r="F77" s="135" t="s">
        <v>46</v>
      </c>
      <c r="G77" t="s">
        <v>329</v>
      </c>
      <c r="H77" t="s">
        <v>330</v>
      </c>
      <c r="J77" t="s">
        <v>412</v>
      </c>
      <c r="K77" t="s">
        <v>413</v>
      </c>
    </row>
    <row r="78" spans="1:11" x14ac:dyDescent="0.35">
      <c r="A78" s="32" t="s">
        <v>170</v>
      </c>
      <c r="B78" s="135"/>
      <c r="C78" s="135"/>
      <c r="D78" s="140"/>
      <c r="E78" s="140"/>
      <c r="F78" s="140">
        <f>Tower!G50</f>
        <v>269</v>
      </c>
      <c r="G78" s="42">
        <v>1</v>
      </c>
      <c r="H78" s="140">
        <f>G78*F78</f>
        <v>269</v>
      </c>
      <c r="J78" s="165">
        <f>H88</f>
        <v>80831.899999999994</v>
      </c>
      <c r="K78" s="165">
        <f>H95</f>
        <v>642256.15</v>
      </c>
    </row>
    <row r="79" spans="1:11" x14ac:dyDescent="0.35">
      <c r="A79" s="32" t="s">
        <v>171</v>
      </c>
      <c r="B79" s="135"/>
      <c r="C79" s="135"/>
      <c r="D79" s="141"/>
      <c r="E79" s="141"/>
      <c r="F79" s="141">
        <f>Tower!G51</f>
        <v>32248</v>
      </c>
      <c r="G79" s="42">
        <v>0.8</v>
      </c>
      <c r="H79" s="141">
        <f t="shared" ref="H79:H94" si="11">G79*F79</f>
        <v>25798.400000000001</v>
      </c>
    </row>
    <row r="80" spans="1:11" x14ac:dyDescent="0.35">
      <c r="A80" s="32" t="s">
        <v>172</v>
      </c>
      <c r="B80" s="135"/>
      <c r="C80" s="135"/>
      <c r="D80" s="141"/>
      <c r="E80" s="141"/>
      <c r="F80" s="141">
        <f>Tower!G52</f>
        <v>49613</v>
      </c>
      <c r="G80" s="42">
        <v>0.5</v>
      </c>
      <c r="H80" s="141">
        <f t="shared" si="11"/>
        <v>24806.5</v>
      </c>
    </row>
    <row r="81" spans="1:8" x14ac:dyDescent="0.35">
      <c r="A81" s="32" t="s">
        <v>173</v>
      </c>
      <c r="B81" s="135"/>
      <c r="C81" s="135"/>
      <c r="D81" s="139"/>
      <c r="E81" s="139"/>
      <c r="F81" s="139">
        <f>Tower!G53</f>
        <v>3392</v>
      </c>
      <c r="G81" s="42">
        <v>0.5</v>
      </c>
      <c r="H81" s="139">
        <f t="shared" si="11"/>
        <v>1696</v>
      </c>
    </row>
    <row r="82" spans="1:8" x14ac:dyDescent="0.35">
      <c r="A82" s="32" t="s">
        <v>174</v>
      </c>
      <c r="B82" s="135"/>
      <c r="C82" s="135"/>
      <c r="D82" s="139"/>
      <c r="E82" s="139"/>
      <c r="F82" s="139">
        <f>Tower!G54</f>
        <v>56524</v>
      </c>
      <c r="G82" s="42">
        <v>0.5</v>
      </c>
      <c r="H82" s="139">
        <f t="shared" si="11"/>
        <v>28262</v>
      </c>
    </row>
    <row r="83" spans="1:8" x14ac:dyDescent="0.35">
      <c r="A83" s="32" t="s">
        <v>175</v>
      </c>
      <c r="B83" s="135"/>
      <c r="C83" s="135"/>
      <c r="D83" s="141"/>
      <c r="E83" s="141"/>
      <c r="F83" s="141">
        <f>Tower!G55</f>
        <v>2000</v>
      </c>
      <c r="G83" s="42">
        <v>0</v>
      </c>
      <c r="H83" s="141">
        <f t="shared" si="11"/>
        <v>0</v>
      </c>
    </row>
    <row r="84" spans="1:8" x14ac:dyDescent="0.35">
      <c r="A84" s="32" t="s">
        <v>176</v>
      </c>
      <c r="B84" s="135"/>
      <c r="C84" s="135"/>
      <c r="D84" s="141"/>
      <c r="E84" s="141"/>
      <c r="F84" s="141">
        <f>Tower!G56</f>
        <v>14940</v>
      </c>
      <c r="G84" s="42">
        <v>0</v>
      </c>
      <c r="H84" s="141">
        <f t="shared" si="11"/>
        <v>0</v>
      </c>
    </row>
    <row r="85" spans="1:8" x14ac:dyDescent="0.35">
      <c r="A85" s="32" t="s">
        <v>203</v>
      </c>
      <c r="B85" s="135"/>
      <c r="C85" s="135"/>
      <c r="D85" s="141"/>
      <c r="E85" s="141"/>
      <c r="F85" s="141">
        <f>Tower!G57</f>
        <v>0</v>
      </c>
      <c r="G85" s="42">
        <v>0</v>
      </c>
      <c r="H85" s="141">
        <f t="shared" si="11"/>
        <v>0</v>
      </c>
    </row>
    <row r="86" spans="1:8" x14ac:dyDescent="0.35">
      <c r="A86" s="32" t="s">
        <v>177</v>
      </c>
      <c r="B86" s="135"/>
      <c r="C86" s="135"/>
      <c r="D86" s="141"/>
      <c r="E86" s="141"/>
      <c r="F86" s="141">
        <f>Tower!G58</f>
        <v>10872</v>
      </c>
      <c r="G86" s="42">
        <v>0</v>
      </c>
      <c r="H86" s="141">
        <f t="shared" si="11"/>
        <v>0</v>
      </c>
    </row>
    <row r="87" spans="1:8" x14ac:dyDescent="0.35">
      <c r="A87" s="32" t="s">
        <v>178</v>
      </c>
      <c r="B87" s="135"/>
      <c r="C87" s="135"/>
      <c r="D87" s="141"/>
      <c r="E87" s="141"/>
      <c r="F87" s="141">
        <f>Tower!G59</f>
        <v>1326</v>
      </c>
      <c r="G87" s="42">
        <v>0</v>
      </c>
      <c r="H87" s="141">
        <f t="shared" si="11"/>
        <v>0</v>
      </c>
    </row>
    <row r="88" spans="1:8" x14ac:dyDescent="0.35">
      <c r="A88" s="156" t="s">
        <v>179</v>
      </c>
      <c r="B88" s="157"/>
      <c r="C88" s="157"/>
      <c r="D88" s="153"/>
      <c r="E88" s="153"/>
      <c r="F88" s="153">
        <f>SUM(F78:F87)</f>
        <v>171184</v>
      </c>
      <c r="G88" s="42"/>
      <c r="H88" s="153">
        <f>SUM(H78:H87)</f>
        <v>80831.899999999994</v>
      </c>
    </row>
    <row r="89" spans="1:8" x14ac:dyDescent="0.35">
      <c r="A89" s="171" t="s">
        <v>180</v>
      </c>
      <c r="B89" s="63"/>
      <c r="C89" s="63"/>
      <c r="D89" s="70"/>
      <c r="E89" s="70"/>
      <c r="F89" s="70">
        <f>Tower!G61</f>
        <v>2148569</v>
      </c>
      <c r="G89" s="42">
        <v>0.25</v>
      </c>
      <c r="H89" s="141">
        <f t="shared" si="11"/>
        <v>537142.25</v>
      </c>
    </row>
    <row r="90" spans="1:8" x14ac:dyDescent="0.35">
      <c r="A90" s="136" t="s">
        <v>172</v>
      </c>
      <c r="B90" s="135"/>
      <c r="C90" s="135"/>
      <c r="D90" s="141"/>
      <c r="E90" s="141"/>
      <c r="F90" s="141">
        <f>Tower!G62</f>
        <v>0</v>
      </c>
      <c r="G90" s="42">
        <v>0</v>
      </c>
      <c r="H90" s="141">
        <f t="shared" si="11"/>
        <v>0</v>
      </c>
    </row>
    <row r="91" spans="1:8" x14ac:dyDescent="0.35">
      <c r="A91" s="136" t="s">
        <v>173</v>
      </c>
      <c r="B91" s="135"/>
      <c r="C91" s="135"/>
      <c r="D91" s="141"/>
      <c r="E91" s="141"/>
      <c r="F91" s="141">
        <f>Tower!G63</f>
        <v>60705</v>
      </c>
      <c r="G91" s="42">
        <v>0.4</v>
      </c>
      <c r="H91" s="141">
        <f t="shared" si="11"/>
        <v>24282</v>
      </c>
    </row>
    <row r="92" spans="1:8" x14ac:dyDescent="0.35">
      <c r="A92" s="136" t="s">
        <v>175</v>
      </c>
      <c r="B92" s="135"/>
      <c r="C92" s="135"/>
      <c r="D92" s="141"/>
      <c r="E92" s="141"/>
      <c r="F92" s="141">
        <f>Tower!G64</f>
        <v>2678</v>
      </c>
      <c r="G92" s="42">
        <v>0</v>
      </c>
      <c r="H92" s="141">
        <f t="shared" si="11"/>
        <v>0</v>
      </c>
    </row>
    <row r="93" spans="1:8" x14ac:dyDescent="0.35">
      <c r="A93" s="136" t="s">
        <v>181</v>
      </c>
      <c r="B93" s="135"/>
      <c r="C93" s="135"/>
      <c r="D93" s="141"/>
      <c r="E93" s="141"/>
      <c r="F93" s="141">
        <f>Tower!G65</f>
        <v>4311</v>
      </c>
      <c r="G93" s="42">
        <v>0</v>
      </c>
      <c r="H93" s="141">
        <f t="shared" si="11"/>
        <v>0</v>
      </c>
    </row>
    <row r="94" spans="1:8" x14ac:dyDescent="0.35">
      <c r="A94" s="136" t="s">
        <v>178</v>
      </c>
      <c r="B94" s="135"/>
      <c r="C94" s="135"/>
      <c r="D94" s="141"/>
      <c r="E94" s="141"/>
      <c r="F94" s="141">
        <f>Tower!G66</f>
        <v>726</v>
      </c>
      <c r="G94" s="42">
        <v>0</v>
      </c>
      <c r="H94" s="141">
        <f t="shared" si="11"/>
        <v>0</v>
      </c>
    </row>
    <row r="95" spans="1:8" x14ac:dyDescent="0.35">
      <c r="A95" s="158" t="s">
        <v>182</v>
      </c>
      <c r="B95" s="157"/>
      <c r="C95" s="157"/>
      <c r="D95" s="164"/>
      <c r="E95" s="164"/>
      <c r="F95" s="173">
        <f>SUM(F88:F94)</f>
        <v>2388173</v>
      </c>
      <c r="G95" s="42"/>
      <c r="H95" s="173">
        <f>SUM(H88:H94)</f>
        <v>642256.15</v>
      </c>
    </row>
    <row r="96" spans="1:8" x14ac:dyDescent="0.35">
      <c r="A96" s="138" t="s">
        <v>183</v>
      </c>
      <c r="B96" s="135"/>
      <c r="C96" s="135"/>
      <c r="D96" s="145"/>
      <c r="E96" s="145"/>
      <c r="F96" s="145"/>
      <c r="G96" s="42"/>
      <c r="H96" s="145"/>
    </row>
    <row r="97" spans="1:8" x14ac:dyDescent="0.35">
      <c r="A97" s="136" t="s">
        <v>184</v>
      </c>
      <c r="B97" s="135"/>
      <c r="C97" s="135"/>
      <c r="D97" s="141"/>
      <c r="E97" s="141"/>
      <c r="F97" s="141"/>
      <c r="G97" s="42"/>
      <c r="H97" s="141"/>
    </row>
    <row r="98" spans="1:8" x14ac:dyDescent="0.35">
      <c r="A98" s="32" t="s">
        <v>185</v>
      </c>
      <c r="B98" s="135"/>
      <c r="C98" s="135"/>
      <c r="D98" s="141"/>
      <c r="E98" s="141"/>
      <c r="F98" s="141">
        <f>Tower!G70</f>
        <v>53709</v>
      </c>
      <c r="G98" s="42"/>
      <c r="H98" s="141"/>
    </row>
    <row r="99" spans="1:8" x14ac:dyDescent="0.35">
      <c r="A99" s="32" t="s">
        <v>186</v>
      </c>
      <c r="B99" s="135"/>
      <c r="C99" s="135"/>
      <c r="D99" s="141"/>
      <c r="E99" s="141"/>
      <c r="F99" s="141">
        <f>Tower!G71</f>
        <v>6629</v>
      </c>
      <c r="G99" s="42"/>
      <c r="H99" s="141"/>
    </row>
    <row r="100" spans="1:8" x14ac:dyDescent="0.35">
      <c r="A100" s="32" t="s">
        <v>187</v>
      </c>
      <c r="B100" s="135"/>
      <c r="C100" s="135"/>
      <c r="D100" s="141"/>
      <c r="E100" s="141"/>
      <c r="F100" s="141">
        <f>Tower!G72</f>
        <v>24304</v>
      </c>
      <c r="G100" s="42"/>
      <c r="H100" s="141"/>
    </row>
    <row r="101" spans="1:8" x14ac:dyDescent="0.35">
      <c r="A101" s="32" t="s">
        <v>188</v>
      </c>
      <c r="B101" s="135"/>
      <c r="C101" s="135"/>
      <c r="D101" s="141"/>
      <c r="E101" s="141"/>
      <c r="F101" s="141">
        <f>Tower!G73</f>
        <v>99735</v>
      </c>
      <c r="G101" s="42"/>
      <c r="H101" s="141"/>
    </row>
    <row r="102" spans="1:8" x14ac:dyDescent="0.35">
      <c r="A102" s="32" t="s">
        <v>189</v>
      </c>
      <c r="B102" s="135"/>
      <c r="C102" s="135"/>
      <c r="D102" s="140"/>
      <c r="E102" s="140"/>
      <c r="F102" s="140">
        <f>Tower!G74</f>
        <v>67466</v>
      </c>
      <c r="G102" s="42"/>
      <c r="H102" s="140"/>
    </row>
    <row r="103" spans="1:8" x14ac:dyDescent="0.35">
      <c r="A103" s="32" t="s">
        <v>190</v>
      </c>
      <c r="B103" s="135"/>
      <c r="C103" s="135"/>
      <c r="D103" s="139"/>
      <c r="E103" s="139"/>
      <c r="F103" s="139">
        <f>Tower!G75</f>
        <v>6578</v>
      </c>
      <c r="G103" s="42"/>
      <c r="H103" s="139"/>
    </row>
    <row r="104" spans="1:8" x14ac:dyDescent="0.35">
      <c r="A104" s="32" t="s">
        <v>191</v>
      </c>
      <c r="B104" s="135"/>
      <c r="C104" s="135"/>
      <c r="D104" s="139"/>
      <c r="E104" s="139"/>
      <c r="F104" s="139">
        <f>Tower!G76</f>
        <v>17740</v>
      </c>
      <c r="G104" s="42"/>
      <c r="H104" s="139"/>
    </row>
    <row r="105" spans="1:8" x14ac:dyDescent="0.35">
      <c r="A105" s="32" t="s">
        <v>178</v>
      </c>
      <c r="B105" s="135"/>
      <c r="C105" s="135"/>
      <c r="D105" s="140"/>
      <c r="E105" s="140"/>
      <c r="F105" s="140">
        <f>Tower!G77</f>
        <v>8820</v>
      </c>
      <c r="G105" s="42"/>
      <c r="H105" s="140"/>
    </row>
    <row r="106" spans="1:8" x14ac:dyDescent="0.35">
      <c r="A106" s="156" t="s">
        <v>192</v>
      </c>
      <c r="B106" s="157"/>
      <c r="C106" s="157"/>
      <c r="D106" s="154"/>
      <c r="E106" s="154"/>
      <c r="F106" s="173">
        <f>SUM(F98:F105)</f>
        <v>284981</v>
      </c>
      <c r="G106" s="42"/>
      <c r="H106" s="173">
        <f>SUM(H98:H105)</f>
        <v>0</v>
      </c>
    </row>
    <row r="107" spans="1:8" x14ac:dyDescent="0.35">
      <c r="A107" s="171" t="s">
        <v>193</v>
      </c>
      <c r="B107" s="63"/>
      <c r="C107" s="63"/>
      <c r="D107" s="71"/>
      <c r="E107" s="71"/>
      <c r="F107" s="71">
        <f>Tower!G79</f>
        <v>1194394</v>
      </c>
      <c r="G107" s="42"/>
      <c r="H107" s="71"/>
    </row>
    <row r="108" spans="1:8" x14ac:dyDescent="0.35">
      <c r="A108" s="136" t="s">
        <v>194</v>
      </c>
      <c r="B108" s="135"/>
      <c r="C108" s="135"/>
      <c r="D108" s="139"/>
      <c r="E108" s="139"/>
      <c r="F108" s="139">
        <f>Tower!G80</f>
        <v>189855</v>
      </c>
      <c r="G108" s="42"/>
      <c r="H108" s="139"/>
    </row>
    <row r="109" spans="1:8" x14ac:dyDescent="0.35">
      <c r="A109" s="136" t="s">
        <v>190</v>
      </c>
      <c r="B109" s="135"/>
      <c r="C109" s="135"/>
      <c r="D109" s="120"/>
      <c r="E109" s="120"/>
      <c r="F109" s="120">
        <f>Tower!G81</f>
        <v>38966</v>
      </c>
      <c r="G109" s="42"/>
      <c r="H109" s="120"/>
    </row>
    <row r="110" spans="1:8" x14ac:dyDescent="0.35">
      <c r="A110" s="136" t="s">
        <v>204</v>
      </c>
      <c r="B110" s="135"/>
      <c r="C110" s="135"/>
      <c r="D110" s="120"/>
      <c r="E110" s="120"/>
      <c r="F110" s="120">
        <f>Tower!G82</f>
        <v>0</v>
      </c>
      <c r="G110" s="42"/>
      <c r="H110" s="120"/>
    </row>
    <row r="111" spans="1:8" x14ac:dyDescent="0.35">
      <c r="A111" s="136" t="s">
        <v>195</v>
      </c>
      <c r="B111" s="135"/>
      <c r="C111" s="135"/>
      <c r="D111" s="139"/>
      <c r="E111" s="139"/>
      <c r="F111" s="139">
        <f>Tower!G83</f>
        <v>16428</v>
      </c>
      <c r="G111" s="42"/>
      <c r="H111" s="139"/>
    </row>
    <row r="112" spans="1:8" x14ac:dyDescent="0.35">
      <c r="A112" s="136" t="s">
        <v>178</v>
      </c>
      <c r="B112" s="135"/>
      <c r="C112" s="135"/>
      <c r="D112" s="139"/>
      <c r="E112" s="139"/>
      <c r="F112" s="139">
        <f>Tower!G84</f>
        <v>66834</v>
      </c>
      <c r="G112" s="42"/>
      <c r="H112" s="139"/>
    </row>
    <row r="113" spans="1:8" x14ac:dyDescent="0.35">
      <c r="A113" s="158" t="s">
        <v>196</v>
      </c>
      <c r="B113" s="157"/>
      <c r="C113" s="157"/>
      <c r="D113" s="153"/>
      <c r="E113" s="153"/>
      <c r="F113" s="173">
        <f>SUM(F106:F112)</f>
        <v>1791458</v>
      </c>
      <c r="G113" s="42"/>
      <c r="H113" s="173">
        <f>SUM(H106:H112)</f>
        <v>0</v>
      </c>
    </row>
    <row r="114" spans="1:8" x14ac:dyDescent="0.35">
      <c r="A114" s="136" t="s">
        <v>197</v>
      </c>
      <c r="B114" s="135"/>
      <c r="C114" s="135"/>
      <c r="D114" s="152"/>
      <c r="E114" s="152"/>
      <c r="F114" s="152"/>
      <c r="G114" s="42"/>
      <c r="H114" s="152"/>
    </row>
    <row r="115" spans="1:8" x14ac:dyDescent="0.35">
      <c r="A115" s="32" t="s">
        <v>198</v>
      </c>
      <c r="B115" s="135"/>
      <c r="C115" s="135"/>
      <c r="D115" s="139"/>
      <c r="E115" s="139"/>
      <c r="F115" s="139">
        <f>Tower!G87</f>
        <v>377880</v>
      </c>
      <c r="G115" s="42"/>
      <c r="H115" s="139"/>
    </row>
    <row r="116" spans="1:8" x14ac:dyDescent="0.35">
      <c r="A116" s="32" t="s">
        <v>199</v>
      </c>
      <c r="B116" s="135"/>
      <c r="C116" s="135"/>
      <c r="D116" s="140"/>
      <c r="E116" s="140"/>
      <c r="F116" s="140">
        <f>Tower!G88</f>
        <v>218835</v>
      </c>
      <c r="G116" s="42"/>
      <c r="H116" s="140"/>
    </row>
    <row r="117" spans="1:8" x14ac:dyDescent="0.35">
      <c r="A117" s="148" t="s">
        <v>200</v>
      </c>
      <c r="B117" s="135"/>
      <c r="C117" s="135"/>
      <c r="D117" s="140"/>
      <c r="E117" s="140"/>
      <c r="F117" s="174">
        <f>SUM(F115:F116)</f>
        <v>596715</v>
      </c>
      <c r="G117" s="42"/>
      <c r="H117" s="174">
        <f>SUM(H115:H116)</f>
        <v>0</v>
      </c>
    </row>
    <row r="118" spans="1:8" ht="15" thickBot="1" x14ac:dyDescent="0.4">
      <c r="A118" s="150" t="s">
        <v>201</v>
      </c>
      <c r="B118" s="10"/>
      <c r="C118" s="10"/>
      <c r="D118" s="151"/>
      <c r="E118" s="151"/>
      <c r="F118" s="151">
        <f>SUM(F113,F117)</f>
        <v>2388173</v>
      </c>
      <c r="G118" s="42"/>
      <c r="H118" s="151">
        <f>SUM(H113,H117)</f>
        <v>0</v>
      </c>
    </row>
    <row r="119" spans="1:8" ht="15" thickTop="1" x14ac:dyDescent="0.35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86EF-BF9A-4E97-BA51-7F3D37C04D9C}">
  <dimension ref="A1:M157"/>
  <sheetViews>
    <sheetView showGridLines="0" zoomScale="55" zoomScaleNormal="55" workbookViewId="0">
      <pane ySplit="1" topLeftCell="A20" activePane="bottomLeft" state="frozen"/>
      <selection pane="bottomLeft" activeCell="E98" sqref="E98"/>
    </sheetView>
  </sheetViews>
  <sheetFormatPr defaultRowHeight="14.5" outlineLevelRow="1" x14ac:dyDescent="0.35"/>
  <cols>
    <col min="1" max="1" width="1.6328125" style="186" customWidth="1"/>
    <col min="2" max="2" width="8.7265625" style="186"/>
    <col min="3" max="13" width="18.6328125" style="186" customWidth="1"/>
    <col min="14" max="16384" width="8.7265625" style="186"/>
  </cols>
  <sheetData>
    <row r="1" spans="1:13" x14ac:dyDescent="0.35">
      <c r="A1" s="135"/>
      <c r="B1" s="135"/>
      <c r="C1" s="135" t="s">
        <v>42</v>
      </c>
      <c r="D1" s="135" t="s">
        <v>43</v>
      </c>
      <c r="E1" s="135" t="s">
        <v>44</v>
      </c>
      <c r="F1" s="135" t="s">
        <v>45</v>
      </c>
      <c r="G1" s="3" t="s">
        <v>46</v>
      </c>
      <c r="H1" s="135" t="s">
        <v>47</v>
      </c>
      <c r="I1" s="135" t="s">
        <v>48</v>
      </c>
      <c r="J1" s="135" t="s">
        <v>49</v>
      </c>
      <c r="K1" s="135" t="s">
        <v>50</v>
      </c>
      <c r="L1" s="135" t="s">
        <v>51</v>
      </c>
      <c r="M1" s="135" t="s">
        <v>320</v>
      </c>
    </row>
    <row r="2" spans="1:13" s="202" customFormat="1" x14ac:dyDescent="0.35">
      <c r="A2" s="103" t="s">
        <v>311</v>
      </c>
      <c r="B2" s="103" t="s">
        <v>166</v>
      </c>
      <c r="C2" s="103"/>
      <c r="D2" s="103"/>
      <c r="E2" s="103"/>
      <c r="F2" s="103"/>
      <c r="G2" s="200"/>
      <c r="H2" s="103"/>
      <c r="I2" s="103"/>
      <c r="J2" s="103"/>
      <c r="K2" s="103"/>
      <c r="L2" s="103"/>
      <c r="M2" s="103"/>
    </row>
    <row r="3" spans="1:13" x14ac:dyDescent="0.35">
      <c r="A3" s="135"/>
      <c r="B3" s="136" t="s">
        <v>135</v>
      </c>
      <c r="C3"/>
      <c r="D3"/>
      <c r="E3"/>
      <c r="F3"/>
      <c r="G3"/>
      <c r="H3"/>
      <c r="I3"/>
      <c r="J3"/>
      <c r="K3"/>
      <c r="L3"/>
      <c r="M3"/>
    </row>
    <row r="4" spans="1:13" x14ac:dyDescent="0.35">
      <c r="A4" s="135"/>
      <c r="B4" s="32" t="s">
        <v>93</v>
      </c>
      <c r="C4"/>
      <c r="D4"/>
      <c r="E4" s="140">
        <f>Financials!G7</f>
        <v>866628</v>
      </c>
      <c r="F4" s="140">
        <f>Financials!H7</f>
        <v>944430</v>
      </c>
      <c r="G4" s="140">
        <f>Financials!I7</f>
        <v>1097366</v>
      </c>
      <c r="H4" s="167">
        <f ca="1">'Rev Cost Build'!G64*1000</f>
        <v>1043163.8639719625</v>
      </c>
      <c r="I4" s="167">
        <f ca="1">'Rev Cost Build'!H64*1000</f>
        <v>1035485.1005696942</v>
      </c>
      <c r="J4" s="167">
        <f ca="1">'Rev Cost Build'!I64*1000</f>
        <v>1006295.8068052358</v>
      </c>
      <c r="K4" s="167">
        <f ca="1">'Rev Cost Build'!J64*1000</f>
        <v>942826.95144432771</v>
      </c>
      <c r="L4" s="167">
        <f ca="1">'Rev Cost Build'!K64*1000</f>
        <v>964697.28749500099</v>
      </c>
      <c r="M4" s="167">
        <f ca="1">'Rev Cost Build'!L64*1000</f>
        <v>987175.83295758429</v>
      </c>
    </row>
    <row r="5" spans="1:13" x14ac:dyDescent="0.35">
      <c r="A5" s="135"/>
      <c r="B5" s="32" t="s">
        <v>136</v>
      </c>
      <c r="C5"/>
      <c r="D5"/>
      <c r="E5" s="141">
        <f>Financials!G8</f>
        <v>9204</v>
      </c>
      <c r="F5" s="141">
        <f>Financials!H8</f>
        <v>10108</v>
      </c>
      <c r="G5" s="141">
        <f>Financials!I8</f>
        <v>7625</v>
      </c>
      <c r="H5" s="291">
        <f>1735*4</f>
        <v>6940</v>
      </c>
      <c r="I5" s="291">
        <f>AVERAGE(E5:H5)</f>
        <v>8469.25</v>
      </c>
      <c r="J5" s="291">
        <f>I5</f>
        <v>8469.25</v>
      </c>
      <c r="K5" s="291">
        <f>J5</f>
        <v>8469.25</v>
      </c>
      <c r="L5" s="291">
        <f>K5</f>
        <v>8469.25</v>
      </c>
      <c r="M5" s="291">
        <f>L5</f>
        <v>8469.25</v>
      </c>
    </row>
    <row r="6" spans="1:13" s="66" customFormat="1" x14ac:dyDescent="0.35">
      <c r="A6" s="8"/>
      <c r="B6" s="146" t="s">
        <v>137</v>
      </c>
      <c r="C6" s="8"/>
      <c r="D6" s="8"/>
      <c r="E6" s="147">
        <f>Financials!G9</f>
        <v>875832</v>
      </c>
      <c r="F6" s="147">
        <f>Financials!H9</f>
        <v>954538</v>
      </c>
      <c r="G6" s="147">
        <f>Financials!I9</f>
        <v>1104991</v>
      </c>
      <c r="H6" s="166">
        <f t="shared" ref="H6:M6" ca="1" si="0">SUM(H4:H5)</f>
        <v>1050103.8639719626</v>
      </c>
      <c r="I6" s="166">
        <f t="shared" ca="1" si="0"/>
        <v>1043954.3505696942</v>
      </c>
      <c r="J6" s="166">
        <f t="shared" ca="1" si="0"/>
        <v>1014765.0568052358</v>
      </c>
      <c r="K6" s="166">
        <f t="shared" ca="1" si="0"/>
        <v>951296.20144432771</v>
      </c>
      <c r="L6" s="166">
        <f t="shared" ca="1" si="0"/>
        <v>973166.53749500099</v>
      </c>
      <c r="M6" s="166">
        <f t="shared" ca="1" si="0"/>
        <v>995645.08295758429</v>
      </c>
    </row>
    <row r="7" spans="1:13" x14ac:dyDescent="0.35">
      <c r="A7" s="135"/>
      <c r="B7" s="136"/>
      <c r="C7"/>
      <c r="D7"/>
      <c r="E7" s="137"/>
      <c r="F7" s="137"/>
      <c r="G7" s="137"/>
      <c r="H7"/>
      <c r="I7" s="135"/>
      <c r="J7" s="135"/>
      <c r="K7" s="135"/>
      <c r="L7" s="135"/>
      <c r="M7" s="135"/>
    </row>
    <row r="8" spans="1:13" x14ac:dyDescent="0.35">
      <c r="A8" s="135"/>
      <c r="B8" s="136" t="s">
        <v>138</v>
      </c>
      <c r="C8"/>
      <c r="D8"/>
      <c r="E8" s="139"/>
      <c r="F8" s="139"/>
      <c r="G8" s="139"/>
      <c r="H8"/>
      <c r="I8" s="135"/>
      <c r="J8" s="135"/>
      <c r="K8" s="135"/>
      <c r="L8" s="135"/>
      <c r="M8" s="135"/>
    </row>
    <row r="9" spans="1:13" x14ac:dyDescent="0.35">
      <c r="A9" s="135"/>
      <c r="B9" s="32" t="s">
        <v>113</v>
      </c>
      <c r="C9"/>
      <c r="D9"/>
      <c r="E9" s="141">
        <f>Financials!G12</f>
        <v>423995</v>
      </c>
      <c r="F9" s="141">
        <f>Financials!H12</f>
        <v>485606</v>
      </c>
      <c r="G9" s="141">
        <f>Financials!I12</f>
        <v>526984</v>
      </c>
      <c r="H9" s="169">
        <f ca="1">'Rev Cost Build'!G78</f>
        <v>506358.50467289716</v>
      </c>
      <c r="I9" s="169">
        <f ca="1">'Rev Cost Build'!H78</f>
        <v>499651.79301861173</v>
      </c>
      <c r="J9" s="169">
        <f ca="1">'Rev Cost Build'!I78</f>
        <v>480336.12131560023</v>
      </c>
      <c r="K9" s="169">
        <f ca="1">'Rev Cost Build'!J78</f>
        <v>434445.173751258</v>
      </c>
      <c r="L9" s="169">
        <f ca="1">'Rev Cost Build'!K78</f>
        <v>434210.67250994476</v>
      </c>
      <c r="M9" s="169">
        <f ca="1">'Rev Cost Build'!L78</f>
        <v>434102.76084831043</v>
      </c>
    </row>
    <row r="10" spans="1:13" x14ac:dyDescent="0.35">
      <c r="A10" s="135"/>
      <c r="B10" s="32" t="s">
        <v>139</v>
      </c>
      <c r="C10"/>
      <c r="D10"/>
      <c r="E10" s="141">
        <f>Financials!G13</f>
        <v>13541</v>
      </c>
      <c r="F10" s="141">
        <f>Financials!H13</f>
        <v>7973</v>
      </c>
      <c r="G10" s="141">
        <f>Financials!I13</f>
        <v>14572</v>
      </c>
      <c r="H10" s="291">
        <f>AVERAGE(E10:G10)</f>
        <v>12028.666666666666</v>
      </c>
      <c r="I10" s="291">
        <f>H10</f>
        <v>12028.666666666666</v>
      </c>
      <c r="J10" s="291">
        <f>I10</f>
        <v>12028.666666666666</v>
      </c>
      <c r="K10" s="291">
        <f>J10</f>
        <v>12028.666666666666</v>
      </c>
      <c r="L10" s="291">
        <f>K10</f>
        <v>12028.666666666666</v>
      </c>
      <c r="M10" s="291">
        <f>L10</f>
        <v>12028.666666666666</v>
      </c>
    </row>
    <row r="11" spans="1:13" x14ac:dyDescent="0.35">
      <c r="A11" s="135"/>
      <c r="B11" s="32" t="s">
        <v>70</v>
      </c>
      <c r="C11"/>
      <c r="D11"/>
      <c r="E11" s="141">
        <f>Financials!G14</f>
        <v>139659</v>
      </c>
      <c r="F11" s="141">
        <f>Financials!H14</f>
        <v>163498</v>
      </c>
      <c r="G11" s="141">
        <f>Financials!I14</f>
        <v>230052</v>
      </c>
      <c r="H11" s="169">
        <f ca="1">'Rev Cost Build'!G97*1000</f>
        <v>210138.77943925231</v>
      </c>
      <c r="I11" s="169">
        <f ca="1">'Rev Cost Build'!H97*1000</f>
        <v>214055.3927102804</v>
      </c>
      <c r="J11" s="169">
        <f ca="1">'Rev Cost Build'!I97*1000</f>
        <v>205195.49007476636</v>
      </c>
      <c r="K11" s="169">
        <f ca="1">'Rev Cost Build'!J97*1000</f>
        <v>189603.54805794393</v>
      </c>
      <c r="L11" s="169">
        <f ca="1">'Rev Cost Build'!K97*1000</f>
        <v>191291.22625794393</v>
      </c>
      <c r="M11" s="169">
        <f ca="1">'Rev Cost Build'!L97*1000</f>
        <v>192978.90445794392</v>
      </c>
    </row>
    <row r="12" spans="1:13" x14ac:dyDescent="0.35">
      <c r="A12" s="135"/>
      <c r="B12" s="32" t="s">
        <v>140</v>
      </c>
      <c r="C12"/>
      <c r="D12"/>
      <c r="E12" s="141">
        <f>Financials!G15</f>
        <v>164212</v>
      </c>
      <c r="F12" s="141">
        <f>Financials!H15</f>
        <v>207092</v>
      </c>
      <c r="G12" s="141">
        <f>Financials!I15</f>
        <v>212640</v>
      </c>
      <c r="H12" s="180">
        <f ca="1">-Assumptions!H26</f>
        <v>208549.36806066026</v>
      </c>
      <c r="I12" s="180">
        <f ca="1">-Assumptions!I26</f>
        <v>183415.03321957254</v>
      </c>
      <c r="J12" s="180">
        <f ca="1">-Assumptions!J26</f>
        <v>177859.77332624802</v>
      </c>
      <c r="K12" s="180">
        <f ca="1">-Assumptions!K26</f>
        <v>167366.22190681225</v>
      </c>
      <c r="L12" s="180">
        <f ca="1">-Assumptions!L26</f>
        <v>155840.54876202191</v>
      </c>
      <c r="M12" s="180">
        <f ca="1">-Assumptions!M26</f>
        <v>148296.43899297551</v>
      </c>
    </row>
    <row r="13" spans="1:13" x14ac:dyDescent="0.35">
      <c r="A13" s="135"/>
      <c r="B13" s="32" t="s">
        <v>141</v>
      </c>
      <c r="C13"/>
      <c r="D13"/>
      <c r="E13" s="141">
        <f>Financials!G16</f>
        <v>0</v>
      </c>
      <c r="F13" s="141">
        <f>Financials!H16</f>
        <v>1408</v>
      </c>
      <c r="G13" s="141">
        <f>Financials!I16</f>
        <v>-86481</v>
      </c>
      <c r="H13" s="141">
        <v>1686</v>
      </c>
      <c r="I13" s="141">
        <f>Financials!K16</f>
        <v>0</v>
      </c>
      <c r="J13" s="141">
        <f>Financials!L16</f>
        <v>0</v>
      </c>
      <c r="K13" s="141">
        <f>Financials!M16</f>
        <v>0</v>
      </c>
      <c r="L13" s="141">
        <f>Financials!N16</f>
        <v>0</v>
      </c>
      <c r="M13" s="141">
        <f>Financials!O16</f>
        <v>0</v>
      </c>
    </row>
    <row r="14" spans="1:13" x14ac:dyDescent="0.35">
      <c r="A14" s="135"/>
      <c r="B14" s="32" t="s">
        <v>142</v>
      </c>
      <c r="C14"/>
      <c r="D14"/>
      <c r="E14" s="141">
        <f>Financials!G17</f>
        <v>3376</v>
      </c>
      <c r="F14" s="141">
        <f>Financials!H17</f>
        <v>2889</v>
      </c>
      <c r="G14" s="141">
        <f>Financials!I17</f>
        <v>-8516</v>
      </c>
      <c r="H14" s="165">
        <f t="shared" ref="H14:M14" si="1">F14</f>
        <v>2889</v>
      </c>
      <c r="I14" s="165">
        <f t="shared" si="1"/>
        <v>-8516</v>
      </c>
      <c r="J14" s="165">
        <f t="shared" si="1"/>
        <v>2889</v>
      </c>
      <c r="K14" s="165">
        <f t="shared" si="1"/>
        <v>-8516</v>
      </c>
      <c r="L14" s="165">
        <f t="shared" si="1"/>
        <v>2889</v>
      </c>
      <c r="M14" s="165">
        <f t="shared" si="1"/>
        <v>-8516</v>
      </c>
    </row>
    <row r="15" spans="1:13" x14ac:dyDescent="0.35">
      <c r="A15" s="135"/>
      <c r="B15" s="32" t="s">
        <v>143</v>
      </c>
      <c r="C15"/>
      <c r="D15"/>
      <c r="E15" s="141">
        <f>Financials!G18</f>
        <v>25265</v>
      </c>
      <c r="F15" s="141">
        <f>Financials!H18</f>
        <v>30109</v>
      </c>
      <c r="G15" s="141">
        <f>Financials!I18</f>
        <v>39568</v>
      </c>
      <c r="H15" s="141">
        <f ca="1">H6*Assumptions!H6</f>
        <v>35363.006156237134</v>
      </c>
      <c r="I15" s="141">
        <f ca="1">I6*Assumptions!I6</f>
        <v>36269.144934087104</v>
      </c>
      <c r="J15" s="141">
        <f ca="1">J6*Assumptions!J6</f>
        <v>34713.997235341871</v>
      </c>
      <c r="K15" s="141">
        <f ca="1">K6*Assumptions!K6</f>
        <v>32796.40280716891</v>
      </c>
      <c r="L15" s="141">
        <f ca="1">L6*Assumptions!L6</f>
        <v>33420.675486897082</v>
      </c>
      <c r="M15" s="141">
        <f ca="1">M6*Assumptions!M6</f>
        <v>34258.995162000661</v>
      </c>
    </row>
    <row r="16" spans="1:13" x14ac:dyDescent="0.35">
      <c r="A16" s="135"/>
      <c r="B16" s="32" t="s">
        <v>144</v>
      </c>
      <c r="C16"/>
      <c r="D16"/>
      <c r="E16" s="141">
        <f>Financials!G19</f>
        <v>74575</v>
      </c>
      <c r="F16" s="141">
        <f>Financials!H19</f>
        <v>42667</v>
      </c>
      <c r="G16" s="141">
        <f>Financials!I19</f>
        <v>110689</v>
      </c>
      <c r="H16" s="298">
        <f>Financials!J19</f>
        <v>0</v>
      </c>
      <c r="I16" s="298">
        <f>Financials!K19</f>
        <v>0</v>
      </c>
      <c r="J16" s="298">
        <f>Financials!L19</f>
        <v>0</v>
      </c>
      <c r="K16" s="298">
        <f>Financials!M19</f>
        <v>0</v>
      </c>
      <c r="L16" s="298">
        <f>Financials!N19</f>
        <v>0</v>
      </c>
      <c r="M16" s="298">
        <f>Financials!O19</f>
        <v>0</v>
      </c>
    </row>
    <row r="17" spans="1:13" x14ac:dyDescent="0.35">
      <c r="A17" s="135"/>
      <c r="B17" s="32" t="s">
        <v>145</v>
      </c>
      <c r="C17"/>
      <c r="D17"/>
      <c r="E17" s="141">
        <f>Financials!G20</f>
        <v>6889</v>
      </c>
      <c r="F17" s="141">
        <f>Financials!H20</f>
        <v>0</v>
      </c>
      <c r="G17" s="141">
        <f>Financials!I20</f>
        <v>0</v>
      </c>
      <c r="H17" s="141">
        <f>Financials!J20</f>
        <v>0</v>
      </c>
      <c r="I17" s="141">
        <f>Financials!K20</f>
        <v>0</v>
      </c>
      <c r="J17" s="141">
        <f>Financials!L20</f>
        <v>0</v>
      </c>
      <c r="K17" s="141">
        <f>Financials!M20</f>
        <v>0</v>
      </c>
      <c r="L17" s="141">
        <f>Financials!N20</f>
        <v>0</v>
      </c>
      <c r="M17" s="141">
        <f>Financials!O20</f>
        <v>0</v>
      </c>
    </row>
    <row r="18" spans="1:13" x14ac:dyDescent="0.35">
      <c r="A18" s="135"/>
      <c r="B18" s="32" t="s">
        <v>146</v>
      </c>
      <c r="C18"/>
      <c r="D18"/>
      <c r="E18" s="141">
        <f>Financials!G21</f>
        <v>23752</v>
      </c>
      <c r="F18" s="141">
        <f>Financials!H21</f>
        <v>4099</v>
      </c>
      <c r="G18" s="141">
        <f>Financials!I21</f>
        <v>0</v>
      </c>
      <c r="H18" s="141">
        <f>Financials!J21</f>
        <v>0</v>
      </c>
      <c r="I18" s="141">
        <f>Financials!K21</f>
        <v>0</v>
      </c>
      <c r="J18" s="141">
        <f>Financials!L21</f>
        <v>0</v>
      </c>
      <c r="K18" s="141">
        <f>Financials!M21</f>
        <v>0</v>
      </c>
      <c r="L18" s="141">
        <f>Financials!N21</f>
        <v>0</v>
      </c>
      <c r="M18" s="141">
        <f>Financials!O21</f>
        <v>0</v>
      </c>
    </row>
    <row r="19" spans="1:13" x14ac:dyDescent="0.35">
      <c r="A19" s="135"/>
      <c r="B19" s="32" t="s">
        <v>147</v>
      </c>
      <c r="C19"/>
      <c r="D19"/>
      <c r="E19" s="141">
        <f>Financials!G22</f>
        <v>-22161</v>
      </c>
      <c r="F19" s="141">
        <f>Financials!H22</f>
        <v>-13086</v>
      </c>
      <c r="G19" s="141">
        <f>Financials!I22</f>
        <v>-19040</v>
      </c>
      <c r="H19" s="141">
        <f>Financials!J22</f>
        <v>0</v>
      </c>
      <c r="I19" s="141">
        <f>Financials!K22</f>
        <v>0</v>
      </c>
      <c r="J19" s="141">
        <f>Financials!L22</f>
        <v>0</v>
      </c>
      <c r="K19" s="141">
        <f>Financials!M22</f>
        <v>0</v>
      </c>
      <c r="L19" s="141">
        <f>Financials!N22</f>
        <v>0</v>
      </c>
      <c r="M19" s="141">
        <f>Financials!O22</f>
        <v>0</v>
      </c>
    </row>
    <row r="20" spans="1:13" s="66" customFormat="1" x14ac:dyDescent="0.35">
      <c r="A20" s="8"/>
      <c r="B20" s="146" t="s">
        <v>148</v>
      </c>
      <c r="C20" s="8"/>
      <c r="D20" s="8"/>
      <c r="E20" s="147">
        <f>Financials!G23</f>
        <v>22729</v>
      </c>
      <c r="F20" s="147">
        <f>Financials!H23</f>
        <v>22283</v>
      </c>
      <c r="G20" s="166">
        <f t="shared" ref="G20:M20" si="2">G6-SUM(G9:G19)</f>
        <v>84523</v>
      </c>
      <c r="H20" s="166">
        <f t="shared" ca="1" si="2"/>
        <v>73090.538976249052</v>
      </c>
      <c r="I20" s="166">
        <f t="shared" ca="1" si="2"/>
        <v>107050.32002047577</v>
      </c>
      <c r="J20" s="166">
        <f t="shared" ca="1" si="2"/>
        <v>101742.00818661251</v>
      </c>
      <c r="K20" s="166">
        <f t="shared" ca="1" si="2"/>
        <v>123572.18825447792</v>
      </c>
      <c r="L20" s="166">
        <f t="shared" ca="1" si="2"/>
        <v>143485.74781152653</v>
      </c>
      <c r="M20" s="166">
        <f t="shared" ca="1" si="2"/>
        <v>182495.3168296871</v>
      </c>
    </row>
    <row r="21" spans="1:13" x14ac:dyDescent="0.35">
      <c r="A21" s="135"/>
      <c r="B21" s="136" t="s">
        <v>149</v>
      </c>
      <c r="C21"/>
      <c r="D21"/>
      <c r="E21" s="139"/>
      <c r="F21" s="139"/>
      <c r="G21" s="139"/>
      <c r="H21"/>
      <c r="I21" s="135"/>
      <c r="J21" s="135"/>
      <c r="K21" s="135"/>
      <c r="L21" s="135"/>
      <c r="M21" s="135"/>
    </row>
    <row r="22" spans="1:13" x14ac:dyDescent="0.35">
      <c r="A22" s="135"/>
      <c r="B22" s="32" t="s">
        <v>150</v>
      </c>
      <c r="C22"/>
      <c r="D22"/>
      <c r="E22" s="141">
        <f>Financials!G25</f>
        <v>149201</v>
      </c>
      <c r="F22" s="141">
        <f>Financials!H25</f>
        <v>151284</v>
      </c>
      <c r="G22" s="141">
        <f>Financials!I25</f>
        <v>146136</v>
      </c>
      <c r="H22" s="165">
        <f ca="1">Debt!H90</f>
        <v>113906.71045857019</v>
      </c>
      <c r="I22" s="165">
        <f ca="1">Debt!I90</f>
        <v>108796.29343767422</v>
      </c>
      <c r="J22" s="165">
        <f ca="1">Debt!J90</f>
        <v>104132.63493378459</v>
      </c>
      <c r="K22" s="165">
        <f ca="1">Debt!K90</f>
        <v>101223.05285290816</v>
      </c>
      <c r="L22" s="165">
        <f ca="1">Debt!L90</f>
        <v>99822.893888525636</v>
      </c>
      <c r="M22" s="165">
        <f ca="1">Debt!M90</f>
        <v>98281.862041996676</v>
      </c>
    </row>
    <row r="23" spans="1:13" x14ac:dyDescent="0.35">
      <c r="A23" s="135"/>
      <c r="B23" s="32" t="s">
        <v>151</v>
      </c>
      <c r="C23"/>
      <c r="D23"/>
      <c r="E23" s="141">
        <f>Financials!G26</f>
        <v>21821</v>
      </c>
      <c r="F23" s="141">
        <f>Financials!H26</f>
        <v>0</v>
      </c>
      <c r="G23" s="141">
        <f>Financials!I26</f>
        <v>0</v>
      </c>
      <c r="H23" s="141">
        <f>Financials!J26</f>
        <v>0</v>
      </c>
      <c r="I23" s="141">
        <f>Financials!K26</f>
        <v>0</v>
      </c>
      <c r="J23" s="141">
        <f>Financials!L26</f>
        <v>0</v>
      </c>
      <c r="K23" s="141">
        <f>Financials!M26</f>
        <v>0</v>
      </c>
      <c r="L23" s="141">
        <f>Financials!N26</f>
        <v>0</v>
      </c>
      <c r="M23" s="141">
        <f>Financials!O26</f>
        <v>0</v>
      </c>
    </row>
    <row r="24" spans="1:13" x14ac:dyDescent="0.35">
      <c r="A24" s="135"/>
      <c r="B24" s="32" t="s">
        <v>152</v>
      </c>
      <c r="C24"/>
      <c r="D24"/>
      <c r="E24" s="141">
        <f>Financials!G27</f>
        <v>17124</v>
      </c>
      <c r="F24" s="141">
        <f>Financials!H27</f>
        <v>-9278</v>
      </c>
      <c r="G24" s="141">
        <f>Financials!I27</f>
        <v>0</v>
      </c>
      <c r="H24" s="141">
        <f>Financials!J27</f>
        <v>0</v>
      </c>
      <c r="I24" s="141">
        <f>Financials!K27</f>
        <v>0</v>
      </c>
      <c r="J24" s="141">
        <f>Financials!L27</f>
        <v>0</v>
      </c>
      <c r="K24" s="141">
        <f>Financials!M27</f>
        <v>0</v>
      </c>
      <c r="L24" s="141">
        <f>Financials!N27</f>
        <v>0</v>
      </c>
      <c r="M24" s="141">
        <f>Financials!O27</f>
        <v>0</v>
      </c>
    </row>
    <row r="25" spans="1:13" x14ac:dyDescent="0.35">
      <c r="A25" s="135"/>
      <c r="B25" s="32" t="s">
        <v>153</v>
      </c>
      <c r="C25"/>
      <c r="D25"/>
      <c r="E25" s="141">
        <f>Financials!G28</f>
        <v>13203</v>
      </c>
      <c r="F25" s="141">
        <f>Financials!H28</f>
        <v>95510</v>
      </c>
      <c r="G25" s="141">
        <f>Financials!I28</f>
        <v>0</v>
      </c>
      <c r="H25" s="141">
        <f>Financials!J28</f>
        <v>0</v>
      </c>
      <c r="I25" s="141">
        <f>Financials!K28</f>
        <v>0</v>
      </c>
      <c r="J25" s="141">
        <f>Financials!L28</f>
        <v>0</v>
      </c>
      <c r="K25" s="141">
        <f>Financials!M28</f>
        <v>0</v>
      </c>
      <c r="L25" s="141">
        <f>Financials!N28</f>
        <v>0</v>
      </c>
      <c r="M25" s="141">
        <f>Financials!O28</f>
        <v>0</v>
      </c>
    </row>
    <row r="26" spans="1:13" s="66" customFormat="1" x14ac:dyDescent="0.35">
      <c r="A26" s="8"/>
      <c r="B26" s="146" t="s">
        <v>277</v>
      </c>
      <c r="C26" s="8"/>
      <c r="D26" s="8"/>
      <c r="E26" s="147">
        <f>Financials!G29</f>
        <v>-178620</v>
      </c>
      <c r="F26" s="147">
        <f>Financials!H29</f>
        <v>-215233</v>
      </c>
      <c r="G26" s="166">
        <f t="shared" ref="G26:M26" si="3">G20-SUM(G22:G25)</f>
        <v>-61613</v>
      </c>
      <c r="H26" s="166">
        <f t="shared" ca="1" si="3"/>
        <v>-40816.171482321137</v>
      </c>
      <c r="I26" s="166">
        <f t="shared" ca="1" si="3"/>
        <v>-1745.9734171984455</v>
      </c>
      <c r="J26" s="166">
        <f t="shared" ca="1" si="3"/>
        <v>-2390.6267471720785</v>
      </c>
      <c r="K26" s="166">
        <f t="shared" ca="1" si="3"/>
        <v>22349.135401569758</v>
      </c>
      <c r="L26" s="166">
        <f t="shared" ca="1" si="3"/>
        <v>43662.85392300089</v>
      </c>
      <c r="M26" s="166">
        <f t="shared" ca="1" si="3"/>
        <v>84213.454787690425</v>
      </c>
    </row>
    <row r="27" spans="1:13" hidden="1" outlineLevel="1" x14ac:dyDescent="0.35">
      <c r="A27" s="135"/>
      <c r="B27" s="136" t="s">
        <v>155</v>
      </c>
      <c r="C27"/>
      <c r="D27"/>
      <c r="E27" s="141">
        <f>Financials!G30</f>
        <v>169</v>
      </c>
      <c r="F27" s="141">
        <f>Financials!H30</f>
        <v>0</v>
      </c>
      <c r="G27" s="141">
        <f>Financials!I30</f>
        <v>0</v>
      </c>
      <c r="H27"/>
      <c r="I27"/>
      <c r="J27"/>
      <c r="K27"/>
      <c r="L27"/>
      <c r="M27"/>
    </row>
    <row r="28" spans="1:13" hidden="1" outlineLevel="1" x14ac:dyDescent="0.35">
      <c r="A28" s="135"/>
      <c r="B28" s="136" t="s">
        <v>156</v>
      </c>
      <c r="C28"/>
      <c r="D28"/>
      <c r="E28" s="140">
        <f>Financials!G31</f>
        <v>-178789</v>
      </c>
      <c r="F28" s="140">
        <f>Financials!H31</f>
        <v>-215233</v>
      </c>
      <c r="G28" s="140">
        <f>Financials!I31</f>
        <v>-61613</v>
      </c>
      <c r="H28"/>
      <c r="I28"/>
      <c r="J28"/>
      <c r="K28"/>
      <c r="L28"/>
      <c r="M28"/>
    </row>
    <row r="29" spans="1:13" hidden="1" outlineLevel="1" x14ac:dyDescent="0.35">
      <c r="A29" s="135"/>
      <c r="B29" s="136"/>
      <c r="C29"/>
      <c r="D29"/>
      <c r="E29" s="139"/>
      <c r="F29" s="139"/>
      <c r="G29" s="139"/>
      <c r="H29"/>
      <c r="I29"/>
      <c r="J29"/>
      <c r="K29"/>
      <c r="L29"/>
      <c r="M29"/>
    </row>
    <row r="30" spans="1:13" hidden="1" outlineLevel="1" x14ac:dyDescent="0.35">
      <c r="A30" s="135"/>
      <c r="B30" s="136" t="s">
        <v>157</v>
      </c>
      <c r="C30"/>
      <c r="D30"/>
      <c r="E30" s="139">
        <f>Financials!G33</f>
        <v>0</v>
      </c>
      <c r="F30" s="139">
        <f>Financials!H33</f>
        <v>0</v>
      </c>
      <c r="G30" s="139">
        <f>Financials!I33</f>
        <v>0</v>
      </c>
      <c r="H30"/>
      <c r="I30"/>
      <c r="J30"/>
      <c r="K30"/>
      <c r="L30"/>
      <c r="M30"/>
    </row>
    <row r="31" spans="1:13" hidden="1" outlineLevel="1" x14ac:dyDescent="0.35">
      <c r="A31" s="135"/>
      <c r="B31" s="136" t="s">
        <v>158</v>
      </c>
      <c r="C31"/>
      <c r="D31"/>
      <c r="E31" s="140">
        <f>Financials!G34</f>
        <v>-90015</v>
      </c>
      <c r="F31" s="140">
        <f>Financials!H34</f>
        <v>-108402</v>
      </c>
      <c r="G31" s="140">
        <f>Financials!I34</f>
        <v>-25783</v>
      </c>
      <c r="H31"/>
      <c r="I31"/>
      <c r="J31"/>
      <c r="K31"/>
      <c r="L31"/>
      <c r="M31"/>
    </row>
    <row r="32" spans="1:13" hidden="1" outlineLevel="1" x14ac:dyDescent="0.35">
      <c r="A32" s="135"/>
      <c r="B32" s="136" t="s">
        <v>159</v>
      </c>
      <c r="C32"/>
      <c r="D32"/>
      <c r="E32" s="140">
        <f>Financials!G35</f>
        <v>-88774</v>
      </c>
      <c r="F32" s="140">
        <f>Financials!H35</f>
        <v>-106831</v>
      </c>
      <c r="G32" s="140">
        <f>Financials!I35</f>
        <v>-35830</v>
      </c>
      <c r="H32"/>
      <c r="I32"/>
      <c r="J32"/>
      <c r="K32"/>
      <c r="L32"/>
      <c r="M32"/>
    </row>
    <row r="33" spans="1:13" hidden="1" outlineLevel="1" x14ac:dyDescent="0.35">
      <c r="A33" s="135"/>
      <c r="B33" s="136"/>
      <c r="C33"/>
      <c r="D33"/>
      <c r="E33" s="139"/>
      <c r="F33" s="139"/>
      <c r="G33" s="139"/>
      <c r="H33"/>
      <c r="I33"/>
      <c r="J33"/>
      <c r="K33"/>
      <c r="L33"/>
      <c r="M33"/>
    </row>
    <row r="34" spans="1:13" hidden="1" outlineLevel="1" x14ac:dyDescent="0.35">
      <c r="A34" s="135"/>
      <c r="B34" s="136" t="s">
        <v>160</v>
      </c>
      <c r="C34"/>
      <c r="D34"/>
      <c r="E34" s="139">
        <f>Financials!G37</f>
        <v>0</v>
      </c>
      <c r="F34" s="139">
        <f>Financials!H37</f>
        <v>0</v>
      </c>
      <c r="G34" s="139">
        <f>Financials!I37</f>
        <v>0</v>
      </c>
      <c r="H34"/>
      <c r="I34"/>
      <c r="J34"/>
      <c r="K34"/>
      <c r="L34"/>
      <c r="M34"/>
    </row>
    <row r="35" spans="1:13" hidden="1" outlineLevel="1" x14ac:dyDescent="0.35">
      <c r="A35" s="135"/>
      <c r="B35" s="136" t="s">
        <v>158</v>
      </c>
      <c r="C35"/>
      <c r="D35"/>
      <c r="E35" s="120">
        <f>Financials!G38</f>
        <v>-1.37</v>
      </c>
      <c r="F35" s="120">
        <f>Financials!H38</f>
        <v>-1.53</v>
      </c>
      <c r="G35" s="120">
        <f>Financials!I38</f>
        <v>-0.32</v>
      </c>
      <c r="H35"/>
      <c r="I35"/>
      <c r="J35"/>
      <c r="K35"/>
      <c r="L35"/>
      <c r="M35"/>
    </row>
    <row r="36" spans="1:13" hidden="1" outlineLevel="1" x14ac:dyDescent="0.35">
      <c r="A36" s="135"/>
      <c r="B36" s="136" t="s">
        <v>159</v>
      </c>
      <c r="C36"/>
      <c r="D36"/>
      <c r="E36" s="120">
        <f>Financials!G39</f>
        <v>-1.37</v>
      </c>
      <c r="F36" s="120">
        <f>Financials!H39</f>
        <v>-1.65</v>
      </c>
      <c r="G36" s="120">
        <f>Financials!I39</f>
        <v>-0.55000000000000004</v>
      </c>
      <c r="H36"/>
      <c r="I36"/>
      <c r="J36"/>
      <c r="K36"/>
      <c r="L36"/>
      <c r="M36"/>
    </row>
    <row r="37" spans="1:13" hidden="1" outlineLevel="1" x14ac:dyDescent="0.35">
      <c r="A37" s="135"/>
      <c r="B37" s="136"/>
      <c r="C37"/>
      <c r="D37"/>
      <c r="E37" s="139"/>
      <c r="F37" s="139"/>
      <c r="G37" s="139"/>
      <c r="H37"/>
      <c r="I37"/>
      <c r="J37"/>
      <c r="K37"/>
      <c r="L37"/>
      <c r="M37"/>
    </row>
    <row r="38" spans="1:13" hidden="1" outlineLevel="1" x14ac:dyDescent="0.35">
      <c r="A38" s="135"/>
      <c r="B38" s="136" t="s">
        <v>161</v>
      </c>
      <c r="C38"/>
      <c r="D38"/>
      <c r="E38" s="139">
        <f>Financials!G41</f>
        <v>0</v>
      </c>
      <c r="F38" s="139">
        <f>Financials!H41</f>
        <v>0</v>
      </c>
      <c r="G38" s="139">
        <f>Financials!I41</f>
        <v>0</v>
      </c>
      <c r="H38"/>
      <c r="I38"/>
      <c r="J38"/>
      <c r="K38"/>
      <c r="L38"/>
      <c r="M38"/>
    </row>
    <row r="39" spans="1:13" hidden="1" outlineLevel="1" x14ac:dyDescent="0.35">
      <c r="A39" s="135"/>
      <c r="B39" s="136" t="s">
        <v>162</v>
      </c>
      <c r="C39"/>
      <c r="D39"/>
      <c r="E39" s="141">
        <f>Financials!G42</f>
        <v>65829</v>
      </c>
      <c r="F39" s="141">
        <f>Financials!H42</f>
        <v>143678</v>
      </c>
      <c r="G39" s="141">
        <f>Financials!I42</f>
        <v>80016</v>
      </c>
      <c r="H39"/>
      <c r="I39"/>
      <c r="J39"/>
      <c r="K39"/>
      <c r="L39"/>
      <c r="M39"/>
    </row>
    <row r="40" spans="1:13" hidden="1" outlineLevel="1" x14ac:dyDescent="0.35">
      <c r="A40" s="135"/>
      <c r="B40" s="136" t="s">
        <v>163</v>
      </c>
      <c r="C40"/>
      <c r="D40"/>
      <c r="E40" s="141">
        <f>Financials!G43</f>
        <v>64955</v>
      </c>
      <c r="F40" s="141">
        <f>Financials!H43</f>
        <v>129910</v>
      </c>
      <c r="G40" s="141">
        <f>Financials!I43</f>
        <v>64955</v>
      </c>
      <c r="H40"/>
      <c r="I40"/>
      <c r="J40"/>
      <c r="K40"/>
      <c r="L40"/>
      <c r="M40"/>
    </row>
    <row r="41" spans="1:13" hidden="1" outlineLevel="1" x14ac:dyDescent="0.35">
      <c r="A41" s="135"/>
      <c r="B41" s="136"/>
      <c r="C41"/>
      <c r="D41"/>
      <c r="E41" s="139"/>
      <c r="F41" s="139"/>
      <c r="G41" s="139"/>
      <c r="H41"/>
      <c r="I41"/>
      <c r="J41"/>
      <c r="K41"/>
      <c r="L41"/>
      <c r="M41"/>
    </row>
    <row r="42" spans="1:13" hidden="1" outlineLevel="1" x14ac:dyDescent="0.35">
      <c r="A42" s="135"/>
      <c r="B42" s="136" t="s">
        <v>164</v>
      </c>
      <c r="C42"/>
      <c r="D42"/>
      <c r="E42" s="140">
        <f>Financials!G45</f>
        <v>0</v>
      </c>
      <c r="F42" s="140">
        <f>Financials!H45</f>
        <v>0.13</v>
      </c>
      <c r="G42" s="140">
        <f>Financials!I45</f>
        <v>0.23</v>
      </c>
      <c r="H42"/>
      <c r="I42"/>
      <c r="J42"/>
      <c r="K42"/>
      <c r="L42"/>
      <c r="M42"/>
    </row>
    <row r="43" spans="1:13" hidden="1" outlineLevel="1" x14ac:dyDescent="0.35">
      <c r="A43" s="135"/>
      <c r="B43" s="136" t="s">
        <v>165</v>
      </c>
      <c r="C43"/>
      <c r="D43"/>
      <c r="E43" s="140">
        <f>Financials!G46</f>
        <v>0</v>
      </c>
      <c r="F43" s="140">
        <f>Financials!H46</f>
        <v>0</v>
      </c>
      <c r="G43" s="140">
        <f>Financials!I46</f>
        <v>0</v>
      </c>
      <c r="H43"/>
      <c r="I43"/>
      <c r="J43"/>
      <c r="K43"/>
      <c r="L43"/>
      <c r="M43"/>
    </row>
    <row r="44" spans="1:13" hidden="1" outlineLevel="1" x14ac:dyDescent="0.35">
      <c r="A44" s="135"/>
      <c r="B44" s="136"/>
      <c r="C44" s="135"/>
      <c r="D44" s="135"/>
      <c r="E44" s="140"/>
      <c r="F44" s="140"/>
      <c r="G44" s="140"/>
      <c r="H44" s="135"/>
      <c r="I44" s="135"/>
      <c r="J44" s="135"/>
      <c r="K44" s="135"/>
      <c r="L44" s="135"/>
      <c r="M44" s="135"/>
    </row>
    <row r="45" spans="1:13" collapsed="1" x14ac:dyDescent="0.35">
      <c r="A45" s="135"/>
      <c r="B45" s="144"/>
      <c r="C45" s="135"/>
      <c r="D45" s="135"/>
      <c r="E45" s="140"/>
      <c r="F45" s="140"/>
      <c r="G45" s="140"/>
      <c r="H45" s="135"/>
      <c r="I45" s="135"/>
      <c r="J45" s="135"/>
      <c r="K45" s="135"/>
      <c r="L45" s="135"/>
      <c r="M45" s="135"/>
    </row>
    <row r="46" spans="1:13" x14ac:dyDescent="0.35">
      <c r="A46" s="135"/>
      <c r="B46" s="144"/>
      <c r="C46" s="135"/>
      <c r="D46" s="135"/>
      <c r="E46" s="140"/>
      <c r="F46" s="140"/>
      <c r="G46" s="140"/>
      <c r="H46" s="135"/>
      <c r="I46" s="135"/>
      <c r="J46" s="135"/>
      <c r="K46" s="135"/>
      <c r="L46" s="135"/>
      <c r="M46" s="135"/>
    </row>
    <row r="47" spans="1:13" s="202" customFormat="1" x14ac:dyDescent="0.35">
      <c r="A47" s="103" t="s">
        <v>311</v>
      </c>
      <c r="B47" s="103" t="s">
        <v>202</v>
      </c>
      <c r="C47" s="103"/>
      <c r="D47" s="103"/>
      <c r="E47" s="103"/>
      <c r="F47" s="103"/>
      <c r="G47" s="104"/>
      <c r="H47" s="103"/>
      <c r="I47" s="103"/>
      <c r="J47" s="103"/>
      <c r="K47" s="103"/>
      <c r="L47" s="103"/>
      <c r="M47" s="103"/>
    </row>
    <row r="48" spans="1:13" x14ac:dyDescent="0.35">
      <c r="A48" s="135"/>
      <c r="B48" s="138" t="s">
        <v>168</v>
      </c>
      <c r="C48"/>
      <c r="D48"/>
      <c r="E48"/>
      <c r="F48"/>
      <c r="G48"/>
      <c r="H48"/>
      <c r="I48"/>
      <c r="J48"/>
      <c r="K48"/>
      <c r="L48"/>
      <c r="M48"/>
    </row>
    <row r="49" spans="1:13" x14ac:dyDescent="0.35">
      <c r="A49" s="135"/>
      <c r="B49" s="136" t="s">
        <v>169</v>
      </c>
      <c r="C49"/>
      <c r="D49"/>
      <c r="E49"/>
      <c r="F49"/>
      <c r="G49"/>
      <c r="H49"/>
      <c r="I49"/>
      <c r="J49"/>
      <c r="K49"/>
      <c r="L49"/>
      <c r="M49"/>
    </row>
    <row r="50" spans="1:13" x14ac:dyDescent="0.35">
      <c r="A50" s="135"/>
      <c r="B50" s="32" t="s">
        <v>170</v>
      </c>
      <c r="C50"/>
      <c r="D50"/>
      <c r="E50" s="140">
        <f>Financials!G57</f>
        <v>103690</v>
      </c>
      <c r="F50" s="140">
        <f>Financials!H57</f>
        <v>2179</v>
      </c>
      <c r="G50" s="140">
        <f>Financials!I57</f>
        <v>269</v>
      </c>
      <c r="H50" s="180">
        <f t="shared" ref="H50:M50" ca="1" si="4">H144</f>
        <v>10000</v>
      </c>
      <c r="I50" s="180">
        <f t="shared" ca="1" si="4"/>
        <v>81102.194444293345</v>
      </c>
      <c r="J50" s="180">
        <f t="shared" ca="1" si="4"/>
        <v>151696.99932899149</v>
      </c>
      <c r="K50" s="180">
        <f t="shared" ca="1" si="4"/>
        <v>293118.61061957851</v>
      </c>
      <c r="L50" s="180">
        <f t="shared" ca="1" si="4"/>
        <v>431728.79220549716</v>
      </c>
      <c r="M50" s="180">
        <f t="shared" ca="1" si="4"/>
        <v>601324.97992537194</v>
      </c>
    </row>
    <row r="51" spans="1:13" x14ac:dyDescent="0.35">
      <c r="A51" s="135"/>
      <c r="B51" s="32" t="s">
        <v>171</v>
      </c>
      <c r="C51"/>
      <c r="D51"/>
      <c r="E51" s="141">
        <f>Financials!G58</f>
        <v>54905</v>
      </c>
      <c r="F51" s="141">
        <f>Financials!H58</f>
        <v>35158</v>
      </c>
      <c r="G51" s="141">
        <f>Financials!I58</f>
        <v>32248</v>
      </c>
      <c r="H51" s="165">
        <f ca="1">(Assumptions!H12/Assumptions!H9)*H4</f>
        <v>44753.603775249918</v>
      </c>
      <c r="I51" s="165">
        <f ca="1">(Assumptions!I12/Assumptions!I9)*I4</f>
        <v>37594.398926446091</v>
      </c>
      <c r="J51" s="165">
        <f ca="1">(Assumptions!J12/Assumptions!J9)*J4</f>
        <v>36358.077584805411</v>
      </c>
      <c r="K51" s="165">
        <f ca="1">(Assumptions!K12/Assumptions!K9)*K4</f>
        <v>36248.074874465317</v>
      </c>
      <c r="L51" s="165">
        <f ca="1">(Assumptions!L12/Assumptions!L9)*L4</f>
        <v>35656.124827997584</v>
      </c>
      <c r="M51" s="165">
        <f ca="1">(Assumptions!M12/Assumptions!M9)*M4</f>
        <v>36702.444502041726</v>
      </c>
    </row>
    <row r="52" spans="1:13" x14ac:dyDescent="0.35">
      <c r="A52" s="135"/>
      <c r="B52" s="32" t="s">
        <v>172</v>
      </c>
      <c r="C52"/>
      <c r="D52"/>
      <c r="E52" s="141">
        <f>Financials!G59</f>
        <v>16891</v>
      </c>
      <c r="F52" s="141">
        <f>Financials!H59</f>
        <v>37685</v>
      </c>
      <c r="G52" s="141">
        <f>Financials!I59</f>
        <v>49613</v>
      </c>
      <c r="H52" s="165">
        <f ca="1">(Assumptions!H13/Assumptions!H9)*H4</f>
        <v>36046.354309390219</v>
      </c>
      <c r="I52" s="165">
        <f ca="1">(Assumptions!I13/Assumptions!I9)*I4</f>
        <v>41051.349301651338</v>
      </c>
      <c r="J52" s="165">
        <f ca="1">(Assumptions!J13/Assumptions!J9)*J4</f>
        <v>39949.40702149881</v>
      </c>
      <c r="K52" s="165">
        <f ca="1">(Assumptions!K13/Assumptions!K9)*K4</f>
        <v>35795.63805304782</v>
      </c>
      <c r="L52" s="165">
        <f ca="1">(Assumptions!L13/Assumptions!L9)*L4</f>
        <v>37722.979735598965</v>
      </c>
      <c r="M52" s="165">
        <f ca="1">(Assumptions!M13/Assumptions!M9)*M4</f>
        <v>38423.907589383918</v>
      </c>
    </row>
    <row r="53" spans="1:13" x14ac:dyDescent="0.35">
      <c r="A53" s="135"/>
      <c r="B53" s="32" t="s">
        <v>173</v>
      </c>
      <c r="C53"/>
      <c r="D53"/>
      <c r="E53" s="139">
        <f>Financials!G60</f>
        <v>2904</v>
      </c>
      <c r="F53" s="139">
        <f>Financials!H60</f>
        <v>3138</v>
      </c>
      <c r="G53" s="139">
        <f>Financials!I60</f>
        <v>3392</v>
      </c>
      <c r="H53" s="168">
        <f t="shared" ref="H53:M53" si="5">G53</f>
        <v>3392</v>
      </c>
      <c r="I53" s="168">
        <f t="shared" si="5"/>
        <v>3392</v>
      </c>
      <c r="J53" s="168">
        <f t="shared" si="5"/>
        <v>3392</v>
      </c>
      <c r="K53" s="168">
        <f t="shared" si="5"/>
        <v>3392</v>
      </c>
      <c r="L53" s="168">
        <f t="shared" si="5"/>
        <v>3392</v>
      </c>
      <c r="M53" s="168">
        <f t="shared" si="5"/>
        <v>3392</v>
      </c>
    </row>
    <row r="54" spans="1:13" x14ac:dyDescent="0.35">
      <c r="A54" s="135"/>
      <c r="B54" s="32" t="s">
        <v>174</v>
      </c>
      <c r="C54"/>
      <c r="D54"/>
      <c r="E54" s="139">
        <f>Financials!G61</f>
        <v>43052</v>
      </c>
      <c r="F54" s="139">
        <f>Financials!H61</f>
        <v>40539</v>
      </c>
      <c r="G54" s="139">
        <f>Financials!I61</f>
        <v>56524</v>
      </c>
      <c r="H54" s="165">
        <f ca="1">(Assumptions!H14/Assumptions!H9)*H9</f>
        <v>49332.756290725265</v>
      </c>
      <c r="I54" s="165">
        <f ca="1">(Assumptions!I14/Assumptions!I9)*I9</f>
        <v>47994.422768549543</v>
      </c>
      <c r="J54" s="165">
        <f ca="1">(Assumptions!J14/Assumptions!J9)*J9</f>
        <v>48152.367538411963</v>
      </c>
      <c r="K54" s="165">
        <f ca="1">(Assumptions!K14/Assumptions!K9)*K9</f>
        <v>42536.45635731193</v>
      </c>
      <c r="L54" s="165">
        <f ca="1">(Assumptions!L14/Assumptions!L9)*L9</f>
        <v>42583.447588080278</v>
      </c>
      <c r="M54" s="165">
        <f ca="1">(Assumptions!M14/Assumptions!M9)*M9</f>
        <v>42864.465463429719</v>
      </c>
    </row>
    <row r="55" spans="1:13" x14ac:dyDescent="0.35">
      <c r="A55" s="135"/>
      <c r="B55" s="32" t="s">
        <v>175</v>
      </c>
      <c r="C55"/>
      <c r="D55"/>
      <c r="E55" s="141">
        <f>Financials!G62</f>
        <v>3136</v>
      </c>
      <c r="F55" s="141">
        <f>Financials!H62</f>
        <v>4000</v>
      </c>
      <c r="G55" s="141">
        <f>Financials!I62</f>
        <v>2000</v>
      </c>
      <c r="H55" s="168">
        <f t="shared" ref="H55:M59" si="6">G55</f>
        <v>2000</v>
      </c>
      <c r="I55" s="168">
        <f t="shared" si="6"/>
        <v>2000</v>
      </c>
      <c r="J55" s="168">
        <f t="shared" si="6"/>
        <v>2000</v>
      </c>
      <c r="K55" s="168">
        <f t="shared" si="6"/>
        <v>2000</v>
      </c>
      <c r="L55" s="168">
        <f t="shared" si="6"/>
        <v>2000</v>
      </c>
      <c r="M55" s="168">
        <f t="shared" si="6"/>
        <v>2000</v>
      </c>
    </row>
    <row r="56" spans="1:13" x14ac:dyDescent="0.35">
      <c r="A56" s="135"/>
      <c r="B56" s="32" t="s">
        <v>176</v>
      </c>
      <c r="C56"/>
      <c r="D56"/>
      <c r="E56" s="141">
        <f>Financials!G63</f>
        <v>13310</v>
      </c>
      <c r="F56" s="141">
        <f>Financials!H63</f>
        <v>9520</v>
      </c>
      <c r="G56" s="141">
        <f>Financials!I63</f>
        <v>14940</v>
      </c>
      <c r="H56" s="168">
        <f t="shared" si="6"/>
        <v>14940</v>
      </c>
      <c r="I56" s="168">
        <f t="shared" si="6"/>
        <v>14940</v>
      </c>
      <c r="J56" s="168">
        <f t="shared" si="6"/>
        <v>14940</v>
      </c>
      <c r="K56" s="168">
        <f t="shared" si="6"/>
        <v>14940</v>
      </c>
      <c r="L56" s="168">
        <f t="shared" si="6"/>
        <v>14940</v>
      </c>
      <c r="M56" s="168">
        <f t="shared" si="6"/>
        <v>14940</v>
      </c>
    </row>
    <row r="57" spans="1:13" x14ac:dyDescent="0.35">
      <c r="A57" s="135"/>
      <c r="B57" s="32" t="s">
        <v>203</v>
      </c>
      <c r="C57"/>
      <c r="D57"/>
      <c r="E57" s="141">
        <f>Financials!G64</f>
        <v>7650</v>
      </c>
      <c r="F57" s="141">
        <f>Financials!H64</f>
        <v>0</v>
      </c>
      <c r="G57" s="141">
        <f>Financials!I64</f>
        <v>0</v>
      </c>
      <c r="H57" s="168">
        <f t="shared" si="6"/>
        <v>0</v>
      </c>
      <c r="I57" s="168">
        <f t="shared" si="6"/>
        <v>0</v>
      </c>
      <c r="J57" s="168">
        <f t="shared" si="6"/>
        <v>0</v>
      </c>
      <c r="K57" s="168">
        <f t="shared" si="6"/>
        <v>0</v>
      </c>
      <c r="L57" s="168">
        <f t="shared" si="6"/>
        <v>0</v>
      </c>
      <c r="M57" s="168">
        <f t="shared" si="6"/>
        <v>0</v>
      </c>
    </row>
    <row r="58" spans="1:13" x14ac:dyDescent="0.35">
      <c r="A58" s="135"/>
      <c r="B58" s="32" t="s">
        <v>177</v>
      </c>
      <c r="C58"/>
      <c r="D58"/>
      <c r="E58" s="141">
        <f>Financials!G65</f>
        <v>21443</v>
      </c>
      <c r="F58" s="141">
        <f>Financials!H65</f>
        <v>10844</v>
      </c>
      <c r="G58" s="141">
        <f>Financials!I65</f>
        <v>10872</v>
      </c>
      <c r="H58" s="168">
        <f t="shared" si="6"/>
        <v>10872</v>
      </c>
      <c r="I58" s="168">
        <f t="shared" si="6"/>
        <v>10872</v>
      </c>
      <c r="J58" s="168">
        <f t="shared" si="6"/>
        <v>10872</v>
      </c>
      <c r="K58" s="168">
        <f t="shared" si="6"/>
        <v>10872</v>
      </c>
      <c r="L58" s="168">
        <f t="shared" si="6"/>
        <v>10872</v>
      </c>
      <c r="M58" s="168">
        <f t="shared" si="6"/>
        <v>10872</v>
      </c>
    </row>
    <row r="59" spans="1:13" x14ac:dyDescent="0.35">
      <c r="A59" s="135"/>
      <c r="B59" s="32" t="s">
        <v>178</v>
      </c>
      <c r="C59"/>
      <c r="D59"/>
      <c r="E59" s="141">
        <f>Financials!G66</f>
        <v>0</v>
      </c>
      <c r="F59" s="141">
        <f>Financials!H66</f>
        <v>11268</v>
      </c>
      <c r="G59" s="141">
        <f>Financials!I66</f>
        <v>1326</v>
      </c>
      <c r="H59" s="168">
        <f t="shared" si="6"/>
        <v>1326</v>
      </c>
      <c r="I59" s="168">
        <f t="shared" si="6"/>
        <v>1326</v>
      </c>
      <c r="J59" s="168">
        <f t="shared" si="6"/>
        <v>1326</v>
      </c>
      <c r="K59" s="168">
        <f t="shared" si="6"/>
        <v>1326</v>
      </c>
      <c r="L59" s="168">
        <f t="shared" si="6"/>
        <v>1326</v>
      </c>
      <c r="M59" s="168">
        <f t="shared" si="6"/>
        <v>1326</v>
      </c>
    </row>
    <row r="60" spans="1:13" s="67" customFormat="1" x14ac:dyDescent="0.35">
      <c r="A60" s="157"/>
      <c r="B60" s="156" t="s">
        <v>179</v>
      </c>
      <c r="C60" s="157"/>
      <c r="D60" s="157"/>
      <c r="E60" s="153">
        <f>Financials!G67</f>
        <v>266981</v>
      </c>
      <c r="F60" s="153">
        <f>Financials!H67</f>
        <v>154331</v>
      </c>
      <c r="G60" s="153">
        <f>Financials!I67</f>
        <v>171184</v>
      </c>
      <c r="H60" s="153">
        <f t="shared" ref="H60:M60" ca="1" si="7">SUM(H50:H59)</f>
        <v>172662.71437536541</v>
      </c>
      <c r="I60" s="153">
        <f t="shared" ca="1" si="7"/>
        <v>240272.36544094031</v>
      </c>
      <c r="J60" s="153">
        <f t="shared" ca="1" si="7"/>
        <v>308686.85147370765</v>
      </c>
      <c r="K60" s="153">
        <f t="shared" ca="1" si="7"/>
        <v>440228.77990440355</v>
      </c>
      <c r="L60" s="153">
        <f t="shared" ca="1" si="7"/>
        <v>580221.34435717401</v>
      </c>
      <c r="M60" s="153">
        <f t="shared" ca="1" si="7"/>
        <v>751845.79748022719</v>
      </c>
    </row>
    <row r="61" spans="1:13" s="67" customFormat="1" x14ac:dyDescent="0.35">
      <c r="A61" s="63"/>
      <c r="B61" s="171" t="s">
        <v>180</v>
      </c>
      <c r="C61" s="63"/>
      <c r="D61" s="63"/>
      <c r="E61" s="70">
        <f>Financials!G68</f>
        <v>1318937</v>
      </c>
      <c r="F61" s="70">
        <f>Financials!H68</f>
        <v>2378605</v>
      </c>
      <c r="G61" s="70">
        <f>Financials!I68</f>
        <v>2148569</v>
      </c>
      <c r="H61" s="301">
        <f ca="1">Assumptions!H27</f>
        <v>2014736.3610781992</v>
      </c>
      <c r="I61" s="301">
        <f ca="1">Assumptions!I27</f>
        <v>1900380.7365954258</v>
      </c>
      <c r="J61" s="301">
        <f ca="1">Assumptions!J27</f>
        <v>1784575.6238154864</v>
      </c>
      <c r="K61" s="301">
        <f ca="1">Assumptions!K27</f>
        <v>1675382.8307863602</v>
      </c>
      <c r="L61" s="301">
        <f ca="1">Assumptions!L27</f>
        <v>1579053.1202565909</v>
      </c>
      <c r="M61" s="301">
        <f ca="1">Assumptions!M27</f>
        <v>1491642.1219212275</v>
      </c>
    </row>
    <row r="62" spans="1:13" x14ac:dyDescent="0.35">
      <c r="A62" s="135"/>
      <c r="B62" s="136" t="s">
        <v>172</v>
      </c>
      <c r="C62"/>
      <c r="D62"/>
      <c r="E62" s="141">
        <f>Financials!G69</f>
        <v>1843</v>
      </c>
      <c r="F62" s="141">
        <f>Financials!H69</f>
        <v>947</v>
      </c>
      <c r="G62" s="141">
        <f>Financials!I69</f>
        <v>0</v>
      </c>
      <c r="H62" s="172">
        <f t="shared" ref="H62:M66" si="8">G62</f>
        <v>0</v>
      </c>
      <c r="I62" s="172">
        <f t="shared" si="8"/>
        <v>0</v>
      </c>
      <c r="J62" s="172">
        <f t="shared" si="8"/>
        <v>0</v>
      </c>
      <c r="K62" s="172">
        <f t="shared" si="8"/>
        <v>0</v>
      </c>
      <c r="L62" s="172">
        <f t="shared" si="8"/>
        <v>0</v>
      </c>
      <c r="M62" s="172">
        <f t="shared" si="8"/>
        <v>0</v>
      </c>
    </row>
    <row r="63" spans="1:13" x14ac:dyDescent="0.35">
      <c r="A63" s="135"/>
      <c r="B63" s="136" t="s">
        <v>173</v>
      </c>
      <c r="C63"/>
      <c r="D63"/>
      <c r="E63" s="141">
        <f>Financials!G70</f>
        <v>67235</v>
      </c>
      <c r="F63" s="141">
        <f>Financials!H70</f>
        <v>64097</v>
      </c>
      <c r="G63" s="141">
        <f>Financials!I70</f>
        <v>60705</v>
      </c>
      <c r="H63" s="197">
        <f t="shared" si="8"/>
        <v>60705</v>
      </c>
      <c r="I63" s="197">
        <f t="shared" si="8"/>
        <v>60705</v>
      </c>
      <c r="J63" s="197">
        <f t="shared" si="8"/>
        <v>60705</v>
      </c>
      <c r="K63" s="197">
        <f t="shared" si="8"/>
        <v>60705</v>
      </c>
      <c r="L63" s="197">
        <f t="shared" si="8"/>
        <v>60705</v>
      </c>
      <c r="M63" s="197">
        <f t="shared" si="8"/>
        <v>60705</v>
      </c>
    </row>
    <row r="64" spans="1:13" x14ac:dyDescent="0.35">
      <c r="A64" s="135"/>
      <c r="B64" s="136" t="s">
        <v>175</v>
      </c>
      <c r="C64"/>
      <c r="D64"/>
      <c r="E64" s="141">
        <f>Financials!G71</f>
        <v>13765</v>
      </c>
      <c r="F64" s="141">
        <f>Financials!H71</f>
        <v>1250</v>
      </c>
      <c r="G64" s="141">
        <f>Financials!I71</f>
        <v>2678</v>
      </c>
      <c r="H64" s="197">
        <f t="shared" si="8"/>
        <v>2678</v>
      </c>
      <c r="I64" s="197">
        <f t="shared" si="8"/>
        <v>2678</v>
      </c>
      <c r="J64" s="197">
        <f t="shared" si="8"/>
        <v>2678</v>
      </c>
      <c r="K64" s="197">
        <f t="shared" si="8"/>
        <v>2678</v>
      </c>
      <c r="L64" s="197">
        <f t="shared" si="8"/>
        <v>2678</v>
      </c>
      <c r="M64" s="197">
        <f t="shared" si="8"/>
        <v>2678</v>
      </c>
    </row>
    <row r="65" spans="1:13" x14ac:dyDescent="0.35">
      <c r="A65" s="135"/>
      <c r="B65" s="136" t="s">
        <v>181</v>
      </c>
      <c r="C65"/>
      <c r="D65"/>
      <c r="E65" s="141">
        <f>Financials!G72</f>
        <v>20250</v>
      </c>
      <c r="F65" s="141">
        <f>Financials!H72</f>
        <v>5358</v>
      </c>
      <c r="G65" s="141">
        <f>Financials!I72</f>
        <v>4311</v>
      </c>
      <c r="H65" s="197">
        <f t="shared" si="8"/>
        <v>4311</v>
      </c>
      <c r="I65" s="197">
        <f t="shared" si="8"/>
        <v>4311</v>
      </c>
      <c r="J65" s="197">
        <f t="shared" si="8"/>
        <v>4311</v>
      </c>
      <c r="K65" s="197">
        <f t="shared" si="8"/>
        <v>4311</v>
      </c>
      <c r="L65" s="197">
        <f t="shared" si="8"/>
        <v>4311</v>
      </c>
      <c r="M65" s="197">
        <f t="shared" si="8"/>
        <v>4311</v>
      </c>
    </row>
    <row r="66" spans="1:13" x14ac:dyDescent="0.35">
      <c r="A66" s="135"/>
      <c r="B66" s="136" t="s">
        <v>178</v>
      </c>
      <c r="C66"/>
      <c r="D66"/>
      <c r="E66" s="141">
        <f>Financials!G73</f>
        <v>0</v>
      </c>
      <c r="F66" s="141">
        <f>Financials!H73</f>
        <v>2052</v>
      </c>
      <c r="G66" s="141">
        <f>Financials!I73</f>
        <v>726</v>
      </c>
      <c r="H66" s="197">
        <f t="shared" si="8"/>
        <v>726</v>
      </c>
      <c r="I66" s="197">
        <f t="shared" si="8"/>
        <v>726</v>
      </c>
      <c r="J66" s="197">
        <f t="shared" si="8"/>
        <v>726</v>
      </c>
      <c r="K66" s="197">
        <f t="shared" si="8"/>
        <v>726</v>
      </c>
      <c r="L66" s="197">
        <f t="shared" si="8"/>
        <v>726</v>
      </c>
      <c r="M66" s="197">
        <f t="shared" si="8"/>
        <v>726</v>
      </c>
    </row>
    <row r="67" spans="1:13" s="67" customFormat="1" x14ac:dyDescent="0.35">
      <c r="A67" s="157"/>
      <c r="B67" s="158" t="s">
        <v>182</v>
      </c>
      <c r="C67" s="157"/>
      <c r="D67" s="157"/>
      <c r="E67" s="164">
        <f>Financials!G74</f>
        <v>1689011</v>
      </c>
      <c r="F67" s="164">
        <f>Financials!H74</f>
        <v>2606640</v>
      </c>
      <c r="G67" s="173">
        <f t="shared" ref="G67:M67" si="9">SUM(G60:G66)</f>
        <v>2388173</v>
      </c>
      <c r="H67" s="173">
        <f t="shared" ca="1" si="9"/>
        <v>2255819.0754535645</v>
      </c>
      <c r="I67" s="173">
        <f t="shared" ca="1" si="9"/>
        <v>2209073.1020363662</v>
      </c>
      <c r="J67" s="173">
        <f t="shared" ca="1" si="9"/>
        <v>2161682.4752891939</v>
      </c>
      <c r="K67" s="173">
        <f t="shared" ca="1" si="9"/>
        <v>2184031.6106907637</v>
      </c>
      <c r="L67" s="173">
        <f t="shared" ca="1" si="9"/>
        <v>2227694.464613765</v>
      </c>
      <c r="M67" s="173">
        <f t="shared" ca="1" si="9"/>
        <v>2311907.9194014547</v>
      </c>
    </row>
    <row r="68" spans="1:13" x14ac:dyDescent="0.35">
      <c r="A68" s="135"/>
      <c r="B68" s="138" t="s">
        <v>183</v>
      </c>
      <c r="C68"/>
      <c r="D68"/>
      <c r="E68" s="145"/>
      <c r="F68" s="145"/>
      <c r="G68" s="145"/>
      <c r="H68"/>
      <c r="I68" s="135"/>
      <c r="J68" s="135"/>
      <c r="K68" s="135"/>
      <c r="L68" s="135"/>
      <c r="M68" s="135"/>
    </row>
    <row r="69" spans="1:13" x14ac:dyDescent="0.35">
      <c r="A69" s="135"/>
      <c r="B69" s="136" t="s">
        <v>184</v>
      </c>
      <c r="C69"/>
      <c r="D69"/>
      <c r="E69" s="141"/>
      <c r="F69" s="141"/>
      <c r="G69" s="141"/>
      <c r="H69"/>
      <c r="I69" s="135"/>
      <c r="J69" s="135"/>
      <c r="K69" s="135"/>
      <c r="L69" s="135"/>
      <c r="M69" s="135"/>
    </row>
    <row r="70" spans="1:13" x14ac:dyDescent="0.35">
      <c r="A70" s="135"/>
      <c r="B70" s="32" t="s">
        <v>185</v>
      </c>
      <c r="C70"/>
      <c r="D70"/>
      <c r="E70" s="141">
        <f>Financials!G77</f>
        <v>368993</v>
      </c>
      <c r="F70" s="141">
        <f>Financials!H77</f>
        <v>109532</v>
      </c>
      <c r="G70" s="141">
        <f>Financials!I77</f>
        <v>53709</v>
      </c>
      <c r="H70" s="168">
        <f t="shared" ref="H70:M72" si="10">G70</f>
        <v>53709</v>
      </c>
      <c r="I70" s="168">
        <f t="shared" si="10"/>
        <v>53709</v>
      </c>
      <c r="J70" s="168">
        <f t="shared" si="10"/>
        <v>53709</v>
      </c>
      <c r="K70" s="168">
        <f t="shared" si="10"/>
        <v>53709</v>
      </c>
      <c r="L70" s="168">
        <f t="shared" si="10"/>
        <v>53709</v>
      </c>
      <c r="M70" s="168">
        <f t="shared" si="10"/>
        <v>53709</v>
      </c>
    </row>
    <row r="71" spans="1:13" x14ac:dyDescent="0.35">
      <c r="A71" s="135"/>
      <c r="B71" s="32" t="s">
        <v>186</v>
      </c>
      <c r="C71"/>
      <c r="D71"/>
      <c r="E71" s="141">
        <f>Financials!G78</f>
        <v>1372</v>
      </c>
      <c r="F71" s="141">
        <f>Financials!H78</f>
        <v>4148</v>
      </c>
      <c r="G71" s="141">
        <f>Financials!I78</f>
        <v>6629</v>
      </c>
      <c r="H71" s="168">
        <f t="shared" si="10"/>
        <v>6629</v>
      </c>
      <c r="I71" s="168">
        <f t="shared" si="10"/>
        <v>6629</v>
      </c>
      <c r="J71" s="168">
        <f t="shared" si="10"/>
        <v>6629</v>
      </c>
      <c r="K71" s="168">
        <f t="shared" si="10"/>
        <v>6629</v>
      </c>
      <c r="L71" s="168">
        <f t="shared" si="10"/>
        <v>6629</v>
      </c>
      <c r="M71" s="168">
        <f t="shared" si="10"/>
        <v>6629</v>
      </c>
    </row>
    <row r="72" spans="1:13" x14ac:dyDescent="0.35">
      <c r="A72" s="135"/>
      <c r="B72" s="32" t="s">
        <v>187</v>
      </c>
      <c r="C72"/>
      <c r="D72"/>
      <c r="E72" s="141">
        <f>Financials!G79</f>
        <v>29760</v>
      </c>
      <c r="F72" s="141">
        <f>Financials!H79</f>
        <v>13410</v>
      </c>
      <c r="G72" s="141">
        <f>Financials!I79</f>
        <v>24304</v>
      </c>
      <c r="H72" s="168">
        <f t="shared" si="10"/>
        <v>24304</v>
      </c>
      <c r="I72" s="168">
        <f t="shared" si="10"/>
        <v>24304</v>
      </c>
      <c r="J72" s="168">
        <f t="shared" si="10"/>
        <v>24304</v>
      </c>
      <c r="K72" s="168">
        <f t="shared" si="10"/>
        <v>24304</v>
      </c>
      <c r="L72" s="168">
        <f t="shared" si="10"/>
        <v>24304</v>
      </c>
      <c r="M72" s="168">
        <f t="shared" si="10"/>
        <v>24304</v>
      </c>
    </row>
    <row r="73" spans="1:13" x14ac:dyDescent="0.35">
      <c r="A73" s="135"/>
      <c r="B73" s="32" t="s">
        <v>188</v>
      </c>
      <c r="C73"/>
      <c r="D73"/>
      <c r="E73" s="141">
        <f>Financials!G80</f>
        <v>60971</v>
      </c>
      <c r="F73" s="141">
        <f>Financials!H80</f>
        <v>76658</v>
      </c>
      <c r="G73" s="141">
        <f>Financials!I80</f>
        <v>99735</v>
      </c>
      <c r="H73" s="165">
        <f ca="1">(Assumptions!H19/Assumptions!H9)*Tower!H9</f>
        <v>82860.156670783399</v>
      </c>
      <c r="I73" s="165">
        <f t="shared" ref="I73:M77" ca="1" si="11">H73</f>
        <v>82860.156670783399</v>
      </c>
      <c r="J73" s="165">
        <f t="shared" ca="1" si="11"/>
        <v>82860.156670783399</v>
      </c>
      <c r="K73" s="165">
        <f t="shared" ca="1" si="11"/>
        <v>82860.156670783399</v>
      </c>
      <c r="L73" s="165">
        <f t="shared" ca="1" si="11"/>
        <v>82860.156670783399</v>
      </c>
      <c r="M73" s="165">
        <f t="shared" ca="1" si="11"/>
        <v>82860.156670783399</v>
      </c>
    </row>
    <row r="74" spans="1:13" x14ac:dyDescent="0.35">
      <c r="A74" s="135"/>
      <c r="B74" s="32" t="s">
        <v>189</v>
      </c>
      <c r="C74"/>
      <c r="D74"/>
      <c r="E74" s="140">
        <f>Financials!G81</f>
        <v>43592</v>
      </c>
      <c r="F74" s="140">
        <f>Financials!H81</f>
        <v>62442</v>
      </c>
      <c r="G74" s="140">
        <f>Financials!I81</f>
        <v>67466</v>
      </c>
      <c r="H74" s="168">
        <f>G74</f>
        <v>67466</v>
      </c>
      <c r="I74" s="168">
        <f t="shared" si="11"/>
        <v>67466</v>
      </c>
      <c r="J74" s="168">
        <f t="shared" si="11"/>
        <v>67466</v>
      </c>
      <c r="K74" s="168">
        <f t="shared" si="11"/>
        <v>67466</v>
      </c>
      <c r="L74" s="168">
        <f t="shared" si="11"/>
        <v>67466</v>
      </c>
      <c r="M74" s="168">
        <f t="shared" si="11"/>
        <v>67466</v>
      </c>
    </row>
    <row r="75" spans="1:13" x14ac:dyDescent="0.35">
      <c r="A75" s="135"/>
      <c r="B75" s="32" t="s">
        <v>190</v>
      </c>
      <c r="C75"/>
      <c r="D75"/>
      <c r="E75" s="139">
        <f>Financials!G82</f>
        <v>7273</v>
      </c>
      <c r="F75" s="139">
        <f>Financials!H82</f>
        <v>4416</v>
      </c>
      <c r="G75" s="139">
        <f>Financials!I82</f>
        <v>6578</v>
      </c>
      <c r="H75" s="168">
        <f>G75</f>
        <v>6578</v>
      </c>
      <c r="I75" s="168">
        <f t="shared" si="11"/>
        <v>6578</v>
      </c>
      <c r="J75" s="168">
        <f t="shared" si="11"/>
        <v>6578</v>
      </c>
      <c r="K75" s="168">
        <f t="shared" si="11"/>
        <v>6578</v>
      </c>
      <c r="L75" s="168">
        <f t="shared" si="11"/>
        <v>6578</v>
      </c>
      <c r="M75" s="168">
        <f t="shared" si="11"/>
        <v>6578</v>
      </c>
    </row>
    <row r="76" spans="1:13" x14ac:dyDescent="0.35">
      <c r="A76" s="135"/>
      <c r="B76" s="32" t="s">
        <v>191</v>
      </c>
      <c r="C76"/>
      <c r="D76"/>
      <c r="E76" s="139">
        <f>Financials!G83</f>
        <v>20904</v>
      </c>
      <c r="F76" s="139">
        <f>Financials!H83</f>
        <v>13324</v>
      </c>
      <c r="G76" s="139">
        <f>Financials!I83</f>
        <v>17740</v>
      </c>
      <c r="H76" s="168">
        <f>G76</f>
        <v>17740</v>
      </c>
      <c r="I76" s="168">
        <f t="shared" si="11"/>
        <v>17740</v>
      </c>
      <c r="J76" s="168">
        <f t="shared" si="11"/>
        <v>17740</v>
      </c>
      <c r="K76" s="168">
        <f t="shared" si="11"/>
        <v>17740</v>
      </c>
      <c r="L76" s="168">
        <f t="shared" si="11"/>
        <v>17740</v>
      </c>
      <c r="M76" s="168">
        <f t="shared" si="11"/>
        <v>17740</v>
      </c>
    </row>
    <row r="77" spans="1:13" x14ac:dyDescent="0.35">
      <c r="A77" s="135"/>
      <c r="B77" s="32" t="s">
        <v>178</v>
      </c>
      <c r="C77"/>
      <c r="D77"/>
      <c r="E77" s="140">
        <f>Financials!G84</f>
        <v>0</v>
      </c>
      <c r="F77" s="140">
        <f>Financials!H84</f>
        <v>28688</v>
      </c>
      <c r="G77" s="140">
        <f>Financials!I84</f>
        <v>8820</v>
      </c>
      <c r="H77" s="168">
        <f>G77</f>
        <v>8820</v>
      </c>
      <c r="I77" s="168">
        <f t="shared" si="11"/>
        <v>8820</v>
      </c>
      <c r="J77" s="168">
        <f t="shared" si="11"/>
        <v>8820</v>
      </c>
      <c r="K77" s="168">
        <f t="shared" si="11"/>
        <v>8820</v>
      </c>
      <c r="L77" s="168">
        <f t="shared" si="11"/>
        <v>8820</v>
      </c>
      <c r="M77" s="168">
        <f t="shared" si="11"/>
        <v>8820</v>
      </c>
    </row>
    <row r="78" spans="1:13" s="67" customFormat="1" x14ac:dyDescent="0.35">
      <c r="A78" s="157"/>
      <c r="B78" s="156" t="s">
        <v>192</v>
      </c>
      <c r="C78" s="157"/>
      <c r="D78" s="157"/>
      <c r="E78" s="154">
        <f>Financials!G85</f>
        <v>532865</v>
      </c>
      <c r="F78" s="154">
        <f>Financials!H85</f>
        <v>312618</v>
      </c>
      <c r="G78" s="173">
        <f t="shared" ref="G78:M78" si="12">SUM(G70:G77)</f>
        <v>284981</v>
      </c>
      <c r="H78" s="173">
        <f t="shared" ca="1" si="12"/>
        <v>268106.15667078341</v>
      </c>
      <c r="I78" s="173">
        <f t="shared" ca="1" si="12"/>
        <v>268106.15667078341</v>
      </c>
      <c r="J78" s="173">
        <f t="shared" ca="1" si="12"/>
        <v>268106.15667078341</v>
      </c>
      <c r="K78" s="173">
        <f t="shared" ca="1" si="12"/>
        <v>268106.15667078341</v>
      </c>
      <c r="L78" s="173">
        <f t="shared" ca="1" si="12"/>
        <v>268106.15667078341</v>
      </c>
      <c r="M78" s="173">
        <f t="shared" ca="1" si="12"/>
        <v>268106.15667078341</v>
      </c>
    </row>
    <row r="79" spans="1:13" s="67" customFormat="1" x14ac:dyDescent="0.35">
      <c r="A79" s="63"/>
      <c r="B79" s="171" t="s">
        <v>193</v>
      </c>
      <c r="C79" s="63"/>
      <c r="D79" s="63"/>
      <c r="E79" s="71">
        <f>Financials!G86</f>
        <v>1022070</v>
      </c>
      <c r="F79" s="71">
        <f>Financials!H86</f>
        <v>1205000</v>
      </c>
      <c r="G79" s="71">
        <f>Financials!I86</f>
        <v>1194394</v>
      </c>
      <c r="H79" s="198">
        <f t="shared" ref="H79:M79" ca="1" si="13">G79+SUM(H132,H135)</f>
        <v>1119731.0902651025</v>
      </c>
      <c r="I79" s="198">
        <f t="shared" ca="1" si="13"/>
        <v>1074731.0902651025</v>
      </c>
      <c r="J79" s="198">
        <f t="shared" ca="1" si="13"/>
        <v>1029731.0902651025</v>
      </c>
      <c r="K79" s="198">
        <f t="shared" ca="1" si="13"/>
        <v>1029731.0902651025</v>
      </c>
      <c r="L79" s="198">
        <f t="shared" ca="1" si="13"/>
        <v>1029731.0902651025</v>
      </c>
      <c r="M79" s="198">
        <f t="shared" ca="1" si="13"/>
        <v>1029731.0902651025</v>
      </c>
    </row>
    <row r="80" spans="1:13" x14ac:dyDescent="0.35">
      <c r="A80" s="135"/>
      <c r="B80" s="136" t="s">
        <v>194</v>
      </c>
      <c r="C80"/>
      <c r="D80"/>
      <c r="E80" s="139">
        <f>Financials!G87</f>
        <v>190497</v>
      </c>
      <c r="F80" s="139">
        <f>Financials!H87</f>
        <v>196496</v>
      </c>
      <c r="G80" s="139">
        <f>Financials!I87</f>
        <v>189855</v>
      </c>
      <c r="H80" s="198">
        <f t="shared" ref="H80:M84" si="14">G80</f>
        <v>189855</v>
      </c>
      <c r="I80" s="198">
        <f t="shared" si="14"/>
        <v>189855</v>
      </c>
      <c r="J80" s="198">
        <f t="shared" si="14"/>
        <v>189855</v>
      </c>
      <c r="K80" s="198">
        <f t="shared" si="14"/>
        <v>189855</v>
      </c>
      <c r="L80" s="198">
        <f t="shared" si="14"/>
        <v>189855</v>
      </c>
      <c r="M80" s="198">
        <f t="shared" si="14"/>
        <v>189855</v>
      </c>
    </row>
    <row r="81" spans="1:13" x14ac:dyDescent="0.35">
      <c r="A81" s="135"/>
      <c r="B81" s="136" t="s">
        <v>190</v>
      </c>
      <c r="C81"/>
      <c r="D81"/>
      <c r="E81" s="120">
        <f>Financials!G88</f>
        <v>37644</v>
      </c>
      <c r="F81" s="120">
        <f>Financials!H88</f>
        <v>39655</v>
      </c>
      <c r="G81" s="120">
        <f>Financials!I88</f>
        <v>38966</v>
      </c>
      <c r="H81" s="198">
        <f t="shared" si="14"/>
        <v>38966</v>
      </c>
      <c r="I81" s="198">
        <f t="shared" si="14"/>
        <v>38966</v>
      </c>
      <c r="J81" s="198">
        <f t="shared" si="14"/>
        <v>38966</v>
      </c>
      <c r="K81" s="198">
        <f t="shared" si="14"/>
        <v>38966</v>
      </c>
      <c r="L81" s="198">
        <f t="shared" si="14"/>
        <v>38966</v>
      </c>
      <c r="M81" s="198">
        <f t="shared" si="14"/>
        <v>38966</v>
      </c>
    </row>
    <row r="82" spans="1:13" x14ac:dyDescent="0.35">
      <c r="A82" s="135"/>
      <c r="B82" s="136" t="s">
        <v>204</v>
      </c>
      <c r="C82"/>
      <c r="D82"/>
      <c r="E82" s="120">
        <f>Financials!G89</f>
        <v>51169</v>
      </c>
      <c r="F82" s="120">
        <f>Financials!H89</f>
        <v>0</v>
      </c>
      <c r="G82" s="120">
        <f>Financials!I89</f>
        <v>0</v>
      </c>
      <c r="H82" s="198">
        <f t="shared" si="14"/>
        <v>0</v>
      </c>
      <c r="I82" s="198">
        <f t="shared" si="14"/>
        <v>0</v>
      </c>
      <c r="J82" s="198">
        <f t="shared" si="14"/>
        <v>0</v>
      </c>
      <c r="K82" s="198">
        <f t="shared" si="14"/>
        <v>0</v>
      </c>
      <c r="L82" s="198">
        <f t="shared" si="14"/>
        <v>0</v>
      </c>
      <c r="M82" s="198">
        <f t="shared" si="14"/>
        <v>0</v>
      </c>
    </row>
    <row r="83" spans="1:13" x14ac:dyDescent="0.35">
      <c r="A83" s="135"/>
      <c r="B83" s="136" t="s">
        <v>195</v>
      </c>
      <c r="C83"/>
      <c r="D83"/>
      <c r="E83" s="139">
        <f>Financials!G90</f>
        <v>9359</v>
      </c>
      <c r="F83" s="139">
        <f>Financials!H90</f>
        <v>32330</v>
      </c>
      <c r="G83" s="139">
        <f>Financials!I90</f>
        <v>16428</v>
      </c>
      <c r="H83" s="198">
        <f t="shared" si="14"/>
        <v>16428</v>
      </c>
      <c r="I83" s="198">
        <f t="shared" si="14"/>
        <v>16428</v>
      </c>
      <c r="J83" s="198">
        <f t="shared" si="14"/>
        <v>16428</v>
      </c>
      <c r="K83" s="198">
        <f t="shared" si="14"/>
        <v>16428</v>
      </c>
      <c r="L83" s="198">
        <f t="shared" si="14"/>
        <v>16428</v>
      </c>
      <c r="M83" s="198">
        <f t="shared" si="14"/>
        <v>16428</v>
      </c>
    </row>
    <row r="84" spans="1:13" x14ac:dyDescent="0.35">
      <c r="A84" s="135"/>
      <c r="B84" s="136" t="s">
        <v>178</v>
      </c>
      <c r="C84"/>
      <c r="D84"/>
      <c r="E84" s="139">
        <f>Financials!G91</f>
        <v>0</v>
      </c>
      <c r="F84" s="139">
        <f>Financials!H91</f>
        <v>144715</v>
      </c>
      <c r="G84" s="139">
        <f>Financials!I91</f>
        <v>66834</v>
      </c>
      <c r="H84" s="198">
        <f t="shared" si="14"/>
        <v>66834</v>
      </c>
      <c r="I84" s="198">
        <f t="shared" si="14"/>
        <v>66834</v>
      </c>
      <c r="J84" s="198">
        <f t="shared" si="14"/>
        <v>66834</v>
      </c>
      <c r="K84" s="198">
        <f t="shared" si="14"/>
        <v>66834</v>
      </c>
      <c r="L84" s="198">
        <f t="shared" si="14"/>
        <v>66834</v>
      </c>
      <c r="M84" s="198">
        <f t="shared" si="14"/>
        <v>66834</v>
      </c>
    </row>
    <row r="85" spans="1:13" s="67" customFormat="1" x14ac:dyDescent="0.35">
      <c r="A85" s="157"/>
      <c r="B85" s="158" t="s">
        <v>196</v>
      </c>
      <c r="C85" s="157"/>
      <c r="D85" s="157"/>
      <c r="E85" s="153">
        <f>Financials!G92</f>
        <v>1843604</v>
      </c>
      <c r="F85" s="153">
        <f>Financials!H92</f>
        <v>1930814</v>
      </c>
      <c r="G85" s="173">
        <f t="shared" ref="G85:M85" si="15">SUM(G78:G84)</f>
        <v>1791458</v>
      </c>
      <c r="H85" s="173">
        <f t="shared" ca="1" si="15"/>
        <v>1699920.2469358859</v>
      </c>
      <c r="I85" s="173">
        <f t="shared" ca="1" si="15"/>
        <v>1654920.2469358859</v>
      </c>
      <c r="J85" s="173">
        <f t="shared" ca="1" si="15"/>
        <v>1609920.2469358859</v>
      </c>
      <c r="K85" s="173">
        <f t="shared" ca="1" si="15"/>
        <v>1609920.2469358859</v>
      </c>
      <c r="L85" s="173">
        <f t="shared" ca="1" si="15"/>
        <v>1609920.2469358859</v>
      </c>
      <c r="M85" s="173">
        <f t="shared" ca="1" si="15"/>
        <v>1609920.2469358859</v>
      </c>
    </row>
    <row r="86" spans="1:13" x14ac:dyDescent="0.35">
      <c r="A86" s="135"/>
      <c r="B86" s="136" t="s">
        <v>197</v>
      </c>
      <c r="C86"/>
      <c r="D86"/>
      <c r="E86" s="152"/>
      <c r="F86" s="152"/>
      <c r="G86" s="152"/>
      <c r="H86"/>
      <c r="I86" s="135"/>
      <c r="J86" s="135"/>
      <c r="K86" s="135"/>
      <c r="L86" s="135"/>
      <c r="M86" s="135"/>
    </row>
    <row r="87" spans="1:13" x14ac:dyDescent="0.35">
      <c r="A87" s="135"/>
      <c r="B87" s="32" t="s">
        <v>198</v>
      </c>
      <c r="C87"/>
      <c r="D87"/>
      <c r="E87" s="139">
        <f>Financials!G94</f>
        <v>100628</v>
      </c>
      <c r="F87" s="139">
        <f>Financials!H94</f>
        <v>421161</v>
      </c>
      <c r="G87" s="139">
        <f>Financials!I94</f>
        <v>377880</v>
      </c>
      <c r="H87" s="174">
        <f t="shared" ref="H87:M88" si="16">G87</f>
        <v>377880</v>
      </c>
      <c r="I87" s="174">
        <f t="shared" si="16"/>
        <v>377880</v>
      </c>
      <c r="J87" s="174">
        <f t="shared" si="16"/>
        <v>377880</v>
      </c>
      <c r="K87" s="174">
        <f t="shared" si="16"/>
        <v>377880</v>
      </c>
      <c r="L87" s="174">
        <f t="shared" si="16"/>
        <v>377880</v>
      </c>
      <c r="M87" s="174">
        <f t="shared" si="16"/>
        <v>377880</v>
      </c>
    </row>
    <row r="88" spans="1:13" x14ac:dyDescent="0.35">
      <c r="A88" s="135"/>
      <c r="B88" s="32" t="s">
        <v>199</v>
      </c>
      <c r="C88"/>
      <c r="D88"/>
      <c r="E88" s="140">
        <f>Financials!G95</f>
        <v>-255221</v>
      </c>
      <c r="F88" s="140">
        <f>Financials!H95</f>
        <v>254665</v>
      </c>
      <c r="G88" s="140">
        <f>Financials!I95</f>
        <v>218835</v>
      </c>
      <c r="H88" s="174">
        <f t="shared" si="16"/>
        <v>218835</v>
      </c>
      <c r="I88" s="174">
        <f t="shared" si="16"/>
        <v>218835</v>
      </c>
      <c r="J88" s="174">
        <f t="shared" si="16"/>
        <v>218835</v>
      </c>
      <c r="K88" s="174">
        <f t="shared" si="16"/>
        <v>218835</v>
      </c>
      <c r="L88" s="174">
        <f t="shared" si="16"/>
        <v>218835</v>
      </c>
      <c r="M88" s="174">
        <f t="shared" si="16"/>
        <v>218835</v>
      </c>
    </row>
    <row r="89" spans="1:13" x14ac:dyDescent="0.35">
      <c r="A89" s="135"/>
      <c r="B89" s="148" t="s">
        <v>200</v>
      </c>
      <c r="C89"/>
      <c r="D89"/>
      <c r="E89" s="140">
        <f>Financials!G96</f>
        <v>-154593</v>
      </c>
      <c r="F89" s="140">
        <f>Financials!H96</f>
        <v>675826</v>
      </c>
      <c r="G89" s="174">
        <f>SUM(G87:G88)</f>
        <v>596715</v>
      </c>
      <c r="H89" s="300">
        <f t="shared" ref="H89:M89" ca="1" si="17">G89+H26</f>
        <v>555898.82851767889</v>
      </c>
      <c r="I89" s="300">
        <f t="shared" ca="1" si="17"/>
        <v>554152.85510048049</v>
      </c>
      <c r="J89" s="300">
        <f t="shared" ca="1" si="17"/>
        <v>551762.2283533084</v>
      </c>
      <c r="K89" s="300">
        <f t="shared" ca="1" si="17"/>
        <v>574111.36375487817</v>
      </c>
      <c r="L89" s="300">
        <f t="shared" ca="1" si="17"/>
        <v>617774.21767787903</v>
      </c>
      <c r="M89" s="300">
        <f t="shared" ca="1" si="17"/>
        <v>701987.67246556946</v>
      </c>
    </row>
    <row r="90" spans="1:13" ht="15" thickBot="1" x14ac:dyDescent="0.4">
      <c r="A90" s="10"/>
      <c r="B90" s="150" t="s">
        <v>201</v>
      </c>
      <c r="C90" s="10"/>
      <c r="D90" s="10"/>
      <c r="E90" s="151">
        <f>Financials!G97</f>
        <v>1689011</v>
      </c>
      <c r="F90" s="151">
        <f>Financials!H97</f>
        <v>2606640</v>
      </c>
      <c r="G90" s="151">
        <f>Financials!I97</f>
        <v>2388173</v>
      </c>
      <c r="H90" s="175">
        <f t="shared" ref="H90:M90" ca="1" si="18">SUM(H85,H89)</f>
        <v>2255819.0754535645</v>
      </c>
      <c r="I90" s="175">
        <f t="shared" ca="1" si="18"/>
        <v>2209073.1020363662</v>
      </c>
      <c r="J90" s="175">
        <f t="shared" ca="1" si="18"/>
        <v>2161682.4752891944</v>
      </c>
      <c r="K90" s="175">
        <f t="shared" ca="1" si="18"/>
        <v>2184031.6106907642</v>
      </c>
      <c r="L90" s="175">
        <f t="shared" ca="1" si="18"/>
        <v>2227694.464613765</v>
      </c>
      <c r="M90" s="175">
        <f t="shared" ca="1" si="18"/>
        <v>2311907.9194014552</v>
      </c>
    </row>
    <row r="91" spans="1:13" ht="15" thickTop="1" x14ac:dyDescent="0.35">
      <c r="A91" s="3"/>
      <c r="B91" s="163"/>
      <c r="C91" s="3"/>
      <c r="D91" s="3"/>
      <c r="E91" s="70" t="s">
        <v>247</v>
      </c>
      <c r="F91" s="70" t="b">
        <f t="shared" ref="F91:M91" si="19">IF(F67=F90,TRUE,FALSE)</f>
        <v>1</v>
      </c>
      <c r="G91" s="70" t="b">
        <f t="shared" si="19"/>
        <v>1</v>
      </c>
      <c r="H91" s="70" t="b">
        <f t="shared" ca="1" si="19"/>
        <v>1</v>
      </c>
      <c r="I91" s="70" t="b">
        <f t="shared" ca="1" si="19"/>
        <v>1</v>
      </c>
      <c r="J91" s="70" t="b">
        <f t="shared" ca="1" si="19"/>
        <v>1</v>
      </c>
      <c r="K91" s="70" t="b">
        <f t="shared" ca="1" si="19"/>
        <v>1</v>
      </c>
      <c r="L91" s="70" t="b">
        <f t="shared" ca="1" si="19"/>
        <v>1</v>
      </c>
      <c r="M91" s="70" t="b">
        <f t="shared" ca="1" si="19"/>
        <v>0</v>
      </c>
    </row>
    <row r="92" spans="1:13" x14ac:dyDescent="0.35">
      <c r="A92" s="3"/>
      <c r="B92" s="163"/>
      <c r="C92" s="3"/>
      <c r="D92" s="3"/>
      <c r="E92" s="70"/>
      <c r="F92" s="70"/>
      <c r="G92" s="70"/>
      <c r="H92" s="70">
        <f t="shared" ref="H92:M92" ca="1" si="20">H90-H67</f>
        <v>0</v>
      </c>
      <c r="I92" s="70">
        <f t="shared" ca="1" si="20"/>
        <v>0</v>
      </c>
      <c r="J92" s="70">
        <f t="shared" ca="1" si="20"/>
        <v>0</v>
      </c>
      <c r="K92" s="70">
        <f t="shared" ca="1" si="20"/>
        <v>0</v>
      </c>
      <c r="L92" s="70">
        <f t="shared" ca="1" si="20"/>
        <v>0</v>
      </c>
      <c r="M92" s="70">
        <f t="shared" ca="1" si="20"/>
        <v>0</v>
      </c>
    </row>
    <row r="93" spans="1:13" s="202" customFormat="1" x14ac:dyDescent="0.35">
      <c r="A93" s="103" t="s">
        <v>311</v>
      </c>
      <c r="B93" s="103" t="s">
        <v>246</v>
      </c>
      <c r="C93" s="103"/>
      <c r="D93" s="103"/>
      <c r="E93" s="103"/>
      <c r="F93" s="103"/>
      <c r="G93" s="104"/>
      <c r="H93" s="103"/>
      <c r="I93" s="103"/>
      <c r="J93" s="103"/>
      <c r="K93" s="103"/>
      <c r="L93" s="103"/>
      <c r="M93" s="103"/>
    </row>
    <row r="94" spans="1:13" x14ac:dyDescent="0.35">
      <c r="A94" s="135"/>
      <c r="B94" s="138" t="s">
        <v>207</v>
      </c>
      <c r="C94"/>
      <c r="D94"/>
      <c r="E94"/>
      <c r="F94"/>
      <c r="G94"/>
      <c r="H94"/>
      <c r="I94"/>
      <c r="J94"/>
      <c r="K94"/>
      <c r="L94"/>
      <c r="M94"/>
    </row>
    <row r="95" spans="1:13" x14ac:dyDescent="0.35">
      <c r="A95" s="135"/>
      <c r="B95" s="136" t="s">
        <v>154</v>
      </c>
      <c r="C95"/>
      <c r="D95"/>
      <c r="E95" s="140">
        <f>Financials!G104</f>
        <v>-178620</v>
      </c>
      <c r="F95" s="140">
        <f>Financials!H104</f>
        <v>-215233</v>
      </c>
      <c r="G95" s="140">
        <f>Financials!I104</f>
        <v>-61613</v>
      </c>
      <c r="H95" s="122">
        <f t="shared" ref="H95:M95" ca="1" si="21">H26</f>
        <v>-40816.171482321137</v>
      </c>
      <c r="I95" s="122">
        <f t="shared" ca="1" si="21"/>
        <v>-1745.9734171984455</v>
      </c>
      <c r="J95" s="122">
        <f t="shared" ca="1" si="21"/>
        <v>-2390.6267471720785</v>
      </c>
      <c r="K95" s="122">
        <f t="shared" ca="1" si="21"/>
        <v>22349.135401569758</v>
      </c>
      <c r="L95" s="122">
        <f t="shared" ca="1" si="21"/>
        <v>43662.85392300089</v>
      </c>
      <c r="M95" s="122">
        <f t="shared" ca="1" si="21"/>
        <v>84213.454787690425</v>
      </c>
    </row>
    <row r="96" spans="1:13" x14ac:dyDescent="0.35">
      <c r="A96" s="135"/>
      <c r="B96" s="32" t="s">
        <v>208</v>
      </c>
      <c r="C96"/>
      <c r="D96"/>
      <c r="E96" s="139"/>
      <c r="F96" s="139"/>
      <c r="G96" s="139"/>
      <c r="H96"/>
      <c r="I96" s="135"/>
      <c r="J96" s="135"/>
      <c r="K96" s="135"/>
      <c r="L96" s="135"/>
      <c r="M96" s="135"/>
    </row>
    <row r="97" spans="1:13" x14ac:dyDescent="0.35">
      <c r="A97" s="135"/>
      <c r="B97" s="148" t="s">
        <v>140</v>
      </c>
      <c r="C97"/>
      <c r="D97"/>
      <c r="E97" s="141">
        <f>Financials!G106</f>
        <v>164212</v>
      </c>
      <c r="F97" s="141">
        <f>Financials!H106</f>
        <v>207092</v>
      </c>
      <c r="G97" s="141">
        <f>Financials!I106</f>
        <v>212640</v>
      </c>
      <c r="H97" s="122">
        <f ca="1">-Assumptions!H26</f>
        <v>208549.36806066026</v>
      </c>
      <c r="I97" s="122">
        <f ca="1">-Assumptions!I26</f>
        <v>183415.03321957254</v>
      </c>
      <c r="J97" s="122">
        <f ca="1">-Assumptions!J26</f>
        <v>177859.77332624802</v>
      </c>
      <c r="K97" s="122">
        <f ca="1">-Assumptions!K26</f>
        <v>167366.22190681225</v>
      </c>
      <c r="L97" s="122">
        <f ca="1">-Assumptions!L26</f>
        <v>155840.54876202191</v>
      </c>
      <c r="M97" s="122">
        <f ca="1">-Assumptions!M26</f>
        <v>148296.43899297551</v>
      </c>
    </row>
    <row r="98" spans="1:13" x14ac:dyDescent="0.35">
      <c r="A98" s="135"/>
      <c r="B98" s="148" t="s">
        <v>209</v>
      </c>
      <c r="C98"/>
      <c r="D98"/>
      <c r="E98" s="141">
        <f>Financials!G107</f>
        <v>12580</v>
      </c>
      <c r="F98" s="141">
        <f>Financials!H107</f>
        <v>8292</v>
      </c>
      <c r="G98" s="141">
        <f>Financials!I107</f>
        <v>2716</v>
      </c>
      <c r="H98" s="141">
        <f>Financials!J107</f>
        <v>0</v>
      </c>
      <c r="I98" s="141">
        <f>Financials!K107</f>
        <v>0</v>
      </c>
      <c r="J98" s="141">
        <f>Financials!L107</f>
        <v>0</v>
      </c>
      <c r="K98" s="141">
        <f>Financials!M107</f>
        <v>0</v>
      </c>
      <c r="L98" s="141">
        <f>Financials!N107</f>
        <v>0</v>
      </c>
      <c r="M98" s="141">
        <f>Financials!O107</f>
        <v>0</v>
      </c>
    </row>
    <row r="99" spans="1:13" x14ac:dyDescent="0.35">
      <c r="A99" s="135"/>
      <c r="B99" s="148" t="s">
        <v>141</v>
      </c>
      <c r="C99"/>
      <c r="D99"/>
      <c r="E99" s="141">
        <f>Financials!G108</f>
        <v>0</v>
      </c>
      <c r="F99" s="141">
        <f>Financials!H108</f>
        <v>1408</v>
      </c>
      <c r="G99" s="141">
        <f>Financials!I108</f>
        <v>-86481</v>
      </c>
      <c r="H99" s="141">
        <f>Financials!J108</f>
        <v>0</v>
      </c>
      <c r="I99" s="141">
        <f>Financials!K108</f>
        <v>0</v>
      </c>
      <c r="J99" s="141">
        <f>Financials!L108</f>
        <v>0</v>
      </c>
      <c r="K99" s="141">
        <f>Financials!M108</f>
        <v>0</v>
      </c>
      <c r="L99" s="141">
        <f>Financials!N108</f>
        <v>0</v>
      </c>
      <c r="M99" s="141">
        <f>Financials!O108</f>
        <v>0</v>
      </c>
    </row>
    <row r="100" spans="1:13" x14ac:dyDescent="0.35">
      <c r="A100" s="135"/>
      <c r="B100" s="148" t="s">
        <v>142</v>
      </c>
      <c r="C100"/>
      <c r="D100"/>
      <c r="E100" s="141">
        <f>Financials!G109</f>
        <v>3376</v>
      </c>
      <c r="F100" s="141">
        <f>Financials!H109</f>
        <v>2889</v>
      </c>
      <c r="G100" s="141">
        <f>Financials!I109</f>
        <v>-8516</v>
      </c>
      <c r="H100" s="141">
        <f>Financials!J109</f>
        <v>0</v>
      </c>
      <c r="I100" s="141">
        <f>Financials!K109</f>
        <v>0</v>
      </c>
      <c r="J100" s="141">
        <f>Financials!L109</f>
        <v>0</v>
      </c>
      <c r="K100" s="141">
        <f>Financials!M109</f>
        <v>0</v>
      </c>
      <c r="L100" s="141">
        <f>Financials!N109</f>
        <v>0</v>
      </c>
      <c r="M100" s="141">
        <f>Financials!O109</f>
        <v>0</v>
      </c>
    </row>
    <row r="101" spans="1:13" x14ac:dyDescent="0.35">
      <c r="A101" s="135"/>
      <c r="B101" s="148" t="s">
        <v>210</v>
      </c>
      <c r="C101"/>
      <c r="D101"/>
      <c r="E101" s="141">
        <f>Financials!G110</f>
        <v>5106</v>
      </c>
      <c r="F101" s="141">
        <f>Financials!H110</f>
        <v>893</v>
      </c>
      <c r="G101" s="141">
        <f>Financials!I110</f>
        <v>729</v>
      </c>
      <c r="H101" s="141">
        <f>Financials!J110</f>
        <v>0</v>
      </c>
      <c r="I101" s="141">
        <f>Financials!K110</f>
        <v>0</v>
      </c>
      <c r="J101" s="141">
        <f>Financials!L110</f>
        <v>0</v>
      </c>
      <c r="K101" s="141">
        <f>Financials!M110</f>
        <v>0</v>
      </c>
      <c r="L101" s="141">
        <f>Financials!N110</f>
        <v>0</v>
      </c>
      <c r="M101" s="141">
        <f>Financials!O110</f>
        <v>0</v>
      </c>
    </row>
    <row r="102" spans="1:13" x14ac:dyDescent="0.35">
      <c r="A102" s="135"/>
      <c r="B102" s="148" t="s">
        <v>211</v>
      </c>
      <c r="C102"/>
      <c r="D102"/>
      <c r="E102" s="141">
        <f>Financials!G111</f>
        <v>36396</v>
      </c>
      <c r="F102" s="141">
        <f>Financials!H111</f>
        <v>7651</v>
      </c>
      <c r="G102" s="141">
        <f>Financials!I111</f>
        <v>0</v>
      </c>
      <c r="H102" s="141">
        <f>Financials!J111</f>
        <v>0</v>
      </c>
      <c r="I102" s="141">
        <f>Financials!K111</f>
        <v>0</v>
      </c>
      <c r="J102" s="141">
        <f>Financials!L111</f>
        <v>0</v>
      </c>
      <c r="K102" s="141">
        <f>Financials!M111</f>
        <v>0</v>
      </c>
      <c r="L102" s="141">
        <f>Financials!N111</f>
        <v>0</v>
      </c>
      <c r="M102" s="141">
        <f>Financials!O111</f>
        <v>0</v>
      </c>
    </row>
    <row r="103" spans="1:13" x14ac:dyDescent="0.35">
      <c r="A103" s="135"/>
      <c r="B103" s="148" t="s">
        <v>212</v>
      </c>
      <c r="C103"/>
      <c r="D103"/>
      <c r="E103" s="141">
        <f>Financials!G112</f>
        <v>0</v>
      </c>
      <c r="F103" s="141">
        <f>Financials!H112</f>
        <v>-3520</v>
      </c>
      <c r="G103" s="141">
        <f>Financials!I112</f>
        <v>0</v>
      </c>
      <c r="H103" s="141">
        <f>Financials!J112</f>
        <v>0</v>
      </c>
      <c r="I103" s="141">
        <f>Financials!K112</f>
        <v>0</v>
      </c>
      <c r="J103" s="141">
        <f>Financials!L112</f>
        <v>0</v>
      </c>
      <c r="K103" s="141">
        <f>Financials!M112</f>
        <v>0</v>
      </c>
      <c r="L103" s="141">
        <f>Financials!N112</f>
        <v>0</v>
      </c>
      <c r="M103" s="141">
        <f>Financials!O112</f>
        <v>0</v>
      </c>
    </row>
    <row r="104" spans="1:13" x14ac:dyDescent="0.35">
      <c r="A104" s="135"/>
      <c r="B104" s="148" t="s">
        <v>213</v>
      </c>
      <c r="C104"/>
      <c r="D104"/>
      <c r="E104" s="141">
        <f>Financials!G113</f>
        <v>0</v>
      </c>
      <c r="F104" s="141">
        <f>Financials!H113</f>
        <v>0</v>
      </c>
      <c r="G104" s="141">
        <f>Financials!I113</f>
        <v>-42947</v>
      </c>
      <c r="H104" s="141">
        <f>Financials!J113</f>
        <v>0</v>
      </c>
      <c r="I104" s="141">
        <f>Financials!K113</f>
        <v>0</v>
      </c>
      <c r="J104" s="141">
        <f>Financials!L113</f>
        <v>0</v>
      </c>
      <c r="K104" s="141">
        <f>Financials!M113</f>
        <v>0</v>
      </c>
      <c r="L104" s="141">
        <f>Financials!N113</f>
        <v>0</v>
      </c>
      <c r="M104" s="141">
        <f>Financials!O113</f>
        <v>0</v>
      </c>
    </row>
    <row r="105" spans="1:13" x14ac:dyDescent="0.35">
      <c r="A105" s="135"/>
      <c r="B105" s="148" t="s">
        <v>152</v>
      </c>
      <c r="C105"/>
      <c r="D105"/>
      <c r="E105" s="141">
        <f>Financials!G114</f>
        <v>17124</v>
      </c>
      <c r="F105" s="141">
        <f>Financials!H114</f>
        <v>-9278</v>
      </c>
      <c r="G105" s="141">
        <f>Financials!I114</f>
        <v>0</v>
      </c>
      <c r="H105" s="141">
        <f>Financials!J114</f>
        <v>0</v>
      </c>
      <c r="I105" s="141">
        <f>Financials!K114</f>
        <v>0</v>
      </c>
      <c r="J105" s="141">
        <f>Financials!L114</f>
        <v>0</v>
      </c>
      <c r="K105" s="141">
        <f>Financials!M114</f>
        <v>0</v>
      </c>
      <c r="L105" s="141">
        <f>Financials!N114</f>
        <v>0</v>
      </c>
      <c r="M105" s="141">
        <f>Financials!O114</f>
        <v>0</v>
      </c>
    </row>
    <row r="106" spans="1:13" x14ac:dyDescent="0.35">
      <c r="A106" s="135"/>
      <c r="B106" s="148" t="s">
        <v>144</v>
      </c>
      <c r="C106"/>
      <c r="D106"/>
      <c r="E106" s="141">
        <f>Financials!G115</f>
        <v>74575</v>
      </c>
      <c r="F106" s="141">
        <f>Financials!H115</f>
        <v>42667</v>
      </c>
      <c r="G106" s="141">
        <f>Financials!I115</f>
        <v>110689</v>
      </c>
      <c r="H106" s="141">
        <f>Financials!J115</f>
        <v>0</v>
      </c>
      <c r="I106" s="141">
        <f>Financials!K115</f>
        <v>0</v>
      </c>
      <c r="J106" s="141">
        <f>Financials!L115</f>
        <v>0</v>
      </c>
      <c r="K106" s="141">
        <f>Financials!M115</f>
        <v>0</v>
      </c>
      <c r="L106" s="141">
        <f>Financials!N115</f>
        <v>0</v>
      </c>
      <c r="M106" s="141">
        <f>Financials!O115</f>
        <v>0</v>
      </c>
    </row>
    <row r="107" spans="1:13" x14ac:dyDescent="0.35">
      <c r="A107" s="135"/>
      <c r="B107" s="148" t="s">
        <v>214</v>
      </c>
      <c r="C107"/>
      <c r="D107"/>
      <c r="E107" s="141">
        <f>Financials!G116</f>
        <v>2333</v>
      </c>
      <c r="F107" s="141">
        <f>Financials!H116</f>
        <v>0</v>
      </c>
      <c r="G107" s="141">
        <f>Financials!I116</f>
        <v>0</v>
      </c>
      <c r="H107" s="141">
        <f>Financials!J116</f>
        <v>0</v>
      </c>
      <c r="I107" s="141">
        <f>Financials!K116</f>
        <v>0</v>
      </c>
      <c r="J107" s="141">
        <f>Financials!L116</f>
        <v>0</v>
      </c>
      <c r="K107" s="141">
        <f>Financials!M116</f>
        <v>0</v>
      </c>
      <c r="L107" s="141">
        <f>Financials!N116</f>
        <v>0</v>
      </c>
      <c r="M107" s="141">
        <f>Financials!O116</f>
        <v>0</v>
      </c>
    </row>
    <row r="108" spans="1:13" x14ac:dyDescent="0.35">
      <c r="A108" s="135"/>
      <c r="B108" s="148" t="s">
        <v>215</v>
      </c>
      <c r="C108"/>
      <c r="D108"/>
      <c r="E108" s="141">
        <f>Financials!G117</f>
        <v>31484</v>
      </c>
      <c r="F108" s="141">
        <f>Financials!H117</f>
        <v>0</v>
      </c>
      <c r="G108" s="141">
        <f>Financials!I117</f>
        <v>0</v>
      </c>
      <c r="H108" s="141">
        <f>Financials!J117</f>
        <v>0</v>
      </c>
      <c r="I108" s="141">
        <f>Financials!K117</f>
        <v>0</v>
      </c>
      <c r="J108" s="141">
        <f>Financials!L117</f>
        <v>0</v>
      </c>
      <c r="K108" s="141">
        <f>Financials!M117</f>
        <v>0</v>
      </c>
      <c r="L108" s="141">
        <f>Financials!N117</f>
        <v>0</v>
      </c>
      <c r="M108" s="141">
        <f>Financials!O117</f>
        <v>0</v>
      </c>
    </row>
    <row r="109" spans="1:13" x14ac:dyDescent="0.35">
      <c r="A109" s="135"/>
      <c r="B109" s="148" t="s">
        <v>216</v>
      </c>
      <c r="C109"/>
      <c r="D109"/>
      <c r="E109" s="141">
        <f>Financials!G118</f>
        <v>11124</v>
      </c>
      <c r="F109" s="141">
        <f>Financials!H118</f>
        <v>95510</v>
      </c>
      <c r="G109" s="141">
        <f>Financials!I118</f>
        <v>0</v>
      </c>
      <c r="H109" s="141">
        <f>Financials!J118</f>
        <v>0</v>
      </c>
      <c r="I109" s="141">
        <f>Financials!K118</f>
        <v>0</v>
      </c>
      <c r="J109" s="141">
        <f>Financials!L118</f>
        <v>0</v>
      </c>
      <c r="K109" s="141">
        <f>Financials!M118</f>
        <v>0</v>
      </c>
      <c r="L109" s="141">
        <f>Financials!N118</f>
        <v>0</v>
      </c>
      <c r="M109" s="141">
        <f>Financials!O118</f>
        <v>0</v>
      </c>
    </row>
    <row r="110" spans="1:13" x14ac:dyDescent="0.35">
      <c r="A110" s="135"/>
      <c r="B110" s="148" t="s">
        <v>217</v>
      </c>
      <c r="C110"/>
      <c r="D110"/>
      <c r="E110" s="141">
        <f>Financials!G119</f>
        <v>0</v>
      </c>
      <c r="F110" s="141">
        <f>Financials!H119</f>
        <v>8868</v>
      </c>
      <c r="G110" s="141">
        <f>Financials!I119</f>
        <v>0</v>
      </c>
      <c r="H110" s="141">
        <f>Financials!J119</f>
        <v>0</v>
      </c>
      <c r="I110" s="141">
        <f>Financials!K119</f>
        <v>0</v>
      </c>
      <c r="J110" s="141">
        <f>Financials!L119</f>
        <v>0</v>
      </c>
      <c r="K110" s="141">
        <f>Financials!M119</f>
        <v>0</v>
      </c>
      <c r="L110" s="141">
        <f>Financials!N119</f>
        <v>0</v>
      </c>
      <c r="M110" s="141">
        <f>Financials!O119</f>
        <v>0</v>
      </c>
    </row>
    <row r="111" spans="1:13" x14ac:dyDescent="0.35">
      <c r="A111" s="135"/>
      <c r="B111" s="148" t="s">
        <v>218</v>
      </c>
      <c r="C111"/>
      <c r="D111"/>
      <c r="E111" s="139"/>
      <c r="F111" s="139"/>
      <c r="G111" s="139"/>
      <c r="H111"/>
      <c r="I111" s="135"/>
      <c r="J111" s="135"/>
      <c r="K111" s="135"/>
      <c r="L111" s="135"/>
      <c r="M111" s="135"/>
    </row>
    <row r="112" spans="1:13" x14ac:dyDescent="0.35">
      <c r="A112" s="135"/>
      <c r="B112" s="149" t="s">
        <v>171</v>
      </c>
      <c r="C112"/>
      <c r="D112"/>
      <c r="E112" s="141">
        <f>Financials!G121</f>
        <v>6420</v>
      </c>
      <c r="F112" s="141">
        <f>Financials!H121</f>
        <v>19747</v>
      </c>
      <c r="G112" s="141">
        <f>Financials!I121</f>
        <v>2910</v>
      </c>
      <c r="H112" s="165">
        <f t="shared" ref="H112:M113" ca="1" si="22">G51-H51</f>
        <v>-12505.603775249918</v>
      </c>
      <c r="I112" s="165">
        <f t="shared" ca="1" si="22"/>
        <v>7159.2048488038272</v>
      </c>
      <c r="J112" s="165">
        <f t="shared" ca="1" si="22"/>
        <v>1236.3213416406797</v>
      </c>
      <c r="K112" s="165">
        <f t="shared" ca="1" si="22"/>
        <v>110.00271034009347</v>
      </c>
      <c r="L112" s="165">
        <f t="shared" ca="1" si="22"/>
        <v>591.95004646773305</v>
      </c>
      <c r="M112" s="165">
        <f t="shared" ca="1" si="22"/>
        <v>-1046.3196740441417</v>
      </c>
    </row>
    <row r="113" spans="1:13" x14ac:dyDescent="0.35">
      <c r="A113" s="135"/>
      <c r="B113" s="149" t="s">
        <v>219</v>
      </c>
      <c r="C113"/>
      <c r="D113"/>
      <c r="E113" s="141">
        <f>Financials!G122</f>
        <v>12940</v>
      </c>
      <c r="F113" s="141">
        <f>Financials!H122</f>
        <v>-27478</v>
      </c>
      <c r="G113" s="141">
        <f>Financials!I122</f>
        <v>-6565</v>
      </c>
      <c r="H113" s="165">
        <f t="shared" ca="1" si="22"/>
        <v>13566.645690609781</v>
      </c>
      <c r="I113" s="165">
        <f t="shared" ca="1" si="22"/>
        <v>-5004.9949922611195</v>
      </c>
      <c r="J113" s="165">
        <f t="shared" ca="1" si="22"/>
        <v>1101.9422801525288</v>
      </c>
      <c r="K113" s="165">
        <f t="shared" ca="1" si="22"/>
        <v>4153.7689684509896</v>
      </c>
      <c r="L113" s="165">
        <f t="shared" ca="1" si="22"/>
        <v>-1927.3416825511449</v>
      </c>
      <c r="M113" s="165">
        <f t="shared" ca="1" si="22"/>
        <v>-700.92785378495319</v>
      </c>
    </row>
    <row r="114" spans="1:13" x14ac:dyDescent="0.35">
      <c r="A114" s="135"/>
      <c r="B114" s="149" t="s">
        <v>220</v>
      </c>
      <c r="C114"/>
      <c r="D114"/>
      <c r="E114" s="141">
        <f>Financials!G123</f>
        <v>7858</v>
      </c>
      <c r="F114" s="141">
        <f>Financials!H123</f>
        <v>3871</v>
      </c>
      <c r="G114" s="141">
        <f>Financials!I123</f>
        <v>-13712</v>
      </c>
      <c r="H114" s="165">
        <f t="shared" ref="H114:M114" ca="1" si="23">G54-H54</f>
        <v>7191.243709274735</v>
      </c>
      <c r="I114" s="165">
        <f t="shared" ca="1" si="23"/>
        <v>1338.3335221757225</v>
      </c>
      <c r="J114" s="165">
        <f t="shared" ca="1" si="23"/>
        <v>-157.9447698624208</v>
      </c>
      <c r="K114" s="165">
        <f t="shared" ca="1" si="23"/>
        <v>5615.911181100033</v>
      </c>
      <c r="L114" s="165">
        <f t="shared" ca="1" si="23"/>
        <v>-46.991230768348032</v>
      </c>
      <c r="M114" s="165">
        <f t="shared" ca="1" si="23"/>
        <v>-281.01787534944015</v>
      </c>
    </row>
    <row r="115" spans="1:13" x14ac:dyDescent="0.35">
      <c r="A115" s="135"/>
      <c r="B115" s="149" t="s">
        <v>221</v>
      </c>
      <c r="C115"/>
      <c r="D115"/>
      <c r="E115" s="141">
        <f>Financials!G124</f>
        <v>5623</v>
      </c>
      <c r="F115" s="141">
        <f>Financials!H124</f>
        <v>-15652</v>
      </c>
      <c r="G115" s="141">
        <f>Financials!I124</f>
        <v>974</v>
      </c>
      <c r="H115" s="141">
        <f>Financials!J124</f>
        <v>0</v>
      </c>
      <c r="I115" s="141">
        <f>Financials!K124</f>
        <v>0</v>
      </c>
      <c r="J115" s="141">
        <f>Financials!L124</f>
        <v>0</v>
      </c>
      <c r="K115" s="141">
        <f>Financials!M124</f>
        <v>0</v>
      </c>
      <c r="L115" s="141">
        <f>Financials!N124</f>
        <v>0</v>
      </c>
      <c r="M115" s="141">
        <f>Financials!O124</f>
        <v>0</v>
      </c>
    </row>
    <row r="116" spans="1:13" x14ac:dyDescent="0.35">
      <c r="A116" s="135"/>
      <c r="B116" s="149" t="s">
        <v>175</v>
      </c>
      <c r="C116"/>
      <c r="D116"/>
      <c r="E116" s="141">
        <f>Financials!G125</f>
        <v>-15790</v>
      </c>
      <c r="F116" s="141">
        <f>Financials!H125</f>
        <v>1127</v>
      </c>
      <c r="G116" s="141">
        <f>Financials!I125</f>
        <v>572</v>
      </c>
      <c r="H116" s="141">
        <f>Financials!J125</f>
        <v>0</v>
      </c>
      <c r="I116" s="141">
        <f>Financials!K125</f>
        <v>0</v>
      </c>
      <c r="J116" s="141">
        <f>Financials!L125</f>
        <v>0</v>
      </c>
      <c r="K116" s="141">
        <f>Financials!M125</f>
        <v>0</v>
      </c>
      <c r="L116" s="141">
        <f>Financials!N125</f>
        <v>0</v>
      </c>
      <c r="M116" s="141">
        <f>Financials!O125</f>
        <v>0</v>
      </c>
    </row>
    <row r="117" spans="1:13" x14ac:dyDescent="0.35">
      <c r="A117" s="135"/>
      <c r="B117" s="149" t="s">
        <v>222</v>
      </c>
      <c r="C117"/>
      <c r="D117"/>
      <c r="E117" s="141">
        <f>Financials!G126</f>
        <v>3938</v>
      </c>
      <c r="F117" s="141">
        <f>Financials!H126</f>
        <v>101</v>
      </c>
      <c r="G117" s="141">
        <f>Financials!I126</f>
        <v>0</v>
      </c>
      <c r="H117" s="141">
        <f>Financials!J126</f>
        <v>0</v>
      </c>
      <c r="I117" s="141">
        <f>Financials!K126</f>
        <v>0</v>
      </c>
      <c r="J117" s="141">
        <f>Financials!L126</f>
        <v>0</v>
      </c>
      <c r="K117" s="141">
        <f>Financials!M126</f>
        <v>0</v>
      </c>
      <c r="L117" s="141">
        <f>Financials!N126</f>
        <v>0</v>
      </c>
      <c r="M117" s="141">
        <f>Financials!O126</f>
        <v>0</v>
      </c>
    </row>
    <row r="118" spans="1:13" x14ac:dyDescent="0.35">
      <c r="A118" s="135"/>
      <c r="B118" s="149" t="s">
        <v>188</v>
      </c>
      <c r="C118"/>
      <c r="D118"/>
      <c r="E118" s="141">
        <f>Financials!G127</f>
        <v>5779</v>
      </c>
      <c r="F118" s="141">
        <f>Financials!H127</f>
        <v>15687</v>
      </c>
      <c r="G118" s="141">
        <f>Financials!I127</f>
        <v>23077</v>
      </c>
      <c r="H118" s="141">
        <f ca="1">H73-G73</f>
        <v>-16874.843329216601</v>
      </c>
      <c r="I118" s="141">
        <f>Financials!K127</f>
        <v>0</v>
      </c>
      <c r="J118" s="141">
        <f>Financials!L127</f>
        <v>0</v>
      </c>
      <c r="K118" s="141">
        <f>Financials!M127</f>
        <v>0</v>
      </c>
      <c r="L118" s="141">
        <f>Financials!N127</f>
        <v>0</v>
      </c>
      <c r="M118" s="141">
        <f>Financials!O127</f>
        <v>0</v>
      </c>
    </row>
    <row r="119" spans="1:13" x14ac:dyDescent="0.35">
      <c r="A119" s="135"/>
      <c r="B119" s="149" t="s">
        <v>187</v>
      </c>
      <c r="C119"/>
      <c r="D119"/>
      <c r="E119" s="141">
        <f>Financials!G128</f>
        <v>22905</v>
      </c>
      <c r="F119" s="141">
        <f>Financials!H128</f>
        <v>-842</v>
      </c>
      <c r="G119" s="141">
        <f>Financials!I128</f>
        <v>10894</v>
      </c>
      <c r="H119" s="141">
        <f>Financials!J128</f>
        <v>0</v>
      </c>
      <c r="I119" s="141">
        <f>Financials!K128</f>
        <v>0</v>
      </c>
      <c r="J119" s="141">
        <f>Financials!L128</f>
        <v>0</v>
      </c>
      <c r="K119" s="141">
        <f>Financials!M128</f>
        <v>0</v>
      </c>
      <c r="L119" s="141">
        <f>Financials!N128</f>
        <v>0</v>
      </c>
      <c r="M119" s="141">
        <f>Financials!O128</f>
        <v>0</v>
      </c>
    </row>
    <row r="120" spans="1:13" x14ac:dyDescent="0.35">
      <c r="A120" s="135"/>
      <c r="B120" s="149" t="s">
        <v>189</v>
      </c>
      <c r="C120"/>
      <c r="D120"/>
      <c r="E120" s="141">
        <f>Financials!G129</f>
        <v>5537</v>
      </c>
      <c r="F120" s="141">
        <f>Financials!H129</f>
        <v>-15004</v>
      </c>
      <c r="G120" s="141">
        <f>Financials!I129</f>
        <v>-12276</v>
      </c>
      <c r="H120" s="141">
        <f>Financials!J129</f>
        <v>0</v>
      </c>
      <c r="I120" s="141">
        <f>Financials!K129</f>
        <v>0</v>
      </c>
      <c r="J120" s="141">
        <f>Financials!L129</f>
        <v>0</v>
      </c>
      <c r="K120" s="141">
        <f>Financials!M129</f>
        <v>0</v>
      </c>
      <c r="L120" s="141">
        <f>Financials!N129</f>
        <v>0</v>
      </c>
      <c r="M120" s="141">
        <f>Financials!O129</f>
        <v>0</v>
      </c>
    </row>
    <row r="121" spans="1:13" x14ac:dyDescent="0.35">
      <c r="A121" s="135"/>
      <c r="B121" s="149" t="s">
        <v>223</v>
      </c>
      <c r="C121"/>
      <c r="D121"/>
      <c r="E121" s="141">
        <f>Financials!G130</f>
        <v>3551</v>
      </c>
      <c r="F121" s="141">
        <f>Financials!H130</f>
        <v>2422</v>
      </c>
      <c r="G121" s="141">
        <f>Financials!I130</f>
        <v>276</v>
      </c>
      <c r="H121" s="141">
        <f>Financials!J130</f>
        <v>0</v>
      </c>
      <c r="I121" s="141">
        <f>Financials!K130</f>
        <v>0</v>
      </c>
      <c r="J121" s="141">
        <f>Financials!L130</f>
        <v>0</v>
      </c>
      <c r="K121" s="141">
        <f>Financials!M130</f>
        <v>0</v>
      </c>
      <c r="L121" s="141">
        <f>Financials!N130</f>
        <v>0</v>
      </c>
      <c r="M121" s="141">
        <f>Financials!O130</f>
        <v>0</v>
      </c>
    </row>
    <row r="122" spans="1:13" x14ac:dyDescent="0.35">
      <c r="A122" s="9"/>
      <c r="B122" s="155" t="s">
        <v>224</v>
      </c>
      <c r="C122" s="9"/>
      <c r="D122" s="9"/>
      <c r="E122" s="153">
        <f>Financials!G131</f>
        <v>238451</v>
      </c>
      <c r="F122" s="153">
        <f>Financials!H131</f>
        <v>131218</v>
      </c>
      <c r="G122" s="176">
        <f t="shared" ref="G122:M122" si="24">SUM(G95:G121)</f>
        <v>133367</v>
      </c>
      <c r="H122" s="176">
        <f t="shared" ca="1" si="24"/>
        <v>159110.63887375715</v>
      </c>
      <c r="I122" s="176">
        <f t="shared" ca="1" si="24"/>
        <v>185161.60318109253</v>
      </c>
      <c r="J122" s="176">
        <f t="shared" ca="1" si="24"/>
        <v>177649.46543100671</v>
      </c>
      <c r="K122" s="176">
        <f t="shared" ca="1" si="24"/>
        <v>199595.04016827309</v>
      </c>
      <c r="L122" s="176">
        <f t="shared" ca="1" si="24"/>
        <v>198121.01981817104</v>
      </c>
      <c r="M122" s="176">
        <f t="shared" ca="1" si="24"/>
        <v>230481.62837748739</v>
      </c>
    </row>
    <row r="123" spans="1:13" x14ac:dyDescent="0.35">
      <c r="A123" s="135"/>
      <c r="B123" s="138" t="s">
        <v>225</v>
      </c>
      <c r="C123"/>
      <c r="D123"/>
      <c r="E123" s="139"/>
      <c r="F123" s="139"/>
      <c r="G123" s="139"/>
      <c r="H123"/>
      <c r="I123" s="135"/>
      <c r="J123" s="135"/>
      <c r="K123" s="135"/>
      <c r="L123" s="135"/>
      <c r="M123" s="135"/>
    </row>
    <row r="124" spans="1:13" x14ac:dyDescent="0.35">
      <c r="A124" s="135"/>
      <c r="B124" s="32" t="s">
        <v>226</v>
      </c>
      <c r="C124"/>
      <c r="D124"/>
      <c r="E124" s="141">
        <f>Financials!G133</f>
        <v>-54584</v>
      </c>
      <c r="F124" s="141">
        <f>Financials!H133</f>
        <v>-76455</v>
      </c>
      <c r="G124" s="141">
        <f>Financials!I133</f>
        <v>-84147</v>
      </c>
      <c r="H124" s="122">
        <f ca="1">-Assumptions!H25</f>
        <v>-74716.729138859519</v>
      </c>
      <c r="I124" s="122">
        <f ca="1">-Assumptions!I25</f>
        <v>-69059.408736799189</v>
      </c>
      <c r="J124" s="122">
        <f ca="1">-Assumptions!J25</f>
        <v>-62054.660546308573</v>
      </c>
      <c r="K124" s="122">
        <f ca="1">-Assumptions!K25</f>
        <v>-58173.428877686158</v>
      </c>
      <c r="L124" s="122">
        <f ca="1">-Assumptions!L25</f>
        <v>-59510.838232252354</v>
      </c>
      <c r="M124" s="122">
        <f ca="1">-Assumptions!M25</f>
        <v>-60885.440657612671</v>
      </c>
    </row>
    <row r="125" spans="1:13" x14ac:dyDescent="0.35">
      <c r="A125" s="135"/>
      <c r="B125" s="32" t="s">
        <v>227</v>
      </c>
      <c r="C125"/>
      <c r="D125"/>
      <c r="E125" s="141">
        <f>Financials!G134</f>
        <v>0</v>
      </c>
      <c r="F125" s="141">
        <f>Financials!H134</f>
        <v>3520</v>
      </c>
      <c r="G125" s="141">
        <f>Financials!I134</f>
        <v>0</v>
      </c>
      <c r="H125" s="141">
        <f>Financials!J134</f>
        <v>0</v>
      </c>
      <c r="I125" s="141">
        <f>Financials!K134</f>
        <v>0</v>
      </c>
      <c r="J125" s="141">
        <f>Financials!L134</f>
        <v>0</v>
      </c>
      <c r="K125" s="141">
        <f>Financials!M134</f>
        <v>0</v>
      </c>
      <c r="L125" s="141">
        <f>Financials!N134</f>
        <v>0</v>
      </c>
      <c r="M125" s="141">
        <f>Financials!O134</f>
        <v>0</v>
      </c>
    </row>
    <row r="126" spans="1:13" x14ac:dyDescent="0.35">
      <c r="A126" s="135"/>
      <c r="B126" s="32" t="s">
        <v>213</v>
      </c>
      <c r="C126"/>
      <c r="D126"/>
      <c r="E126" s="141">
        <f>Financials!G135</f>
        <v>0</v>
      </c>
      <c r="F126" s="141">
        <f>Financials!H135</f>
        <v>0</v>
      </c>
      <c r="G126" s="141">
        <f>Financials!I135</f>
        <v>42947</v>
      </c>
      <c r="H126" s="141">
        <f>Financials!J135</f>
        <v>0</v>
      </c>
      <c r="I126" s="141">
        <f>Financials!K135</f>
        <v>0</v>
      </c>
      <c r="J126" s="141">
        <f>Financials!L135</f>
        <v>0</v>
      </c>
      <c r="K126" s="141">
        <f>Financials!M135</f>
        <v>0</v>
      </c>
      <c r="L126" s="141">
        <f>Financials!N135</f>
        <v>0</v>
      </c>
      <c r="M126" s="141">
        <f>Financials!O135</f>
        <v>0</v>
      </c>
    </row>
    <row r="127" spans="1:13" x14ac:dyDescent="0.35">
      <c r="A127" s="135"/>
      <c r="B127" s="32" t="s">
        <v>228</v>
      </c>
      <c r="C127"/>
      <c r="D127"/>
      <c r="E127" s="141">
        <f>Financials!G136</f>
        <v>2689</v>
      </c>
      <c r="F127" s="141">
        <f>Financials!H136</f>
        <v>2904</v>
      </c>
      <c r="G127" s="141">
        <f>Financials!I136</f>
        <v>3138</v>
      </c>
      <c r="H127" s="141">
        <f>Financials!J136</f>
        <v>0</v>
      </c>
      <c r="I127" s="141">
        <f>Financials!K136</f>
        <v>0</v>
      </c>
      <c r="J127" s="141">
        <f>Financials!L136</f>
        <v>0</v>
      </c>
      <c r="K127" s="141">
        <f>Financials!M136</f>
        <v>0</v>
      </c>
      <c r="L127" s="141">
        <f>Financials!N136</f>
        <v>0</v>
      </c>
      <c r="M127" s="141">
        <f>Financials!O136</f>
        <v>0</v>
      </c>
    </row>
    <row r="128" spans="1:13" x14ac:dyDescent="0.35">
      <c r="A128" s="135"/>
      <c r="B128" s="32" t="s">
        <v>229</v>
      </c>
      <c r="C128"/>
      <c r="D128"/>
      <c r="E128" s="141">
        <f>Financials!G137</f>
        <v>4266</v>
      </c>
      <c r="F128" s="141">
        <f>Financials!H137</f>
        <v>1898</v>
      </c>
      <c r="G128" s="141">
        <f>Financials!I137</f>
        <v>0</v>
      </c>
      <c r="H128" s="141">
        <f>Financials!J137</f>
        <v>0</v>
      </c>
      <c r="I128" s="141">
        <f>Financials!K137</f>
        <v>0</v>
      </c>
      <c r="J128" s="141">
        <f>Financials!L137</f>
        <v>0</v>
      </c>
      <c r="K128" s="141">
        <f>Financials!M137</f>
        <v>0</v>
      </c>
      <c r="L128" s="141">
        <f>Financials!N137</f>
        <v>0</v>
      </c>
      <c r="M128" s="141">
        <f>Financials!O137</f>
        <v>0</v>
      </c>
    </row>
    <row r="129" spans="1:13" x14ac:dyDescent="0.35">
      <c r="A129" s="9"/>
      <c r="B129" s="155" t="s">
        <v>230</v>
      </c>
      <c r="C129" s="9"/>
      <c r="D129" s="9"/>
      <c r="E129" s="153">
        <f>Financials!G138</f>
        <v>-47629</v>
      </c>
      <c r="F129" s="153">
        <f>Financials!H138</f>
        <v>-68133</v>
      </c>
      <c r="G129" s="153">
        <f>Financials!I138</f>
        <v>-38062</v>
      </c>
      <c r="H129" s="153">
        <f t="shared" ref="H129:M129" ca="1" si="25">SUM(H124:H128)</f>
        <v>-74716.729138859519</v>
      </c>
      <c r="I129" s="153">
        <f t="shared" ca="1" si="25"/>
        <v>-69059.408736799189</v>
      </c>
      <c r="J129" s="153">
        <f t="shared" ca="1" si="25"/>
        <v>-62054.660546308573</v>
      </c>
      <c r="K129" s="153">
        <f t="shared" ca="1" si="25"/>
        <v>-58173.428877686158</v>
      </c>
      <c r="L129" s="153">
        <f t="shared" ca="1" si="25"/>
        <v>-59510.838232252354</v>
      </c>
      <c r="M129" s="153">
        <f t="shared" ca="1" si="25"/>
        <v>-60885.440657612671</v>
      </c>
    </row>
    <row r="130" spans="1:13" x14ac:dyDescent="0.35">
      <c r="A130" s="135"/>
      <c r="B130" s="138" t="s">
        <v>231</v>
      </c>
      <c r="C130"/>
      <c r="D130"/>
      <c r="E130" s="139"/>
      <c r="F130" s="139"/>
      <c r="G130" s="139"/>
      <c r="H130"/>
      <c r="I130" s="135"/>
      <c r="J130" s="135"/>
      <c r="K130" s="135"/>
      <c r="L130" s="135"/>
      <c r="M130" s="135"/>
    </row>
    <row r="131" spans="1:13" s="241" customFormat="1" x14ac:dyDescent="0.35">
      <c r="A131" s="32"/>
      <c r="B131" s="32" t="s">
        <v>232</v>
      </c>
      <c r="C131" s="32"/>
      <c r="D131" s="32"/>
      <c r="E131" s="141">
        <f>Financials!G140</f>
        <v>0</v>
      </c>
      <c r="F131" s="141">
        <f>Financials!H140</f>
        <v>0</v>
      </c>
      <c r="G131" s="141">
        <f>Financials!I140</f>
        <v>61000</v>
      </c>
      <c r="H131" s="298">
        <f>Financials!J140</f>
        <v>0</v>
      </c>
      <c r="I131" s="298">
        <f>Financials!K140</f>
        <v>0</v>
      </c>
      <c r="J131" s="298">
        <f>Financials!L140</f>
        <v>0</v>
      </c>
      <c r="K131" s="298">
        <f>Financials!M140</f>
        <v>0</v>
      </c>
      <c r="L131" s="298">
        <f>Financials!N140</f>
        <v>0</v>
      </c>
      <c r="M131" s="298">
        <f>Financials!O140</f>
        <v>0</v>
      </c>
    </row>
    <row r="132" spans="1:13" s="241" customFormat="1" x14ac:dyDescent="0.35">
      <c r="A132" s="32"/>
      <c r="B132" s="32" t="s">
        <v>233</v>
      </c>
      <c r="C132" s="32"/>
      <c r="D132" s="32"/>
      <c r="E132" s="141">
        <f>Financials!G141</f>
        <v>0</v>
      </c>
      <c r="F132" s="141">
        <f>Financials!H141</f>
        <v>-352500</v>
      </c>
      <c r="G132" s="141">
        <f>Financials!I141</f>
        <v>-24000</v>
      </c>
      <c r="H132" s="141">
        <f ca="1">Debt!H24</f>
        <v>-28762.909734897636</v>
      </c>
      <c r="I132" s="141">
        <f>Financials!K141</f>
        <v>0</v>
      </c>
      <c r="J132" s="141">
        <f>Financials!L141</f>
        <v>0</v>
      </c>
      <c r="K132" s="141">
        <f>Financials!M141</f>
        <v>0</v>
      </c>
      <c r="L132" s="141">
        <f>Financials!N141</f>
        <v>0</v>
      </c>
      <c r="M132" s="141">
        <f>Financials!O141</f>
        <v>0</v>
      </c>
    </row>
    <row r="133" spans="1:13" s="241" customFormat="1" x14ac:dyDescent="0.35">
      <c r="A133" s="32"/>
      <c r="B133" s="32" t="s">
        <v>234</v>
      </c>
      <c r="C133" s="32"/>
      <c r="D133" s="32"/>
      <c r="E133" s="141">
        <f>Financials!G142</f>
        <v>-26800</v>
      </c>
      <c r="F133" s="141">
        <f>Financials!H142</f>
        <v>-14200</v>
      </c>
      <c r="G133" s="141">
        <f>Financials!I142</f>
        <v>0</v>
      </c>
      <c r="H133" s="141">
        <f>Financials!J142</f>
        <v>0</v>
      </c>
      <c r="I133" s="141">
        <f>Financials!K142</f>
        <v>0</v>
      </c>
      <c r="J133" s="141">
        <f>Financials!L142</f>
        <v>0</v>
      </c>
      <c r="K133" s="141">
        <f>Financials!M142</f>
        <v>0</v>
      </c>
      <c r="L133" s="141">
        <f>Financials!N142</f>
        <v>0</v>
      </c>
      <c r="M133" s="141">
        <f>Financials!O142</f>
        <v>0</v>
      </c>
    </row>
    <row r="134" spans="1:13" s="241" customFormat="1" x14ac:dyDescent="0.35">
      <c r="A134" s="32"/>
      <c r="B134" s="32" t="s">
        <v>235</v>
      </c>
      <c r="C134" s="32"/>
      <c r="D134" s="32"/>
      <c r="E134" s="141">
        <f>Financials!G143</f>
        <v>0</v>
      </c>
      <c r="F134" s="141">
        <f>Financials!H143</f>
        <v>1234438</v>
      </c>
      <c r="G134" s="141">
        <f>Financials!I143</f>
        <v>0</v>
      </c>
      <c r="H134" s="141">
        <f>Financials!J143</f>
        <v>0</v>
      </c>
      <c r="I134" s="141">
        <f>Financials!K143</f>
        <v>0</v>
      </c>
      <c r="J134" s="141">
        <f>Financials!L143</f>
        <v>0</v>
      </c>
      <c r="K134" s="141">
        <f>Financials!M143</f>
        <v>0</v>
      </c>
      <c r="L134" s="141">
        <f>Financials!N143</f>
        <v>0</v>
      </c>
      <c r="M134" s="141">
        <f>Financials!O143</f>
        <v>0</v>
      </c>
    </row>
    <row r="135" spans="1:13" s="241" customFormat="1" x14ac:dyDescent="0.35">
      <c r="A135" s="32"/>
      <c r="B135" s="32" t="s">
        <v>236</v>
      </c>
      <c r="C135" s="32"/>
      <c r="D135" s="32"/>
      <c r="E135" s="141">
        <f>Financials!G144</f>
        <v>-45692</v>
      </c>
      <c r="F135" s="141">
        <f>Financials!H144</f>
        <v>-1004692</v>
      </c>
      <c r="G135" s="141">
        <f>Financials!I144</f>
        <v>-106146</v>
      </c>
      <c r="H135" s="141">
        <f>SUM(Debt!H20:H21)</f>
        <v>-45900</v>
      </c>
      <c r="I135" s="141">
        <f>SUM(Debt!I20:I21)</f>
        <v>-45000</v>
      </c>
      <c r="J135" s="141">
        <f>SUM(Debt!J20:J21)</f>
        <v>-45000</v>
      </c>
      <c r="K135" s="141">
        <f>SUM(Debt!K20:K21)</f>
        <v>0</v>
      </c>
      <c r="L135" s="141">
        <f>SUM(Debt!L20:L21)</f>
        <v>0</v>
      </c>
      <c r="M135" s="141">
        <f>SUM(Debt!M20:M21)</f>
        <v>0</v>
      </c>
    </row>
    <row r="136" spans="1:13" s="241" customFormat="1" x14ac:dyDescent="0.35">
      <c r="A136" s="32"/>
      <c r="B136" s="32" t="s">
        <v>237</v>
      </c>
      <c r="C136" s="32"/>
      <c r="D136" s="32"/>
      <c r="E136" s="141">
        <f>Financials!G145</f>
        <v>0</v>
      </c>
      <c r="F136" s="141">
        <f>Financials!H145</f>
        <v>60586</v>
      </c>
      <c r="G136" s="141">
        <f>Financials!I145</f>
        <v>0</v>
      </c>
      <c r="H136" s="141">
        <f>Financials!J145</f>
        <v>0</v>
      </c>
      <c r="I136" s="141">
        <f>Financials!K145</f>
        <v>0</v>
      </c>
      <c r="J136" s="141">
        <f>Financials!L145</f>
        <v>0</v>
      </c>
      <c r="K136" s="141">
        <f>Financials!M145</f>
        <v>0</v>
      </c>
      <c r="L136" s="141">
        <f>Financials!N145</f>
        <v>0</v>
      </c>
      <c r="M136" s="141">
        <f>Financials!O145</f>
        <v>0</v>
      </c>
    </row>
    <row r="137" spans="1:13" s="241" customFormat="1" x14ac:dyDescent="0.35">
      <c r="A137" s="32"/>
      <c r="B137" s="32" t="s">
        <v>238</v>
      </c>
      <c r="C137" s="32"/>
      <c r="D137" s="32"/>
      <c r="E137" s="141">
        <f>Financials!G146</f>
        <v>-182</v>
      </c>
      <c r="F137" s="141">
        <f>Financials!H146</f>
        <v>-9725</v>
      </c>
      <c r="G137" s="141">
        <f>Financials!I146</f>
        <v>-18142</v>
      </c>
      <c r="H137" s="141">
        <f>Financials!J146</f>
        <v>0</v>
      </c>
      <c r="I137" s="141">
        <f>Financials!K146</f>
        <v>0</v>
      </c>
      <c r="J137" s="141">
        <f>Financials!L146</f>
        <v>0</v>
      </c>
      <c r="K137" s="141">
        <f>Financials!M146</f>
        <v>0</v>
      </c>
      <c r="L137" s="141">
        <f>Financials!N146</f>
        <v>0</v>
      </c>
      <c r="M137" s="141">
        <f>Financials!O146</f>
        <v>0</v>
      </c>
    </row>
    <row r="138" spans="1:13" s="241" customFormat="1" x14ac:dyDescent="0.35">
      <c r="A138" s="32"/>
      <c r="B138" s="32" t="s">
        <v>239</v>
      </c>
      <c r="C138" s="32"/>
      <c r="D138" s="32"/>
      <c r="E138" s="141">
        <f>Financials!G147</f>
        <v>0</v>
      </c>
      <c r="F138" s="141">
        <f>Financials!H147</f>
        <v>-57645</v>
      </c>
      <c r="G138" s="141">
        <f>Financials!I147</f>
        <v>0</v>
      </c>
      <c r="H138" s="141">
        <f>Financials!J147</f>
        <v>0</v>
      </c>
      <c r="I138" s="141">
        <f>Financials!K147</f>
        <v>0</v>
      </c>
      <c r="J138" s="141">
        <f>Financials!L147</f>
        <v>0</v>
      </c>
      <c r="K138" s="141">
        <f>Financials!M147</f>
        <v>0</v>
      </c>
      <c r="L138" s="141">
        <f>Financials!N147</f>
        <v>0</v>
      </c>
      <c r="M138" s="141">
        <f>Financials!O147</f>
        <v>0</v>
      </c>
    </row>
    <row r="139" spans="1:13" s="241" customFormat="1" x14ac:dyDescent="0.35">
      <c r="A139" s="32"/>
      <c r="B139" s="32" t="s">
        <v>240</v>
      </c>
      <c r="C139" s="32"/>
      <c r="D139" s="32"/>
      <c r="E139" s="141">
        <f>Financials!G148</f>
        <v>-15735</v>
      </c>
      <c r="F139" s="141">
        <f>Financials!H148</f>
        <v>-27328</v>
      </c>
      <c r="G139" s="141">
        <f>Financials!I148</f>
        <v>0</v>
      </c>
      <c r="H139" s="141">
        <f>Financials!J148</f>
        <v>0</v>
      </c>
      <c r="I139" s="141">
        <f>Financials!K148</f>
        <v>0</v>
      </c>
      <c r="J139" s="141">
        <f>Financials!L148</f>
        <v>0</v>
      </c>
      <c r="K139" s="141">
        <f>Financials!M148</f>
        <v>0</v>
      </c>
      <c r="L139" s="141">
        <f>Financials!N148</f>
        <v>0</v>
      </c>
      <c r="M139" s="141">
        <f>Financials!O148</f>
        <v>0</v>
      </c>
    </row>
    <row r="140" spans="1:13" s="241" customFormat="1" x14ac:dyDescent="0.35">
      <c r="A140" s="32"/>
      <c r="B140" s="32" t="s">
        <v>241</v>
      </c>
      <c r="C140" s="32"/>
      <c r="D140" s="32"/>
      <c r="E140" s="141">
        <f>Financials!G149</f>
        <v>-3030</v>
      </c>
      <c r="F140" s="141">
        <f>Financials!H149</f>
        <v>-6761</v>
      </c>
      <c r="G140" s="141">
        <f>Financials!I149</f>
        <v>-9927</v>
      </c>
      <c r="H140" s="141">
        <f>Financials!J149</f>
        <v>0</v>
      </c>
      <c r="I140" s="141">
        <f>Financials!K149</f>
        <v>0</v>
      </c>
      <c r="J140" s="141">
        <f>Financials!L149</f>
        <v>0</v>
      </c>
      <c r="K140" s="141">
        <f>Financials!M149</f>
        <v>0</v>
      </c>
      <c r="L140" s="141">
        <f>Financials!N149</f>
        <v>0</v>
      </c>
      <c r="M140" s="141">
        <f>Financials!O149</f>
        <v>0</v>
      </c>
    </row>
    <row r="141" spans="1:13" x14ac:dyDescent="0.35">
      <c r="A141" s="161"/>
      <c r="B141" s="160" t="s">
        <v>242</v>
      </c>
      <c r="C141" s="161"/>
      <c r="D141" s="161"/>
      <c r="E141" s="162">
        <f>Financials!G150</f>
        <v>-91439</v>
      </c>
      <c r="F141" s="162">
        <f>Financials!H150</f>
        <v>-177827</v>
      </c>
      <c r="G141" s="162">
        <f>Financials!I150</f>
        <v>-97215</v>
      </c>
      <c r="H141" s="162">
        <f t="shared" ref="H141:M141" ca="1" si="26">SUM(H131:H140)</f>
        <v>-74662.909734897636</v>
      </c>
      <c r="I141" s="161">
        <f t="shared" si="26"/>
        <v>-45000</v>
      </c>
      <c r="J141" s="161">
        <f t="shared" si="26"/>
        <v>-45000</v>
      </c>
      <c r="K141" s="161">
        <f t="shared" si="26"/>
        <v>0</v>
      </c>
      <c r="L141" s="161">
        <f t="shared" si="26"/>
        <v>0</v>
      </c>
      <c r="M141" s="161">
        <f t="shared" si="26"/>
        <v>0</v>
      </c>
    </row>
    <row r="142" spans="1:13" x14ac:dyDescent="0.35">
      <c r="A142" s="3"/>
      <c r="B142" s="72" t="s">
        <v>243</v>
      </c>
      <c r="C142" s="3"/>
      <c r="D142" s="3"/>
      <c r="E142" s="141">
        <f>Financials!G151</f>
        <v>99383</v>
      </c>
      <c r="F142" s="141">
        <f>Financials!H151</f>
        <v>-114742</v>
      </c>
      <c r="G142" s="177">
        <f t="shared" ref="G142:M142" si="27">SUM(G141,G122,G129)</f>
        <v>-1910</v>
      </c>
      <c r="H142" s="177">
        <f t="shared" ca="1" si="27"/>
        <v>9731</v>
      </c>
      <c r="I142" s="177">
        <f t="shared" ca="1" si="27"/>
        <v>71102.194444293345</v>
      </c>
      <c r="J142" s="177">
        <f t="shared" ca="1" si="27"/>
        <v>70594.80488469814</v>
      </c>
      <c r="K142" s="177">
        <f t="shared" ca="1" si="27"/>
        <v>141421.61129058694</v>
      </c>
      <c r="L142" s="177">
        <f t="shared" ca="1" si="27"/>
        <v>138610.1815859187</v>
      </c>
      <c r="M142" s="177">
        <f t="shared" ca="1" si="27"/>
        <v>169596.18771987472</v>
      </c>
    </row>
    <row r="143" spans="1:13" x14ac:dyDescent="0.35">
      <c r="A143" s="135"/>
      <c r="B143" s="136" t="s">
        <v>244</v>
      </c>
      <c r="C143"/>
      <c r="D143"/>
      <c r="E143" s="141">
        <f>Financials!G152</f>
        <v>17538</v>
      </c>
      <c r="F143" s="298">
        <f>Financials!H152</f>
        <v>116921</v>
      </c>
      <c r="G143" s="141">
        <f>Financials!I152</f>
        <v>2179</v>
      </c>
      <c r="H143" s="165">
        <f t="shared" ref="H143:M143" si="28">G144</f>
        <v>269</v>
      </c>
      <c r="I143" s="165">
        <f t="shared" ca="1" si="28"/>
        <v>10000</v>
      </c>
      <c r="J143" s="165">
        <f t="shared" ca="1" si="28"/>
        <v>81102.194444293345</v>
      </c>
      <c r="K143" s="165">
        <f t="shared" ca="1" si="28"/>
        <v>151696.99932899149</v>
      </c>
      <c r="L143" s="165">
        <f t="shared" ca="1" si="28"/>
        <v>293118.61061957851</v>
      </c>
      <c r="M143" s="165">
        <f t="shared" ca="1" si="28"/>
        <v>431728.79220549716</v>
      </c>
    </row>
    <row r="144" spans="1:13" ht="15" thickBot="1" x14ac:dyDescent="0.4">
      <c r="A144" s="10"/>
      <c r="B144" s="159" t="s">
        <v>245</v>
      </c>
      <c r="C144" s="10"/>
      <c r="D144" s="10"/>
      <c r="E144" s="151">
        <f>Financials!G153</f>
        <v>116921</v>
      </c>
      <c r="F144" s="299">
        <f>Financials!H153</f>
        <v>2179</v>
      </c>
      <c r="G144" s="151">
        <f>Financials!I153</f>
        <v>269</v>
      </c>
      <c r="H144" s="178">
        <f t="shared" ref="H144:M144" ca="1" si="29">SUM(H142:H143)</f>
        <v>10000</v>
      </c>
      <c r="I144" s="178">
        <f t="shared" ca="1" si="29"/>
        <v>81102.194444293345</v>
      </c>
      <c r="J144" s="178">
        <f t="shared" ca="1" si="29"/>
        <v>151696.99932899149</v>
      </c>
      <c r="K144" s="178">
        <f t="shared" ca="1" si="29"/>
        <v>293118.61061957839</v>
      </c>
      <c r="L144" s="178">
        <f t="shared" ca="1" si="29"/>
        <v>431728.79220549722</v>
      </c>
      <c r="M144" s="178">
        <f t="shared" ca="1" si="29"/>
        <v>601324.97992537194</v>
      </c>
    </row>
    <row r="145" spans="1:13" ht="15" thickTop="1" x14ac:dyDescent="0.35">
      <c r="A145" s="13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35">
      <c r="A146" s="135"/>
      <c r="B146"/>
      <c r="C146"/>
      <c r="D146"/>
      <c r="E146"/>
      <c r="F146"/>
      <c r="G146"/>
      <c r="H146"/>
      <c r="I146"/>
      <c r="J146"/>
      <c r="K146"/>
      <c r="L146"/>
      <c r="M146"/>
    </row>
    <row r="157" spans="1:13" x14ac:dyDescent="0.35">
      <c r="A157" s="135"/>
      <c r="B157"/>
      <c r="C157"/>
      <c r="D157"/>
      <c r="E157"/>
      <c r="F157"/>
      <c r="G157"/>
      <c r="H157"/>
      <c r="I157"/>
      <c r="J157"/>
      <c r="K157"/>
      <c r="L157"/>
      <c r="M157"/>
    </row>
  </sheetData>
  <conditionalFormatting sqref="E91:M91">
    <cfRule type="cellIs" dxfId="0" priority="1" operator="equal">
      <formula>FALSE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25E5-6606-4242-96C4-72FCA3FF839B}">
  <dimension ref="A1:M90"/>
  <sheetViews>
    <sheetView showGridLines="0" topLeftCell="B1" zoomScale="70" zoomScaleNormal="70" workbookViewId="0">
      <selection activeCell="C50" sqref="C50"/>
    </sheetView>
  </sheetViews>
  <sheetFormatPr defaultColWidth="15.6328125" defaultRowHeight="14.5" x14ac:dyDescent="0.35"/>
  <cols>
    <col min="1" max="1" width="1.6328125" customWidth="1"/>
    <col min="14" max="16384" width="15.6328125" style="3"/>
  </cols>
  <sheetData>
    <row r="1" spans="1:13" s="186" customFormat="1" x14ac:dyDescent="0.35">
      <c r="A1" s="135"/>
      <c r="B1" s="135"/>
      <c r="C1" s="135" t="s">
        <v>42</v>
      </c>
      <c r="D1" s="135" t="s">
        <v>43</v>
      </c>
      <c r="E1" s="135" t="s">
        <v>44</v>
      </c>
      <c r="F1" s="135" t="s">
        <v>45</v>
      </c>
      <c r="G1" s="3" t="s">
        <v>46</v>
      </c>
      <c r="H1" s="135" t="s">
        <v>47</v>
      </c>
      <c r="I1" s="135" t="s">
        <v>48</v>
      </c>
      <c r="J1" s="135" t="s">
        <v>49</v>
      </c>
      <c r="K1" s="135" t="s">
        <v>50</v>
      </c>
      <c r="L1" s="135" t="s">
        <v>51</v>
      </c>
      <c r="M1" s="135" t="s">
        <v>320</v>
      </c>
    </row>
    <row r="3" spans="1:13" s="202" customFormat="1" x14ac:dyDescent="0.35">
      <c r="A3" s="103"/>
      <c r="B3" s="103" t="s">
        <v>248</v>
      </c>
      <c r="C3" s="103"/>
      <c r="D3" s="103"/>
      <c r="E3" s="103"/>
      <c r="F3" s="103"/>
      <c r="G3" s="104"/>
      <c r="H3" s="103"/>
      <c r="I3" s="103"/>
      <c r="J3" s="103"/>
      <c r="K3" s="103"/>
      <c r="L3" s="103"/>
      <c r="M3" s="103"/>
    </row>
    <row r="4" spans="1:13" s="186" customFormat="1" x14ac:dyDescent="0.35">
      <c r="A4" s="135"/>
      <c r="C4"/>
      <c r="D4"/>
      <c r="E4"/>
      <c r="F4"/>
      <c r="G4"/>
      <c r="H4"/>
      <c r="I4"/>
      <c r="J4"/>
      <c r="K4"/>
      <c r="L4"/>
      <c r="M4"/>
    </row>
    <row r="5" spans="1:13" s="186" customFormat="1" x14ac:dyDescent="0.35">
      <c r="A5" s="315"/>
      <c r="B5" s="325" t="s">
        <v>278</v>
      </c>
      <c r="C5" s="315"/>
      <c r="D5" s="315"/>
      <c r="E5" s="315"/>
      <c r="F5" s="315"/>
      <c r="G5" s="315"/>
      <c r="H5" s="315"/>
      <c r="I5" s="315"/>
      <c r="J5" s="315"/>
      <c r="K5" s="315"/>
      <c r="L5" s="315"/>
      <c r="M5" s="315"/>
    </row>
    <row r="6" spans="1:13" s="186" customFormat="1" x14ac:dyDescent="0.35">
      <c r="A6" s="135"/>
      <c r="B6" s="2" t="s">
        <v>279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</row>
    <row r="7" spans="1:13" s="186" customFormat="1" x14ac:dyDescent="0.35">
      <c r="A7" s="135"/>
      <c r="B7" s="14" t="s">
        <v>10</v>
      </c>
      <c r="C7" s="135"/>
      <c r="D7" s="135"/>
      <c r="E7" s="135"/>
      <c r="F7" s="135"/>
      <c r="G7" s="28">
        <v>37</v>
      </c>
      <c r="H7" s="165">
        <f t="shared" ref="H7:M7" ca="1" si="0">H33</f>
        <v>8237.0902651023644</v>
      </c>
      <c r="I7" s="165">
        <f t="shared" ca="1" si="0"/>
        <v>0</v>
      </c>
      <c r="J7" s="165">
        <f t="shared" ca="1" si="0"/>
        <v>0</v>
      </c>
      <c r="K7" s="165">
        <f t="shared" ca="1" si="0"/>
        <v>0</v>
      </c>
      <c r="L7" s="165">
        <f t="shared" ca="1" si="0"/>
        <v>0</v>
      </c>
      <c r="M7" s="165">
        <f t="shared" ca="1" si="0"/>
        <v>0</v>
      </c>
    </row>
    <row r="8" spans="1:13" s="186" customFormat="1" x14ac:dyDescent="0.35">
      <c r="A8" s="135"/>
      <c r="B8" s="14" t="s">
        <v>11</v>
      </c>
      <c r="C8" s="135"/>
      <c r="D8" s="135"/>
      <c r="E8" s="135"/>
      <c r="F8" s="135"/>
      <c r="G8" s="28">
        <f>Capitalization!C9</f>
        <v>762.9</v>
      </c>
      <c r="H8" s="135">
        <f t="shared" ref="H8:M8" si="1">H45</f>
        <v>743300</v>
      </c>
      <c r="I8" s="135">
        <f t="shared" si="1"/>
        <v>698300</v>
      </c>
      <c r="J8" s="135">
        <f t="shared" si="1"/>
        <v>653300</v>
      </c>
      <c r="K8" s="135">
        <f t="shared" si="1"/>
        <v>653300</v>
      </c>
      <c r="L8" s="135">
        <f t="shared" si="1"/>
        <v>653300</v>
      </c>
      <c r="M8" s="135">
        <f t="shared" si="1"/>
        <v>653300</v>
      </c>
    </row>
    <row r="9" spans="1:13" s="186" customFormat="1" x14ac:dyDescent="0.35">
      <c r="A9" s="135"/>
      <c r="B9" s="14" t="s">
        <v>13</v>
      </c>
      <c r="C9" s="135"/>
      <c r="D9" s="135"/>
      <c r="E9" s="135"/>
      <c r="F9" s="135"/>
      <c r="G9" s="28">
        <f>Capitalization!C10</f>
        <v>9.3000000000000007</v>
      </c>
      <c r="H9" s="165">
        <f>H54</f>
        <v>0</v>
      </c>
      <c r="I9" s="165">
        <f t="shared" ref="I9:M11" si="2">H9</f>
        <v>0</v>
      </c>
      <c r="J9" s="165">
        <f t="shared" si="2"/>
        <v>0</v>
      </c>
      <c r="K9" s="165">
        <f t="shared" si="2"/>
        <v>0</v>
      </c>
      <c r="L9" s="165">
        <f t="shared" si="2"/>
        <v>0</v>
      </c>
      <c r="M9" s="165">
        <f t="shared" si="2"/>
        <v>0</v>
      </c>
    </row>
    <row r="10" spans="1:13" s="186" customFormat="1" x14ac:dyDescent="0.35">
      <c r="A10" s="135"/>
      <c r="B10" s="14" t="s">
        <v>14</v>
      </c>
      <c r="C10" s="135"/>
      <c r="D10" s="135"/>
      <c r="E10" s="135"/>
      <c r="F10" s="135"/>
      <c r="G10" s="28">
        <f>Capitalization!C11</f>
        <v>3.1</v>
      </c>
      <c r="H10" s="165">
        <f>H63</f>
        <v>0</v>
      </c>
      <c r="I10" s="165">
        <f t="shared" si="2"/>
        <v>0</v>
      </c>
      <c r="J10" s="165">
        <f t="shared" si="2"/>
        <v>0</v>
      </c>
      <c r="K10" s="165">
        <f t="shared" si="2"/>
        <v>0</v>
      </c>
      <c r="L10" s="165">
        <f t="shared" si="2"/>
        <v>0</v>
      </c>
      <c r="M10" s="165">
        <f t="shared" si="2"/>
        <v>0</v>
      </c>
    </row>
    <row r="11" spans="1:13" s="186" customFormat="1" x14ac:dyDescent="0.35">
      <c r="A11" s="135"/>
      <c r="B11" s="14" t="s">
        <v>280</v>
      </c>
      <c r="C11" s="135"/>
      <c r="D11" s="135"/>
      <c r="E11" s="135"/>
      <c r="F11" s="135"/>
      <c r="G11" s="28">
        <v>13.9</v>
      </c>
      <c r="H11" s="28">
        <f>H71</f>
        <v>0</v>
      </c>
      <c r="I11" s="28">
        <f t="shared" si="2"/>
        <v>0</v>
      </c>
      <c r="J11" s="28">
        <f t="shared" si="2"/>
        <v>0</v>
      </c>
      <c r="K11" s="28">
        <f t="shared" si="2"/>
        <v>0</v>
      </c>
      <c r="L11" s="28">
        <f t="shared" si="2"/>
        <v>0</v>
      </c>
      <c r="M11" s="28">
        <f t="shared" si="2"/>
        <v>0</v>
      </c>
    </row>
    <row r="12" spans="1:13" s="66" customFormat="1" x14ac:dyDescent="0.35">
      <c r="A12" s="8"/>
      <c r="B12" s="305" t="s">
        <v>362</v>
      </c>
      <c r="C12" s="8"/>
      <c r="D12" s="8"/>
      <c r="E12" s="234">
        <v>782</v>
      </c>
      <c r="F12" s="8">
        <v>902</v>
      </c>
      <c r="G12" s="49">
        <f>SUM(G7:G11)</f>
        <v>826.19999999999993</v>
      </c>
      <c r="H12" s="49">
        <f t="shared" ref="H12:M12" ca="1" si="3">SUM(H7:H11)</f>
        <v>751537.09026510234</v>
      </c>
      <c r="I12" s="49">
        <f t="shared" ca="1" si="3"/>
        <v>698300</v>
      </c>
      <c r="J12" s="49">
        <f t="shared" ca="1" si="3"/>
        <v>653300</v>
      </c>
      <c r="K12" s="49">
        <f t="shared" ca="1" si="3"/>
        <v>653300</v>
      </c>
      <c r="L12" s="49">
        <f t="shared" ca="1" si="3"/>
        <v>653300</v>
      </c>
      <c r="M12" s="49">
        <f t="shared" ca="1" si="3"/>
        <v>653300</v>
      </c>
    </row>
    <row r="13" spans="1:13" s="186" customFormat="1" x14ac:dyDescent="0.35">
      <c r="A13" s="135"/>
      <c r="B13" s="14" t="s">
        <v>12</v>
      </c>
      <c r="C13"/>
      <c r="D13"/>
      <c r="E13"/>
      <c r="F13"/>
      <c r="G13" s="28">
        <f>Capitalization!C14</f>
        <v>425</v>
      </c>
      <c r="H13">
        <f t="shared" ref="H13:M13" si="4">H80</f>
        <v>425000</v>
      </c>
      <c r="I13" s="135">
        <f t="shared" si="4"/>
        <v>425000</v>
      </c>
      <c r="J13" s="135">
        <f t="shared" si="4"/>
        <v>425000</v>
      </c>
      <c r="K13" s="135">
        <f t="shared" si="4"/>
        <v>425000</v>
      </c>
      <c r="L13" s="135">
        <f t="shared" si="4"/>
        <v>425000</v>
      </c>
      <c r="M13" s="135">
        <f t="shared" si="4"/>
        <v>425000</v>
      </c>
    </row>
    <row r="14" spans="1:13" s="66" customFormat="1" x14ac:dyDescent="0.35">
      <c r="A14" s="8"/>
      <c r="B14" s="305" t="s">
        <v>279</v>
      </c>
      <c r="C14" s="8"/>
      <c r="D14" s="8"/>
      <c r="E14" s="234">
        <v>1022</v>
      </c>
      <c r="F14" s="8">
        <v>1205</v>
      </c>
      <c r="G14" s="49">
        <f>SUM(G12:G13)</f>
        <v>1251.1999999999998</v>
      </c>
      <c r="H14" s="49">
        <f t="shared" ref="H14:M14" ca="1" si="5">SUM(H12:H13)</f>
        <v>1176537.0902651022</v>
      </c>
      <c r="I14" s="49">
        <f t="shared" ca="1" si="5"/>
        <v>1123300</v>
      </c>
      <c r="J14" s="49">
        <f t="shared" ca="1" si="5"/>
        <v>1078300</v>
      </c>
      <c r="K14" s="49">
        <f t="shared" ca="1" si="5"/>
        <v>1078300</v>
      </c>
      <c r="L14" s="49">
        <f t="shared" ca="1" si="5"/>
        <v>1078300</v>
      </c>
      <c r="M14" s="49">
        <f t="shared" ca="1" si="5"/>
        <v>1078300</v>
      </c>
    </row>
    <row r="15" spans="1:13" s="186" customFormat="1" x14ac:dyDescent="0.35">
      <c r="A15" s="3"/>
      <c r="B15" s="293"/>
      <c r="C15" s="3"/>
      <c r="D15" s="3"/>
      <c r="E15" s="3"/>
      <c r="F15" s="3"/>
      <c r="G15" s="231"/>
      <c r="H15" s="231"/>
      <c r="I15" s="231"/>
      <c r="J15" s="231"/>
      <c r="K15" s="231"/>
      <c r="L15" s="231"/>
      <c r="M15" s="231"/>
    </row>
    <row r="16" spans="1:13" s="186" customFormat="1" x14ac:dyDescent="0.35">
      <c r="A16" s="3"/>
      <c r="B16" s="408" t="s">
        <v>403</v>
      </c>
      <c r="C16" s="3"/>
      <c r="D16" s="3"/>
      <c r="E16" s="3"/>
      <c r="F16" s="3"/>
      <c r="G16" s="231"/>
      <c r="H16" s="231"/>
      <c r="I16" s="231"/>
      <c r="J16" s="231"/>
      <c r="K16" s="231"/>
      <c r="L16" s="231"/>
      <c r="M16" s="231"/>
    </row>
    <row r="17" spans="1:13" s="186" customFormat="1" x14ac:dyDescent="0.35">
      <c r="A17" s="135"/>
      <c r="B17" s="32" t="s">
        <v>249</v>
      </c>
      <c r="C17"/>
      <c r="D17"/>
      <c r="E17"/>
      <c r="F17"/>
      <c r="G17"/>
      <c r="H17" s="122">
        <f t="shared" ref="H17:M17" si="6">G28</f>
        <v>269</v>
      </c>
      <c r="I17" s="122">
        <f t="shared" ca="1" si="6"/>
        <v>10000</v>
      </c>
      <c r="J17" s="122">
        <f t="shared" ca="1" si="6"/>
        <v>72865.104179190981</v>
      </c>
      <c r="K17" s="122">
        <f t="shared" ca="1" si="6"/>
        <v>143459.90906388912</v>
      </c>
      <c r="L17" s="122">
        <f t="shared" ca="1" si="6"/>
        <v>284881.52035447606</v>
      </c>
      <c r="M17" s="122">
        <f t="shared" ca="1" si="6"/>
        <v>423491.70194039488</v>
      </c>
    </row>
    <row r="18" spans="1:13" s="186" customFormat="1" x14ac:dyDescent="0.35">
      <c r="A18" s="135"/>
      <c r="B18" s="32" t="s">
        <v>250</v>
      </c>
      <c r="C18"/>
      <c r="D18"/>
      <c r="E18"/>
      <c r="F18"/>
      <c r="G18"/>
      <c r="H18" s="122">
        <f ca="1">Tower!H122</f>
        <v>159110.63887375715</v>
      </c>
      <c r="I18" s="122">
        <f ca="1">Tower!I122</f>
        <v>185161.60318109253</v>
      </c>
      <c r="J18" s="122">
        <f ca="1">Tower!J122</f>
        <v>177649.46543100671</v>
      </c>
      <c r="K18" s="122">
        <f ca="1">Tower!K122</f>
        <v>199595.0401682732</v>
      </c>
      <c r="L18" s="122">
        <f ca="1">Tower!L122</f>
        <v>198121.0198181711</v>
      </c>
      <c r="M18" s="122">
        <f ca="1">Tower!M122</f>
        <v>230481.62837748733</v>
      </c>
    </row>
    <row r="19" spans="1:13" s="186" customFormat="1" x14ac:dyDescent="0.35">
      <c r="A19" s="135"/>
      <c r="B19" s="32" t="s">
        <v>251</v>
      </c>
      <c r="C19"/>
      <c r="D19"/>
      <c r="E19"/>
      <c r="F19"/>
      <c r="G19"/>
      <c r="H19" s="70">
        <f ca="1">Tower!H129</f>
        <v>-74716.729138859519</v>
      </c>
      <c r="I19" s="70">
        <f ca="1">Tower!I129</f>
        <v>-69059.408736799189</v>
      </c>
      <c r="J19" s="70">
        <f ca="1">Tower!J129</f>
        <v>-62054.660546308573</v>
      </c>
      <c r="K19" s="70">
        <f ca="1">Tower!K129</f>
        <v>-58173.428877686158</v>
      </c>
      <c r="L19" s="70">
        <f ca="1">Tower!L129</f>
        <v>-59510.838232252354</v>
      </c>
      <c r="M19" s="70">
        <f ca="1">Tower!M129</f>
        <v>-60885.440657612671</v>
      </c>
    </row>
    <row r="20" spans="1:13" s="186" customFormat="1" x14ac:dyDescent="0.35">
      <c r="A20" s="135"/>
      <c r="B20" s="32" t="s">
        <v>359</v>
      </c>
      <c r="C20" s="135"/>
      <c r="D20" s="135"/>
      <c r="E20" s="135"/>
      <c r="F20" s="135"/>
      <c r="G20" s="135"/>
      <c r="H20" s="70">
        <f t="shared" ref="H20:M20" si="7">H43</f>
        <v>-19600</v>
      </c>
      <c r="I20" s="70">
        <f t="shared" si="7"/>
        <v>-45000</v>
      </c>
      <c r="J20" s="70">
        <f t="shared" si="7"/>
        <v>-45000</v>
      </c>
      <c r="K20" s="70">
        <f t="shared" si="7"/>
        <v>0</v>
      </c>
      <c r="L20" s="70">
        <f t="shared" si="7"/>
        <v>0</v>
      </c>
      <c r="M20" s="70">
        <f t="shared" si="7"/>
        <v>0</v>
      </c>
    </row>
    <row r="21" spans="1:13" s="186" customFormat="1" x14ac:dyDescent="0.35">
      <c r="A21" s="135"/>
      <c r="B21" s="32" t="s">
        <v>358</v>
      </c>
      <c r="C21" s="135"/>
      <c r="D21" s="135"/>
      <c r="E21" s="135"/>
      <c r="F21" s="135"/>
      <c r="G21" s="135"/>
      <c r="H21" s="165">
        <f>SUM(H44,H53,H62,H70)</f>
        <v>-26300</v>
      </c>
      <c r="I21" s="165">
        <f>I44</f>
        <v>0</v>
      </c>
      <c r="J21" s="165">
        <f>J44</f>
        <v>0</v>
      </c>
      <c r="K21" s="165">
        <f>K44</f>
        <v>0</v>
      </c>
      <c r="L21" s="165">
        <f>L44</f>
        <v>0</v>
      </c>
      <c r="M21" s="165">
        <f>M44</f>
        <v>0</v>
      </c>
    </row>
    <row r="22" spans="1:13" s="186" customFormat="1" x14ac:dyDescent="0.35">
      <c r="A22" s="135"/>
      <c r="B22" s="32" t="s">
        <v>252</v>
      </c>
      <c r="C22"/>
      <c r="D22"/>
      <c r="E22"/>
      <c r="F22"/>
      <c r="G22"/>
      <c r="H22" s="165">
        <v>-10000</v>
      </c>
      <c r="I22" s="165">
        <v>0</v>
      </c>
      <c r="J22" s="165">
        <v>0</v>
      </c>
      <c r="K22" s="165">
        <v>0</v>
      </c>
      <c r="L22" s="165">
        <v>0</v>
      </c>
      <c r="M22" s="165">
        <v>0</v>
      </c>
    </row>
    <row r="23" spans="1:13" s="186" customFormat="1" x14ac:dyDescent="0.35">
      <c r="A23" s="135"/>
      <c r="B23" s="32" t="s">
        <v>260</v>
      </c>
      <c r="C23"/>
      <c r="D23"/>
      <c r="E23"/>
      <c r="F23"/>
      <c r="G23"/>
      <c r="H23" s="176">
        <f t="shared" ref="H23:M23" ca="1" si="8">SUM(H17:H22)</f>
        <v>28762.909734897636</v>
      </c>
      <c r="I23" s="176">
        <f t="shared" ca="1" si="8"/>
        <v>81102.194444293345</v>
      </c>
      <c r="J23" s="176">
        <f t="shared" ca="1" si="8"/>
        <v>143459.90906388912</v>
      </c>
      <c r="K23" s="176">
        <f t="shared" ca="1" si="8"/>
        <v>284881.52035447618</v>
      </c>
      <c r="L23" s="176">
        <f t="shared" ca="1" si="8"/>
        <v>423491.70194039482</v>
      </c>
      <c r="M23" s="176">
        <f t="shared" ca="1" si="8"/>
        <v>593087.8896602696</v>
      </c>
    </row>
    <row r="24" spans="1:13" s="186" customFormat="1" x14ac:dyDescent="0.35">
      <c r="A24" s="135"/>
      <c r="B24" s="32" t="s">
        <v>261</v>
      </c>
      <c r="C24"/>
      <c r="D24"/>
      <c r="E24"/>
      <c r="F24"/>
      <c r="G24"/>
      <c r="H24" s="165">
        <f t="shared" ref="H24:M24" ca="1" si="9">H32</f>
        <v>-28762.909734897636</v>
      </c>
      <c r="I24" s="165">
        <f t="shared" ca="1" si="9"/>
        <v>-8237.0902651023644</v>
      </c>
      <c r="J24" s="165">
        <f t="shared" ca="1" si="9"/>
        <v>0</v>
      </c>
      <c r="K24" s="165">
        <f t="shared" ca="1" si="9"/>
        <v>0</v>
      </c>
      <c r="L24" s="165">
        <f t="shared" ca="1" si="9"/>
        <v>0</v>
      </c>
      <c r="M24" s="165">
        <f t="shared" ca="1" si="9"/>
        <v>0</v>
      </c>
    </row>
    <row r="25" spans="1:13" s="186" customFormat="1" x14ac:dyDescent="0.35">
      <c r="A25" s="135"/>
      <c r="B25" s="32" t="s">
        <v>262</v>
      </c>
      <c r="C25"/>
      <c r="D25"/>
      <c r="E25"/>
      <c r="F25"/>
      <c r="G25"/>
      <c r="H25" s="176">
        <f t="shared" ref="H25:M25" ca="1" si="10">SUM(H23:H24)</f>
        <v>0</v>
      </c>
      <c r="I25" s="176">
        <f t="shared" ca="1" si="10"/>
        <v>72865.104179190981</v>
      </c>
      <c r="J25" s="176">
        <f t="shared" ca="1" si="10"/>
        <v>143459.90906388912</v>
      </c>
      <c r="K25" s="176">
        <f t="shared" ca="1" si="10"/>
        <v>284881.52035447618</v>
      </c>
      <c r="L25" s="176">
        <f t="shared" ca="1" si="10"/>
        <v>423491.70194039482</v>
      </c>
      <c r="M25" s="176">
        <f t="shared" ca="1" si="10"/>
        <v>593087.8896602696</v>
      </c>
    </row>
    <row r="26" spans="1:13" s="186" customFormat="1" x14ac:dyDescent="0.35">
      <c r="A26" s="135"/>
      <c r="B26" s="32" t="s">
        <v>263</v>
      </c>
      <c r="C26"/>
      <c r="D26"/>
      <c r="E26"/>
      <c r="F26"/>
      <c r="G26" s="135"/>
      <c r="H26" s="165">
        <f t="shared" ref="H26:M26" si="11">H79</f>
        <v>0</v>
      </c>
      <c r="I26" s="165">
        <f t="shared" si="11"/>
        <v>0</v>
      </c>
      <c r="J26" s="165">
        <f t="shared" si="11"/>
        <v>0</v>
      </c>
      <c r="K26" s="165">
        <f t="shared" si="11"/>
        <v>0</v>
      </c>
      <c r="L26" s="165">
        <f t="shared" si="11"/>
        <v>0</v>
      </c>
      <c r="M26" s="165">
        <f t="shared" si="11"/>
        <v>0</v>
      </c>
    </row>
    <row r="27" spans="1:13" s="186" customFormat="1" x14ac:dyDescent="0.35">
      <c r="A27" s="135"/>
      <c r="B27" s="32" t="s">
        <v>252</v>
      </c>
      <c r="C27"/>
      <c r="D27"/>
      <c r="E27"/>
      <c r="F27"/>
      <c r="G27"/>
      <c r="H27" s="165">
        <f t="shared" ref="H27:M27" si="12">-H22</f>
        <v>10000</v>
      </c>
      <c r="I27" s="165">
        <f t="shared" si="12"/>
        <v>0</v>
      </c>
      <c r="J27" s="165">
        <f t="shared" si="12"/>
        <v>0</v>
      </c>
      <c r="K27" s="165">
        <f t="shared" si="12"/>
        <v>0</v>
      </c>
      <c r="L27" s="165">
        <f t="shared" si="12"/>
        <v>0</v>
      </c>
      <c r="M27" s="165">
        <f t="shared" si="12"/>
        <v>0</v>
      </c>
    </row>
    <row r="28" spans="1:13" s="186" customFormat="1" x14ac:dyDescent="0.35">
      <c r="A28" s="135"/>
      <c r="B28" s="32" t="s">
        <v>264</v>
      </c>
      <c r="C28"/>
      <c r="D28"/>
      <c r="E28"/>
      <c r="F28"/>
      <c r="G28" s="122">
        <f>Tower!G50</f>
        <v>269</v>
      </c>
      <c r="H28" s="122">
        <f t="shared" ref="H28:M28" ca="1" si="13">SUM(H25:H27)</f>
        <v>10000</v>
      </c>
      <c r="I28" s="122">
        <f t="shared" ca="1" si="13"/>
        <v>72865.104179190981</v>
      </c>
      <c r="J28" s="122">
        <f t="shared" ca="1" si="13"/>
        <v>143459.90906388912</v>
      </c>
      <c r="K28" s="122">
        <f t="shared" ca="1" si="13"/>
        <v>284881.52035447618</v>
      </c>
      <c r="L28" s="122">
        <f t="shared" ca="1" si="13"/>
        <v>423491.70194039482</v>
      </c>
      <c r="M28" s="122">
        <f t="shared" ca="1" si="13"/>
        <v>593087.8896602696</v>
      </c>
    </row>
    <row r="29" spans="1:13" s="186" customFormat="1" x14ac:dyDescent="0.35">
      <c r="A29" s="135"/>
      <c r="B29" s="14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</row>
    <row r="30" spans="1:13" s="186" customFormat="1" x14ac:dyDescent="0.35">
      <c r="A30" s="135"/>
      <c r="B30" s="2" t="s">
        <v>265</v>
      </c>
      <c r="C30"/>
      <c r="D30"/>
      <c r="E30"/>
      <c r="F30"/>
      <c r="G30"/>
      <c r="H30"/>
      <c r="I30" s="135"/>
      <c r="J30" s="135"/>
      <c r="K30" s="135"/>
      <c r="L30" s="135"/>
      <c r="M30" s="135"/>
    </row>
    <row r="31" spans="1:13" s="186" customFormat="1" x14ac:dyDescent="0.35">
      <c r="A31" s="135"/>
      <c r="B31" t="s">
        <v>266</v>
      </c>
      <c r="C31"/>
      <c r="D31"/>
      <c r="E31"/>
      <c r="F31"/>
      <c r="G31"/>
      <c r="H31" s="165">
        <f t="shared" ref="H31:M31" si="14">G33</f>
        <v>37000</v>
      </c>
      <c r="I31" s="165">
        <f t="shared" ca="1" si="14"/>
        <v>8237.0902651023644</v>
      </c>
      <c r="J31" s="165">
        <f t="shared" ca="1" si="14"/>
        <v>0</v>
      </c>
      <c r="K31" s="165">
        <f t="shared" ca="1" si="14"/>
        <v>0</v>
      </c>
      <c r="L31" s="165">
        <f t="shared" ca="1" si="14"/>
        <v>0</v>
      </c>
      <c r="M31" s="165">
        <f t="shared" ca="1" si="14"/>
        <v>0</v>
      </c>
    </row>
    <row r="32" spans="1:13" s="186" customFormat="1" x14ac:dyDescent="0.35">
      <c r="A32" s="135"/>
      <c r="B32" t="s">
        <v>267</v>
      </c>
      <c r="C32"/>
      <c r="D32" t="s">
        <v>353</v>
      </c>
      <c r="E32" s="292">
        <v>1</v>
      </c>
      <c r="F32"/>
      <c r="G32"/>
      <c r="H32" s="165">
        <f ca="1">IF($E$32=1,-MIN(H31,H23),0)</f>
        <v>-28762.909734897636</v>
      </c>
      <c r="I32" s="165">
        <f t="shared" ref="I32:M32" ca="1" si="15">IF($E$32=1,-MIN(I31,I23),0)</f>
        <v>-8237.0902651023644</v>
      </c>
      <c r="J32" s="165">
        <f t="shared" ca="1" si="15"/>
        <v>0</v>
      </c>
      <c r="K32" s="165">
        <f t="shared" ca="1" si="15"/>
        <v>0</v>
      </c>
      <c r="L32" s="165">
        <f t="shared" ca="1" si="15"/>
        <v>0</v>
      </c>
      <c r="M32" s="165">
        <f t="shared" ca="1" si="15"/>
        <v>0</v>
      </c>
    </row>
    <row r="33" spans="1:13" s="186" customFormat="1" x14ac:dyDescent="0.35">
      <c r="A33" s="9"/>
      <c r="B33" s="9" t="s">
        <v>268</v>
      </c>
      <c r="C33" s="9"/>
      <c r="D33" s="9"/>
      <c r="E33" s="9"/>
      <c r="F33" s="9"/>
      <c r="G33" s="185">
        <f>G7*1000</f>
        <v>37000</v>
      </c>
      <c r="H33" s="185">
        <f t="shared" ref="H33:M33" ca="1" si="16">SUM(H31:H32)</f>
        <v>8237.0902651023644</v>
      </c>
      <c r="I33" s="185">
        <f t="shared" ca="1" si="16"/>
        <v>0</v>
      </c>
      <c r="J33" s="185">
        <f t="shared" ca="1" si="16"/>
        <v>0</v>
      </c>
      <c r="K33" s="185">
        <f t="shared" ca="1" si="16"/>
        <v>0</v>
      </c>
      <c r="L33" s="185">
        <f t="shared" ca="1" si="16"/>
        <v>0</v>
      </c>
      <c r="M33" s="185">
        <f t="shared" ca="1" si="16"/>
        <v>0</v>
      </c>
    </row>
    <row r="34" spans="1:13" s="186" customFormat="1" x14ac:dyDescent="0.35">
      <c r="A34" s="135"/>
      <c r="B34"/>
      <c r="C34"/>
      <c r="D34"/>
      <c r="E34"/>
      <c r="F34"/>
      <c r="G34"/>
      <c r="H34"/>
      <c r="I34" s="135"/>
      <c r="J34" s="135"/>
      <c r="K34" s="135"/>
      <c r="L34" s="135"/>
      <c r="M34" s="135"/>
    </row>
    <row r="35" spans="1:13" s="186" customFormat="1" x14ac:dyDescent="0.35">
      <c r="A35" s="135"/>
      <c r="B35" s="135" t="s">
        <v>271</v>
      </c>
      <c r="C35" s="135"/>
      <c r="D35" s="135"/>
      <c r="E35" s="135"/>
      <c r="F35" s="135"/>
      <c r="G35" s="135"/>
      <c r="H35" s="165">
        <f t="shared" ref="H35:M35" ca="1" si="17">AVERAGE(H31,H33)</f>
        <v>22618.545132551182</v>
      </c>
      <c r="I35" s="165">
        <f t="shared" ca="1" si="17"/>
        <v>4118.5451325511822</v>
      </c>
      <c r="J35" s="165">
        <f t="shared" ca="1" si="17"/>
        <v>0</v>
      </c>
      <c r="K35" s="165">
        <f t="shared" ca="1" si="17"/>
        <v>0</v>
      </c>
      <c r="L35" s="165">
        <f t="shared" ca="1" si="17"/>
        <v>0</v>
      </c>
      <c r="M35" s="165">
        <f t="shared" ca="1" si="17"/>
        <v>0</v>
      </c>
    </row>
    <row r="36" spans="1:13" s="186" customFormat="1" x14ac:dyDescent="0.35">
      <c r="A36" s="135"/>
      <c r="B36" s="135" t="s">
        <v>39</v>
      </c>
      <c r="C36" s="135"/>
      <c r="D36" s="24">
        <f>(Capitalization!F8/10000)+Capitalization!J2</f>
        <v>7.7199999999999991E-2</v>
      </c>
      <c r="E36" s="135"/>
      <c r="F36" s="135"/>
      <c r="G36" s="135"/>
      <c r="H36" s="165">
        <f t="shared" ref="H36:M36" ca="1" si="18">H35*$D$36</f>
        <v>1746.1516842329511</v>
      </c>
      <c r="I36" s="165">
        <f t="shared" ca="1" si="18"/>
        <v>317.95168423295121</v>
      </c>
      <c r="J36" s="165">
        <f t="shared" ca="1" si="18"/>
        <v>0</v>
      </c>
      <c r="K36" s="165">
        <f t="shared" ca="1" si="18"/>
        <v>0</v>
      </c>
      <c r="L36" s="165">
        <f t="shared" ca="1" si="18"/>
        <v>0</v>
      </c>
      <c r="M36" s="165">
        <f t="shared" ca="1" si="18"/>
        <v>0</v>
      </c>
    </row>
    <row r="37" spans="1:13" s="186" customFormat="1" x14ac:dyDescent="0.35">
      <c r="A37" s="135"/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</row>
    <row r="38" spans="1:13" s="186" customFormat="1" x14ac:dyDescent="0.35">
      <c r="A38" s="135"/>
      <c r="B38" s="135" t="s">
        <v>273</v>
      </c>
      <c r="C38" s="135"/>
      <c r="D38" s="135"/>
      <c r="E38" s="135"/>
      <c r="F38" s="135"/>
      <c r="G38" s="135"/>
      <c r="H38" s="165">
        <f ca="1">Summary!F32*1000-H35-Summary!F34*1000</f>
        <v>135081.45486744883</v>
      </c>
      <c r="I38" s="165">
        <f ca="1">Summary!G32*1000-I35-Summary!G34*1000</f>
        <v>153581.45486744883</v>
      </c>
      <c r="J38" s="165">
        <f ca="1">Summary!H32*1000-J35-Summary!H34*1000</f>
        <v>157700</v>
      </c>
      <c r="K38" s="165">
        <f ca="1">Summary!I32*1000-K35-Summary!I34*1000</f>
        <v>157700</v>
      </c>
      <c r="L38" s="165">
        <f ca="1">Summary!J32*1000-L35-Summary!J34*1000</f>
        <v>157700</v>
      </c>
      <c r="M38" s="165">
        <f ca="1">Summary!K32*1000-M35-Summary!K34*1000</f>
        <v>157700</v>
      </c>
    </row>
    <row r="39" spans="1:13" s="186" customFormat="1" x14ac:dyDescent="0.35">
      <c r="A39" s="135"/>
      <c r="B39" s="135" t="s">
        <v>272</v>
      </c>
      <c r="C39" s="135"/>
      <c r="D39" s="24">
        <v>5.0000000000000001E-3</v>
      </c>
      <c r="E39" s="135"/>
      <c r="F39" s="135"/>
      <c r="G39" s="135"/>
      <c r="H39" s="135">
        <f t="shared" ref="H39:M39" ca="1" si="19">$D$39*H38</f>
        <v>675.40727433724419</v>
      </c>
      <c r="I39" s="135">
        <f t="shared" ca="1" si="19"/>
        <v>767.90727433724419</v>
      </c>
      <c r="J39" s="135">
        <f t="shared" ca="1" si="19"/>
        <v>788.5</v>
      </c>
      <c r="K39" s="135">
        <f t="shared" ca="1" si="19"/>
        <v>788.5</v>
      </c>
      <c r="L39" s="135">
        <f t="shared" ca="1" si="19"/>
        <v>788.5</v>
      </c>
      <c r="M39" s="135">
        <f t="shared" ca="1" si="19"/>
        <v>788.5</v>
      </c>
    </row>
    <row r="40" spans="1:13" s="186" customFormat="1" x14ac:dyDescent="0.35">
      <c r="A40" s="135"/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</row>
    <row r="41" spans="1:13" s="186" customFormat="1" x14ac:dyDescent="0.35">
      <c r="A41" s="135"/>
      <c r="B41" s="2" t="s">
        <v>269</v>
      </c>
      <c r="C41"/>
      <c r="D41"/>
      <c r="E41"/>
      <c r="F41"/>
      <c r="G41"/>
      <c r="H41"/>
      <c r="I41" s="135"/>
      <c r="J41" s="135"/>
      <c r="K41" s="135"/>
      <c r="L41" s="135"/>
      <c r="M41" s="135"/>
    </row>
    <row r="42" spans="1:13" s="186" customFormat="1" x14ac:dyDescent="0.35">
      <c r="A42" s="135"/>
      <c r="B42" t="s">
        <v>266</v>
      </c>
      <c r="C42"/>
      <c r="D42"/>
      <c r="E42"/>
      <c r="F42"/>
      <c r="G42"/>
      <c r="H42">
        <f t="shared" ref="H42:M42" si="20">G45</f>
        <v>762900</v>
      </c>
      <c r="I42" s="135">
        <f t="shared" si="20"/>
        <v>743300</v>
      </c>
      <c r="J42" s="135">
        <f t="shared" si="20"/>
        <v>698300</v>
      </c>
      <c r="K42" s="135">
        <f t="shared" si="20"/>
        <v>653300</v>
      </c>
      <c r="L42" s="135">
        <f t="shared" si="20"/>
        <v>653300</v>
      </c>
      <c r="M42" s="135">
        <f t="shared" si="20"/>
        <v>653300</v>
      </c>
    </row>
    <row r="43" spans="1:13" s="186" customFormat="1" x14ac:dyDescent="0.35">
      <c r="A43" s="135"/>
      <c r="B43" s="135" t="s">
        <v>359</v>
      </c>
      <c r="C43" s="135"/>
      <c r="D43" s="135"/>
      <c r="E43" s="135"/>
      <c r="F43" s="135"/>
      <c r="G43" s="135"/>
      <c r="H43" s="135">
        <f>-19.6*1000</f>
        <v>-19600</v>
      </c>
      <c r="I43" s="135">
        <f>-45*1000</f>
        <v>-45000</v>
      </c>
      <c r="J43" s="135">
        <f>I43</f>
        <v>-45000</v>
      </c>
      <c r="K43" s="135"/>
      <c r="L43" s="135"/>
      <c r="M43" s="135"/>
    </row>
    <row r="44" spans="1:13" s="186" customFormat="1" x14ac:dyDescent="0.35">
      <c r="A44" s="135"/>
      <c r="B44" t="s">
        <v>270</v>
      </c>
      <c r="C44" s="24">
        <v>0.01</v>
      </c>
      <c r="D44" t="s">
        <v>270</v>
      </c>
      <c r="E44" s="292">
        <v>0</v>
      </c>
      <c r="F44"/>
      <c r="G44"/>
      <c r="H44" s="165">
        <f t="shared" ref="H44:M44" si="21">IF($E$44=1,-$C$44*$H$42,0)</f>
        <v>0</v>
      </c>
      <c r="I44" s="165">
        <f t="shared" si="21"/>
        <v>0</v>
      </c>
      <c r="J44" s="165">
        <f t="shared" si="21"/>
        <v>0</v>
      </c>
      <c r="K44" s="165">
        <f t="shared" si="21"/>
        <v>0</v>
      </c>
      <c r="L44" s="165">
        <f t="shared" si="21"/>
        <v>0</v>
      </c>
      <c r="M44" s="165">
        <f t="shared" si="21"/>
        <v>0</v>
      </c>
    </row>
    <row r="45" spans="1:13" s="186" customFormat="1" x14ac:dyDescent="0.35">
      <c r="A45" s="9"/>
      <c r="B45" s="9" t="s">
        <v>268</v>
      </c>
      <c r="C45" s="9"/>
      <c r="D45" s="9"/>
      <c r="E45" s="9"/>
      <c r="F45" s="9"/>
      <c r="G45" s="9">
        <f>Capitalization!C9*1000</f>
        <v>762900</v>
      </c>
      <c r="H45" s="9">
        <f t="shared" ref="H45:M45" si="22">SUM(H42:H44)</f>
        <v>743300</v>
      </c>
      <c r="I45" s="9">
        <f t="shared" si="22"/>
        <v>698300</v>
      </c>
      <c r="J45" s="9">
        <f t="shared" si="22"/>
        <v>653300</v>
      </c>
      <c r="K45" s="9">
        <f t="shared" si="22"/>
        <v>653300</v>
      </c>
      <c r="L45" s="9">
        <f t="shared" si="22"/>
        <v>653300</v>
      </c>
      <c r="M45" s="9">
        <f t="shared" si="22"/>
        <v>653300</v>
      </c>
    </row>
    <row r="46" spans="1:13" s="186" customForma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86" customFormat="1" x14ac:dyDescent="0.35">
      <c r="A47" s="3"/>
      <c r="B47" s="186" t="s">
        <v>271</v>
      </c>
      <c r="C47" s="3"/>
      <c r="D47" s="3"/>
      <c r="E47" s="3"/>
      <c r="F47" s="3"/>
      <c r="G47" s="3"/>
      <c r="H47" s="188">
        <f t="shared" ref="H47:M47" si="23">AVERAGE(H42,H45)</f>
        <v>753100</v>
      </c>
      <c r="I47" s="188">
        <f t="shared" si="23"/>
        <v>720800</v>
      </c>
      <c r="J47" s="188">
        <f t="shared" si="23"/>
        <v>675800</v>
      </c>
      <c r="K47" s="188">
        <f t="shared" si="23"/>
        <v>653300</v>
      </c>
      <c r="L47" s="188">
        <f t="shared" si="23"/>
        <v>653300</v>
      </c>
      <c r="M47" s="188">
        <f t="shared" si="23"/>
        <v>653300</v>
      </c>
    </row>
    <row r="48" spans="1:13" s="186" customFormat="1" x14ac:dyDescent="0.35">
      <c r="A48" s="3"/>
      <c r="B48" s="186" t="s">
        <v>39</v>
      </c>
      <c r="C48" s="3"/>
      <c r="D48" s="24">
        <f>Capitalization!J2+(Capitalization!F9/10000)</f>
        <v>8.2199999999999995E-2</v>
      </c>
      <c r="E48" s="3"/>
      <c r="F48" s="3"/>
      <c r="G48" s="3"/>
      <c r="H48" s="188">
        <f t="shared" ref="H48:M48" si="24">H47*$D$48</f>
        <v>61904.82</v>
      </c>
      <c r="I48" s="188">
        <f t="shared" si="24"/>
        <v>59249.759999999995</v>
      </c>
      <c r="J48" s="188">
        <f t="shared" si="24"/>
        <v>55550.759999999995</v>
      </c>
      <c r="K48" s="188">
        <f t="shared" si="24"/>
        <v>53701.259999999995</v>
      </c>
      <c r="L48" s="188">
        <f t="shared" si="24"/>
        <v>53701.259999999995</v>
      </c>
      <c r="M48" s="188">
        <f t="shared" si="24"/>
        <v>53701.259999999995</v>
      </c>
    </row>
    <row r="49" spans="1:13" s="186" customForma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s="186" customFormat="1" x14ac:dyDescent="0.35">
      <c r="A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s="186" customFormat="1" x14ac:dyDescent="0.35">
      <c r="A51" s="3"/>
      <c r="B51" s="66" t="s">
        <v>354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186" customFormat="1" x14ac:dyDescent="0.35">
      <c r="A52" s="3"/>
      <c r="B52" s="186" t="s">
        <v>266</v>
      </c>
      <c r="C52" s="3"/>
      <c r="D52" s="3"/>
      <c r="E52" s="3"/>
      <c r="F52" s="3"/>
      <c r="G52" s="3"/>
      <c r="H52" s="231">
        <f t="shared" ref="H52:M52" si="25">G54</f>
        <v>9300</v>
      </c>
      <c r="I52" s="165">
        <f t="shared" si="25"/>
        <v>0</v>
      </c>
      <c r="J52" s="165">
        <f t="shared" si="25"/>
        <v>0</v>
      </c>
      <c r="K52" s="165">
        <f t="shared" si="25"/>
        <v>0</v>
      </c>
      <c r="L52" s="165">
        <f t="shared" si="25"/>
        <v>0</v>
      </c>
      <c r="M52" s="165">
        <f t="shared" si="25"/>
        <v>0</v>
      </c>
    </row>
    <row r="53" spans="1:13" s="186" customFormat="1" x14ac:dyDescent="0.35">
      <c r="A53" s="3"/>
      <c r="B53" s="186" t="s">
        <v>356</v>
      </c>
      <c r="C53" s="3"/>
      <c r="D53" s="3"/>
      <c r="E53" s="3"/>
      <c r="F53" s="3"/>
      <c r="G53" s="3"/>
      <c r="H53" s="231">
        <f t="shared" ref="H53:M53" si="26">-H52</f>
        <v>-9300</v>
      </c>
      <c r="I53" s="165">
        <f t="shared" si="26"/>
        <v>0</v>
      </c>
      <c r="J53" s="165">
        <f t="shared" si="26"/>
        <v>0</v>
      </c>
      <c r="K53" s="165">
        <f t="shared" si="26"/>
        <v>0</v>
      </c>
      <c r="L53" s="165">
        <f t="shared" si="26"/>
        <v>0</v>
      </c>
      <c r="M53" s="165">
        <f t="shared" si="26"/>
        <v>0</v>
      </c>
    </row>
    <row r="54" spans="1:13" s="186" customFormat="1" x14ac:dyDescent="0.35">
      <c r="A54" s="9"/>
      <c r="B54" s="187" t="s">
        <v>268</v>
      </c>
      <c r="C54" s="9"/>
      <c r="D54" s="9"/>
      <c r="E54" s="9"/>
      <c r="F54" s="9"/>
      <c r="G54" s="189">
        <f>G9*1000</f>
        <v>9300</v>
      </c>
      <c r="H54" s="189">
        <f t="shared" ref="H54:M54" si="27">SUM(H52:H53)</f>
        <v>0</v>
      </c>
      <c r="I54" s="185">
        <f t="shared" si="27"/>
        <v>0</v>
      </c>
      <c r="J54" s="185">
        <f t="shared" si="27"/>
        <v>0</v>
      </c>
      <c r="K54" s="185">
        <f t="shared" si="27"/>
        <v>0</v>
      </c>
      <c r="L54" s="185">
        <f t="shared" si="27"/>
        <v>0</v>
      </c>
      <c r="M54" s="185">
        <f t="shared" si="27"/>
        <v>0</v>
      </c>
    </row>
    <row r="55" spans="1:13" s="186" customFormat="1" x14ac:dyDescent="0.35">
      <c r="A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s="186" customFormat="1" x14ac:dyDescent="0.35">
      <c r="A56" s="3"/>
      <c r="B56" s="186" t="s">
        <v>271</v>
      </c>
      <c r="C56" s="3"/>
      <c r="D56" s="3"/>
      <c r="E56" s="3"/>
      <c r="F56" s="3"/>
      <c r="G56" s="3"/>
      <c r="H56" s="231">
        <f t="shared" ref="H56:M56" si="28">AVERAGE(H52,H54)</f>
        <v>4650</v>
      </c>
      <c r="I56" s="165">
        <f t="shared" si="28"/>
        <v>0</v>
      </c>
      <c r="J56" s="165">
        <f t="shared" si="28"/>
        <v>0</v>
      </c>
      <c r="K56" s="165">
        <f t="shared" si="28"/>
        <v>0</v>
      </c>
      <c r="L56" s="165">
        <f t="shared" si="28"/>
        <v>0</v>
      </c>
      <c r="M56" s="165">
        <f t="shared" si="28"/>
        <v>0</v>
      </c>
    </row>
    <row r="57" spans="1:13" s="186" customFormat="1" x14ac:dyDescent="0.35">
      <c r="A57" s="3"/>
      <c r="B57" s="186" t="s">
        <v>281</v>
      </c>
      <c r="C57" s="3"/>
      <c r="D57" s="190">
        <v>5.7799999999999997E-2</v>
      </c>
      <c r="E57" s="3"/>
      <c r="F57" s="3"/>
      <c r="G57" s="3"/>
      <c r="H57" s="231">
        <f t="shared" ref="H57:M57" si="29">H56*$D$57</f>
        <v>268.77</v>
      </c>
      <c r="I57" s="165">
        <f t="shared" si="29"/>
        <v>0</v>
      </c>
      <c r="J57" s="165">
        <f t="shared" si="29"/>
        <v>0</v>
      </c>
      <c r="K57" s="165">
        <f t="shared" si="29"/>
        <v>0</v>
      </c>
      <c r="L57" s="165">
        <f t="shared" si="29"/>
        <v>0</v>
      </c>
      <c r="M57" s="165">
        <f t="shared" si="29"/>
        <v>0</v>
      </c>
    </row>
    <row r="58" spans="1:13" s="186" customFormat="1" x14ac:dyDescent="0.35">
      <c r="A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s="186" customForma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s="186" customFormat="1" x14ac:dyDescent="0.35">
      <c r="A60" s="3"/>
      <c r="B60" s="66" t="s">
        <v>355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s="186" customFormat="1" x14ac:dyDescent="0.35">
      <c r="A61" s="3"/>
      <c r="B61" s="186" t="s">
        <v>266</v>
      </c>
      <c r="C61" s="3"/>
      <c r="D61" s="3"/>
      <c r="E61" s="3"/>
      <c r="F61" s="3"/>
      <c r="G61" s="3"/>
      <c r="H61" s="231">
        <f t="shared" ref="H61:M61" si="30">G63</f>
        <v>3100</v>
      </c>
      <c r="I61" s="165">
        <f t="shared" si="30"/>
        <v>0</v>
      </c>
      <c r="J61" s="165">
        <f t="shared" si="30"/>
        <v>0</v>
      </c>
      <c r="K61" s="165">
        <f t="shared" si="30"/>
        <v>0</v>
      </c>
      <c r="L61" s="165">
        <f t="shared" si="30"/>
        <v>0</v>
      </c>
      <c r="M61" s="165">
        <f t="shared" si="30"/>
        <v>0</v>
      </c>
    </row>
    <row r="62" spans="1:13" s="186" customFormat="1" x14ac:dyDescent="0.35">
      <c r="A62" s="3"/>
      <c r="B62" s="186" t="s">
        <v>356</v>
      </c>
      <c r="C62" s="3"/>
      <c r="D62" s="3"/>
      <c r="E62" s="3"/>
      <c r="F62" s="3"/>
      <c r="G62" s="3"/>
      <c r="H62" s="231">
        <f t="shared" ref="H62:M62" si="31">-H61</f>
        <v>-3100</v>
      </c>
      <c r="I62" s="165">
        <f t="shared" si="31"/>
        <v>0</v>
      </c>
      <c r="J62" s="165">
        <f t="shared" si="31"/>
        <v>0</v>
      </c>
      <c r="K62" s="165">
        <f t="shared" si="31"/>
        <v>0</v>
      </c>
      <c r="L62" s="165">
        <f t="shared" si="31"/>
        <v>0</v>
      </c>
      <c r="M62" s="165">
        <f t="shared" si="31"/>
        <v>0</v>
      </c>
    </row>
    <row r="63" spans="1:13" s="186" customFormat="1" x14ac:dyDescent="0.35">
      <c r="A63" s="9"/>
      <c r="B63" s="187" t="s">
        <v>268</v>
      </c>
      <c r="C63" s="9"/>
      <c r="D63" s="9"/>
      <c r="E63" s="9"/>
      <c r="F63" s="9"/>
      <c r="G63" s="189">
        <f>G10*1000</f>
        <v>3100</v>
      </c>
      <c r="H63" s="189">
        <f t="shared" ref="H63:M63" si="32">SUM(H61:H62)</f>
        <v>0</v>
      </c>
      <c r="I63" s="185">
        <f t="shared" si="32"/>
        <v>0</v>
      </c>
      <c r="J63" s="185">
        <f t="shared" si="32"/>
        <v>0</v>
      </c>
      <c r="K63" s="185">
        <f t="shared" si="32"/>
        <v>0</v>
      </c>
      <c r="L63" s="185">
        <f t="shared" si="32"/>
        <v>0</v>
      </c>
      <c r="M63" s="185">
        <f t="shared" si="32"/>
        <v>0</v>
      </c>
    </row>
    <row r="64" spans="1:13" s="186" customFormat="1" x14ac:dyDescent="0.35">
      <c r="A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s="186" customFormat="1" x14ac:dyDescent="0.35">
      <c r="A65" s="3"/>
      <c r="B65" s="186" t="s">
        <v>271</v>
      </c>
      <c r="C65" s="3"/>
      <c r="D65" s="3"/>
      <c r="E65" s="3"/>
      <c r="F65" s="3"/>
      <c r="G65" s="3"/>
      <c r="H65" s="231">
        <f t="shared" ref="H65:M65" si="33">AVERAGE(H61,H63)</f>
        <v>1550</v>
      </c>
      <c r="I65" s="165">
        <f t="shared" si="33"/>
        <v>0</v>
      </c>
      <c r="J65" s="165">
        <f t="shared" si="33"/>
        <v>0</v>
      </c>
      <c r="K65" s="165">
        <f t="shared" si="33"/>
        <v>0</v>
      </c>
      <c r="L65" s="165">
        <f t="shared" si="33"/>
        <v>0</v>
      </c>
      <c r="M65" s="165">
        <f t="shared" si="33"/>
        <v>0</v>
      </c>
    </row>
    <row r="66" spans="1:13" s="186" customFormat="1" x14ac:dyDescent="0.35">
      <c r="A66" s="3"/>
      <c r="B66" s="186" t="s">
        <v>281</v>
      </c>
      <c r="C66" s="3"/>
      <c r="D66" s="190">
        <v>5.5550000000000002E-2</v>
      </c>
      <c r="E66" s="3"/>
      <c r="F66" s="3"/>
      <c r="G66" s="3"/>
      <c r="H66" s="231">
        <f t="shared" ref="H66:M66" si="34">H65*$D$66</f>
        <v>86.102500000000006</v>
      </c>
      <c r="I66" s="195">
        <f t="shared" si="34"/>
        <v>0</v>
      </c>
      <c r="J66" s="195">
        <f t="shared" si="34"/>
        <v>0</v>
      </c>
      <c r="K66" s="195">
        <f t="shared" si="34"/>
        <v>0</v>
      </c>
      <c r="L66" s="195">
        <f t="shared" si="34"/>
        <v>0</v>
      </c>
      <c r="M66" s="195">
        <f t="shared" si="34"/>
        <v>0</v>
      </c>
    </row>
    <row r="67" spans="1:13" s="186" customFormat="1" x14ac:dyDescent="0.35">
      <c r="A67" s="3"/>
      <c r="C67" s="3"/>
      <c r="D67" s="190"/>
      <c r="E67" s="3"/>
      <c r="F67" s="3"/>
      <c r="G67" s="3"/>
      <c r="H67" s="3"/>
      <c r="I67" s="195"/>
      <c r="J67" s="195"/>
      <c r="K67" s="195"/>
      <c r="L67" s="195"/>
      <c r="M67" s="195"/>
    </row>
    <row r="68" spans="1:13" s="186" customFormat="1" x14ac:dyDescent="0.35">
      <c r="A68" s="3"/>
      <c r="B68" s="66" t="s">
        <v>280</v>
      </c>
      <c r="C68" s="3"/>
      <c r="D68" s="190"/>
      <c r="E68" s="3"/>
      <c r="F68" s="3"/>
      <c r="G68" s="3"/>
      <c r="H68" s="3"/>
      <c r="I68" s="165"/>
      <c r="J68" s="165"/>
      <c r="K68" s="165"/>
      <c r="L68" s="165"/>
      <c r="M68" s="165"/>
    </row>
    <row r="69" spans="1:13" s="186" customFormat="1" x14ac:dyDescent="0.35">
      <c r="A69" s="3"/>
      <c r="B69" s="186" t="s">
        <v>266</v>
      </c>
      <c r="C69" s="3"/>
      <c r="D69" s="190"/>
      <c r="E69" s="3"/>
      <c r="F69" s="3"/>
      <c r="G69" s="3"/>
      <c r="H69" s="231">
        <f t="shared" ref="H69:M69" si="35">G71</f>
        <v>13900</v>
      </c>
      <c r="I69" s="165">
        <f t="shared" si="35"/>
        <v>0</v>
      </c>
      <c r="J69" s="165">
        <f t="shared" si="35"/>
        <v>0</v>
      </c>
      <c r="K69" s="165">
        <f t="shared" si="35"/>
        <v>0</v>
      </c>
      <c r="L69" s="165">
        <f t="shared" si="35"/>
        <v>0</v>
      </c>
      <c r="M69" s="165">
        <f t="shared" si="35"/>
        <v>0</v>
      </c>
    </row>
    <row r="70" spans="1:13" s="186" customFormat="1" x14ac:dyDescent="0.35">
      <c r="A70" s="3"/>
      <c r="B70" s="186" t="s">
        <v>357</v>
      </c>
      <c r="C70" s="3"/>
      <c r="D70" s="190"/>
      <c r="E70" s="3"/>
      <c r="F70" s="3"/>
      <c r="G70" s="3"/>
      <c r="H70" s="231">
        <f t="shared" ref="H70:M70" si="36">-H69</f>
        <v>-13900</v>
      </c>
      <c r="I70" s="195">
        <f t="shared" si="36"/>
        <v>0</v>
      </c>
      <c r="J70" s="195">
        <f t="shared" si="36"/>
        <v>0</v>
      </c>
      <c r="K70" s="195">
        <f t="shared" si="36"/>
        <v>0</v>
      </c>
      <c r="L70" s="195">
        <f t="shared" si="36"/>
        <v>0</v>
      </c>
      <c r="M70" s="195">
        <f t="shared" si="36"/>
        <v>0</v>
      </c>
    </row>
    <row r="71" spans="1:13" s="186" customFormat="1" x14ac:dyDescent="0.35">
      <c r="A71" s="9"/>
      <c r="B71" s="187" t="s">
        <v>268</v>
      </c>
      <c r="C71" s="9"/>
      <c r="D71" s="295"/>
      <c r="E71" s="9"/>
      <c r="F71" s="9"/>
      <c r="G71" s="189">
        <f>G11*1000</f>
        <v>13900</v>
      </c>
      <c r="H71" s="296">
        <f t="shared" ref="H71:M71" si="37">SUM(H69:H70)</f>
        <v>0</v>
      </c>
      <c r="I71" s="185">
        <f t="shared" si="37"/>
        <v>0</v>
      </c>
      <c r="J71" s="185">
        <f t="shared" si="37"/>
        <v>0</v>
      </c>
      <c r="K71" s="185">
        <f t="shared" si="37"/>
        <v>0</v>
      </c>
      <c r="L71" s="185">
        <f t="shared" si="37"/>
        <v>0</v>
      </c>
      <c r="M71" s="185">
        <f t="shared" si="37"/>
        <v>0</v>
      </c>
    </row>
    <row r="72" spans="1:13" s="186" customFormat="1" x14ac:dyDescent="0.35">
      <c r="A72" s="3"/>
      <c r="C72" s="3"/>
      <c r="D72" s="190"/>
      <c r="E72" s="3"/>
      <c r="F72" s="3"/>
      <c r="G72" s="3"/>
      <c r="H72" s="3"/>
      <c r="I72" s="165"/>
      <c r="J72" s="165"/>
      <c r="K72" s="165"/>
      <c r="L72" s="165"/>
      <c r="M72" s="165"/>
    </row>
    <row r="73" spans="1:13" s="186" customFormat="1" x14ac:dyDescent="0.35">
      <c r="A73" s="3"/>
      <c r="B73" s="186" t="s">
        <v>271</v>
      </c>
      <c r="C73" s="3"/>
      <c r="D73" s="190"/>
      <c r="E73" s="3"/>
      <c r="F73" s="3"/>
      <c r="G73" s="3"/>
      <c r="H73" s="231">
        <f t="shared" ref="H73:M73" si="38">AVERAGE(H69,H71)</f>
        <v>6950</v>
      </c>
      <c r="I73" s="195">
        <f t="shared" si="38"/>
        <v>0</v>
      </c>
      <c r="J73" s="195">
        <f t="shared" si="38"/>
        <v>0</v>
      </c>
      <c r="K73" s="195">
        <f t="shared" si="38"/>
        <v>0</v>
      </c>
      <c r="L73" s="195">
        <f t="shared" si="38"/>
        <v>0</v>
      </c>
      <c r="M73" s="195">
        <f t="shared" si="38"/>
        <v>0</v>
      </c>
    </row>
    <row r="74" spans="1:13" s="186" customFormat="1" x14ac:dyDescent="0.35">
      <c r="A74" s="3"/>
      <c r="B74" s="186" t="s">
        <v>281</v>
      </c>
      <c r="C74" s="3"/>
      <c r="D74" s="190">
        <v>5.7619999999999998E-2</v>
      </c>
      <c r="E74" s="3"/>
      <c r="F74" s="3"/>
      <c r="G74" s="3"/>
      <c r="H74" s="231">
        <f t="shared" ref="H74:M74" si="39">H73*$D$74</f>
        <v>400.459</v>
      </c>
      <c r="I74" s="165">
        <f t="shared" si="39"/>
        <v>0</v>
      </c>
      <c r="J74" s="165">
        <f t="shared" si="39"/>
        <v>0</v>
      </c>
      <c r="K74" s="165">
        <f t="shared" si="39"/>
        <v>0</v>
      </c>
      <c r="L74" s="165">
        <f t="shared" si="39"/>
        <v>0</v>
      </c>
      <c r="M74" s="165">
        <f t="shared" si="39"/>
        <v>0</v>
      </c>
    </row>
    <row r="75" spans="1:13" s="186" customFormat="1" x14ac:dyDescent="0.35">
      <c r="A75" s="3"/>
      <c r="C75" s="3"/>
      <c r="D75" s="190"/>
      <c r="E75" s="3"/>
      <c r="F75" s="3"/>
      <c r="G75" s="3"/>
      <c r="H75" s="3"/>
      <c r="I75" s="3"/>
      <c r="J75" s="3"/>
      <c r="K75" s="3"/>
      <c r="L75" s="3"/>
      <c r="M75" s="3"/>
    </row>
    <row r="76" spans="1:13" s="186" customForma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s="186" customFormat="1" x14ac:dyDescent="0.35">
      <c r="A77" s="3"/>
      <c r="B77" s="66" t="s">
        <v>12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s="186" customFormat="1" x14ac:dyDescent="0.35">
      <c r="A78" s="3"/>
      <c r="B78" s="186" t="s">
        <v>266</v>
      </c>
      <c r="C78" s="3"/>
      <c r="D78" s="3"/>
      <c r="E78" s="3"/>
      <c r="F78" s="3"/>
      <c r="G78" s="3"/>
      <c r="H78" s="3">
        <f t="shared" ref="H78:M78" si="40">G80</f>
        <v>425000</v>
      </c>
      <c r="I78" s="3">
        <f t="shared" si="40"/>
        <v>425000</v>
      </c>
      <c r="J78" s="3">
        <f t="shared" si="40"/>
        <v>425000</v>
      </c>
      <c r="K78" s="3">
        <f t="shared" si="40"/>
        <v>425000</v>
      </c>
      <c r="L78" s="3">
        <f t="shared" si="40"/>
        <v>425000</v>
      </c>
      <c r="M78" s="3">
        <f t="shared" si="40"/>
        <v>425000</v>
      </c>
    </row>
    <row r="79" spans="1:13" s="186" customFormat="1" x14ac:dyDescent="0.35">
      <c r="A79" s="3"/>
      <c r="B79" s="186" t="s">
        <v>263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s="186" customFormat="1" x14ac:dyDescent="0.35">
      <c r="A80" s="9"/>
      <c r="B80" s="187" t="s">
        <v>268</v>
      </c>
      <c r="C80" s="9"/>
      <c r="D80" s="9"/>
      <c r="E80" s="9"/>
      <c r="F80" s="9"/>
      <c r="G80" s="9">
        <f>G13*1000</f>
        <v>425000</v>
      </c>
      <c r="H80" s="9">
        <f t="shared" ref="H80:M80" si="41">SUM(H78:H79)</f>
        <v>425000</v>
      </c>
      <c r="I80" s="9">
        <f t="shared" si="41"/>
        <v>425000</v>
      </c>
      <c r="J80" s="9">
        <f t="shared" si="41"/>
        <v>425000</v>
      </c>
      <c r="K80" s="9">
        <f t="shared" si="41"/>
        <v>425000</v>
      </c>
      <c r="L80" s="9">
        <f t="shared" si="41"/>
        <v>425000</v>
      </c>
      <c r="M80" s="9">
        <f t="shared" si="41"/>
        <v>425000</v>
      </c>
    </row>
    <row r="81" spans="1:13" s="186" customForma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s="186" customFormat="1" x14ac:dyDescent="0.35">
      <c r="A82" s="3"/>
      <c r="B82" s="186" t="s">
        <v>271</v>
      </c>
      <c r="C82" s="3"/>
      <c r="D82" s="3"/>
      <c r="E82" s="3"/>
      <c r="F82" s="3"/>
      <c r="G82" s="3"/>
      <c r="H82" s="3">
        <f t="shared" ref="H82:M82" si="42">AVERAGE(H78,H80)</f>
        <v>425000</v>
      </c>
      <c r="I82" s="3">
        <f t="shared" si="42"/>
        <v>425000</v>
      </c>
      <c r="J82" s="3">
        <f t="shared" si="42"/>
        <v>425000</v>
      </c>
      <c r="K82" s="3">
        <f t="shared" si="42"/>
        <v>425000</v>
      </c>
      <c r="L82" s="3">
        <f t="shared" si="42"/>
        <v>425000</v>
      </c>
      <c r="M82" s="3">
        <f t="shared" si="42"/>
        <v>425000</v>
      </c>
    </row>
    <row r="83" spans="1:13" s="186" customFormat="1" x14ac:dyDescent="0.35">
      <c r="A83" s="3"/>
      <c r="B83" s="186" t="s">
        <v>281</v>
      </c>
      <c r="C83" s="3"/>
      <c r="D83" s="190">
        <f>Capitalization!F14</f>
        <v>0.115</v>
      </c>
      <c r="E83" s="3"/>
      <c r="F83" s="3"/>
      <c r="G83" s="3"/>
      <c r="H83" s="3">
        <f t="shared" ref="H83:M83" si="43">H82*$D$83</f>
        <v>48875</v>
      </c>
      <c r="I83" s="3">
        <f t="shared" si="43"/>
        <v>48875</v>
      </c>
      <c r="J83" s="3">
        <f t="shared" si="43"/>
        <v>48875</v>
      </c>
      <c r="K83" s="3">
        <f t="shared" si="43"/>
        <v>48875</v>
      </c>
      <c r="L83" s="3">
        <f t="shared" si="43"/>
        <v>48875</v>
      </c>
      <c r="M83" s="3">
        <f t="shared" si="43"/>
        <v>48875</v>
      </c>
    </row>
    <row r="84" spans="1:13" s="186" customForma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s="186" customFormat="1" x14ac:dyDescent="0.35">
      <c r="A85" s="3"/>
      <c r="B85" s="66" t="s">
        <v>39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s="186" customFormat="1" x14ac:dyDescent="0.35">
      <c r="A86" s="3"/>
      <c r="B86" s="67" t="s">
        <v>266</v>
      </c>
      <c r="C86" s="3"/>
      <c r="D86" s="3"/>
      <c r="E86" s="3"/>
      <c r="F86" s="3"/>
      <c r="G86" s="3"/>
      <c r="H86" s="192">
        <f t="shared" ref="H86:M86" si="44">G87</f>
        <v>0</v>
      </c>
      <c r="I86" s="192">
        <f t="shared" ca="1" si="44"/>
        <v>10000</v>
      </c>
      <c r="J86" s="192">
        <f t="shared" ca="1" si="44"/>
        <v>72865.104179190981</v>
      </c>
      <c r="K86" s="192">
        <f t="shared" ca="1" si="44"/>
        <v>143459.90906388912</v>
      </c>
      <c r="L86" s="192">
        <f t="shared" ca="1" si="44"/>
        <v>284881.52035447606</v>
      </c>
      <c r="M86" s="192">
        <f t="shared" ca="1" si="44"/>
        <v>423491.70194039488</v>
      </c>
    </row>
    <row r="87" spans="1:13" s="186" customFormat="1" x14ac:dyDescent="0.35">
      <c r="A87" s="3"/>
      <c r="B87" s="186" t="s">
        <v>268</v>
      </c>
      <c r="C87" s="3"/>
      <c r="D87" s="3"/>
      <c r="E87" s="3"/>
      <c r="F87" s="3"/>
      <c r="G87" s="192">
        <f>Summary!E36*1000</f>
        <v>0</v>
      </c>
      <c r="H87" s="177">
        <f t="shared" ref="H87:M87" ca="1" si="45">H28</f>
        <v>10000</v>
      </c>
      <c r="I87" s="177">
        <f t="shared" ca="1" si="45"/>
        <v>72865.104179190981</v>
      </c>
      <c r="J87" s="177">
        <f t="shared" ca="1" si="45"/>
        <v>143459.90906388912</v>
      </c>
      <c r="K87" s="177">
        <f t="shared" ca="1" si="45"/>
        <v>284881.52035447618</v>
      </c>
      <c r="L87" s="177">
        <f t="shared" ca="1" si="45"/>
        <v>423491.70194039482</v>
      </c>
      <c r="M87" s="177">
        <f t="shared" ca="1" si="45"/>
        <v>593087.8896602696</v>
      </c>
    </row>
    <row r="88" spans="1:13" s="186" customFormat="1" x14ac:dyDescent="0.35">
      <c r="A88" s="3"/>
      <c r="B88" s="186" t="s">
        <v>283</v>
      </c>
      <c r="C88" s="3"/>
      <c r="D88" s="194">
        <v>0.01</v>
      </c>
      <c r="E88" s="3"/>
      <c r="F88" s="3"/>
      <c r="G88" s="192">
        <f t="shared" ref="G88:M88" si="46">AVERAGE(G86:G87)*$D$88</f>
        <v>0</v>
      </c>
      <c r="H88" s="192">
        <f t="shared" ca="1" si="46"/>
        <v>50</v>
      </c>
      <c r="I88" s="192">
        <f t="shared" ca="1" si="46"/>
        <v>414.32552089595492</v>
      </c>
      <c r="J88" s="192">
        <f t="shared" ca="1" si="46"/>
        <v>1081.6250662154007</v>
      </c>
      <c r="K88" s="192">
        <f t="shared" ca="1" si="46"/>
        <v>2141.7071470918263</v>
      </c>
      <c r="L88" s="192">
        <f t="shared" ca="1" si="46"/>
        <v>3541.8661114743545</v>
      </c>
      <c r="M88" s="192">
        <f t="shared" ca="1" si="46"/>
        <v>5082.8979580033219</v>
      </c>
    </row>
    <row r="89" spans="1:13" s="186" customForma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s="66" customFormat="1" x14ac:dyDescent="0.35">
      <c r="A90" s="8"/>
      <c r="B90" s="234" t="s">
        <v>282</v>
      </c>
      <c r="C90" s="8"/>
      <c r="D90" s="8"/>
      <c r="E90" s="8"/>
      <c r="F90" s="8"/>
      <c r="G90" s="8"/>
      <c r="H90" s="297">
        <f t="shared" ref="H90:M90" ca="1" si="47">SUM(H36,H39,H48,H83,H57,H66,H74,-H88)</f>
        <v>113906.71045857019</v>
      </c>
      <c r="I90" s="297">
        <f t="shared" ca="1" si="47"/>
        <v>108796.29343767422</v>
      </c>
      <c r="J90" s="297">
        <f t="shared" ca="1" si="47"/>
        <v>104132.63493378459</v>
      </c>
      <c r="K90" s="297">
        <f t="shared" ca="1" si="47"/>
        <v>101223.05285290816</v>
      </c>
      <c r="L90" s="297">
        <f t="shared" ca="1" si="47"/>
        <v>99822.893888525636</v>
      </c>
      <c r="M90" s="297">
        <f t="shared" ca="1" si="47"/>
        <v>98281.862041996676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3F65-CB06-4D7E-95DE-6F24943634BA}">
  <dimension ref="A1:M55"/>
  <sheetViews>
    <sheetView showGridLines="0" zoomScale="70" zoomScaleNormal="70" workbookViewId="0">
      <pane ySplit="1" topLeftCell="A2" activePane="bottomLeft" state="frozen"/>
      <selection pane="bottomLeft" activeCell="F13" sqref="F13"/>
    </sheetView>
  </sheetViews>
  <sheetFormatPr defaultRowHeight="14.5" x14ac:dyDescent="0.35"/>
  <cols>
    <col min="1" max="1" width="1.6328125" customWidth="1"/>
    <col min="2" max="13" width="15.6328125" customWidth="1"/>
  </cols>
  <sheetData>
    <row r="1" spans="1:13" s="245" customFormat="1" x14ac:dyDescent="0.35">
      <c r="A1" s="243"/>
      <c r="B1" s="243"/>
      <c r="C1" s="243" t="s">
        <v>42</v>
      </c>
      <c r="D1" s="243" t="s">
        <v>43</v>
      </c>
      <c r="E1" s="243" t="s">
        <v>44</v>
      </c>
      <c r="F1" s="243" t="s">
        <v>45</v>
      </c>
      <c r="G1" s="246" t="s">
        <v>46</v>
      </c>
      <c r="H1" s="243" t="s">
        <v>47</v>
      </c>
      <c r="I1" s="243" t="s">
        <v>48</v>
      </c>
      <c r="J1" s="243" t="s">
        <v>49</v>
      </c>
      <c r="K1" s="243" t="s">
        <v>50</v>
      </c>
      <c r="L1" s="243" t="s">
        <v>51</v>
      </c>
      <c r="M1" s="243" t="s">
        <v>320</v>
      </c>
    </row>
    <row r="2" spans="1:13" s="202" customFormat="1" x14ac:dyDescent="0.35">
      <c r="A2" s="103" t="s">
        <v>311</v>
      </c>
      <c r="B2" s="103" t="s">
        <v>166</v>
      </c>
      <c r="C2" s="103"/>
      <c r="D2" s="103"/>
      <c r="E2" s="103"/>
      <c r="F2" s="103"/>
      <c r="G2" s="200"/>
      <c r="H2" s="103"/>
      <c r="I2" s="103"/>
      <c r="J2" s="103"/>
      <c r="K2" s="103"/>
      <c r="L2" s="103"/>
      <c r="M2" s="103"/>
    </row>
    <row r="3" spans="1:13" s="186" customFormat="1" x14ac:dyDescent="0.35">
      <c r="A3" s="135"/>
      <c r="B3" s="136"/>
      <c r="C3" s="135"/>
      <c r="D3" s="135"/>
      <c r="E3" s="140"/>
      <c r="F3" s="140"/>
      <c r="G3" s="140"/>
      <c r="H3" s="135"/>
      <c r="I3" s="135"/>
      <c r="J3" s="135"/>
      <c r="K3" s="135"/>
      <c r="L3" s="135"/>
      <c r="M3" s="135"/>
    </row>
    <row r="4" spans="1:13" s="239" customFormat="1" x14ac:dyDescent="0.35">
      <c r="A4" s="42"/>
      <c r="B4" s="179" t="s">
        <v>257</v>
      </c>
      <c r="C4" s="42"/>
      <c r="D4" s="42"/>
      <c r="E4" s="43">
        <f>E25/Tower!E6</f>
        <v>6.2322454534659615E-2</v>
      </c>
      <c r="F4" s="43">
        <f>F25/Tower!F6</f>
        <v>8.009633979998701E-2</v>
      </c>
      <c r="G4" s="43">
        <f>G25/Tower!G6</f>
        <v>7.6151751462229106E-2</v>
      </c>
      <c r="H4" s="48">
        <f>G4-0.005</f>
        <v>7.1151751462229101E-2</v>
      </c>
      <c r="I4" s="48">
        <f t="shared" ref="I4:J4" si="0">H4-0.005</f>
        <v>6.6151751462229097E-2</v>
      </c>
      <c r="J4" s="48">
        <f t="shared" si="0"/>
        <v>6.1151751462229099E-2</v>
      </c>
      <c r="K4" s="48">
        <f>J4</f>
        <v>6.1151751462229099E-2</v>
      </c>
      <c r="L4" s="48">
        <f t="shared" ref="L4:M4" si="1">K4</f>
        <v>6.1151751462229099E-2</v>
      </c>
      <c r="M4" s="48">
        <f t="shared" si="1"/>
        <v>6.1151751462229099E-2</v>
      </c>
    </row>
    <row r="5" spans="1:13" s="239" customFormat="1" x14ac:dyDescent="0.35">
      <c r="A5" s="42"/>
      <c r="B5" s="179" t="s">
        <v>258</v>
      </c>
      <c r="C5" s="42"/>
      <c r="D5" s="42"/>
      <c r="E5" s="43">
        <f>E26/-Tower!E61</f>
        <v>0.12450329318231272</v>
      </c>
      <c r="F5" s="43">
        <f>F26/-Tower!F61</f>
        <v>8.7064476867743906E-2</v>
      </c>
      <c r="G5" s="43">
        <f>G26/-Tower!G61</f>
        <v>9.8968196972031158E-2</v>
      </c>
      <c r="H5" s="48">
        <f>AVERAGE(E5:G5)</f>
        <v>0.10351198900736258</v>
      </c>
      <c r="I5" s="48">
        <f t="shared" ref="I5:M5" si="2">AVERAGE(F5:H5)</f>
        <v>9.6514887615712544E-2</v>
      </c>
      <c r="J5" s="48">
        <f t="shared" si="2"/>
        <v>9.9665024531702104E-2</v>
      </c>
      <c r="K5" s="48">
        <f t="shared" si="2"/>
        <v>9.9897300384925738E-2</v>
      </c>
      <c r="L5" s="48">
        <f t="shared" si="2"/>
        <v>9.8692404177446791E-2</v>
      </c>
      <c r="M5" s="48">
        <f t="shared" si="2"/>
        <v>9.9418243031358211E-2</v>
      </c>
    </row>
    <row r="6" spans="1:13" s="240" customFormat="1" x14ac:dyDescent="0.35">
      <c r="A6" s="182"/>
      <c r="B6" s="181" t="s">
        <v>259</v>
      </c>
      <c r="C6" s="182"/>
      <c r="D6" s="182"/>
      <c r="E6" s="183">
        <f>Tower!E15/Tower!E6</f>
        <v>2.8846856474757716E-2</v>
      </c>
      <c r="F6" s="183">
        <f>Tower!F15/Tower!F6</f>
        <v>3.1543008240635786E-2</v>
      </c>
      <c r="G6" s="183">
        <f>Tower!G15/Tower!G6</f>
        <v>3.5808436448803653E-2</v>
      </c>
      <c r="H6" s="184">
        <f t="shared" ref="H6:M6" si="3">AVERAGE(F6:G6)</f>
        <v>3.3675722344719716E-2</v>
      </c>
      <c r="I6" s="184">
        <f t="shared" si="3"/>
        <v>3.4742079396761688E-2</v>
      </c>
      <c r="J6" s="184">
        <f t="shared" si="3"/>
        <v>3.4208900870740702E-2</v>
      </c>
      <c r="K6" s="184">
        <f t="shared" si="3"/>
        <v>3.4475490133751195E-2</v>
      </c>
      <c r="L6" s="184">
        <f t="shared" si="3"/>
        <v>3.4342195502245945E-2</v>
      </c>
      <c r="M6" s="184">
        <f t="shared" si="3"/>
        <v>3.4408842817998567E-2</v>
      </c>
    </row>
    <row r="7" spans="1:13" s="240" customFormat="1" x14ac:dyDescent="0.35">
      <c r="A7" s="182"/>
      <c r="B7" s="181"/>
      <c r="C7" s="182"/>
      <c r="D7" s="182"/>
      <c r="E7" s="183"/>
      <c r="F7" s="183"/>
      <c r="G7" s="183"/>
      <c r="H7" s="184"/>
      <c r="I7" s="182"/>
      <c r="J7" s="182"/>
      <c r="K7" s="182"/>
      <c r="L7" s="182"/>
      <c r="M7" s="182"/>
    </row>
    <row r="8" spans="1:13" s="202" customFormat="1" x14ac:dyDescent="0.35">
      <c r="A8" s="103" t="s">
        <v>311</v>
      </c>
      <c r="B8" s="103" t="s">
        <v>202</v>
      </c>
      <c r="C8" s="103"/>
      <c r="D8" s="103"/>
      <c r="E8" s="103"/>
      <c r="F8" s="103"/>
      <c r="G8" s="200"/>
      <c r="H8" s="103"/>
      <c r="I8" s="103"/>
      <c r="J8" s="103"/>
      <c r="K8" s="103"/>
      <c r="L8" s="103"/>
      <c r="M8" s="103"/>
    </row>
    <row r="9" spans="1:13" s="245" customFormat="1" x14ac:dyDescent="0.35">
      <c r="A9" s="243"/>
      <c r="B9" s="247" t="s">
        <v>323</v>
      </c>
      <c r="C9" s="244">
        <v>365</v>
      </c>
      <c r="D9" s="244">
        <v>365</v>
      </c>
      <c r="E9" s="244">
        <v>365</v>
      </c>
      <c r="F9" s="244">
        <v>365</v>
      </c>
      <c r="G9" s="244">
        <v>365</v>
      </c>
      <c r="H9" s="244">
        <v>365</v>
      </c>
      <c r="I9" s="244">
        <v>365</v>
      </c>
      <c r="J9" s="244">
        <v>365</v>
      </c>
      <c r="K9" s="244">
        <v>365</v>
      </c>
      <c r="L9" s="244">
        <v>365</v>
      </c>
      <c r="M9" s="244">
        <v>365</v>
      </c>
    </row>
    <row r="10" spans="1:13" s="186" customFormat="1" x14ac:dyDescent="0.35">
      <c r="A10" s="3"/>
      <c r="B10" s="163"/>
      <c r="C10" s="3"/>
      <c r="D10" s="3"/>
      <c r="E10" s="70"/>
      <c r="F10" s="70"/>
      <c r="G10" s="70"/>
      <c r="H10" s="195">
        <f ca="1">Tower!H90-Tower!H67</f>
        <v>0</v>
      </c>
      <c r="I10" s="195">
        <f ca="1">Tower!I90-Tower!I67</f>
        <v>0</v>
      </c>
      <c r="J10" s="195">
        <f ca="1">Tower!J90-Tower!J67</f>
        <v>0</v>
      </c>
      <c r="K10" s="195">
        <f ca="1">Tower!K90-Tower!K67</f>
        <v>0</v>
      </c>
      <c r="L10" s="195">
        <f ca="1">Tower!L90-Tower!L67</f>
        <v>0</v>
      </c>
      <c r="M10" s="195">
        <f ca="1">Tower!M90-Tower!M67</f>
        <v>0</v>
      </c>
    </row>
    <row r="11" spans="1:13" s="186" customFormat="1" x14ac:dyDescent="0.35">
      <c r="A11" s="3"/>
      <c r="B11" s="199" t="s">
        <v>284</v>
      </c>
      <c r="C11" s="3"/>
      <c r="D11" s="3"/>
      <c r="E11" s="70"/>
      <c r="F11" s="70"/>
      <c r="G11" s="70"/>
      <c r="H11" s="3"/>
      <c r="I11" s="3"/>
      <c r="J11" s="3"/>
      <c r="K11" s="3"/>
      <c r="L11" s="3"/>
      <c r="M11" s="3"/>
    </row>
    <row r="12" spans="1:13" s="186" customFormat="1" x14ac:dyDescent="0.35">
      <c r="A12" s="3"/>
      <c r="B12" s="72" t="s">
        <v>285</v>
      </c>
      <c r="C12" s="3"/>
      <c r="D12" s="3"/>
      <c r="E12" s="70">
        <f>(Tower!E51/Tower!E6)*Assumptions!E9</f>
        <v>22.881471560755944</v>
      </c>
      <c r="F12" s="70">
        <f>(Tower!F51/Tower!F6)*Assumptions!F9</f>
        <v>13.443854513911443</v>
      </c>
      <c r="G12" s="70">
        <f>(Tower!G51/Tower!G6)*Assumptions!G9</f>
        <v>10.652141058162465</v>
      </c>
      <c r="H12" s="196">
        <f t="shared" ref="H12:M14" si="4">AVERAGE(E12:G12)</f>
        <v>15.659155710943283</v>
      </c>
      <c r="I12" s="196">
        <f t="shared" si="4"/>
        <v>13.251717094339064</v>
      </c>
      <c r="J12" s="196">
        <f t="shared" si="4"/>
        <v>13.187671287814936</v>
      </c>
      <c r="K12" s="196">
        <f t="shared" si="4"/>
        <v>14.032848031032428</v>
      </c>
      <c r="L12" s="196">
        <f t="shared" si="4"/>
        <v>13.490745471062143</v>
      </c>
      <c r="M12" s="196">
        <f t="shared" si="4"/>
        <v>13.570421596636502</v>
      </c>
    </row>
    <row r="13" spans="1:13" s="186" customFormat="1" x14ac:dyDescent="0.35">
      <c r="A13" s="3"/>
      <c r="B13" s="72" t="s">
        <v>219</v>
      </c>
      <c r="C13" s="3"/>
      <c r="D13" s="3"/>
      <c r="E13" s="70">
        <f>(Tower!E52/Tower!E6)*Assumptions!E9</f>
        <v>7.0392666630129979</v>
      </c>
      <c r="F13" s="70">
        <f>(Tower!F52/Tower!F6)*Assumptions!F9</f>
        <v>14.410138726797674</v>
      </c>
      <c r="G13" s="70">
        <f>(Tower!G52/Tower!G6)*Assumptions!G9</f>
        <v>16.38813800293396</v>
      </c>
      <c r="H13" s="196">
        <f t="shared" si="4"/>
        <v>12.612514464248212</v>
      </c>
      <c r="I13" s="196">
        <f t="shared" si="4"/>
        <v>14.470263731326616</v>
      </c>
      <c r="J13" s="196">
        <f t="shared" si="4"/>
        <v>14.49030539950293</v>
      </c>
      <c r="K13" s="196">
        <f t="shared" si="4"/>
        <v>13.857694531692587</v>
      </c>
      <c r="L13" s="196">
        <f t="shared" si="4"/>
        <v>14.272754554174044</v>
      </c>
      <c r="M13" s="196">
        <f t="shared" si="4"/>
        <v>14.206918161789853</v>
      </c>
    </row>
    <row r="14" spans="1:13" s="186" customFormat="1" x14ac:dyDescent="0.35">
      <c r="A14" s="3"/>
      <c r="B14" s="72" t="s">
        <v>220</v>
      </c>
      <c r="C14" s="3"/>
      <c r="D14" s="3"/>
      <c r="E14" s="70">
        <f>(Tower!E54/Tower!E9)*Assumptions!E9</f>
        <v>37.061710633380109</v>
      </c>
      <c r="F14" s="70">
        <f>(Tower!F54/Tower!F9)*Assumptions!F9</f>
        <v>30.470659341111929</v>
      </c>
      <c r="G14" s="70">
        <f>(Tower!G54/Tower!G9)*Assumptions!G9</f>
        <v>39.149689554142057</v>
      </c>
      <c r="H14" s="196">
        <f t="shared" si="4"/>
        <v>35.560686509544702</v>
      </c>
      <c r="I14" s="196">
        <f t="shared" si="4"/>
        <v>35.060345134932895</v>
      </c>
      <c r="J14" s="196">
        <f t="shared" si="4"/>
        <v>36.590240399539887</v>
      </c>
      <c r="K14" s="196">
        <f t="shared" si="4"/>
        <v>35.737090681339161</v>
      </c>
      <c r="L14" s="196">
        <f t="shared" si="4"/>
        <v>35.795892071937317</v>
      </c>
      <c r="M14" s="196">
        <f t="shared" si="4"/>
        <v>36.041074384272122</v>
      </c>
    </row>
    <row r="15" spans="1:13" s="186" customFormat="1" x14ac:dyDescent="0.35">
      <c r="A15" s="3"/>
      <c r="B15" s="72" t="s">
        <v>221</v>
      </c>
      <c r="C15" s="3"/>
      <c r="D15" s="3"/>
      <c r="E15" s="70"/>
      <c r="F15" s="70"/>
      <c r="G15" s="70"/>
      <c r="H15" s="3"/>
      <c r="I15" s="3"/>
      <c r="J15" s="3"/>
      <c r="K15" s="3"/>
      <c r="L15" s="3"/>
      <c r="M15" s="3"/>
    </row>
    <row r="16" spans="1:13" s="186" customFormat="1" x14ac:dyDescent="0.35">
      <c r="A16" s="3"/>
      <c r="B16" s="72" t="s">
        <v>175</v>
      </c>
      <c r="C16" s="3"/>
      <c r="D16" s="3"/>
      <c r="E16" s="70"/>
      <c r="F16" s="70"/>
      <c r="G16" s="70"/>
      <c r="H16" s="3"/>
      <c r="I16" s="3"/>
      <c r="J16" s="3"/>
      <c r="K16" s="3"/>
      <c r="L16" s="3"/>
      <c r="M16" s="3"/>
    </row>
    <row r="17" spans="1:13" s="186" customFormat="1" x14ac:dyDescent="0.35">
      <c r="A17" s="3"/>
      <c r="B17" s="72" t="s">
        <v>222</v>
      </c>
      <c r="C17" s="3"/>
      <c r="D17" s="3"/>
      <c r="E17" s="70"/>
      <c r="F17" s="70"/>
      <c r="G17" s="70"/>
      <c r="H17" s="3"/>
      <c r="I17" s="3"/>
      <c r="J17" s="3"/>
      <c r="K17" s="3"/>
      <c r="L17" s="3"/>
      <c r="M17" s="3"/>
    </row>
    <row r="18" spans="1:13" s="186" customFormat="1" x14ac:dyDescent="0.35">
      <c r="A18" s="3"/>
      <c r="B18" s="72"/>
      <c r="C18" s="3"/>
      <c r="D18" s="3"/>
      <c r="E18" s="70"/>
      <c r="F18" s="70"/>
      <c r="G18" s="70"/>
      <c r="H18" s="3"/>
      <c r="I18" s="3"/>
      <c r="J18" s="3"/>
      <c r="K18" s="3"/>
      <c r="L18" s="3"/>
      <c r="M18" s="3"/>
    </row>
    <row r="19" spans="1:13" s="186" customFormat="1" x14ac:dyDescent="0.35">
      <c r="A19" s="3"/>
      <c r="B19" s="72" t="s">
        <v>188</v>
      </c>
      <c r="C19" s="3"/>
      <c r="D19" s="3"/>
      <c r="E19" s="70">
        <f>(Tower!E73/Tower!E9)*Assumptions!E9</f>
        <v>52.48744678592908</v>
      </c>
      <c r="F19" s="70">
        <f>(Tower!F73/Tower!F9)*Assumptions!F9</f>
        <v>57.619078017981657</v>
      </c>
      <c r="G19" s="70">
        <f>(Tower!G73/Tower!G9)*Assumptions!G9</f>
        <v>69.078520410486846</v>
      </c>
      <c r="H19" s="196">
        <f t="shared" ref="H19:M19" si="5">AVERAGE(E19:G19)</f>
        <v>59.728348404799192</v>
      </c>
      <c r="I19" s="196">
        <f t="shared" si="5"/>
        <v>62.141982277755893</v>
      </c>
      <c r="J19" s="196">
        <f t="shared" si="5"/>
        <v>63.649617031013975</v>
      </c>
      <c r="K19" s="196">
        <f t="shared" si="5"/>
        <v>61.839982571189687</v>
      </c>
      <c r="L19" s="196">
        <f t="shared" si="5"/>
        <v>62.543860626653185</v>
      </c>
      <c r="M19" s="196">
        <f t="shared" si="5"/>
        <v>62.67782007628562</v>
      </c>
    </row>
    <row r="20" spans="1:13" s="186" customFormat="1" x14ac:dyDescent="0.35">
      <c r="A20" s="3"/>
      <c r="B20" s="72" t="s">
        <v>187</v>
      </c>
      <c r="C20" s="3"/>
      <c r="D20" s="3"/>
      <c r="E20" s="70"/>
      <c r="F20" s="70"/>
      <c r="G20" s="70"/>
      <c r="H20" s="3"/>
      <c r="I20" s="3"/>
      <c r="J20" s="3"/>
      <c r="K20" s="3"/>
      <c r="L20" s="3"/>
      <c r="M20" s="3"/>
    </row>
    <row r="21" spans="1:13" s="186" customFormat="1" x14ac:dyDescent="0.35">
      <c r="A21" s="3"/>
      <c r="B21" s="72" t="s">
        <v>189</v>
      </c>
      <c r="C21" s="3"/>
      <c r="D21" s="3"/>
      <c r="E21" s="70"/>
      <c r="F21" s="70"/>
      <c r="G21" s="70"/>
      <c r="H21" s="3"/>
      <c r="I21" s="3"/>
      <c r="J21" s="3"/>
      <c r="K21" s="3"/>
      <c r="L21" s="3"/>
      <c r="M21" s="3"/>
    </row>
    <row r="23" spans="1:13" s="186" customFormat="1" x14ac:dyDescent="0.35">
      <c r="A23" s="135"/>
      <c r="B23" s="144" t="s">
        <v>253</v>
      </c>
      <c r="C23" s="135"/>
      <c r="D23" s="135"/>
      <c r="E23" s="140"/>
      <c r="F23" s="140"/>
      <c r="G23" s="140"/>
      <c r="H23" s="135"/>
      <c r="I23" s="135"/>
      <c r="J23" s="135"/>
      <c r="K23" s="135"/>
      <c r="L23" s="135"/>
      <c r="M23" s="135"/>
    </row>
    <row r="24" spans="1:13" s="186" customFormat="1" x14ac:dyDescent="0.35">
      <c r="A24" s="135"/>
      <c r="B24" s="32" t="s">
        <v>254</v>
      </c>
      <c r="C24" s="135"/>
      <c r="D24" s="135"/>
      <c r="E24" s="140"/>
      <c r="F24" s="140"/>
      <c r="G24" s="140"/>
      <c r="H24" s="122">
        <f t="shared" ref="H24:M24" si="6">G27</f>
        <v>2148569</v>
      </c>
      <c r="I24" s="122">
        <f t="shared" ca="1" si="6"/>
        <v>2014736.3610781992</v>
      </c>
      <c r="J24" s="122">
        <f t="shared" ca="1" si="6"/>
        <v>1900380.7365954258</v>
      </c>
      <c r="K24" s="122">
        <f t="shared" ca="1" si="6"/>
        <v>1784575.6238154862</v>
      </c>
      <c r="L24" s="122">
        <f t="shared" ca="1" si="6"/>
        <v>1675382.8307863604</v>
      </c>
      <c r="M24" s="122">
        <f t="shared" ca="1" si="6"/>
        <v>1579053.1202565904</v>
      </c>
    </row>
    <row r="25" spans="1:13" s="186" customFormat="1" x14ac:dyDescent="0.35">
      <c r="A25" s="135"/>
      <c r="B25" s="32" t="s">
        <v>36</v>
      </c>
      <c r="C25" s="135"/>
      <c r="D25" s="135"/>
      <c r="E25" s="140">
        <f>-Tower!E124</f>
        <v>54584</v>
      </c>
      <c r="F25" s="140">
        <f>-Tower!F124</f>
        <v>76455</v>
      </c>
      <c r="G25" s="140">
        <f>-Tower!G124</f>
        <v>84147</v>
      </c>
      <c r="H25" s="140">
        <f ca="1">H4*Tower!H6</f>
        <v>74716.729138859519</v>
      </c>
      <c r="I25" s="140">
        <f ca="1">I4*Tower!I6</f>
        <v>69059.408736799189</v>
      </c>
      <c r="J25" s="140">
        <f ca="1">J4*Tower!J6</f>
        <v>62054.660546308573</v>
      </c>
      <c r="K25" s="140">
        <f ca="1">K4*Tower!K6</f>
        <v>58173.428877686158</v>
      </c>
      <c r="L25" s="140">
        <f ca="1">L4*Tower!L6</f>
        <v>59510.838232252354</v>
      </c>
      <c r="M25" s="140">
        <f ca="1">M4*Tower!M6</f>
        <v>60885.440657612671</v>
      </c>
    </row>
    <row r="26" spans="1:13" s="186" customFormat="1" x14ac:dyDescent="0.35">
      <c r="A26" s="135"/>
      <c r="B26" s="32" t="s">
        <v>255</v>
      </c>
      <c r="C26" s="135"/>
      <c r="D26" s="135"/>
      <c r="E26" s="140">
        <f>-Tower!E12</f>
        <v>-164212</v>
      </c>
      <c r="F26" s="140">
        <f>-Tower!F12</f>
        <v>-207092</v>
      </c>
      <c r="G26" s="140">
        <f>-Tower!G12</f>
        <v>-212640</v>
      </c>
      <c r="H26" s="140">
        <f ca="1">H5*-Tower!H61</f>
        <v>-208549.36806066026</v>
      </c>
      <c r="I26" s="140">
        <f ca="1">I5*-Tower!I61</f>
        <v>-183415.03321957254</v>
      </c>
      <c r="J26" s="140">
        <f ca="1">J5*-Tower!J61</f>
        <v>-177859.77332624802</v>
      </c>
      <c r="K26" s="140">
        <f ca="1">K5*-Tower!K61</f>
        <v>-167366.22190681225</v>
      </c>
      <c r="L26" s="140">
        <f ca="1">L5*-Tower!L61</f>
        <v>-155840.54876202191</v>
      </c>
      <c r="M26" s="140">
        <f ca="1">M5*-Tower!M61</f>
        <v>-148296.43899297551</v>
      </c>
    </row>
    <row r="27" spans="1:13" s="186" customFormat="1" x14ac:dyDescent="0.35">
      <c r="A27" s="9"/>
      <c r="B27" s="155" t="s">
        <v>256</v>
      </c>
      <c r="C27" s="9"/>
      <c r="D27" s="9"/>
      <c r="E27" s="154"/>
      <c r="F27" s="154"/>
      <c r="G27" s="154">
        <f>Tower!G61</f>
        <v>2148569</v>
      </c>
      <c r="H27" s="154">
        <f t="shared" ref="H27:M27" ca="1" si="7">SUM(H24:H26)</f>
        <v>2014736.3610781992</v>
      </c>
      <c r="I27" s="154">
        <f t="shared" ca="1" si="7"/>
        <v>1900380.7365954258</v>
      </c>
      <c r="J27" s="154">
        <f t="shared" ca="1" si="7"/>
        <v>1784575.6238154864</v>
      </c>
      <c r="K27" s="154">
        <f t="shared" ca="1" si="7"/>
        <v>1675382.8307863602</v>
      </c>
      <c r="L27" s="154">
        <f t="shared" ca="1" si="7"/>
        <v>1579053.1202565909</v>
      </c>
      <c r="M27" s="154">
        <f t="shared" ca="1" si="7"/>
        <v>1491642.1219212275</v>
      </c>
    </row>
    <row r="28" spans="1:13" s="186" customFormat="1" x14ac:dyDescent="0.35">
      <c r="A28" s="3"/>
      <c r="B28" s="72"/>
      <c r="C28" s="3"/>
      <c r="D28" s="3"/>
      <c r="E28" s="70"/>
      <c r="F28" s="70"/>
      <c r="G28" s="70"/>
      <c r="H28" s="3"/>
      <c r="I28" s="3"/>
      <c r="J28" s="3"/>
      <c r="K28" s="3"/>
      <c r="L28" s="3"/>
      <c r="M28" s="3"/>
    </row>
    <row r="29" spans="1:13" s="186" customFormat="1" x14ac:dyDescent="0.35">
      <c r="A29" s="3"/>
      <c r="B29" s="72"/>
      <c r="C29" s="3"/>
      <c r="D29" s="3"/>
      <c r="E29" s="70"/>
      <c r="F29" s="70"/>
      <c r="G29" s="70"/>
      <c r="H29" s="3"/>
      <c r="I29" s="3"/>
      <c r="J29" s="3"/>
      <c r="K29" s="3"/>
      <c r="L29" s="3"/>
      <c r="M29" s="3"/>
    </row>
    <row r="30" spans="1:13" s="186" customFormat="1" x14ac:dyDescent="0.35">
      <c r="A30" s="3"/>
      <c r="B30" s="199" t="s">
        <v>321</v>
      </c>
      <c r="C30" s="3"/>
      <c r="D30" s="3"/>
      <c r="E30" s="70"/>
      <c r="F30" s="70"/>
      <c r="G30" s="70"/>
      <c r="H30" s="3"/>
      <c r="I30" s="3"/>
      <c r="J30" s="3"/>
      <c r="K30" s="3"/>
      <c r="L30" s="3"/>
      <c r="M30" s="3"/>
    </row>
    <row r="31" spans="1:13" s="186" customFormat="1" x14ac:dyDescent="0.35">
      <c r="A31" s="3"/>
      <c r="B31" s="242" t="s">
        <v>322</v>
      </c>
      <c r="C31" s="3"/>
      <c r="D31" s="3"/>
      <c r="E31" s="70"/>
      <c r="F31" s="70"/>
      <c r="G31" s="70"/>
      <c r="H31" s="3"/>
      <c r="I31" s="3"/>
      <c r="J31" s="3"/>
      <c r="K31" s="3"/>
      <c r="L31" s="3"/>
      <c r="M31" s="3"/>
    </row>
    <row r="32" spans="1:13" x14ac:dyDescent="0.35">
      <c r="B32" s="32" t="s">
        <v>171</v>
      </c>
      <c r="E32" s="249">
        <f>Tower!E51</f>
        <v>54905</v>
      </c>
      <c r="F32" s="249">
        <f>Tower!F51</f>
        <v>35158</v>
      </c>
      <c r="G32" s="249">
        <f>Tower!G51</f>
        <v>32248</v>
      </c>
      <c r="H32" s="249">
        <f ca="1">Tower!H51</f>
        <v>44753.603775249918</v>
      </c>
      <c r="I32" s="249">
        <f ca="1">Tower!I51</f>
        <v>37594.398926446091</v>
      </c>
      <c r="J32" s="249">
        <f ca="1">Tower!J51</f>
        <v>36358.077584805411</v>
      </c>
      <c r="K32" s="249">
        <f ca="1">Tower!K51</f>
        <v>36248.074874465317</v>
      </c>
      <c r="L32" s="249">
        <f ca="1">Tower!L51</f>
        <v>35656.124827997584</v>
      </c>
      <c r="M32" s="249">
        <f ca="1">Tower!M51</f>
        <v>36702.444502041726</v>
      </c>
    </row>
    <row r="33" spans="2:13" x14ac:dyDescent="0.35">
      <c r="B33" s="32" t="s">
        <v>172</v>
      </c>
      <c r="E33" s="249">
        <f>Tower!E52</f>
        <v>16891</v>
      </c>
      <c r="F33" s="249">
        <f>Tower!F52</f>
        <v>37685</v>
      </c>
      <c r="G33" s="249">
        <f>Tower!G52</f>
        <v>49613</v>
      </c>
      <c r="H33" s="249">
        <f ca="1">Tower!H52</f>
        <v>36046.354309390219</v>
      </c>
      <c r="I33" s="249">
        <f ca="1">Tower!I52</f>
        <v>41051.349301651338</v>
      </c>
      <c r="J33" s="249">
        <f ca="1">Tower!J52</f>
        <v>39949.40702149881</v>
      </c>
      <c r="K33" s="249">
        <f ca="1">Tower!K52</f>
        <v>35795.63805304782</v>
      </c>
      <c r="L33" s="249">
        <f ca="1">Tower!L52</f>
        <v>37722.979735598965</v>
      </c>
      <c r="M33" s="249">
        <f ca="1">Tower!M52</f>
        <v>38423.907589383918</v>
      </c>
    </row>
    <row r="34" spans="2:13" x14ac:dyDescent="0.35">
      <c r="B34" s="32" t="s">
        <v>173</v>
      </c>
      <c r="E34" s="249">
        <f>Tower!E53</f>
        <v>2904</v>
      </c>
      <c r="F34" s="249">
        <f>Tower!F53</f>
        <v>3138</v>
      </c>
      <c r="G34" s="249">
        <f>Tower!G53</f>
        <v>3392</v>
      </c>
      <c r="H34" s="249">
        <f>Tower!H53</f>
        <v>3392</v>
      </c>
      <c r="I34" s="249">
        <f>Tower!I53</f>
        <v>3392</v>
      </c>
      <c r="J34" s="249">
        <f>Tower!J53</f>
        <v>3392</v>
      </c>
      <c r="K34" s="249">
        <f>Tower!K53</f>
        <v>3392</v>
      </c>
      <c r="L34" s="249">
        <f>Tower!L53</f>
        <v>3392</v>
      </c>
      <c r="M34" s="249">
        <f>Tower!M53</f>
        <v>3392</v>
      </c>
    </row>
    <row r="35" spans="2:13" x14ac:dyDescent="0.35">
      <c r="B35" s="32" t="s">
        <v>174</v>
      </c>
      <c r="E35" s="249">
        <f>Tower!E54</f>
        <v>43052</v>
      </c>
      <c r="F35" s="249">
        <f>Tower!F54</f>
        <v>40539</v>
      </c>
      <c r="G35" s="249">
        <f>Tower!G54</f>
        <v>56524</v>
      </c>
      <c r="H35" s="249">
        <f ca="1">Tower!H54</f>
        <v>49332.756290725265</v>
      </c>
      <c r="I35" s="249">
        <f ca="1">Tower!I54</f>
        <v>47994.422768549543</v>
      </c>
      <c r="J35" s="249">
        <f ca="1">Tower!J54</f>
        <v>48152.367538411963</v>
      </c>
      <c r="K35" s="249">
        <f ca="1">Tower!K54</f>
        <v>42536.45635731193</v>
      </c>
      <c r="L35" s="249">
        <f ca="1">Tower!L54</f>
        <v>42583.447588080278</v>
      </c>
      <c r="M35" s="249">
        <f ca="1">Tower!M54</f>
        <v>42864.465463429719</v>
      </c>
    </row>
    <row r="36" spans="2:13" x14ac:dyDescent="0.35">
      <c r="B36" s="32" t="s">
        <v>175</v>
      </c>
      <c r="E36" s="249">
        <f>Tower!E55</f>
        <v>3136</v>
      </c>
      <c r="F36" s="249">
        <f>Tower!F55</f>
        <v>4000</v>
      </c>
      <c r="G36" s="249">
        <f>Tower!G55</f>
        <v>2000</v>
      </c>
      <c r="H36" s="249">
        <f>Tower!H55</f>
        <v>2000</v>
      </c>
      <c r="I36" s="249">
        <f>Tower!I55</f>
        <v>2000</v>
      </c>
      <c r="J36" s="249">
        <f>Tower!J55</f>
        <v>2000</v>
      </c>
      <c r="K36" s="249">
        <f>Tower!K55</f>
        <v>2000</v>
      </c>
      <c r="L36" s="249">
        <f>Tower!L55</f>
        <v>2000</v>
      </c>
      <c r="M36" s="249">
        <f>Tower!M55</f>
        <v>2000</v>
      </c>
    </row>
    <row r="37" spans="2:13" x14ac:dyDescent="0.35">
      <c r="B37" s="32" t="s">
        <v>176</v>
      </c>
      <c r="E37" s="249">
        <f>Tower!E56</f>
        <v>13310</v>
      </c>
      <c r="F37" s="249">
        <f>Tower!F56</f>
        <v>9520</v>
      </c>
      <c r="G37" s="249">
        <f>Tower!G56</f>
        <v>14940</v>
      </c>
      <c r="H37" s="249">
        <f>Tower!H56</f>
        <v>14940</v>
      </c>
      <c r="I37" s="249">
        <f>Tower!I56</f>
        <v>14940</v>
      </c>
      <c r="J37" s="249">
        <f>Tower!J56</f>
        <v>14940</v>
      </c>
      <c r="K37" s="249">
        <f>Tower!K56</f>
        <v>14940</v>
      </c>
      <c r="L37" s="249">
        <f>Tower!L56</f>
        <v>14940</v>
      </c>
      <c r="M37" s="249">
        <f>Tower!M56</f>
        <v>14940</v>
      </c>
    </row>
    <row r="38" spans="2:13" x14ac:dyDescent="0.35">
      <c r="B38" s="32" t="s">
        <v>203</v>
      </c>
      <c r="E38" s="249">
        <f>Tower!E57</f>
        <v>7650</v>
      </c>
      <c r="F38" s="249">
        <f>Tower!F57</f>
        <v>0</v>
      </c>
      <c r="G38" s="249">
        <f>Tower!G57</f>
        <v>0</v>
      </c>
      <c r="H38" s="249">
        <f>Tower!H57</f>
        <v>0</v>
      </c>
      <c r="I38" s="249">
        <f>Tower!I57</f>
        <v>0</v>
      </c>
      <c r="J38" s="249">
        <f>Tower!J57</f>
        <v>0</v>
      </c>
      <c r="K38" s="249">
        <f>Tower!K57</f>
        <v>0</v>
      </c>
      <c r="L38" s="249">
        <f>Tower!L57</f>
        <v>0</v>
      </c>
      <c r="M38" s="249">
        <f>Tower!M57</f>
        <v>0</v>
      </c>
    </row>
    <row r="39" spans="2:13" x14ac:dyDescent="0.35">
      <c r="B39" s="32" t="s">
        <v>177</v>
      </c>
      <c r="E39" s="249">
        <f>Tower!E58</f>
        <v>21443</v>
      </c>
      <c r="F39" s="249">
        <f>Tower!F58</f>
        <v>10844</v>
      </c>
      <c r="G39" s="249">
        <f>Tower!G58</f>
        <v>10872</v>
      </c>
      <c r="H39" s="249">
        <f>Tower!H58</f>
        <v>10872</v>
      </c>
      <c r="I39" s="249">
        <f>Tower!I58</f>
        <v>10872</v>
      </c>
      <c r="J39" s="249">
        <f>Tower!J58</f>
        <v>10872</v>
      </c>
      <c r="K39" s="249">
        <f>Tower!K58</f>
        <v>10872</v>
      </c>
      <c r="L39" s="249">
        <f>Tower!L58</f>
        <v>10872</v>
      </c>
      <c r="M39" s="249">
        <f>Tower!M58</f>
        <v>10872</v>
      </c>
    </row>
    <row r="40" spans="2:13" x14ac:dyDescent="0.35">
      <c r="B40" s="32" t="s">
        <v>178</v>
      </c>
      <c r="E40" s="249">
        <f>Tower!E59</f>
        <v>0</v>
      </c>
      <c r="F40" s="249">
        <f>Tower!F59</f>
        <v>11268</v>
      </c>
      <c r="G40" s="249">
        <f>Tower!G59</f>
        <v>1326</v>
      </c>
      <c r="H40" s="249">
        <f>Tower!H59</f>
        <v>1326</v>
      </c>
      <c r="I40" s="249">
        <f>Tower!I59</f>
        <v>1326</v>
      </c>
      <c r="J40" s="249">
        <f>Tower!J59</f>
        <v>1326</v>
      </c>
      <c r="K40" s="249">
        <f>Tower!K59</f>
        <v>1326</v>
      </c>
      <c r="L40" s="249">
        <f>Tower!L59</f>
        <v>1326</v>
      </c>
      <c r="M40" s="249">
        <f>Tower!M59</f>
        <v>1326</v>
      </c>
    </row>
    <row r="41" spans="2:13" s="9" customFormat="1" x14ac:dyDescent="0.35">
      <c r="B41" s="156" t="s">
        <v>179</v>
      </c>
      <c r="E41" s="250">
        <f>Tower!E60</f>
        <v>266981</v>
      </c>
      <c r="F41" s="250">
        <f>Tower!F60</f>
        <v>154331</v>
      </c>
      <c r="G41" s="250">
        <f>Tower!G60</f>
        <v>171184</v>
      </c>
      <c r="H41" s="250">
        <f ca="1">Tower!H60</f>
        <v>172662.71437536541</v>
      </c>
      <c r="I41" s="250">
        <f ca="1">Tower!I60</f>
        <v>240272.36544094031</v>
      </c>
      <c r="J41" s="250">
        <f ca="1">Tower!J60</f>
        <v>308686.85147370765</v>
      </c>
      <c r="K41" s="250">
        <f ca="1">Tower!K60</f>
        <v>440228.77990440343</v>
      </c>
      <c r="L41" s="250">
        <f ca="1">Tower!L60</f>
        <v>580221.34435717401</v>
      </c>
      <c r="M41" s="250">
        <f ca="1">Tower!M60</f>
        <v>751845.79748022719</v>
      </c>
    </row>
    <row r="42" spans="2:13" x14ac:dyDescent="0.35">
      <c r="E42" s="249"/>
      <c r="F42" s="249"/>
      <c r="G42" s="249"/>
      <c r="H42" s="249"/>
      <c r="I42" s="249"/>
      <c r="J42" s="249"/>
      <c r="K42" s="249"/>
      <c r="L42" s="249"/>
      <c r="M42" s="249"/>
    </row>
    <row r="43" spans="2:13" x14ac:dyDescent="0.35">
      <c r="B43" s="136" t="s">
        <v>324</v>
      </c>
      <c r="E43" s="249"/>
      <c r="F43" s="249"/>
      <c r="G43" s="249"/>
      <c r="H43" s="249"/>
      <c r="I43" s="249"/>
      <c r="J43" s="249"/>
      <c r="K43" s="249"/>
      <c r="L43" s="249"/>
      <c r="M43" s="249"/>
    </row>
    <row r="44" spans="2:13" x14ac:dyDescent="0.35">
      <c r="B44" s="32" t="s">
        <v>185</v>
      </c>
      <c r="E44" s="249">
        <f>Tower!E70</f>
        <v>368993</v>
      </c>
      <c r="F44" s="249">
        <f>Tower!F70</f>
        <v>109532</v>
      </c>
      <c r="G44" s="249">
        <f>Tower!G70</f>
        <v>53709</v>
      </c>
      <c r="H44" s="249">
        <f>Tower!H70</f>
        <v>53709</v>
      </c>
      <c r="I44" s="249">
        <f>Tower!I70</f>
        <v>53709</v>
      </c>
      <c r="J44" s="249">
        <f>Tower!J70</f>
        <v>53709</v>
      </c>
      <c r="K44" s="249">
        <f>Tower!K70</f>
        <v>53709</v>
      </c>
      <c r="L44" s="249">
        <f>Tower!L70</f>
        <v>53709</v>
      </c>
      <c r="M44" s="249">
        <f>Tower!M70</f>
        <v>53709</v>
      </c>
    </row>
    <row r="45" spans="2:13" x14ac:dyDescent="0.35">
      <c r="B45" s="32" t="s">
        <v>186</v>
      </c>
      <c r="E45" s="249">
        <f>Tower!E71</f>
        <v>1372</v>
      </c>
      <c r="F45" s="249">
        <f>Tower!F71</f>
        <v>4148</v>
      </c>
      <c r="G45" s="249">
        <f>Tower!G71</f>
        <v>6629</v>
      </c>
      <c r="H45" s="249">
        <f>Tower!H71</f>
        <v>6629</v>
      </c>
      <c r="I45" s="249">
        <f>Tower!I71</f>
        <v>6629</v>
      </c>
      <c r="J45" s="249">
        <f>Tower!J71</f>
        <v>6629</v>
      </c>
      <c r="K45" s="249">
        <f>Tower!K71</f>
        <v>6629</v>
      </c>
      <c r="L45" s="249">
        <f>Tower!L71</f>
        <v>6629</v>
      </c>
      <c r="M45" s="249">
        <f>Tower!M71</f>
        <v>6629</v>
      </c>
    </row>
    <row r="46" spans="2:13" x14ac:dyDescent="0.35">
      <c r="B46" s="32" t="s">
        <v>187</v>
      </c>
      <c r="E46" s="249">
        <f>Tower!E72</f>
        <v>29760</v>
      </c>
      <c r="F46" s="249">
        <f>Tower!F72</f>
        <v>13410</v>
      </c>
      <c r="G46" s="249">
        <f>Tower!G72</f>
        <v>24304</v>
      </c>
      <c r="H46" s="249">
        <f>Tower!H72</f>
        <v>24304</v>
      </c>
      <c r="I46" s="249">
        <f>Tower!I72</f>
        <v>24304</v>
      </c>
      <c r="J46" s="249">
        <f>Tower!J72</f>
        <v>24304</v>
      </c>
      <c r="K46" s="249">
        <f>Tower!K72</f>
        <v>24304</v>
      </c>
      <c r="L46" s="249">
        <f>Tower!L72</f>
        <v>24304</v>
      </c>
      <c r="M46" s="249">
        <f>Tower!M72</f>
        <v>24304</v>
      </c>
    </row>
    <row r="47" spans="2:13" x14ac:dyDescent="0.35">
      <c r="B47" s="32" t="s">
        <v>188</v>
      </c>
      <c r="E47" s="249">
        <f>Tower!E73</f>
        <v>60971</v>
      </c>
      <c r="F47" s="249">
        <f>Tower!F73</f>
        <v>76658</v>
      </c>
      <c r="G47" s="249">
        <f>Tower!G73</f>
        <v>99735</v>
      </c>
      <c r="H47" s="249">
        <f ca="1">Tower!H73</f>
        <v>82860.156670783399</v>
      </c>
      <c r="I47" s="249">
        <f ca="1">Tower!I73</f>
        <v>82860.156670783399</v>
      </c>
      <c r="J47" s="249">
        <f ca="1">Tower!J73</f>
        <v>82860.156670783399</v>
      </c>
      <c r="K47" s="249">
        <f ca="1">Tower!K73</f>
        <v>82860.156670783399</v>
      </c>
      <c r="L47" s="249">
        <f ca="1">Tower!L73</f>
        <v>82860.156670783399</v>
      </c>
      <c r="M47" s="249">
        <f ca="1">Tower!M73</f>
        <v>82860.156670783399</v>
      </c>
    </row>
    <row r="48" spans="2:13" x14ac:dyDescent="0.35">
      <c r="B48" s="32" t="s">
        <v>189</v>
      </c>
      <c r="E48" s="249">
        <f>Tower!E74</f>
        <v>43592</v>
      </c>
      <c r="F48" s="249">
        <f>Tower!F74</f>
        <v>62442</v>
      </c>
      <c r="G48" s="249">
        <f>Tower!G74</f>
        <v>67466</v>
      </c>
      <c r="H48" s="249">
        <f>Tower!H74</f>
        <v>67466</v>
      </c>
      <c r="I48" s="249">
        <f>Tower!I74</f>
        <v>67466</v>
      </c>
      <c r="J48" s="249">
        <f>Tower!J74</f>
        <v>67466</v>
      </c>
      <c r="K48" s="249">
        <f>Tower!K74</f>
        <v>67466</v>
      </c>
      <c r="L48" s="249">
        <f>Tower!L74</f>
        <v>67466</v>
      </c>
      <c r="M48" s="249">
        <f>Tower!M74</f>
        <v>67466</v>
      </c>
    </row>
    <row r="49" spans="2:13" x14ac:dyDescent="0.35">
      <c r="B49" s="32" t="s">
        <v>190</v>
      </c>
      <c r="E49" s="249">
        <f>Tower!E75</f>
        <v>7273</v>
      </c>
      <c r="F49" s="249">
        <f>Tower!F75</f>
        <v>4416</v>
      </c>
      <c r="G49" s="249">
        <f>Tower!G75</f>
        <v>6578</v>
      </c>
      <c r="H49" s="249">
        <f>Tower!H75</f>
        <v>6578</v>
      </c>
      <c r="I49" s="249">
        <f>Tower!I75</f>
        <v>6578</v>
      </c>
      <c r="J49" s="249">
        <f>Tower!J75</f>
        <v>6578</v>
      </c>
      <c r="K49" s="249">
        <f>Tower!K75</f>
        <v>6578</v>
      </c>
      <c r="L49" s="249">
        <f>Tower!L75</f>
        <v>6578</v>
      </c>
      <c r="M49" s="249">
        <f>Tower!M75</f>
        <v>6578</v>
      </c>
    </row>
    <row r="50" spans="2:13" x14ac:dyDescent="0.35">
      <c r="B50" s="32" t="s">
        <v>191</v>
      </c>
      <c r="E50" s="249">
        <f>Tower!E76</f>
        <v>20904</v>
      </c>
      <c r="F50" s="249">
        <f>Tower!F76</f>
        <v>13324</v>
      </c>
      <c r="G50" s="249">
        <f>Tower!G76</f>
        <v>17740</v>
      </c>
      <c r="H50" s="249">
        <f>Tower!H76</f>
        <v>17740</v>
      </c>
      <c r="I50" s="249">
        <f>Tower!I76</f>
        <v>17740</v>
      </c>
      <c r="J50" s="249">
        <f>Tower!J76</f>
        <v>17740</v>
      </c>
      <c r="K50" s="249">
        <f>Tower!K76</f>
        <v>17740</v>
      </c>
      <c r="L50" s="249">
        <f>Tower!L76</f>
        <v>17740</v>
      </c>
      <c r="M50" s="249">
        <f>Tower!M76</f>
        <v>17740</v>
      </c>
    </row>
    <row r="51" spans="2:13" x14ac:dyDescent="0.35">
      <c r="B51" s="32" t="s">
        <v>178</v>
      </c>
      <c r="E51" s="249">
        <f>Tower!E77</f>
        <v>0</v>
      </c>
      <c r="F51" s="249">
        <f>Tower!F77</f>
        <v>28688</v>
      </c>
      <c r="G51" s="249">
        <f>Tower!G77</f>
        <v>8820</v>
      </c>
      <c r="H51" s="249">
        <f>Tower!H77</f>
        <v>8820</v>
      </c>
      <c r="I51" s="249">
        <f>Tower!I77</f>
        <v>8820</v>
      </c>
      <c r="J51" s="249">
        <f>Tower!J77</f>
        <v>8820</v>
      </c>
      <c r="K51" s="249">
        <f>Tower!K77</f>
        <v>8820</v>
      </c>
      <c r="L51" s="249">
        <f>Tower!L77</f>
        <v>8820</v>
      </c>
      <c r="M51" s="249">
        <f>Tower!M77</f>
        <v>8820</v>
      </c>
    </row>
    <row r="52" spans="2:13" x14ac:dyDescent="0.35">
      <c r="B52" s="156" t="s">
        <v>192</v>
      </c>
      <c r="E52" s="249">
        <f>Tower!E78</f>
        <v>532865</v>
      </c>
      <c r="F52" s="249">
        <f>Tower!F78</f>
        <v>312618</v>
      </c>
      <c r="G52" s="249">
        <f>Tower!G78</f>
        <v>284981</v>
      </c>
      <c r="H52" s="249">
        <f ca="1">Tower!H78</f>
        <v>268106.15667078341</v>
      </c>
      <c r="I52" s="249">
        <f ca="1">Tower!I78</f>
        <v>268106.15667078341</v>
      </c>
      <c r="J52" s="249">
        <f ca="1">Tower!J78</f>
        <v>268106.15667078341</v>
      </c>
      <c r="K52" s="249">
        <f ca="1">Tower!K78</f>
        <v>268106.15667078341</v>
      </c>
      <c r="L52" s="249">
        <f ca="1">Tower!L78</f>
        <v>268106.15667078341</v>
      </c>
      <c r="M52" s="249">
        <f ca="1">Tower!M78</f>
        <v>268106.15667078341</v>
      </c>
    </row>
    <row r="53" spans="2:13" x14ac:dyDescent="0.35">
      <c r="E53" s="249"/>
      <c r="F53" s="249"/>
      <c r="G53" s="249"/>
      <c r="H53" s="249"/>
      <c r="I53" s="249"/>
      <c r="J53" s="249"/>
      <c r="K53" s="249"/>
      <c r="L53" s="249"/>
      <c r="M53" s="249"/>
    </row>
    <row r="54" spans="2:13" s="9" customFormat="1" x14ac:dyDescent="0.35">
      <c r="B54" s="248" t="s">
        <v>325</v>
      </c>
      <c r="E54" s="250">
        <f>E41-E52</f>
        <v>-265884</v>
      </c>
      <c r="F54" s="250">
        <f t="shared" ref="F54:M54" si="8">F41-F52</f>
        <v>-158287</v>
      </c>
      <c r="G54" s="250">
        <f t="shared" si="8"/>
        <v>-113797</v>
      </c>
      <c r="H54" s="250">
        <f t="shared" ca="1" si="8"/>
        <v>-95443.442295418005</v>
      </c>
      <c r="I54" s="250">
        <f t="shared" ca="1" si="8"/>
        <v>-27833.791229843104</v>
      </c>
      <c r="J54" s="250">
        <f t="shared" ca="1" si="8"/>
        <v>40580.694802924234</v>
      </c>
      <c r="K54" s="250">
        <f t="shared" ca="1" si="8"/>
        <v>172122.62323362002</v>
      </c>
      <c r="L54" s="250">
        <f t="shared" ca="1" si="8"/>
        <v>312115.18768639059</v>
      </c>
      <c r="M54" s="250">
        <f t="shared" ca="1" si="8"/>
        <v>483739.64080944378</v>
      </c>
    </row>
    <row r="55" spans="2:13" x14ac:dyDescent="0.35">
      <c r="E55" s="249"/>
      <c r="F55" s="249">
        <f>E54-F54</f>
        <v>-107597</v>
      </c>
      <c r="G55" s="249">
        <f t="shared" ref="G55:M55" si="9">F54-G54</f>
        <v>-44490</v>
      </c>
      <c r="H55" s="249">
        <f t="shared" ca="1" si="9"/>
        <v>-18353.557704581995</v>
      </c>
      <c r="I55" s="249">
        <f t="shared" ca="1" si="9"/>
        <v>-67609.651065574901</v>
      </c>
      <c r="J55" s="249">
        <f t="shared" ca="1" si="9"/>
        <v>-68414.486032767338</v>
      </c>
      <c r="K55" s="249">
        <f t="shared" ca="1" si="9"/>
        <v>-131541.92843069579</v>
      </c>
      <c r="L55" s="249">
        <f t="shared" ca="1" si="9"/>
        <v>-139992.56445277057</v>
      </c>
      <c r="M55" s="249">
        <f t="shared" ca="1" si="9"/>
        <v>-171624.45312305319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8219-34FC-4603-A715-9BC3828B9F67}">
  <dimension ref="A1:L160"/>
  <sheetViews>
    <sheetView showGridLines="0" zoomScale="70" zoomScaleNormal="70" workbookViewId="0">
      <pane ySplit="1" topLeftCell="A125" activePane="bottomLeft" state="frozen"/>
      <selection pane="bottomLeft" activeCell="A3" sqref="A3"/>
    </sheetView>
  </sheetViews>
  <sheetFormatPr defaultRowHeight="14.5" x14ac:dyDescent="0.35"/>
  <cols>
    <col min="1" max="1" width="11.7265625" bestFit="1" customWidth="1"/>
    <col min="4" max="5" width="8.90625" bestFit="1" customWidth="1"/>
    <col min="6" max="6" width="10.453125" style="74" bestFit="1" customWidth="1"/>
    <col min="7" max="11" width="11.54296875" bestFit="1" customWidth="1"/>
    <col min="12" max="12" width="11.54296875" customWidth="1"/>
    <col min="13" max="16384" width="8.7265625" style="186"/>
  </cols>
  <sheetData>
    <row r="1" spans="1:12" x14ac:dyDescent="0.35">
      <c r="B1" t="s">
        <v>42</v>
      </c>
      <c r="C1" t="s">
        <v>43</v>
      </c>
      <c r="D1" t="s">
        <v>44</v>
      </c>
      <c r="E1" t="s">
        <v>45</v>
      </c>
      <c r="F1" s="73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s="135" t="s">
        <v>51</v>
      </c>
    </row>
    <row r="2" spans="1:12" s="202" customFormat="1" x14ac:dyDescent="0.35">
      <c r="A2" s="103" t="s">
        <v>6</v>
      </c>
      <c r="B2" s="103"/>
      <c r="C2" s="103"/>
      <c r="D2" s="103"/>
      <c r="E2" s="103"/>
      <c r="F2" s="104"/>
      <c r="G2" s="103"/>
      <c r="H2" s="103"/>
      <c r="I2" s="103"/>
      <c r="J2" s="103"/>
      <c r="K2" s="103"/>
      <c r="L2" s="103"/>
    </row>
    <row r="3" spans="1:12" s="202" customFormat="1" x14ac:dyDescent="0.35">
      <c r="A3" s="201"/>
      <c r="B3" s="201"/>
      <c r="C3" s="201"/>
      <c r="D3" s="201"/>
      <c r="E3" s="201"/>
      <c r="F3" s="328"/>
      <c r="G3" s="201"/>
      <c r="H3" s="201"/>
      <c r="I3" s="201"/>
      <c r="J3" s="201"/>
      <c r="K3" s="201"/>
      <c r="L3" s="201"/>
    </row>
    <row r="4" spans="1:12" x14ac:dyDescent="0.35">
      <c r="A4" s="2" t="s">
        <v>54</v>
      </c>
      <c r="L4" s="135"/>
    </row>
    <row r="5" spans="1:12" x14ac:dyDescent="0.35">
      <c r="A5" t="s">
        <v>53</v>
      </c>
      <c r="B5" s="31"/>
      <c r="C5" s="31"/>
      <c r="D5" s="31"/>
      <c r="E5" s="31"/>
      <c r="F5" s="75"/>
      <c r="G5" s="329" cm="1">
        <f t="array" aca="1" ref="G5" ca="1">OFFSET('Rev Cost Build'!G5,Summary!$C$1,0)</f>
        <v>38.549999999999997</v>
      </c>
      <c r="H5" s="330" cm="1">
        <f t="array" aca="1" ref="H5" ca="1">OFFSET('Rev Cost Build'!H5,Summary!$C$1,0)</f>
        <v>38.599999999999994</v>
      </c>
      <c r="I5" s="330" cm="1">
        <f t="array" aca="1" ref="I5" ca="1">OFFSET('Rev Cost Build'!I5,Summary!$C$1,0)</f>
        <v>38.649999999999991</v>
      </c>
      <c r="J5" s="330" cm="1">
        <f t="array" aca="1" ref="J5" ca="1">OFFSET('Rev Cost Build'!J5,Summary!$C$1,0)</f>
        <v>38.699999999999989</v>
      </c>
      <c r="K5" s="330" cm="1">
        <f t="array" aca="1" ref="K5" ca="1">OFFSET('Rev Cost Build'!K5,Summary!$C$1,0)</f>
        <v>38.749999999999986</v>
      </c>
      <c r="L5" s="330" cm="1">
        <f t="array" aca="1" ref="L5" ca="1">OFFSET('Rev Cost Build'!L5,Summary!$C$1,0)</f>
        <v>38.799999999999983</v>
      </c>
    </row>
    <row r="6" spans="1:12" x14ac:dyDescent="0.35">
      <c r="A6" s="32" t="s">
        <v>392</v>
      </c>
      <c r="B6" s="31"/>
      <c r="C6" s="31"/>
      <c r="D6" s="31"/>
      <c r="E6" s="31"/>
      <c r="F6" s="75"/>
      <c r="G6" s="31">
        <v>38.549999999999997</v>
      </c>
      <c r="H6" s="31">
        <f>G6+0.05</f>
        <v>38.599999999999994</v>
      </c>
      <c r="I6" s="31">
        <f t="shared" ref="I6:L6" si="0">H6+0.05</f>
        <v>38.649999999999991</v>
      </c>
      <c r="J6" s="31">
        <f t="shared" si="0"/>
        <v>38.699999999999989</v>
      </c>
      <c r="K6" s="31">
        <f t="shared" si="0"/>
        <v>38.749999999999986</v>
      </c>
      <c r="L6" s="31">
        <f t="shared" si="0"/>
        <v>38.799999999999983</v>
      </c>
    </row>
    <row r="7" spans="1:12" x14ac:dyDescent="0.35">
      <c r="A7" s="32" t="s">
        <v>393</v>
      </c>
      <c r="B7" s="31"/>
      <c r="C7" s="31"/>
      <c r="D7" s="31"/>
      <c r="E7" s="31"/>
      <c r="F7" s="75"/>
      <c r="G7" s="31">
        <f>G6+0.1</f>
        <v>38.65</v>
      </c>
      <c r="H7" s="31">
        <f t="shared" ref="H7:L7" si="1">H6+0.1</f>
        <v>38.699999999999996</v>
      </c>
      <c r="I7" s="31">
        <f t="shared" si="1"/>
        <v>38.749999999999993</v>
      </c>
      <c r="J7" s="31">
        <f t="shared" si="1"/>
        <v>38.79999999999999</v>
      </c>
      <c r="K7" s="31">
        <f t="shared" si="1"/>
        <v>38.849999999999987</v>
      </c>
      <c r="L7" s="31">
        <f t="shared" si="1"/>
        <v>38.899999999999984</v>
      </c>
    </row>
    <row r="8" spans="1:12" x14ac:dyDescent="0.35">
      <c r="A8" s="32" t="s">
        <v>394</v>
      </c>
      <c r="B8" s="31"/>
      <c r="C8" s="31"/>
      <c r="D8" s="31"/>
      <c r="E8" s="31"/>
      <c r="F8" s="75"/>
      <c r="G8" s="31">
        <v>38.549999999999997</v>
      </c>
      <c r="H8" s="31">
        <f>G8-0.5</f>
        <v>38.049999999999997</v>
      </c>
      <c r="I8" s="31">
        <f t="shared" ref="I8:L8" si="2">H8-0.5</f>
        <v>37.549999999999997</v>
      </c>
      <c r="J8" s="31">
        <f t="shared" si="2"/>
        <v>37.049999999999997</v>
      </c>
      <c r="K8" s="31">
        <f t="shared" si="2"/>
        <v>36.549999999999997</v>
      </c>
      <c r="L8" s="31">
        <f t="shared" si="2"/>
        <v>36.049999999999997</v>
      </c>
    </row>
    <row r="9" spans="1:12" x14ac:dyDescent="0.35">
      <c r="A9" t="s">
        <v>52</v>
      </c>
      <c r="B9" s="31"/>
      <c r="C9" s="31"/>
      <c r="D9" s="31"/>
      <c r="E9" s="31"/>
      <c r="F9" s="75"/>
      <c r="G9" s="329" cm="1">
        <f t="array" aca="1" ref="G9" ca="1">OFFSET('Rev Cost Build'!G9,Summary!$C$1,0)</f>
        <v>63.4</v>
      </c>
      <c r="H9" s="330" cm="1">
        <f t="array" aca="1" ref="H9" ca="1">OFFSET('Rev Cost Build'!H9,Summary!$C$1,0)</f>
        <v>64.400000000000006</v>
      </c>
      <c r="I9" s="330" cm="1">
        <f t="array" aca="1" ref="I9" ca="1">OFFSET('Rev Cost Build'!I9,Summary!$C$1,0)</f>
        <v>65.400000000000006</v>
      </c>
      <c r="J9" s="330" cm="1">
        <f t="array" aca="1" ref="J9" ca="1">OFFSET('Rev Cost Build'!J9,Summary!$C$1,0)</f>
        <v>66.400000000000006</v>
      </c>
      <c r="K9" s="330" cm="1">
        <f t="array" aca="1" ref="K9" ca="1">OFFSET('Rev Cost Build'!K9,Summary!$C$1,0)</f>
        <v>67.400000000000006</v>
      </c>
      <c r="L9" s="330" cm="1">
        <f t="array" aca="1" ref="L9" ca="1">OFFSET('Rev Cost Build'!L9,Summary!$C$1,0)</f>
        <v>68.400000000000006</v>
      </c>
    </row>
    <row r="10" spans="1:12" x14ac:dyDescent="0.35">
      <c r="A10" s="32" t="s">
        <v>392</v>
      </c>
      <c r="B10" s="31"/>
      <c r="C10" s="31"/>
      <c r="D10" s="31"/>
      <c r="E10" s="31"/>
      <c r="F10" s="75"/>
      <c r="G10" s="31">
        <v>63.4</v>
      </c>
      <c r="H10" s="31">
        <f>G10+1</f>
        <v>64.400000000000006</v>
      </c>
      <c r="I10" s="31">
        <f t="shared" ref="I10:L10" si="3">H10+1</f>
        <v>65.400000000000006</v>
      </c>
      <c r="J10" s="31">
        <f t="shared" si="3"/>
        <v>66.400000000000006</v>
      </c>
      <c r="K10" s="31">
        <f t="shared" si="3"/>
        <v>67.400000000000006</v>
      </c>
      <c r="L10" s="31">
        <f t="shared" si="3"/>
        <v>68.400000000000006</v>
      </c>
    </row>
    <row r="11" spans="1:12" x14ac:dyDescent="0.35">
      <c r="A11" s="32" t="s">
        <v>393</v>
      </c>
      <c r="B11" s="31"/>
      <c r="C11" s="31"/>
      <c r="D11" s="31"/>
      <c r="E11" s="31"/>
      <c r="F11" s="75"/>
      <c r="G11" s="31">
        <v>63.4</v>
      </c>
      <c r="H11" s="31">
        <v>68.45</v>
      </c>
      <c r="I11" s="31">
        <v>71.3</v>
      </c>
      <c r="J11" s="31">
        <v>73.650000000000006</v>
      </c>
      <c r="K11" s="31">
        <v>75.599999999999994</v>
      </c>
      <c r="L11" s="31">
        <v>76.599999999999994</v>
      </c>
    </row>
    <row r="12" spans="1:12" x14ac:dyDescent="0.35">
      <c r="A12" s="32" t="s">
        <v>394</v>
      </c>
      <c r="B12" s="31"/>
      <c r="C12" s="31"/>
      <c r="D12" s="31"/>
      <c r="E12" s="31"/>
      <c r="F12" s="75"/>
      <c r="G12" s="31">
        <v>63.4</v>
      </c>
      <c r="H12" s="31">
        <f>G12+0.5</f>
        <v>63.9</v>
      </c>
      <c r="I12" s="31">
        <f t="shared" ref="I12:K12" si="4">H12+0.5</f>
        <v>64.400000000000006</v>
      </c>
      <c r="J12" s="31">
        <f t="shared" si="4"/>
        <v>64.900000000000006</v>
      </c>
      <c r="K12" s="31">
        <f t="shared" si="4"/>
        <v>65.400000000000006</v>
      </c>
      <c r="L12" s="31">
        <f>K12</f>
        <v>65.400000000000006</v>
      </c>
    </row>
    <row r="13" spans="1:12" x14ac:dyDescent="0.35">
      <c r="A13" s="135"/>
      <c r="B13" s="135"/>
      <c r="C13" s="135"/>
      <c r="D13" s="216"/>
      <c r="E13" s="31"/>
      <c r="F13" s="75"/>
      <c r="G13" s="31"/>
      <c r="H13" s="31"/>
      <c r="I13" s="31"/>
      <c r="J13" s="31"/>
      <c r="K13" s="31"/>
      <c r="L13" s="31"/>
    </row>
    <row r="14" spans="1:12" s="202" customFormat="1" x14ac:dyDescent="0.35">
      <c r="A14" s="103" t="s">
        <v>316</v>
      </c>
      <c r="B14" s="103"/>
      <c r="C14" s="103"/>
      <c r="D14" s="103"/>
      <c r="E14" s="103"/>
      <c r="F14" s="104"/>
      <c r="G14" s="103"/>
      <c r="H14" s="103"/>
      <c r="I14" s="103"/>
      <c r="J14" s="103"/>
      <c r="K14" s="103"/>
      <c r="L14" s="103"/>
    </row>
    <row r="15" spans="1:12" x14ac:dyDescent="0.35">
      <c r="A15" s="2" t="s">
        <v>55</v>
      </c>
      <c r="D15" s="216"/>
      <c r="E15" s="31">
        <v>102.7</v>
      </c>
      <c r="F15" s="75">
        <v>107</v>
      </c>
      <c r="G15" s="329" cm="1">
        <f t="array" aca="1" ref="G15" ca="1">OFFSET('Rev Cost Build'!G15,Summary!$C$1,0)</f>
        <v>102</v>
      </c>
      <c r="H15" s="330" cm="1">
        <f t="array" aca="1" ref="H15" ca="1">OFFSET('Rev Cost Build'!H15,Summary!$C$1,0)</f>
        <v>100</v>
      </c>
      <c r="I15" s="330" cm="1">
        <f t="array" aca="1" ref="I15" ca="1">OFFSET('Rev Cost Build'!I15,Summary!$C$1,0)</f>
        <v>95</v>
      </c>
      <c r="J15" s="330" cm="1">
        <f t="array" aca="1" ref="J15" ca="1">OFFSET('Rev Cost Build'!J15,Summary!$C$1,0)</f>
        <v>87</v>
      </c>
      <c r="K15" s="330" cm="1">
        <f t="array" aca="1" ref="K15" ca="1">OFFSET('Rev Cost Build'!K15,Summary!$C$1,0)</f>
        <v>87</v>
      </c>
      <c r="L15" s="330" cm="1">
        <f t="array" aca="1" ref="L15" ca="1">OFFSET('Rev Cost Build'!L15,Summary!$C$1,0)</f>
        <v>87</v>
      </c>
    </row>
    <row r="16" spans="1:12" x14ac:dyDescent="0.35">
      <c r="A16" s="32" t="s">
        <v>392</v>
      </c>
      <c r="B16" s="31"/>
      <c r="C16" s="31"/>
      <c r="D16" s="31"/>
      <c r="E16" s="31"/>
      <c r="F16" s="75"/>
      <c r="G16" s="31">
        <v>102</v>
      </c>
      <c r="H16" s="31">
        <v>100</v>
      </c>
      <c r="I16" s="31">
        <v>95</v>
      </c>
      <c r="J16" s="31">
        <v>87</v>
      </c>
      <c r="K16" s="31">
        <v>87</v>
      </c>
      <c r="L16" s="31">
        <v>87</v>
      </c>
    </row>
    <row r="17" spans="1:12" x14ac:dyDescent="0.35">
      <c r="A17" s="32" t="s">
        <v>393</v>
      </c>
      <c r="B17" s="31"/>
      <c r="C17" s="31"/>
      <c r="D17" s="31"/>
      <c r="E17" s="31"/>
      <c r="F17" s="75"/>
      <c r="G17" s="31">
        <f>G16+2</f>
        <v>104</v>
      </c>
      <c r="H17" s="31">
        <f t="shared" ref="H17:L17" si="5">H16+2</f>
        <v>102</v>
      </c>
      <c r="I17" s="31">
        <f t="shared" si="5"/>
        <v>97</v>
      </c>
      <c r="J17" s="31">
        <f t="shared" si="5"/>
        <v>89</v>
      </c>
      <c r="K17" s="31">
        <f t="shared" si="5"/>
        <v>89</v>
      </c>
      <c r="L17" s="31">
        <f t="shared" si="5"/>
        <v>89</v>
      </c>
    </row>
    <row r="18" spans="1:12" x14ac:dyDescent="0.35">
      <c r="A18" s="32" t="s">
        <v>394</v>
      </c>
      <c r="B18" s="31"/>
      <c r="C18" s="31"/>
      <c r="D18" s="31"/>
      <c r="E18" s="31"/>
      <c r="F18" s="75"/>
      <c r="G18" s="31">
        <f>G16-2</f>
        <v>100</v>
      </c>
      <c r="H18" s="31">
        <f t="shared" ref="H18:L18" si="6">H16-2</f>
        <v>98</v>
      </c>
      <c r="I18" s="31">
        <f t="shared" si="6"/>
        <v>93</v>
      </c>
      <c r="J18" s="31">
        <f t="shared" si="6"/>
        <v>85</v>
      </c>
      <c r="K18" s="31">
        <f t="shared" si="6"/>
        <v>85</v>
      </c>
      <c r="L18" s="31">
        <f t="shared" si="6"/>
        <v>85</v>
      </c>
    </row>
    <row r="19" spans="1:12" x14ac:dyDescent="0.35">
      <c r="A19" s="135"/>
      <c r="B19" s="135"/>
      <c r="C19" s="135"/>
      <c r="D19" s="216"/>
      <c r="E19" s="31"/>
      <c r="F19" s="75"/>
      <c r="G19" s="31"/>
      <c r="H19" s="31"/>
      <c r="I19" s="31"/>
      <c r="J19" s="31"/>
      <c r="K19" s="31"/>
      <c r="L19" s="31"/>
    </row>
    <row r="20" spans="1:12" s="294" customFormat="1" x14ac:dyDescent="0.35">
      <c r="A20" s="230" t="s">
        <v>62</v>
      </c>
      <c r="B20" s="28"/>
      <c r="C20" s="28"/>
      <c r="D20" s="226">
        <v>19</v>
      </c>
      <c r="E20" s="226">
        <v>21.2</v>
      </c>
      <c r="F20" s="227">
        <v>23.4</v>
      </c>
      <c r="G20" s="28">
        <f t="shared" ref="G20:L20" ca="1" si="7">G21*G15</f>
        <v>22.306542056074765</v>
      </c>
      <c r="H20" s="28">
        <f t="shared" ca="1" si="7"/>
        <v>22.069158878504673</v>
      </c>
      <c r="I20" s="28">
        <f t="shared" ca="1" si="7"/>
        <v>21.155700934579439</v>
      </c>
      <c r="J20" s="28">
        <f t="shared" ca="1" si="7"/>
        <v>19.548168224299065</v>
      </c>
      <c r="K20" s="28">
        <f t="shared" ca="1" si="7"/>
        <v>19.722168224299065</v>
      </c>
      <c r="L20" s="28">
        <f t="shared" ca="1" si="7"/>
        <v>19.896168224299064</v>
      </c>
    </row>
    <row r="21" spans="1:12" s="240" customFormat="1" x14ac:dyDescent="0.35">
      <c r="A21" s="182" t="s">
        <v>56</v>
      </c>
      <c r="B21" s="182"/>
      <c r="C21" s="182"/>
      <c r="D21" s="182"/>
      <c r="E21" s="182">
        <f>E20/E15</f>
        <v>0.20642648490749754</v>
      </c>
      <c r="F21" s="302">
        <f>F20/F15</f>
        <v>0.21869158878504671</v>
      </c>
      <c r="G21" s="331" cm="1">
        <f t="array" aca="1" ref="G21" ca="1">OFFSET('Rev Cost Build'!G21,Summary!$C$1,0)</f>
        <v>0.21869158878504671</v>
      </c>
      <c r="H21" s="332" cm="1">
        <f t="array" aca="1" ref="H21" ca="1">OFFSET('Rev Cost Build'!H21,Summary!$C$1,0)</f>
        <v>0.22069158878504672</v>
      </c>
      <c r="I21" s="332" cm="1">
        <f t="array" aca="1" ref="I21" ca="1">OFFSET('Rev Cost Build'!I21,Summary!$C$1,0)</f>
        <v>0.22269158878504672</v>
      </c>
      <c r="J21" s="332" cm="1">
        <f t="array" aca="1" ref="J21" ca="1">OFFSET('Rev Cost Build'!J21,Summary!$C$1,0)</f>
        <v>0.22469158878504672</v>
      </c>
      <c r="K21" s="332" cm="1">
        <f t="array" aca="1" ref="K21" ca="1">OFFSET('Rev Cost Build'!K21,Summary!$C$1,0)</f>
        <v>0.22669158878504672</v>
      </c>
      <c r="L21" s="332" cm="1">
        <f t="array" aca="1" ref="L21" ca="1">OFFSET('Rev Cost Build'!L21,Summary!$C$1,0)</f>
        <v>0.22869158878504672</v>
      </c>
    </row>
    <row r="22" spans="1:12" s="240" customFormat="1" x14ac:dyDescent="0.35">
      <c r="A22" s="32" t="s">
        <v>392</v>
      </c>
      <c r="B22" s="182"/>
      <c r="C22" s="182"/>
      <c r="D22" s="182"/>
      <c r="E22" s="182"/>
      <c r="F22" s="302"/>
      <c r="G22" s="184">
        <f>F21</f>
        <v>0.21869158878504671</v>
      </c>
      <c r="H22" s="184">
        <f>G22+0.002</f>
        <v>0.22069158878504672</v>
      </c>
      <c r="I22" s="184">
        <f t="shared" ref="I22:L22" si="8">H22+0.002</f>
        <v>0.22269158878504672</v>
      </c>
      <c r="J22" s="184">
        <f t="shared" si="8"/>
        <v>0.22469158878504672</v>
      </c>
      <c r="K22" s="184">
        <f t="shared" si="8"/>
        <v>0.22669158878504672</v>
      </c>
      <c r="L22" s="184">
        <f t="shared" si="8"/>
        <v>0.22869158878504672</v>
      </c>
    </row>
    <row r="23" spans="1:12" s="240" customFormat="1" x14ac:dyDescent="0.35">
      <c r="A23" s="32" t="s">
        <v>393</v>
      </c>
      <c r="B23" s="182"/>
      <c r="C23" s="182"/>
      <c r="D23" s="182"/>
      <c r="E23" s="182"/>
      <c r="F23" s="302"/>
      <c r="G23" s="184">
        <f>G22+0.01</f>
        <v>0.22869158878504672</v>
      </c>
      <c r="H23" s="184">
        <f t="shared" ref="H23:L23" si="9">H22+0.01</f>
        <v>0.23069158878504673</v>
      </c>
      <c r="I23" s="184">
        <f t="shared" si="9"/>
        <v>0.23269158878504673</v>
      </c>
      <c r="J23" s="184">
        <f t="shared" si="9"/>
        <v>0.23469158878504673</v>
      </c>
      <c r="K23" s="184">
        <f t="shared" si="9"/>
        <v>0.23669158878504673</v>
      </c>
      <c r="L23" s="184">
        <f t="shared" si="9"/>
        <v>0.23869158878504673</v>
      </c>
    </row>
    <row r="24" spans="1:12" s="240" customFormat="1" x14ac:dyDescent="0.35">
      <c r="A24" s="32" t="s">
        <v>394</v>
      </c>
      <c r="B24" s="182"/>
      <c r="C24" s="182"/>
      <c r="D24" s="182"/>
      <c r="E24" s="182"/>
      <c r="F24" s="302"/>
      <c r="G24" s="184">
        <f>G22-0.01</f>
        <v>0.20869158878504671</v>
      </c>
      <c r="H24" s="184">
        <f t="shared" ref="H24:L24" si="10">H22-0.01</f>
        <v>0.21069158878504671</v>
      </c>
      <c r="I24" s="184">
        <f t="shared" si="10"/>
        <v>0.21269158878504671</v>
      </c>
      <c r="J24" s="184">
        <f t="shared" si="10"/>
        <v>0.21469158878504671</v>
      </c>
      <c r="K24" s="184">
        <f t="shared" si="10"/>
        <v>0.21669158878504671</v>
      </c>
      <c r="L24" s="184">
        <f t="shared" si="10"/>
        <v>0.21869158878504671</v>
      </c>
    </row>
    <row r="25" spans="1:12" x14ac:dyDescent="0.35">
      <c r="A25" t="s">
        <v>57</v>
      </c>
      <c r="D25" s="3"/>
      <c r="E25" s="231">
        <v>21.367999999999999</v>
      </c>
      <c r="F25" s="76">
        <v>23.395</v>
      </c>
      <c r="G25" s="28">
        <f t="shared" ref="G25:L25" ca="1" si="11">G102*G26</f>
        <v>22.07871028037383</v>
      </c>
      <c r="H25" s="28">
        <f t="shared" ca="1" si="11"/>
        <v>21.623060068695583</v>
      </c>
      <c r="I25" s="28">
        <f t="shared" ca="1" si="11"/>
        <v>20.728066466970205</v>
      </c>
      <c r="J25" s="28">
        <f t="shared" ca="1" si="11"/>
        <v>19.153027900790796</v>
      </c>
      <c r="K25" s="28">
        <f t="shared" ca="1" si="11"/>
        <v>19.323510721303617</v>
      </c>
      <c r="L25" s="28">
        <f t="shared" ca="1" si="11"/>
        <v>19.493993541816437</v>
      </c>
    </row>
    <row r="26" spans="1:12" s="239" customFormat="1" x14ac:dyDescent="0.35">
      <c r="A26" s="42" t="s">
        <v>319</v>
      </c>
      <c r="B26" s="42"/>
      <c r="C26" s="42"/>
      <c r="D26" s="193"/>
      <c r="E26" s="193">
        <f>E25/E20</f>
        <v>1.0079245283018867</v>
      </c>
      <c r="F26" s="77">
        <f>F25/F102</f>
        <v>0.99978632478632479</v>
      </c>
      <c r="G26" s="331" cm="1">
        <f t="array" aca="1" ref="G26" ca="1">OFFSET('Rev Cost Build'!G26,Summary!$C$1,0)</f>
        <v>0.98978632478632478</v>
      </c>
      <c r="H26" s="332" cm="1">
        <f t="array" aca="1" ref="H26" ca="1">OFFSET('Rev Cost Build'!H26,Summary!$C$1,0)</f>
        <v>0.97978632478632477</v>
      </c>
      <c r="I26" s="332" cm="1">
        <f t="array" aca="1" ref="I26" ca="1">OFFSET('Rev Cost Build'!I26,Summary!$C$1,0)</f>
        <v>0.97978632478632477</v>
      </c>
      <c r="J26" s="332" cm="1">
        <f t="array" aca="1" ref="J26" ca="1">OFFSET('Rev Cost Build'!J26,Summary!$C$1,0)</f>
        <v>0.97978632478632477</v>
      </c>
      <c r="K26" s="332" cm="1">
        <f t="array" aca="1" ref="K26" ca="1">OFFSET('Rev Cost Build'!K26,Summary!$C$1,0)</f>
        <v>0.97978632478632477</v>
      </c>
      <c r="L26" s="332" cm="1">
        <f t="array" aca="1" ref="L26" ca="1">OFFSET('Rev Cost Build'!L26,Summary!$C$1,0)</f>
        <v>0.97978632478632477</v>
      </c>
    </row>
    <row r="27" spans="1:12" s="239" customFormat="1" x14ac:dyDescent="0.35">
      <c r="A27" s="32" t="s">
        <v>392</v>
      </c>
      <c r="B27" s="42"/>
      <c r="C27" s="42"/>
      <c r="D27" s="193"/>
      <c r="E27" s="193"/>
      <c r="F27" s="77"/>
      <c r="G27" s="48">
        <v>0.98978632478632478</v>
      </c>
      <c r="H27" s="48">
        <v>0.97978632478632477</v>
      </c>
      <c r="I27" s="48">
        <f>H27</f>
        <v>0.97978632478632477</v>
      </c>
      <c r="J27" s="48">
        <f t="shared" ref="J27:L27" si="12">I27</f>
        <v>0.97978632478632477</v>
      </c>
      <c r="K27" s="48">
        <f t="shared" si="12"/>
        <v>0.97978632478632477</v>
      </c>
      <c r="L27" s="48">
        <f t="shared" si="12"/>
        <v>0.97978632478632477</v>
      </c>
    </row>
    <row r="28" spans="1:12" s="239" customFormat="1" x14ac:dyDescent="0.35">
      <c r="A28" s="32" t="s">
        <v>393</v>
      </c>
      <c r="B28" s="42"/>
      <c r="C28" s="42"/>
      <c r="D28" s="193"/>
      <c r="E28" s="193"/>
      <c r="F28" s="77"/>
      <c r="G28" s="48">
        <v>1.0049999999999999</v>
      </c>
      <c r="H28" s="48">
        <v>1.0049999999999999</v>
      </c>
      <c r="I28" s="48">
        <v>1.0049999999999999</v>
      </c>
      <c r="J28" s="48">
        <v>1.0049999999999999</v>
      </c>
      <c r="K28" s="48">
        <v>1.0049999999999999</v>
      </c>
      <c r="L28" s="48">
        <v>1.0049999999999999</v>
      </c>
    </row>
    <row r="29" spans="1:12" s="239" customFormat="1" x14ac:dyDescent="0.35">
      <c r="A29" s="32" t="s">
        <v>394</v>
      </c>
      <c r="B29" s="42"/>
      <c r="C29" s="42"/>
      <c r="D29" s="193"/>
      <c r="E29" s="193"/>
      <c r="F29" s="77"/>
      <c r="G29" s="48">
        <f>G27-0.02</f>
        <v>0.96978632478632476</v>
      </c>
      <c r="H29" s="48">
        <f t="shared" ref="H29:L29" si="13">H27-0.02</f>
        <v>0.95978632478632475</v>
      </c>
      <c r="I29" s="48">
        <f t="shared" si="13"/>
        <v>0.95978632478632475</v>
      </c>
      <c r="J29" s="48">
        <f t="shared" si="13"/>
        <v>0.95978632478632475</v>
      </c>
      <c r="K29" s="48">
        <f t="shared" si="13"/>
        <v>0.95978632478632475</v>
      </c>
      <c r="L29" s="48">
        <f t="shared" si="13"/>
        <v>0.95978632478632475</v>
      </c>
    </row>
    <row r="30" spans="1:12" x14ac:dyDescent="0.35">
      <c r="A30" s="135"/>
      <c r="B30" s="135"/>
      <c r="C30" s="135"/>
      <c r="D30" s="216"/>
      <c r="E30" s="31"/>
      <c r="F30" s="75"/>
      <c r="G30" s="31"/>
      <c r="H30" s="31"/>
      <c r="I30" s="31"/>
      <c r="J30" s="31"/>
      <c r="K30" s="31"/>
      <c r="L30" s="31"/>
    </row>
    <row r="31" spans="1:12" x14ac:dyDescent="0.35">
      <c r="A31" s="2" t="s">
        <v>63</v>
      </c>
      <c r="L31" s="135"/>
    </row>
    <row r="32" spans="1:12" x14ac:dyDescent="0.35">
      <c r="A32" s="33" t="s">
        <v>78</v>
      </c>
      <c r="D32" s="96">
        <v>5.4</v>
      </c>
      <c r="E32" s="96">
        <v>6.4</v>
      </c>
      <c r="F32" s="95">
        <v>6.9</v>
      </c>
      <c r="G32" s="28">
        <f ca="1">G33*$G$40</f>
        <v>6.5775700934579433</v>
      </c>
      <c r="H32" s="28">
        <f t="shared" ref="H32:K32" ca="1" si="14">H33*H40</f>
        <v>6.4000560747663551</v>
      </c>
      <c r="I32" s="28">
        <f t="shared" ca="1" si="14"/>
        <v>5.6062607476635504</v>
      </c>
      <c r="J32" s="28">
        <f t="shared" ca="1" si="14"/>
        <v>4.4960786915887851</v>
      </c>
      <c r="K32" s="28">
        <f t="shared" ca="1" si="14"/>
        <v>3.7472119626168223</v>
      </c>
      <c r="L32" s="28">
        <f t="shared" ref="L32" ca="1" si="15">L33*L40</f>
        <v>2.9844252336448593</v>
      </c>
    </row>
    <row r="33" spans="1:12" s="385" customFormat="1" x14ac:dyDescent="0.35">
      <c r="A33" s="44" t="s">
        <v>315</v>
      </c>
      <c r="B33" s="45"/>
      <c r="C33" s="45"/>
      <c r="D33" s="46">
        <f>D32/D$40</f>
        <v>0.28421052631578947</v>
      </c>
      <c r="E33" s="46">
        <f>E32/E$40</f>
        <v>0.30188679245283023</v>
      </c>
      <c r="F33" s="79">
        <f>F32/F$40</f>
        <v>0.29487179487179488</v>
      </c>
      <c r="G33" s="50">
        <f>F33</f>
        <v>0.29487179487179488</v>
      </c>
      <c r="H33" s="50">
        <v>0.28999999999999998</v>
      </c>
      <c r="I33" s="50">
        <f t="shared" ref="I33" si="16">H33-0.025</f>
        <v>0.26499999999999996</v>
      </c>
      <c r="J33" s="50">
        <v>0.23</v>
      </c>
      <c r="K33" s="50">
        <v>0.19</v>
      </c>
      <c r="L33" s="50">
        <v>0.15</v>
      </c>
    </row>
    <row r="34" spans="1:12" x14ac:dyDescent="0.35">
      <c r="A34" s="33" t="s">
        <v>81</v>
      </c>
      <c r="D34" s="96">
        <v>11.4</v>
      </c>
      <c r="E34" s="96">
        <v>12.8</v>
      </c>
      <c r="F34" s="95">
        <v>14.5</v>
      </c>
      <c r="G34" s="28">
        <f ca="1">G35*G40</f>
        <v>13.822429906542055</v>
      </c>
      <c r="H34" s="28">
        <f t="shared" ref="H34:K34" ca="1" si="17">H35*H40</f>
        <v>13.675333493090504</v>
      </c>
      <c r="I34" s="28">
        <f t="shared" ca="1" si="17"/>
        <v>13.109301861171021</v>
      </c>
      <c r="J34" s="28">
        <f t="shared" ca="1" si="17"/>
        <v>12.113181164629763</v>
      </c>
      <c r="K34" s="28">
        <f t="shared" ca="1" si="17"/>
        <v>12.221001677450275</v>
      </c>
      <c r="L34" s="28">
        <f t="shared" ref="L34" ca="1" si="18">L35*L40</f>
        <v>12.328822190270788</v>
      </c>
    </row>
    <row r="35" spans="1:12" s="385" customFormat="1" x14ac:dyDescent="0.35">
      <c r="A35" s="44" t="s">
        <v>315</v>
      </c>
      <c r="B35" s="45"/>
      <c r="C35" s="45"/>
      <c r="D35" s="46">
        <f>D34/D$40</f>
        <v>0.6</v>
      </c>
      <c r="E35" s="46">
        <f>E34/E$40</f>
        <v>0.60377358490566047</v>
      </c>
      <c r="F35" s="79">
        <f>F34/F$40</f>
        <v>0.61965811965811968</v>
      </c>
      <c r="G35" s="50">
        <f>F35</f>
        <v>0.61965811965811968</v>
      </c>
      <c r="H35" s="50">
        <f t="shared" ref="H35:L39" si="19">G35</f>
        <v>0.61965811965811968</v>
      </c>
      <c r="I35" s="50">
        <f t="shared" si="19"/>
        <v>0.61965811965811968</v>
      </c>
      <c r="J35" s="50">
        <f t="shared" si="19"/>
        <v>0.61965811965811968</v>
      </c>
      <c r="K35" s="50">
        <f t="shared" si="19"/>
        <v>0.61965811965811968</v>
      </c>
      <c r="L35" s="50">
        <f t="shared" si="19"/>
        <v>0.61965811965811968</v>
      </c>
    </row>
    <row r="36" spans="1:12" x14ac:dyDescent="0.35">
      <c r="A36" s="33" t="s">
        <v>83</v>
      </c>
      <c r="D36" s="97">
        <v>0</v>
      </c>
      <c r="E36" s="97">
        <v>0</v>
      </c>
      <c r="F36" s="98">
        <v>0</v>
      </c>
      <c r="G36" s="41">
        <f ca="1">G37*G40</f>
        <v>0</v>
      </c>
      <c r="H36" s="58">
        <f t="shared" ref="H36:K36" ca="1" si="20">H37*H40</f>
        <v>0.55172897196261683</v>
      </c>
      <c r="I36" s="58">
        <f t="shared" ca="1" si="20"/>
        <v>1.057785046728972</v>
      </c>
      <c r="J36" s="58">
        <f t="shared" ca="1" si="20"/>
        <v>1.3683717757009346</v>
      </c>
      <c r="K36" s="58">
        <f t="shared" ca="1" si="20"/>
        <v>2.3666601869158881</v>
      </c>
      <c r="L36" s="141">
        <f t="shared" ref="L36" ca="1" si="21">L37*L40</f>
        <v>3.3823485981308412</v>
      </c>
    </row>
    <row r="37" spans="1:12" s="385" customFormat="1" x14ac:dyDescent="0.35">
      <c r="A37" s="44" t="s">
        <v>315</v>
      </c>
      <c r="B37" s="45"/>
      <c r="C37" s="45"/>
      <c r="D37" s="46">
        <f>D36/D$40</f>
        <v>0</v>
      </c>
      <c r="E37" s="46">
        <f>E36/E$40</f>
        <v>0</v>
      </c>
      <c r="F37" s="79">
        <f>F36/F$40</f>
        <v>0</v>
      </c>
      <c r="G37" s="50">
        <f>F37</f>
        <v>0</v>
      </c>
      <c r="H37" s="50">
        <f>G37+0.025</f>
        <v>2.5000000000000001E-2</v>
      </c>
      <c r="I37" s="50">
        <v>0.05</v>
      </c>
      <c r="J37" s="50">
        <v>7.0000000000000007E-2</v>
      </c>
      <c r="K37" s="50">
        <f t="shared" ref="K37:L37" si="22">J37+0.05</f>
        <v>0.12000000000000001</v>
      </c>
      <c r="L37" s="50">
        <f t="shared" si="22"/>
        <v>0.17</v>
      </c>
    </row>
    <row r="38" spans="1:12" x14ac:dyDescent="0.35">
      <c r="A38" s="33" t="s">
        <v>85</v>
      </c>
      <c r="D38" s="96">
        <v>2.2000000000000002</v>
      </c>
      <c r="E38" s="96">
        <v>2</v>
      </c>
      <c r="F38" s="95">
        <v>2</v>
      </c>
      <c r="G38" s="28">
        <f ca="1">G39*G40</f>
        <v>1.9065420560747663</v>
      </c>
      <c r="H38" s="28">
        <f t="shared" ref="H38:K38" ca="1" si="23">H39*H40</f>
        <v>1.5448411214953273</v>
      </c>
      <c r="I38" s="28">
        <f t="shared" ca="1" si="23"/>
        <v>1.6924560747663551</v>
      </c>
      <c r="J38" s="28">
        <f t="shared" ca="1" si="23"/>
        <v>1.5638534579439252</v>
      </c>
      <c r="K38" s="28">
        <f t="shared" ca="1" si="23"/>
        <v>1.3805517757009347</v>
      </c>
      <c r="L38" s="28">
        <f t="shared" ref="L38" ca="1" si="24">L39*L40</f>
        <v>1.1937700934579438</v>
      </c>
    </row>
    <row r="39" spans="1:12" s="385" customFormat="1" x14ac:dyDescent="0.35">
      <c r="A39" s="44" t="s">
        <v>315</v>
      </c>
      <c r="B39" s="45"/>
      <c r="C39" s="45"/>
      <c r="D39" s="46">
        <f>D38/D$40</f>
        <v>0.11578947368421054</v>
      </c>
      <c r="E39" s="46">
        <f>E38/E$40</f>
        <v>9.4339622641509441E-2</v>
      </c>
      <c r="F39" s="79">
        <f>F38/F$40</f>
        <v>8.5470085470085472E-2</v>
      </c>
      <c r="G39" s="50">
        <f>F39</f>
        <v>8.5470085470085472E-2</v>
      </c>
      <c r="H39" s="50">
        <v>7.0000000000000007E-2</v>
      </c>
      <c r="I39" s="50">
        <v>0.08</v>
      </c>
      <c r="J39" s="50">
        <f t="shared" si="19"/>
        <v>0.08</v>
      </c>
      <c r="K39" s="50">
        <v>7.0000000000000007E-2</v>
      </c>
      <c r="L39" s="50">
        <v>0.06</v>
      </c>
    </row>
    <row r="40" spans="1:12" s="66" customFormat="1" x14ac:dyDescent="0.35">
      <c r="A40" s="8" t="s">
        <v>64</v>
      </c>
      <c r="B40" s="8"/>
      <c r="C40" s="8"/>
      <c r="D40" s="225">
        <f t="shared" ref="D40:L40" si="25">D20</f>
        <v>19</v>
      </c>
      <c r="E40" s="225">
        <f t="shared" si="25"/>
        <v>21.2</v>
      </c>
      <c r="F40" s="232">
        <f t="shared" si="25"/>
        <v>23.4</v>
      </c>
      <c r="G40" s="49">
        <f t="shared" ca="1" si="25"/>
        <v>22.306542056074765</v>
      </c>
      <c r="H40" s="49">
        <f t="shared" ca="1" si="25"/>
        <v>22.069158878504673</v>
      </c>
      <c r="I40" s="49">
        <f t="shared" ca="1" si="25"/>
        <v>21.155700934579439</v>
      </c>
      <c r="J40" s="49">
        <f t="shared" ca="1" si="25"/>
        <v>19.548168224299065</v>
      </c>
      <c r="K40" s="49">
        <f t="shared" ca="1" si="25"/>
        <v>19.722168224299065</v>
      </c>
      <c r="L40" s="49">
        <f t="shared" ca="1" si="25"/>
        <v>19.896168224299064</v>
      </c>
    </row>
    <row r="41" spans="1:12" x14ac:dyDescent="0.35">
      <c r="G41" s="42">
        <f>SUM(G33,G35,G37,G39)</f>
        <v>1</v>
      </c>
      <c r="H41" s="42">
        <f t="shared" ref="H41:L41" si="26">SUM(H33,H35,H37,H39)</f>
        <v>1.0046581196581197</v>
      </c>
      <c r="I41" s="42">
        <f t="shared" si="26"/>
        <v>1.0146581196581197</v>
      </c>
      <c r="J41" s="42">
        <f t="shared" si="26"/>
        <v>0.99965811965811968</v>
      </c>
      <c r="K41" s="42">
        <f t="shared" si="26"/>
        <v>0.99965811965811957</v>
      </c>
      <c r="L41" s="42">
        <f t="shared" si="26"/>
        <v>0.99965811965811979</v>
      </c>
    </row>
    <row r="42" spans="1:12" s="66" customFormat="1" x14ac:dyDescent="0.35">
      <c r="A42" s="60" t="s">
        <v>312</v>
      </c>
      <c r="B42" s="60"/>
      <c r="C42" s="60"/>
      <c r="D42" s="61"/>
      <c r="E42" s="61"/>
      <c r="F42" s="81"/>
      <c r="G42" s="62"/>
      <c r="H42" s="62"/>
      <c r="I42" s="62"/>
      <c r="J42" s="62"/>
      <c r="K42" s="62"/>
      <c r="L42" s="62"/>
    </row>
    <row r="43" spans="1:12" s="67" customFormat="1" x14ac:dyDescent="0.35">
      <c r="A43" s="63" t="s">
        <v>99</v>
      </c>
      <c r="B43" s="63"/>
      <c r="C43" s="63"/>
      <c r="D43" s="68">
        <f t="shared" ref="D43:L43" si="27">D$20*(D44)</f>
        <v>15.77</v>
      </c>
      <c r="E43" s="68">
        <f t="shared" si="27"/>
        <v>15.475999999999999</v>
      </c>
      <c r="F43" s="78">
        <f t="shared" si="27"/>
        <v>14.507999999999999</v>
      </c>
      <c r="G43" s="68">
        <f t="shared" ca="1" si="27"/>
        <v>14.499252336448597</v>
      </c>
      <c r="H43" s="68">
        <f t="shared" ca="1" si="27"/>
        <v>14.124261682242992</v>
      </c>
      <c r="I43" s="68">
        <f t="shared" ca="1" si="27"/>
        <v>13.328091588785046</v>
      </c>
      <c r="J43" s="68">
        <f t="shared" ca="1" si="27"/>
        <v>12.119864299065421</v>
      </c>
      <c r="K43" s="68">
        <f t="shared" ca="1" si="27"/>
        <v>12.030522616822429</v>
      </c>
      <c r="L43" s="68">
        <f t="shared" ca="1" si="27"/>
        <v>11.937700934579437</v>
      </c>
    </row>
    <row r="44" spans="1:12" s="383" customFormat="1" x14ac:dyDescent="0.35">
      <c r="A44" s="64" t="s">
        <v>314</v>
      </c>
      <c r="B44" s="64"/>
      <c r="C44" s="64"/>
      <c r="D44" s="217">
        <v>0.83</v>
      </c>
      <c r="E44" s="217">
        <v>0.73</v>
      </c>
      <c r="F44" s="218">
        <v>0.62</v>
      </c>
      <c r="G44" s="303">
        <f>1-G46</f>
        <v>0.65</v>
      </c>
      <c r="H44" s="303">
        <f t="shared" ref="H44:L44" si="28">1-H46</f>
        <v>0.64</v>
      </c>
      <c r="I44" s="303">
        <f t="shared" si="28"/>
        <v>0.63</v>
      </c>
      <c r="J44" s="303">
        <f t="shared" si="28"/>
        <v>0.62</v>
      </c>
      <c r="K44" s="303">
        <f t="shared" si="28"/>
        <v>0.61</v>
      </c>
      <c r="L44" s="303">
        <f t="shared" si="28"/>
        <v>0.6</v>
      </c>
    </row>
    <row r="45" spans="1:12" s="67" customFormat="1" x14ac:dyDescent="0.35">
      <c r="A45" s="63" t="s">
        <v>100</v>
      </c>
      <c r="B45" s="63"/>
      <c r="C45" s="63"/>
      <c r="D45" s="68">
        <f t="shared" ref="D45:L45" si="29">D$20*(D46)</f>
        <v>3.2300000000000004</v>
      </c>
      <c r="E45" s="68">
        <f t="shared" si="29"/>
        <v>5.7240000000000002</v>
      </c>
      <c r="F45" s="78">
        <f t="shared" si="29"/>
        <v>8.8919999999999995</v>
      </c>
      <c r="G45" s="68">
        <f t="shared" ca="1" si="29"/>
        <v>7.8072897196261675</v>
      </c>
      <c r="H45" s="68">
        <f t="shared" ca="1" si="29"/>
        <v>7.9448971962616817</v>
      </c>
      <c r="I45" s="68">
        <f t="shared" ca="1" si="29"/>
        <v>7.827609345794392</v>
      </c>
      <c r="J45" s="68">
        <f t="shared" ca="1" si="29"/>
        <v>7.4283039252336449</v>
      </c>
      <c r="K45" s="68">
        <f t="shared" ca="1" si="29"/>
        <v>7.6916456074766355</v>
      </c>
      <c r="L45" s="68">
        <f t="shared" ca="1" si="29"/>
        <v>7.9584672897196258</v>
      </c>
    </row>
    <row r="46" spans="1:12" s="383" customFormat="1" x14ac:dyDescent="0.35">
      <c r="A46" s="64" t="s">
        <v>314</v>
      </c>
      <c r="B46" s="64"/>
      <c r="C46" s="64"/>
      <c r="D46" s="217">
        <v>0.17</v>
      </c>
      <c r="E46" s="217">
        <f>0.22+0.05</f>
        <v>0.27</v>
      </c>
      <c r="F46" s="218">
        <f>0.26+0.12</f>
        <v>0.38</v>
      </c>
      <c r="G46" s="65">
        <v>0.35</v>
      </c>
      <c r="H46" s="65">
        <f>G46+0.01</f>
        <v>0.36</v>
      </c>
      <c r="I46" s="65">
        <f t="shared" ref="I46:L46" si="30">H46+0.01</f>
        <v>0.37</v>
      </c>
      <c r="J46" s="65">
        <f t="shared" si="30"/>
        <v>0.38</v>
      </c>
      <c r="K46" s="65">
        <f t="shared" si="30"/>
        <v>0.39</v>
      </c>
      <c r="L46" s="65">
        <f t="shared" si="30"/>
        <v>0.4</v>
      </c>
    </row>
    <row r="47" spans="1:12" s="66" customFormat="1" x14ac:dyDescent="0.35">
      <c r="A47" s="234" t="s">
        <v>105</v>
      </c>
      <c r="B47" s="8"/>
      <c r="C47" s="8"/>
      <c r="D47" s="225">
        <f t="shared" ref="D47:L47" si="31">SUM(D43,D45)</f>
        <v>19</v>
      </c>
      <c r="E47" s="225">
        <f t="shared" si="31"/>
        <v>21.2</v>
      </c>
      <c r="F47" s="232">
        <f t="shared" si="31"/>
        <v>23.4</v>
      </c>
      <c r="G47" s="225">
        <f t="shared" ca="1" si="31"/>
        <v>22.306542056074765</v>
      </c>
      <c r="H47" s="225">
        <f t="shared" ca="1" si="31"/>
        <v>22.069158878504673</v>
      </c>
      <c r="I47" s="225">
        <f t="shared" ca="1" si="31"/>
        <v>21.155700934579439</v>
      </c>
      <c r="J47" s="225">
        <f t="shared" ca="1" si="31"/>
        <v>19.548168224299065</v>
      </c>
      <c r="K47" s="225">
        <f t="shared" ca="1" si="31"/>
        <v>19.722168224299065</v>
      </c>
      <c r="L47" s="225">
        <f t="shared" ca="1" si="31"/>
        <v>19.896168224299064</v>
      </c>
    </row>
    <row r="48" spans="1:12" s="66" customFormat="1" x14ac:dyDescent="0.35">
      <c r="B48" s="60"/>
      <c r="C48" s="60"/>
      <c r="D48" s="61"/>
      <c r="E48" s="61"/>
      <c r="F48" s="81"/>
      <c r="G48" s="61"/>
      <c r="H48" s="61"/>
      <c r="I48" s="61"/>
      <c r="J48" s="61"/>
      <c r="K48" s="61"/>
      <c r="L48" s="61"/>
    </row>
    <row r="49" spans="1:12" s="202" customFormat="1" x14ac:dyDescent="0.35">
      <c r="A49" s="103" t="s">
        <v>317</v>
      </c>
      <c r="B49" s="103"/>
      <c r="C49" s="103"/>
      <c r="D49" s="103"/>
      <c r="E49" s="103"/>
      <c r="F49" s="104"/>
      <c r="G49" s="103"/>
      <c r="H49" s="103"/>
      <c r="I49" s="103"/>
      <c r="J49" s="103"/>
      <c r="K49" s="103"/>
      <c r="L49" s="103"/>
    </row>
    <row r="50" spans="1:12" s="66" customFormat="1" x14ac:dyDescent="0.35">
      <c r="A50" s="60" t="s">
        <v>360</v>
      </c>
      <c r="B50" s="60"/>
      <c r="C50" s="60"/>
      <c r="D50" s="61"/>
      <c r="E50" s="61"/>
      <c r="F50" s="81"/>
      <c r="G50" s="62"/>
      <c r="H50" s="62"/>
      <c r="I50" s="62"/>
      <c r="J50" s="62"/>
      <c r="K50" s="62"/>
      <c r="L50" s="62"/>
    </row>
    <row r="51" spans="1:12" s="67" customFormat="1" x14ac:dyDescent="0.35">
      <c r="A51" s="63" t="s">
        <v>99</v>
      </c>
      <c r="B51" s="63"/>
      <c r="C51" s="63"/>
      <c r="D51" s="68"/>
      <c r="E51" s="68"/>
      <c r="F51" s="78"/>
      <c r="G51" s="68">
        <f ca="1">G26*G43</f>
        <v>14.35116168224299</v>
      </c>
      <c r="H51" s="68">
        <f t="shared" ref="H51:L51" ca="1" si="32">H26*H43</f>
        <v>13.838758443965174</v>
      </c>
      <c r="I51" s="68">
        <f t="shared" ca="1" si="32"/>
        <v>13.058681874191228</v>
      </c>
      <c r="J51" s="68">
        <f t="shared" ca="1" si="32"/>
        <v>11.874877298490295</v>
      </c>
      <c r="K51" s="68">
        <f t="shared" ca="1" si="32"/>
        <v>11.787341539995206</v>
      </c>
      <c r="L51" s="68">
        <f t="shared" ca="1" si="32"/>
        <v>11.696396125089862</v>
      </c>
    </row>
    <row r="52" spans="1:12" s="67" customFormat="1" x14ac:dyDescent="0.35">
      <c r="A52" s="63" t="s">
        <v>100</v>
      </c>
      <c r="B52" s="63"/>
      <c r="C52" s="63"/>
      <c r="D52" s="68"/>
      <c r="E52" s="68"/>
      <c r="F52" s="78"/>
      <c r="G52" s="68">
        <f t="shared" ref="G52:L52" ca="1" si="33">G26*G45</f>
        <v>7.7275485981308405</v>
      </c>
      <c r="H52" s="68">
        <f t="shared" ca="1" si="33"/>
        <v>7.7843016247304089</v>
      </c>
      <c r="I52" s="68">
        <f t="shared" ca="1" si="33"/>
        <v>7.6693845927789752</v>
      </c>
      <c r="J52" s="68">
        <f t="shared" ca="1" si="33"/>
        <v>7.2781506023005029</v>
      </c>
      <c r="K52" s="68">
        <f t="shared" ca="1" si="33"/>
        <v>7.5361691813084111</v>
      </c>
      <c r="L52" s="68">
        <f t="shared" ca="1" si="33"/>
        <v>7.7975974167265747</v>
      </c>
    </row>
    <row r="53" spans="1:12" s="66" customFormat="1" x14ac:dyDescent="0.35">
      <c r="A53" s="234" t="s">
        <v>105</v>
      </c>
      <c r="B53" s="8"/>
      <c r="C53" s="8"/>
      <c r="D53" s="225"/>
      <c r="E53" s="225"/>
      <c r="F53" s="232"/>
      <c r="G53" s="225">
        <f t="shared" ref="G53:L53" ca="1" si="34">SUM(G51,G52)</f>
        <v>22.07871028037383</v>
      </c>
      <c r="H53" s="225">
        <f t="shared" ca="1" si="34"/>
        <v>21.623060068695583</v>
      </c>
      <c r="I53" s="225">
        <f t="shared" ca="1" si="34"/>
        <v>20.728066466970205</v>
      </c>
      <c r="J53" s="225">
        <f t="shared" ca="1" si="34"/>
        <v>19.153027900790796</v>
      </c>
      <c r="K53" s="225">
        <f t="shared" ca="1" si="34"/>
        <v>19.323510721303617</v>
      </c>
      <c r="L53" s="225">
        <f t="shared" ca="1" si="34"/>
        <v>19.493993541816437</v>
      </c>
    </row>
    <row r="54" spans="1:12" s="66" customFormat="1" x14ac:dyDescent="0.35">
      <c r="B54" s="60"/>
      <c r="C54" s="60"/>
      <c r="D54" s="61"/>
      <c r="E54" s="61"/>
      <c r="F54" s="61"/>
      <c r="G54" s="61"/>
      <c r="H54" s="61"/>
      <c r="I54" s="61"/>
      <c r="J54" s="61"/>
      <c r="K54" s="61"/>
      <c r="L54" s="61"/>
    </row>
    <row r="55" spans="1:12" x14ac:dyDescent="0.35">
      <c r="A55" s="66" t="s">
        <v>87</v>
      </c>
      <c r="L55" s="135"/>
    </row>
    <row r="56" spans="1:12" x14ac:dyDescent="0.35">
      <c r="A56" s="67" t="s">
        <v>99</v>
      </c>
      <c r="B56" s="51"/>
      <c r="C56" s="51"/>
      <c r="D56" s="51"/>
      <c r="E56" s="51"/>
      <c r="F56" s="89">
        <f>F62/(F43)</f>
        <v>40.213950923628346</v>
      </c>
      <c r="G56" s="90">
        <f t="shared" ref="G56:L56" ca="1" si="35">G5</f>
        <v>38.549999999999997</v>
      </c>
      <c r="H56" s="90">
        <f t="shared" ca="1" si="35"/>
        <v>38.599999999999994</v>
      </c>
      <c r="I56" s="90">
        <f t="shared" ca="1" si="35"/>
        <v>38.649999999999991</v>
      </c>
      <c r="J56" s="90">
        <f t="shared" ca="1" si="35"/>
        <v>38.699999999999989</v>
      </c>
      <c r="K56" s="90">
        <f t="shared" ca="1" si="35"/>
        <v>38.749999999999986</v>
      </c>
      <c r="L56" s="90">
        <f t="shared" ca="1" si="35"/>
        <v>38.799999999999983</v>
      </c>
    </row>
    <row r="57" spans="1:12" x14ac:dyDescent="0.35">
      <c r="A57" s="51" t="s">
        <v>100</v>
      </c>
      <c r="B57" s="51"/>
      <c r="C57" s="51"/>
      <c r="D57" s="51"/>
      <c r="E57" s="51"/>
      <c r="F57" s="89">
        <f>F63/(F45)</f>
        <v>57.798245614035089</v>
      </c>
      <c r="G57" s="90">
        <f t="shared" ref="G57:L57" ca="1" si="36">G9</f>
        <v>63.4</v>
      </c>
      <c r="H57" s="90">
        <f t="shared" ca="1" si="36"/>
        <v>64.400000000000006</v>
      </c>
      <c r="I57" s="90">
        <f t="shared" ca="1" si="36"/>
        <v>65.400000000000006</v>
      </c>
      <c r="J57" s="90">
        <f t="shared" ca="1" si="36"/>
        <v>66.400000000000006</v>
      </c>
      <c r="K57" s="90">
        <f t="shared" ca="1" si="36"/>
        <v>67.400000000000006</v>
      </c>
      <c r="L57" s="90">
        <f t="shared" ca="1" si="36"/>
        <v>68.400000000000006</v>
      </c>
    </row>
    <row r="58" spans="1:12" s="66" customFormat="1" x14ac:dyDescent="0.35">
      <c r="A58" s="2" t="s">
        <v>101</v>
      </c>
      <c r="B58" s="2"/>
      <c r="C58" s="2"/>
      <c r="D58" s="92">
        <f>E129</f>
        <v>44.2</v>
      </c>
      <c r="E58" s="92">
        <f>AVERAGE(C129:D129)</f>
        <v>43.834999999999994</v>
      </c>
      <c r="F58" s="93">
        <f>B129</f>
        <v>46.91</v>
      </c>
      <c r="G58" s="94">
        <f t="shared" ref="G58:L58" ca="1" si="37">G64/G47</f>
        <v>46.764929380341876</v>
      </c>
      <c r="H58" s="94">
        <f t="shared" ca="1" si="37"/>
        <v>46.920007521367523</v>
      </c>
      <c r="I58" s="94">
        <f t="shared" ca="1" si="37"/>
        <v>47.566176602564092</v>
      </c>
      <c r="J58" s="94">
        <f t="shared" ca="1" si="37"/>
        <v>48.23096162393162</v>
      </c>
      <c r="K58" s="94">
        <f t="shared" ca="1" si="37"/>
        <v>48.914362585470073</v>
      </c>
      <c r="L58" s="94">
        <f t="shared" ca="1" si="37"/>
        <v>49.616379487179479</v>
      </c>
    </row>
    <row r="59" spans="1:12" s="239" customFormat="1" x14ac:dyDescent="0.35">
      <c r="A59" s="42"/>
      <c r="B59" s="42"/>
      <c r="C59" s="42"/>
      <c r="D59" s="42"/>
      <c r="E59" s="42">
        <f>E58/D58-1</f>
        <v>-8.2579185520363918E-3</v>
      </c>
      <c r="F59" s="77">
        <f>F58/E58-1</f>
        <v>7.0149423976274772E-2</v>
      </c>
      <c r="G59" s="91">
        <f ca="1">G58/F58-1</f>
        <v>-3.0925307963786119E-3</v>
      </c>
      <c r="H59" s="91">
        <f t="shared" ref="H59:L59" ca="1" si="38">H58/G58-1</f>
        <v>3.3161205005654004E-3</v>
      </c>
      <c r="I59" s="91">
        <f t="shared" ca="1" si="38"/>
        <v>1.3771717340460787E-2</v>
      </c>
      <c r="J59" s="91">
        <f t="shared" ca="1" si="38"/>
        <v>1.3976002883773875E-2</v>
      </c>
      <c r="K59" s="91">
        <f t="shared" ca="1" si="38"/>
        <v>1.416934140494841E-2</v>
      </c>
      <c r="L59" s="91">
        <f t="shared" ca="1" si="38"/>
        <v>1.4351958496499728E-2</v>
      </c>
    </row>
    <row r="60" spans="1:12" s="239" customFormat="1" x14ac:dyDescent="0.35">
      <c r="A60" s="42"/>
      <c r="B60" s="42"/>
      <c r="C60" s="42"/>
      <c r="D60" s="42"/>
      <c r="E60" s="42"/>
      <c r="F60" s="77"/>
      <c r="G60" s="91"/>
      <c r="H60" s="91"/>
      <c r="I60" s="91"/>
      <c r="J60" s="91"/>
      <c r="K60" s="91"/>
      <c r="L60" s="91"/>
    </row>
    <row r="61" spans="1:12" s="66" customFormat="1" x14ac:dyDescent="0.35">
      <c r="A61" s="60" t="s">
        <v>313</v>
      </c>
      <c r="B61" s="60"/>
      <c r="C61" s="60"/>
      <c r="D61" s="61"/>
      <c r="E61" s="61"/>
      <c r="F61" s="81"/>
      <c r="G61" s="62"/>
      <c r="H61" s="62"/>
      <c r="I61" s="62"/>
      <c r="J61" s="62"/>
      <c r="K61" s="62"/>
      <c r="L61" s="62"/>
    </row>
    <row r="62" spans="1:12" s="67" customFormat="1" x14ac:dyDescent="0.35">
      <c r="A62" s="63" t="s">
        <v>102</v>
      </c>
      <c r="B62" s="63"/>
      <c r="C62" s="63"/>
      <c r="D62" s="68"/>
      <c r="E62" s="68"/>
      <c r="F62" s="95">
        <v>583.42399999999998</v>
      </c>
      <c r="G62" s="69">
        <f ca="1">G56*G51</f>
        <v>553.23728285046718</v>
      </c>
      <c r="H62" s="69">
        <f t="shared" ref="H62:L62" ca="1" si="39">H56*H51</f>
        <v>534.17607593705566</v>
      </c>
      <c r="I62" s="69">
        <f t="shared" ca="1" si="39"/>
        <v>504.71805443749082</v>
      </c>
      <c r="J62" s="69">
        <f t="shared" ca="1" si="39"/>
        <v>459.55775145157429</v>
      </c>
      <c r="K62" s="69">
        <f t="shared" ca="1" si="39"/>
        <v>456.75948467481402</v>
      </c>
      <c r="L62" s="69">
        <f t="shared" ca="1" si="39"/>
        <v>453.82016965348646</v>
      </c>
    </row>
    <row r="63" spans="1:12" s="67" customFormat="1" x14ac:dyDescent="0.35">
      <c r="A63" s="63" t="s">
        <v>103</v>
      </c>
      <c r="B63" s="63"/>
      <c r="C63" s="63"/>
      <c r="D63" s="68"/>
      <c r="E63" s="68"/>
      <c r="F63" s="95">
        <v>513.94200000000001</v>
      </c>
      <c r="G63" s="69">
        <f ca="1">G57*G52</f>
        <v>489.9265811214953</v>
      </c>
      <c r="H63" s="69">
        <f t="shared" ref="H63:L63" ca="1" si="40">H57*H52</f>
        <v>501.3090246326384</v>
      </c>
      <c r="I63" s="69">
        <f t="shared" ca="1" si="40"/>
        <v>501.57775236774501</v>
      </c>
      <c r="J63" s="69">
        <f t="shared" ca="1" si="40"/>
        <v>483.26919999275344</v>
      </c>
      <c r="K63" s="69">
        <f t="shared" ca="1" si="40"/>
        <v>507.93780282018696</v>
      </c>
      <c r="L63" s="69">
        <f t="shared" ca="1" si="40"/>
        <v>533.35566330409779</v>
      </c>
    </row>
    <row r="64" spans="1:12" s="67" customFormat="1" x14ac:dyDescent="0.35">
      <c r="A64" s="219" t="s">
        <v>104</v>
      </c>
      <c r="B64" s="235"/>
      <c r="C64" s="235"/>
      <c r="D64" s="236"/>
      <c r="E64" s="236"/>
      <c r="F64" s="237">
        <f>SUM(F62:F63)</f>
        <v>1097.366</v>
      </c>
      <c r="G64" s="238">
        <f ca="1">SUM(G62:G63)</f>
        <v>1043.1638639719624</v>
      </c>
      <c r="H64" s="238">
        <f t="shared" ref="H64:K64" ca="1" si="41">SUM(H62:H63)</f>
        <v>1035.4851005696942</v>
      </c>
      <c r="I64" s="238">
        <f t="shared" ca="1" si="41"/>
        <v>1006.2958068052358</v>
      </c>
      <c r="J64" s="238">
        <f t="shared" ca="1" si="41"/>
        <v>942.82695144432773</v>
      </c>
      <c r="K64" s="238">
        <f t="shared" ca="1" si="41"/>
        <v>964.69728749500098</v>
      </c>
      <c r="L64" s="238">
        <f t="shared" ref="L64" ca="1" si="42">SUM(L62:L63)</f>
        <v>987.17583295758425</v>
      </c>
    </row>
    <row r="65" spans="1:12" s="66" customFormat="1" x14ac:dyDescent="0.35">
      <c r="A65" s="63"/>
      <c r="B65" s="60"/>
      <c r="C65" s="60"/>
      <c r="D65" s="61"/>
      <c r="E65" s="61"/>
      <c r="F65" s="81"/>
      <c r="G65" s="62"/>
      <c r="H65" s="62"/>
      <c r="I65" s="62"/>
      <c r="J65" s="62"/>
      <c r="K65" s="62"/>
      <c r="L65" s="62"/>
    </row>
    <row r="66" spans="1:12" s="202" customFormat="1" x14ac:dyDescent="0.35">
      <c r="A66" s="103" t="s">
        <v>106</v>
      </c>
      <c r="B66" s="103"/>
      <c r="C66" s="103"/>
      <c r="D66" s="103"/>
      <c r="E66" s="103"/>
      <c r="F66" s="104"/>
      <c r="G66" s="103"/>
      <c r="H66" s="103"/>
      <c r="I66" s="103"/>
      <c r="J66" s="103"/>
      <c r="K66" s="103"/>
      <c r="L66" s="103"/>
    </row>
    <row r="67" spans="1:12" s="202" customFormat="1" x14ac:dyDescent="0.35">
      <c r="A67" s="228" t="s">
        <v>122</v>
      </c>
      <c r="B67" s="228"/>
      <c r="C67" s="228"/>
      <c r="D67" s="228"/>
      <c r="E67" s="228"/>
      <c r="F67" s="229"/>
      <c r="G67" s="228"/>
      <c r="H67" s="228"/>
      <c r="I67" s="228"/>
      <c r="J67" s="228"/>
      <c r="K67" s="228"/>
      <c r="L67" s="228"/>
    </row>
    <row r="68" spans="1:12" x14ac:dyDescent="0.35">
      <c r="A68" s="51" t="s">
        <v>120</v>
      </c>
      <c r="B68" s="51"/>
      <c r="C68" s="51"/>
      <c r="D68" s="51"/>
      <c r="E68" s="51"/>
      <c r="G68" s="51"/>
      <c r="H68" s="51"/>
      <c r="I68" s="51"/>
      <c r="J68" s="51"/>
      <c r="K68" s="51"/>
      <c r="L68" s="135"/>
    </row>
    <row r="69" spans="1:12" x14ac:dyDescent="0.35">
      <c r="A69" s="51"/>
      <c r="B69" s="51"/>
      <c r="C69" s="51"/>
      <c r="D69" s="51"/>
      <c r="E69" s="51"/>
      <c r="G69" s="51"/>
      <c r="H69" s="51"/>
      <c r="I69" s="51"/>
      <c r="J69" s="51"/>
      <c r="K69" s="51"/>
      <c r="L69" s="135"/>
    </row>
    <row r="70" spans="1:12" s="386" customFormat="1" x14ac:dyDescent="0.35">
      <c r="A70" s="334" t="s">
        <v>78</v>
      </c>
      <c r="B70" s="26"/>
      <c r="C70" s="26"/>
      <c r="D70" s="335"/>
      <c r="E70" s="335">
        <f>$E$107</f>
        <v>22.85</v>
      </c>
      <c r="F70" s="336">
        <f>$F$107</f>
        <v>22.85</v>
      </c>
      <c r="G70" s="337">
        <v>22.7</v>
      </c>
      <c r="H70" s="337">
        <f t="shared" ref="H70:L72" si="43">G70-0.1</f>
        <v>22.599999999999998</v>
      </c>
      <c r="I70" s="337">
        <f t="shared" si="43"/>
        <v>22.499999999999996</v>
      </c>
      <c r="J70" s="337">
        <f t="shared" si="43"/>
        <v>22.399999999999995</v>
      </c>
      <c r="K70" s="337">
        <f t="shared" si="43"/>
        <v>22.299999999999994</v>
      </c>
      <c r="L70" s="337">
        <f t="shared" si="43"/>
        <v>22.199999999999992</v>
      </c>
    </row>
    <row r="71" spans="1:12" s="386" customFormat="1" x14ac:dyDescent="0.35">
      <c r="A71" s="338" t="s">
        <v>122</v>
      </c>
      <c r="B71" s="26"/>
      <c r="C71" s="26"/>
      <c r="D71" s="335"/>
      <c r="E71" s="335">
        <f t="shared" ref="E71:L71" si="44">E70*E32</f>
        <v>146.24</v>
      </c>
      <c r="F71" s="336">
        <f t="shared" si="44"/>
        <v>157.66500000000002</v>
      </c>
      <c r="G71" s="335">
        <f t="shared" ca="1" si="44"/>
        <v>149.31084112149532</v>
      </c>
      <c r="H71" s="335">
        <f t="shared" ca="1" si="44"/>
        <v>144.64126728971962</v>
      </c>
      <c r="I71" s="335">
        <f t="shared" ca="1" si="44"/>
        <v>126.14086682242987</v>
      </c>
      <c r="J71" s="335">
        <f t="shared" ca="1" si="44"/>
        <v>100.71216269158876</v>
      </c>
      <c r="K71" s="335">
        <f t="shared" ca="1" si="44"/>
        <v>83.562826766355116</v>
      </c>
      <c r="L71" s="335">
        <f t="shared" ca="1" si="44"/>
        <v>66.254240186915851</v>
      </c>
    </row>
    <row r="72" spans="1:12" s="386" customFormat="1" x14ac:dyDescent="0.35">
      <c r="A72" s="334" t="s">
        <v>81</v>
      </c>
      <c r="B72" s="26"/>
      <c r="C72" s="26"/>
      <c r="D72" s="335"/>
      <c r="E72" s="335">
        <f>$E$107</f>
        <v>22.85</v>
      </c>
      <c r="F72" s="336">
        <f>$F$107</f>
        <v>22.85</v>
      </c>
      <c r="G72" s="337">
        <v>22.7</v>
      </c>
      <c r="H72" s="337">
        <f t="shared" si="43"/>
        <v>22.599999999999998</v>
      </c>
      <c r="I72" s="337">
        <f t="shared" si="43"/>
        <v>22.499999999999996</v>
      </c>
      <c r="J72" s="337">
        <f t="shared" si="43"/>
        <v>22.399999999999995</v>
      </c>
      <c r="K72" s="337">
        <f t="shared" si="43"/>
        <v>22.299999999999994</v>
      </c>
      <c r="L72" s="337">
        <f t="shared" si="43"/>
        <v>22.199999999999992</v>
      </c>
    </row>
    <row r="73" spans="1:12" s="386" customFormat="1" x14ac:dyDescent="0.35">
      <c r="A73" s="338" t="s">
        <v>122</v>
      </c>
      <c r="B73" s="26"/>
      <c r="C73" s="26"/>
      <c r="D73" s="335"/>
      <c r="E73" s="335">
        <f t="shared" ref="E73:L73" si="45">E72*E34</f>
        <v>292.48</v>
      </c>
      <c r="F73" s="336">
        <f t="shared" si="45"/>
        <v>331.32500000000005</v>
      </c>
      <c r="G73" s="335">
        <f t="shared" ca="1" si="45"/>
        <v>313.76915887850464</v>
      </c>
      <c r="H73" s="335">
        <f t="shared" ca="1" si="45"/>
        <v>309.06253694384537</v>
      </c>
      <c r="I73" s="335">
        <f t="shared" ca="1" si="45"/>
        <v>294.95929187634795</v>
      </c>
      <c r="J73" s="335">
        <f t="shared" ca="1" si="45"/>
        <v>271.33525808770662</v>
      </c>
      <c r="K73" s="335">
        <f t="shared" ca="1" si="45"/>
        <v>272.52833740714107</v>
      </c>
      <c r="L73" s="335">
        <f t="shared" ca="1" si="45"/>
        <v>273.69985262401138</v>
      </c>
    </row>
    <row r="74" spans="1:12" s="386" customFormat="1" x14ac:dyDescent="0.35">
      <c r="A74" s="334" t="s">
        <v>83</v>
      </c>
      <c r="B74" s="26"/>
      <c r="C74" s="26"/>
      <c r="D74" s="335"/>
      <c r="E74" s="335">
        <f>$E$107</f>
        <v>22.85</v>
      </c>
      <c r="F74" s="336">
        <f>$F$107</f>
        <v>22.85</v>
      </c>
      <c r="G74" s="337">
        <v>20</v>
      </c>
      <c r="H74" s="337">
        <v>20</v>
      </c>
      <c r="I74" s="337">
        <v>20</v>
      </c>
      <c r="J74" s="337">
        <v>20</v>
      </c>
      <c r="K74" s="337">
        <v>20</v>
      </c>
      <c r="L74" s="337">
        <v>20</v>
      </c>
    </row>
    <row r="75" spans="1:12" s="386" customFormat="1" x14ac:dyDescent="0.35">
      <c r="A75" s="338" t="s">
        <v>122</v>
      </c>
      <c r="B75" s="26"/>
      <c r="C75" s="26"/>
      <c r="D75" s="335"/>
      <c r="E75" s="335">
        <f t="shared" ref="E75:L75" si="46">E74*E36</f>
        <v>0</v>
      </c>
      <c r="F75" s="336">
        <f t="shared" si="46"/>
        <v>0</v>
      </c>
      <c r="G75" s="335">
        <f t="shared" ca="1" si="46"/>
        <v>0</v>
      </c>
      <c r="H75" s="335">
        <f t="shared" ca="1" si="46"/>
        <v>11.034579439252337</v>
      </c>
      <c r="I75" s="335">
        <f t="shared" ca="1" si="46"/>
        <v>21.155700934579439</v>
      </c>
      <c r="J75" s="335">
        <f t="shared" ca="1" si="46"/>
        <v>27.367435514018691</v>
      </c>
      <c r="K75" s="335">
        <f t="shared" ca="1" si="46"/>
        <v>47.333203738317764</v>
      </c>
      <c r="L75" s="335">
        <f t="shared" ca="1" si="46"/>
        <v>67.646971962616817</v>
      </c>
    </row>
    <row r="76" spans="1:12" s="386" customFormat="1" x14ac:dyDescent="0.35">
      <c r="A76" s="334" t="s">
        <v>85</v>
      </c>
      <c r="B76" s="26"/>
      <c r="C76" s="26"/>
      <c r="D76" s="335"/>
      <c r="E76" s="335">
        <f>$E$107</f>
        <v>22.85</v>
      </c>
      <c r="F76" s="336">
        <f>$F$107</f>
        <v>22.85</v>
      </c>
      <c r="G76" s="337">
        <v>22.7</v>
      </c>
      <c r="H76" s="337">
        <f t="shared" ref="H76:L76" si="47">G76-0.1</f>
        <v>22.599999999999998</v>
      </c>
      <c r="I76" s="337">
        <f t="shared" si="47"/>
        <v>22.499999999999996</v>
      </c>
      <c r="J76" s="337">
        <f t="shared" si="47"/>
        <v>22.399999999999995</v>
      </c>
      <c r="K76" s="337">
        <f t="shared" si="47"/>
        <v>22.299999999999994</v>
      </c>
      <c r="L76" s="337">
        <f t="shared" si="47"/>
        <v>22.199999999999992</v>
      </c>
    </row>
    <row r="77" spans="1:12" s="384" customFormat="1" x14ac:dyDescent="0.35">
      <c r="A77" s="338" t="s">
        <v>122</v>
      </c>
      <c r="B77" s="339"/>
      <c r="C77" s="339"/>
      <c r="D77" s="335"/>
      <c r="E77" s="335">
        <f t="shared" ref="E77:L77" si="48">E76*E38</f>
        <v>45.7</v>
      </c>
      <c r="F77" s="336">
        <f t="shared" si="48"/>
        <v>45.7</v>
      </c>
      <c r="G77" s="335">
        <f t="shared" ca="1" si="48"/>
        <v>43.278504672897192</v>
      </c>
      <c r="H77" s="335">
        <f t="shared" ca="1" si="48"/>
        <v>34.913409345794392</v>
      </c>
      <c r="I77" s="335">
        <f t="shared" ca="1" si="48"/>
        <v>38.080261682242984</v>
      </c>
      <c r="J77" s="335">
        <f t="shared" ca="1" si="48"/>
        <v>35.030317457943916</v>
      </c>
      <c r="K77" s="335">
        <f t="shared" ca="1" si="48"/>
        <v>30.786304598130833</v>
      </c>
      <c r="L77" s="335">
        <f t="shared" ca="1" si="48"/>
        <v>26.501696074766343</v>
      </c>
    </row>
    <row r="78" spans="1:12" s="66" customFormat="1" x14ac:dyDescent="0.35">
      <c r="A78" s="219" t="s">
        <v>121</v>
      </c>
      <c r="B78" s="219"/>
      <c r="C78" s="219"/>
      <c r="D78" s="220"/>
      <c r="E78" s="220">
        <f>SUM(C155:D155)</f>
        <v>485606</v>
      </c>
      <c r="F78" s="221">
        <f>B155</f>
        <v>526984</v>
      </c>
      <c r="G78" s="222">
        <f ca="1">SUM(G71,G73,G75,G77)*1000</f>
        <v>506358.50467289716</v>
      </c>
      <c r="H78" s="222">
        <f t="shared" ref="H78:K78" ca="1" si="49">SUM(H71,H73,H75,H77)*1000</f>
        <v>499651.79301861173</v>
      </c>
      <c r="I78" s="222">
        <f t="shared" ca="1" si="49"/>
        <v>480336.12131560023</v>
      </c>
      <c r="J78" s="222">
        <f t="shared" ca="1" si="49"/>
        <v>434445.173751258</v>
      </c>
      <c r="K78" s="222">
        <f t="shared" ca="1" si="49"/>
        <v>434210.67250994476</v>
      </c>
      <c r="L78" s="222">
        <f t="shared" ref="L78" ca="1" si="50">SUM(L71,L73,L75,L77)*1000</f>
        <v>434102.76084831043</v>
      </c>
    </row>
    <row r="79" spans="1:12" x14ac:dyDescent="0.35">
      <c r="A79" s="51"/>
      <c r="B79" s="51"/>
      <c r="C79" s="51"/>
      <c r="D79" s="47">
        <f>SUM(D71,D73,D75,D77)</f>
        <v>0</v>
      </c>
      <c r="E79" s="47">
        <f t="shared" ref="E79:F79" si="51">SUM(E71,E73,E75,E77)</f>
        <v>484.42</v>
      </c>
      <c r="F79" s="99">
        <f t="shared" si="51"/>
        <v>534.69000000000005</v>
      </c>
      <c r="G79" s="51"/>
      <c r="H79" s="51"/>
      <c r="I79" s="51"/>
      <c r="J79" s="51"/>
      <c r="K79" s="51"/>
      <c r="L79" s="135"/>
    </row>
    <row r="80" spans="1:12" x14ac:dyDescent="0.35">
      <c r="A80" s="51"/>
      <c r="B80" s="51"/>
      <c r="C80" s="51"/>
      <c r="D80" s="51"/>
      <c r="E80" s="51"/>
      <c r="G80" s="51"/>
      <c r="H80" s="51"/>
      <c r="I80" s="51"/>
      <c r="J80" s="51"/>
      <c r="K80" s="51"/>
      <c r="L80" s="135"/>
    </row>
    <row r="81" spans="1:12" s="202" customFormat="1" x14ac:dyDescent="0.35">
      <c r="A81" s="228" t="s">
        <v>70</v>
      </c>
      <c r="B81" s="228"/>
      <c r="C81" s="228"/>
      <c r="D81" s="228"/>
      <c r="E81" s="228"/>
      <c r="F81" s="229"/>
      <c r="G81" s="228"/>
      <c r="H81" s="228"/>
      <c r="I81" s="228"/>
      <c r="J81" s="228"/>
      <c r="K81" s="228"/>
      <c r="L81" s="228"/>
    </row>
    <row r="82" spans="1:12" s="387" customFormat="1" x14ac:dyDescent="0.35">
      <c r="A82" s="90"/>
      <c r="B82" s="90"/>
      <c r="C82" s="90"/>
      <c r="D82" s="90"/>
      <c r="E82" s="90"/>
      <c r="F82" s="89"/>
      <c r="G82" s="90"/>
      <c r="H82" s="90"/>
      <c r="I82" s="90"/>
      <c r="J82" s="90"/>
      <c r="K82" s="90"/>
      <c r="L82" s="90"/>
    </row>
    <row r="83" spans="1:12" s="239" customFormat="1" x14ac:dyDescent="0.35">
      <c r="A83" s="111" t="s">
        <v>127</v>
      </c>
      <c r="B83" s="42"/>
      <c r="C83" s="42"/>
      <c r="D83" s="42"/>
      <c r="E83" s="42"/>
      <c r="F83" s="77"/>
      <c r="G83" s="42"/>
      <c r="H83" s="42"/>
      <c r="I83" s="42"/>
      <c r="J83" s="42"/>
      <c r="K83" s="42"/>
      <c r="L83" s="42"/>
    </row>
    <row r="84" spans="1:12" s="294" customFormat="1" x14ac:dyDescent="0.35">
      <c r="A84" s="28" t="s">
        <v>125</v>
      </c>
      <c r="B84" s="28"/>
      <c r="C84" s="28"/>
      <c r="D84" s="28">
        <f>D85*D$47</f>
        <v>5.89</v>
      </c>
      <c r="E84" s="28">
        <f t="shared" ref="E84:L84" si="52">E85*E$47</f>
        <v>4.24</v>
      </c>
      <c r="F84" s="76">
        <f t="shared" si="52"/>
        <v>4.4459999999999997</v>
      </c>
      <c r="G84" s="28">
        <f t="shared" ca="1" si="52"/>
        <v>3.3459813084112144</v>
      </c>
      <c r="H84" s="28">
        <f t="shared" ca="1" si="52"/>
        <v>4.1931401869158877</v>
      </c>
      <c r="I84" s="28">
        <f t="shared" ca="1" si="52"/>
        <v>4.0195831775700936</v>
      </c>
      <c r="J84" s="28">
        <f t="shared" ca="1" si="52"/>
        <v>3.7141519626168225</v>
      </c>
      <c r="K84" s="28">
        <f t="shared" ca="1" si="52"/>
        <v>3.7472119626168223</v>
      </c>
      <c r="L84" s="28">
        <f t="shared" ca="1" si="52"/>
        <v>3.7802719626168222</v>
      </c>
    </row>
    <row r="85" spans="1:12" s="239" customFormat="1" x14ac:dyDescent="0.35">
      <c r="A85" s="42" t="s">
        <v>318</v>
      </c>
      <c r="B85" s="42"/>
      <c r="C85" s="42"/>
      <c r="D85" s="42">
        <v>0.31</v>
      </c>
      <c r="E85" s="42">
        <v>0.2</v>
      </c>
      <c r="F85" s="77">
        <v>0.19</v>
      </c>
      <c r="G85" s="48">
        <v>0.15</v>
      </c>
      <c r="H85" s="48">
        <f>F85</f>
        <v>0.19</v>
      </c>
      <c r="I85" s="48">
        <f>H85</f>
        <v>0.19</v>
      </c>
      <c r="J85" s="48">
        <f>I85</f>
        <v>0.19</v>
      </c>
      <c r="K85" s="48">
        <f>J85</f>
        <v>0.19</v>
      </c>
      <c r="L85" s="48">
        <f>K85</f>
        <v>0.19</v>
      </c>
    </row>
    <row r="86" spans="1:12" s="294" customFormat="1" x14ac:dyDescent="0.35">
      <c r="A86" s="28" t="s">
        <v>126</v>
      </c>
      <c r="B86" s="28"/>
      <c r="C86" s="28"/>
      <c r="D86" s="28">
        <f>D87*D$47</f>
        <v>9.8800000000000008</v>
      </c>
      <c r="E86" s="28">
        <f t="shared" ref="E86:L86" si="53">E87*E$47</f>
        <v>11.236000000000001</v>
      </c>
      <c r="F86" s="76">
        <f t="shared" si="53"/>
        <v>10.061999999999999</v>
      </c>
      <c r="G86" s="28">
        <f t="shared" ca="1" si="53"/>
        <v>11.153271028037382</v>
      </c>
      <c r="H86" s="28">
        <f t="shared" ca="1" si="53"/>
        <v>9.4897383177570092</v>
      </c>
      <c r="I86" s="28">
        <f t="shared" ca="1" si="53"/>
        <v>9.0969514018691591</v>
      </c>
      <c r="J86" s="28">
        <f t="shared" ca="1" si="53"/>
        <v>8.4057123364485982</v>
      </c>
      <c r="K86" s="28">
        <f t="shared" ca="1" si="53"/>
        <v>8.4805323364485972</v>
      </c>
      <c r="L86" s="28">
        <f t="shared" ca="1" si="53"/>
        <v>8.5553523364485979</v>
      </c>
    </row>
    <row r="87" spans="1:12" s="239" customFormat="1" x14ac:dyDescent="0.35">
      <c r="A87" s="42" t="s">
        <v>318</v>
      </c>
      <c r="B87" s="42"/>
      <c r="C87" s="42"/>
      <c r="D87" s="42">
        <v>0.52</v>
      </c>
      <c r="E87" s="42">
        <v>0.53</v>
      </c>
      <c r="F87" s="77">
        <v>0.43</v>
      </c>
      <c r="G87" s="48">
        <v>0.5</v>
      </c>
      <c r="H87" s="48">
        <f>F87</f>
        <v>0.43</v>
      </c>
      <c r="I87" s="48">
        <f>H87</f>
        <v>0.43</v>
      </c>
      <c r="J87" s="48">
        <f>I87</f>
        <v>0.43</v>
      </c>
      <c r="K87" s="48">
        <f>J87</f>
        <v>0.43</v>
      </c>
      <c r="L87" s="48">
        <f>K87</f>
        <v>0.43</v>
      </c>
    </row>
    <row r="88" spans="1:12" s="294" customFormat="1" x14ac:dyDescent="0.35">
      <c r="A88" s="28" t="s">
        <v>100</v>
      </c>
      <c r="B88" s="28"/>
      <c r="C88" s="28"/>
      <c r="D88" s="28">
        <f>D89*D$47</f>
        <v>3.2300000000000004</v>
      </c>
      <c r="E88" s="28">
        <f t="shared" ref="E88:L88" si="54">E89*E$47</f>
        <v>5.7240000000000002</v>
      </c>
      <c r="F88" s="76">
        <f t="shared" si="54"/>
        <v>8.8919999999999995</v>
      </c>
      <c r="G88" s="28">
        <f t="shared" ca="1" si="54"/>
        <v>7.8072897196261675</v>
      </c>
      <c r="H88" s="28">
        <f t="shared" ca="1" si="54"/>
        <v>8.3862803738317755</v>
      </c>
      <c r="I88" s="28">
        <f t="shared" ca="1" si="54"/>
        <v>8.0391663551401873</v>
      </c>
      <c r="J88" s="28">
        <f t="shared" ca="1" si="54"/>
        <v>7.4283039252336449</v>
      </c>
      <c r="K88" s="28">
        <f t="shared" ca="1" si="54"/>
        <v>7.4944239252336446</v>
      </c>
      <c r="L88" s="28">
        <f t="shared" ca="1" si="54"/>
        <v>7.5605439252336444</v>
      </c>
    </row>
    <row r="89" spans="1:12" s="239" customFormat="1" x14ac:dyDescent="0.35">
      <c r="A89" s="42" t="s">
        <v>318</v>
      </c>
      <c r="B89" s="42"/>
      <c r="C89" s="42"/>
      <c r="D89" s="42">
        <v>0.17</v>
      </c>
      <c r="E89" s="42">
        <v>0.27</v>
      </c>
      <c r="F89" s="77">
        <v>0.38</v>
      </c>
      <c r="G89" s="48">
        <v>0.35</v>
      </c>
      <c r="H89" s="48">
        <f>F89</f>
        <v>0.38</v>
      </c>
      <c r="I89" s="48">
        <f t="shared" ref="I89:L89" si="55">H89</f>
        <v>0.38</v>
      </c>
      <c r="J89" s="48">
        <f t="shared" si="55"/>
        <v>0.38</v>
      </c>
      <c r="K89" s="48">
        <f t="shared" si="55"/>
        <v>0.38</v>
      </c>
      <c r="L89" s="48">
        <f t="shared" si="55"/>
        <v>0.38</v>
      </c>
    </row>
    <row r="90" spans="1:12" s="66" customFormat="1" x14ac:dyDescent="0.35">
      <c r="A90" s="49" t="s">
        <v>64</v>
      </c>
      <c r="B90" s="8"/>
      <c r="C90" s="8"/>
      <c r="D90" s="49">
        <f>SUM(D84,D86,D88)</f>
        <v>19</v>
      </c>
      <c r="E90" s="49">
        <f t="shared" ref="E90:K90" si="56">SUM(E84,E86,E88)</f>
        <v>21.200000000000003</v>
      </c>
      <c r="F90" s="233">
        <f t="shared" si="56"/>
        <v>23.4</v>
      </c>
      <c r="G90" s="49">
        <f t="shared" ca="1" si="56"/>
        <v>22.306542056074765</v>
      </c>
      <c r="H90" s="49">
        <f t="shared" ca="1" si="56"/>
        <v>22.069158878504673</v>
      </c>
      <c r="I90" s="49">
        <f t="shared" ca="1" si="56"/>
        <v>21.155700934579443</v>
      </c>
      <c r="J90" s="49">
        <f t="shared" ca="1" si="56"/>
        <v>19.548168224299065</v>
      </c>
      <c r="K90" s="49">
        <f t="shared" ca="1" si="56"/>
        <v>19.722168224299065</v>
      </c>
      <c r="L90" s="49">
        <f t="shared" ref="L90" ca="1" si="57">SUM(L84,L86,L88)</f>
        <v>19.896168224299064</v>
      </c>
    </row>
    <row r="91" spans="1:12" x14ac:dyDescent="0.35">
      <c r="A91" s="135"/>
      <c r="B91" s="135"/>
      <c r="C91" s="135"/>
      <c r="D91" s="28"/>
      <c r="E91" s="28"/>
      <c r="F91" s="76"/>
      <c r="G91" s="42">
        <f>G85+G87+G89</f>
        <v>1</v>
      </c>
      <c r="H91" s="42">
        <f t="shared" ref="H91:L91" si="58">H85+H87+H89</f>
        <v>1</v>
      </c>
      <c r="I91" s="42">
        <f t="shared" si="58"/>
        <v>1</v>
      </c>
      <c r="J91" s="42">
        <f t="shared" si="58"/>
        <v>1</v>
      </c>
      <c r="K91" s="42">
        <f t="shared" si="58"/>
        <v>1</v>
      </c>
      <c r="L91" s="42">
        <f t="shared" si="58"/>
        <v>1</v>
      </c>
    </row>
    <row r="92" spans="1:12" x14ac:dyDescent="0.35">
      <c r="A92" s="111" t="s">
        <v>128</v>
      </c>
      <c r="B92" s="51"/>
      <c r="C92" s="51"/>
      <c r="D92" s="51"/>
      <c r="E92" s="51"/>
      <c r="G92" s="51"/>
      <c r="H92" s="51"/>
      <c r="I92" s="51"/>
      <c r="J92" s="51"/>
      <c r="K92" s="51"/>
      <c r="L92" s="135"/>
    </row>
    <row r="93" spans="1:12" x14ac:dyDescent="0.35">
      <c r="A93" s="28" t="s">
        <v>125</v>
      </c>
      <c r="B93" s="51"/>
      <c r="C93" s="51"/>
      <c r="D93" s="109">
        <v>5.88</v>
      </c>
      <c r="E93" s="109">
        <v>5.47</v>
      </c>
      <c r="F93" s="110">
        <f>E93</f>
        <v>5.47</v>
      </c>
      <c r="G93" s="304">
        <f>F93</f>
        <v>5.47</v>
      </c>
      <c r="H93" s="304">
        <f t="shared" ref="H93:L93" si="59">G93</f>
        <v>5.47</v>
      </c>
      <c r="I93" s="304">
        <f t="shared" si="59"/>
        <v>5.47</v>
      </c>
      <c r="J93" s="304">
        <f t="shared" si="59"/>
        <v>5.47</v>
      </c>
      <c r="K93" s="304">
        <f t="shared" si="59"/>
        <v>5.47</v>
      </c>
      <c r="L93" s="304">
        <f t="shared" si="59"/>
        <v>5.47</v>
      </c>
    </row>
    <row r="94" spans="1:12" x14ac:dyDescent="0.35">
      <c r="A94" s="28" t="s">
        <v>126</v>
      </c>
      <c r="B94" s="51"/>
      <c r="C94" s="51"/>
      <c r="D94" s="109">
        <v>6</v>
      </c>
      <c r="E94" s="109">
        <v>6</v>
      </c>
      <c r="F94" s="110">
        <f>E94</f>
        <v>6</v>
      </c>
      <c r="G94" s="304">
        <f t="shared" ref="G94:L95" si="60">F94</f>
        <v>6</v>
      </c>
      <c r="H94" s="304">
        <f t="shared" si="60"/>
        <v>6</v>
      </c>
      <c r="I94" s="304">
        <f t="shared" si="60"/>
        <v>6</v>
      </c>
      <c r="J94" s="304">
        <f t="shared" si="60"/>
        <v>6</v>
      </c>
      <c r="K94" s="304">
        <f t="shared" si="60"/>
        <v>6</v>
      </c>
      <c r="L94" s="304">
        <f t="shared" si="60"/>
        <v>6</v>
      </c>
    </row>
    <row r="95" spans="1:12" x14ac:dyDescent="0.35">
      <c r="A95" s="28" t="s">
        <v>100</v>
      </c>
      <c r="B95" s="51"/>
      <c r="C95" s="51"/>
      <c r="D95" s="109">
        <v>14</v>
      </c>
      <c r="E95" s="109">
        <v>14</v>
      </c>
      <c r="F95" s="110">
        <v>16</v>
      </c>
      <c r="G95" s="304">
        <f t="shared" si="60"/>
        <v>16</v>
      </c>
      <c r="H95" s="304">
        <f t="shared" si="60"/>
        <v>16</v>
      </c>
      <c r="I95" s="304">
        <f t="shared" si="60"/>
        <v>16</v>
      </c>
      <c r="J95" s="304">
        <f t="shared" si="60"/>
        <v>16</v>
      </c>
      <c r="K95" s="304">
        <f t="shared" si="60"/>
        <v>16</v>
      </c>
      <c r="L95" s="304">
        <f t="shared" si="60"/>
        <v>16</v>
      </c>
    </row>
    <row r="96" spans="1:12" x14ac:dyDescent="0.35">
      <c r="A96" s="51"/>
      <c r="B96" s="51"/>
      <c r="C96" s="51"/>
      <c r="D96" s="51"/>
      <c r="E96" s="51"/>
      <c r="G96" s="51"/>
      <c r="H96" s="51"/>
      <c r="I96" s="51"/>
      <c r="J96" s="51"/>
      <c r="K96" s="51"/>
      <c r="L96" s="135"/>
    </row>
    <row r="97" spans="1:12" x14ac:dyDescent="0.35">
      <c r="A97" s="223" t="s">
        <v>124</v>
      </c>
      <c r="B97" s="170"/>
      <c r="C97" s="170"/>
      <c r="D97" s="223">
        <f>D84*D93+D86*D94+D88*D95</f>
        <v>139.13319999999999</v>
      </c>
      <c r="E97" s="223">
        <f t="shared" ref="E97:K97" si="61">E84*E93+E86*E94+E88*E95</f>
        <v>170.7448</v>
      </c>
      <c r="F97" s="224">
        <f t="shared" si="61"/>
        <v>226.96361999999999</v>
      </c>
      <c r="G97" s="223">
        <f t="shared" ca="1" si="61"/>
        <v>210.13877943925232</v>
      </c>
      <c r="H97" s="223">
        <f t="shared" ca="1" si="61"/>
        <v>214.05539271028039</v>
      </c>
      <c r="I97" s="223">
        <f t="shared" ca="1" si="61"/>
        <v>205.19549007476635</v>
      </c>
      <c r="J97" s="223">
        <f t="shared" ca="1" si="61"/>
        <v>189.60354805794393</v>
      </c>
      <c r="K97" s="223">
        <f t="shared" ca="1" si="61"/>
        <v>191.29122625794392</v>
      </c>
      <c r="L97" s="223">
        <f t="shared" ref="L97" ca="1" si="62">L84*L93+L86*L94+L88*L95</f>
        <v>192.97890445794391</v>
      </c>
    </row>
    <row r="98" spans="1:12" s="387" customFormat="1" x14ac:dyDescent="0.35">
      <c r="A98" s="90" t="s">
        <v>123</v>
      </c>
      <c r="B98" s="90"/>
      <c r="C98" s="90"/>
      <c r="D98" s="90">
        <f>D103-D105</f>
        <v>7.240000000000002</v>
      </c>
      <c r="E98" s="90">
        <f>E103-E105</f>
        <v>7.4799999999999969</v>
      </c>
      <c r="F98" s="89">
        <f>F103-F105</f>
        <v>10.18</v>
      </c>
      <c r="G98" s="90">
        <f t="shared" ref="G98:L98" ca="1" si="63">G97/G47</f>
        <v>9.4205000000000005</v>
      </c>
      <c r="H98" s="90">
        <f t="shared" ca="1" si="63"/>
        <v>9.6993000000000009</v>
      </c>
      <c r="I98" s="90">
        <f t="shared" ca="1" si="63"/>
        <v>9.6992999999999991</v>
      </c>
      <c r="J98" s="90">
        <f t="shared" ca="1" si="63"/>
        <v>9.6993000000000009</v>
      </c>
      <c r="K98" s="90">
        <f t="shared" ca="1" si="63"/>
        <v>9.6993000000000009</v>
      </c>
      <c r="L98" s="90">
        <f t="shared" ca="1" si="63"/>
        <v>9.6992999999999991</v>
      </c>
    </row>
    <row r="99" spans="1:12" x14ac:dyDescent="0.35">
      <c r="A99" s="51"/>
      <c r="B99" s="51"/>
      <c r="C99" s="51"/>
      <c r="D99" s="51"/>
      <c r="E99" s="51"/>
      <c r="G99" s="51"/>
      <c r="H99" s="51"/>
      <c r="I99" s="51"/>
      <c r="J99" s="51"/>
      <c r="K99" s="51"/>
      <c r="L99" s="135"/>
    </row>
    <row r="100" spans="1:12" x14ac:dyDescent="0.35">
      <c r="A100" s="2" t="s">
        <v>65</v>
      </c>
      <c r="B100" s="51"/>
      <c r="C100" s="51"/>
      <c r="D100" s="51"/>
      <c r="E100" s="51"/>
      <c r="F100" s="110"/>
      <c r="G100" s="51"/>
      <c r="H100" s="51"/>
      <c r="I100" s="51"/>
      <c r="J100" s="51"/>
      <c r="K100" s="51"/>
      <c r="L100" s="135"/>
    </row>
    <row r="101" spans="1:12" s="202" customFormat="1" x14ac:dyDescent="0.35">
      <c r="A101" s="103" t="s">
        <v>107</v>
      </c>
      <c r="B101" s="103"/>
      <c r="C101" s="103"/>
      <c r="D101" s="103"/>
      <c r="E101" s="103"/>
      <c r="F101" s="104"/>
      <c r="G101" s="103"/>
      <c r="H101" s="103"/>
      <c r="I101" s="103"/>
      <c r="J101" s="103"/>
      <c r="K101" s="103"/>
      <c r="L101" s="103"/>
    </row>
    <row r="102" spans="1:12" x14ac:dyDescent="0.35">
      <c r="A102" t="s">
        <v>58</v>
      </c>
      <c r="D102" s="101">
        <f t="shared" ref="D102:L102" si="64">D40</f>
        <v>19</v>
      </c>
      <c r="E102" s="101">
        <f t="shared" si="64"/>
        <v>21.2</v>
      </c>
      <c r="F102" s="99">
        <f t="shared" si="64"/>
        <v>23.4</v>
      </c>
      <c r="G102" s="28">
        <f t="shared" ca="1" si="64"/>
        <v>22.306542056074765</v>
      </c>
      <c r="H102" s="28">
        <f t="shared" ca="1" si="64"/>
        <v>22.069158878504673</v>
      </c>
      <c r="I102" s="28">
        <f t="shared" ca="1" si="64"/>
        <v>21.155700934579439</v>
      </c>
      <c r="J102" s="28">
        <f t="shared" ca="1" si="64"/>
        <v>19.548168224299065</v>
      </c>
      <c r="K102" s="28">
        <f t="shared" ca="1" si="64"/>
        <v>19.722168224299065</v>
      </c>
      <c r="L102" s="28">
        <f t="shared" ca="1" si="64"/>
        <v>19.896168224299064</v>
      </c>
    </row>
    <row r="103" spans="1:12" x14ac:dyDescent="0.35">
      <c r="A103" t="s">
        <v>59</v>
      </c>
      <c r="D103" s="102">
        <v>44.97</v>
      </c>
      <c r="E103" s="102">
        <f>E58</f>
        <v>43.834999999999994</v>
      </c>
      <c r="F103" s="100">
        <f>F58</f>
        <v>46.91</v>
      </c>
      <c r="G103" s="90">
        <f ca="1">G58</f>
        <v>46.764929380341876</v>
      </c>
      <c r="H103" s="90">
        <f t="shared" ref="H103:K103" ca="1" si="65">H58</f>
        <v>46.920007521367523</v>
      </c>
      <c r="I103" s="90">
        <f t="shared" ca="1" si="65"/>
        <v>47.566176602564092</v>
      </c>
      <c r="J103" s="90">
        <f t="shared" ca="1" si="65"/>
        <v>48.23096162393162</v>
      </c>
      <c r="K103" s="90">
        <f t="shared" ca="1" si="65"/>
        <v>48.914362585470073</v>
      </c>
      <c r="L103" s="90">
        <f t="shared" ref="L103" ca="1" si="66">L58</f>
        <v>49.616379487179479</v>
      </c>
    </row>
    <row r="104" spans="1:12" s="239" customFormat="1" x14ac:dyDescent="0.35">
      <c r="A104" s="111"/>
      <c r="B104" s="42"/>
      <c r="C104" s="42"/>
      <c r="D104" s="42"/>
      <c r="E104" s="42">
        <f t="shared" ref="E104" si="67">E103/D103-1</f>
        <v>-2.5239048254391938E-2</v>
      </c>
      <c r="F104" s="77">
        <f t="shared" ref="F104" si="68">F103/E103-1</f>
        <v>7.0149423976274772E-2</v>
      </c>
      <c r="G104" s="42">
        <f t="shared" ref="G104" ca="1" si="69">G103/F103-1</f>
        <v>-3.0925307963786119E-3</v>
      </c>
      <c r="H104" s="42">
        <f t="shared" ref="H104" ca="1" si="70">H103/G103-1</f>
        <v>3.3161205005654004E-3</v>
      </c>
      <c r="I104" s="42">
        <f t="shared" ref="I104" ca="1" si="71">I103/H103-1</f>
        <v>1.3771717340460787E-2</v>
      </c>
      <c r="J104" s="42">
        <f t="shared" ref="J104" ca="1" si="72">J103/I103-1</f>
        <v>1.3976002883773875E-2</v>
      </c>
      <c r="K104" s="42">
        <f t="shared" ref="K104:L104" ca="1" si="73">K103/J103-1</f>
        <v>1.416934140494841E-2</v>
      </c>
      <c r="L104" s="42">
        <f t="shared" ca="1" si="73"/>
        <v>1.4351958496499728E-2</v>
      </c>
    </row>
    <row r="105" spans="1:12" s="387" customFormat="1" x14ac:dyDescent="0.35">
      <c r="A105" s="90" t="s">
        <v>60</v>
      </c>
      <c r="B105" s="90">
        <v>40.29</v>
      </c>
      <c r="C105" s="90">
        <v>36.79</v>
      </c>
      <c r="D105" s="112">
        <v>37.729999999999997</v>
      </c>
      <c r="E105" s="112">
        <f>AVERAGE(C130:D130)</f>
        <v>36.354999999999997</v>
      </c>
      <c r="F105" s="89">
        <f>C130</f>
        <v>36.729999999999997</v>
      </c>
      <c r="G105" s="90">
        <f t="shared" ref="G105:L105" ca="1" si="74">G58-G98</f>
        <v>37.344429380341879</v>
      </c>
      <c r="H105" s="90">
        <f t="shared" ca="1" si="74"/>
        <v>37.220707521367522</v>
      </c>
      <c r="I105" s="90">
        <f t="shared" ca="1" si="74"/>
        <v>37.866876602564091</v>
      </c>
      <c r="J105" s="90">
        <f t="shared" ca="1" si="74"/>
        <v>38.531661623931619</v>
      </c>
      <c r="K105" s="90">
        <f t="shared" ca="1" si="74"/>
        <v>39.215062585470072</v>
      </c>
      <c r="L105" s="90">
        <f t="shared" ca="1" si="74"/>
        <v>39.917079487179478</v>
      </c>
    </row>
    <row r="106" spans="1:12" s="239" customFormat="1" x14ac:dyDescent="0.35">
      <c r="A106" s="111"/>
      <c r="B106" s="42"/>
      <c r="C106" s="42">
        <f>C105/B105-1</f>
        <v>-8.6870191114420403E-2</v>
      </c>
      <c r="D106" s="42">
        <f t="shared" ref="D106" si="75">D105/C105-1</f>
        <v>2.5550421310138516E-2</v>
      </c>
      <c r="E106" s="42">
        <f t="shared" ref="E106" si="76">E105/D105-1</f>
        <v>-3.6443148688046656E-2</v>
      </c>
      <c r="F106" s="77">
        <f t="shared" ref="F106" si="77">F105/E105-1</f>
        <v>1.0314949800577677E-2</v>
      </c>
      <c r="G106" s="42">
        <f t="shared" ref="G106" ca="1" si="78">G105/F105-1</f>
        <v>1.6728270632776487E-2</v>
      </c>
      <c r="H106" s="42">
        <f t="shared" ref="H106" ca="1" si="79">H105/G105-1</f>
        <v>-3.3129936921592051E-3</v>
      </c>
      <c r="I106" s="42">
        <f t="shared" ref="I106" ca="1" si="80">I105/H105-1</f>
        <v>1.7360472818138017E-2</v>
      </c>
      <c r="J106" s="42">
        <f t="shared" ref="J106" ca="1" si="81">J105/I105-1</f>
        <v>1.755584513465025E-2</v>
      </c>
      <c r="K106" s="42">
        <f t="shared" ref="K106:L106" ca="1" si="82">K105/J105-1</f>
        <v>1.7736088523989224E-2</v>
      </c>
      <c r="L106" s="42">
        <f t="shared" ca="1" si="82"/>
        <v>1.7901715703738663E-2</v>
      </c>
    </row>
    <row r="107" spans="1:12" x14ac:dyDescent="0.35">
      <c r="A107" t="s">
        <v>61</v>
      </c>
      <c r="B107">
        <v>20.8</v>
      </c>
      <c r="C107">
        <v>23.67</v>
      </c>
      <c r="D107" s="102">
        <v>22.32</v>
      </c>
      <c r="E107" s="102">
        <v>22.85</v>
      </c>
      <c r="F107" s="100">
        <f>B157</f>
        <v>22.85</v>
      </c>
      <c r="G107" s="113">
        <f t="shared" ref="G107:L107" ca="1" si="83">(G78/1000)/G90</f>
        <v>22.7</v>
      </c>
      <c r="H107" s="113">
        <f t="shared" ca="1" si="83"/>
        <v>22.640273504273505</v>
      </c>
      <c r="I107" s="113">
        <f t="shared" ca="1" si="83"/>
        <v>22.704807692307686</v>
      </c>
      <c r="J107" s="113">
        <f t="shared" ca="1" si="83"/>
        <v>22.224341880341875</v>
      </c>
      <c r="K107" s="113">
        <f t="shared" ca="1" si="83"/>
        <v>22.016376068376061</v>
      </c>
      <c r="L107" s="113">
        <f t="shared" ca="1" si="83"/>
        <v>21.81841025641025</v>
      </c>
    </row>
    <row r="108" spans="1:12" s="239" customFormat="1" x14ac:dyDescent="0.35">
      <c r="A108" s="111"/>
      <c r="B108" s="42"/>
      <c r="C108" s="42">
        <f>C107/B107-1</f>
        <v>0.1379807692307693</v>
      </c>
      <c r="D108" s="42">
        <f t="shared" ref="D108:L108" si="84">D107/C107-1</f>
        <v>-5.7034220532319435E-2</v>
      </c>
      <c r="E108" s="42">
        <f t="shared" si="84"/>
        <v>2.3745519713261665E-2</v>
      </c>
      <c r="F108" s="77">
        <f t="shared" si="84"/>
        <v>0</v>
      </c>
      <c r="G108" s="42">
        <f t="shared" ca="1" si="84"/>
        <v>-6.5645514223195978E-3</v>
      </c>
      <c r="H108" s="42">
        <f t="shared" ca="1" si="84"/>
        <v>-2.6311231597574425E-3</v>
      </c>
      <c r="I108" s="42">
        <f t="shared" ca="1" si="84"/>
        <v>2.8504155668436226E-3</v>
      </c>
      <c r="J108" s="42">
        <f t="shared" ca="1" si="84"/>
        <v>-2.1161412969315396E-2</v>
      </c>
      <c r="K108" s="42">
        <f t="shared" ca="1" si="84"/>
        <v>-9.3575689703444542E-3</v>
      </c>
      <c r="L108" s="42">
        <f t="shared" ca="1" si="84"/>
        <v>-8.9917528366608712E-3</v>
      </c>
    </row>
    <row r="111" spans="1:12" x14ac:dyDescent="0.35">
      <c r="A111" s="51"/>
      <c r="B111" s="51"/>
      <c r="C111" s="51"/>
      <c r="D111" s="51"/>
      <c r="E111" s="51"/>
      <c r="G111" s="51"/>
      <c r="H111" s="51"/>
      <c r="I111" s="51"/>
      <c r="J111" s="51"/>
      <c r="K111" s="51"/>
      <c r="L111" s="51"/>
    </row>
    <row r="112" spans="1:12" s="202" customFormat="1" x14ac:dyDescent="0.35">
      <c r="A112" s="103" t="s">
        <v>66</v>
      </c>
      <c r="B112" s="103"/>
      <c r="C112" s="103"/>
      <c r="D112" s="103"/>
      <c r="E112" s="103"/>
      <c r="F112" s="104"/>
      <c r="G112" s="103"/>
      <c r="H112" s="103"/>
      <c r="I112" s="103"/>
      <c r="J112" s="103"/>
      <c r="K112" s="103"/>
      <c r="L112" s="103"/>
    </row>
    <row r="114" spans="1:7" x14ac:dyDescent="0.35">
      <c r="A114" s="33"/>
      <c r="B114" s="34"/>
      <c r="C114" s="34"/>
      <c r="D114" s="35" t="s">
        <v>67</v>
      </c>
      <c r="E114" s="36" t="s">
        <v>68</v>
      </c>
      <c r="F114" s="83"/>
      <c r="G114" s="36"/>
    </row>
    <row r="115" spans="1:7" x14ac:dyDescent="0.35">
      <c r="A115" s="33"/>
      <c r="B115" s="37" t="s">
        <v>69</v>
      </c>
      <c r="C115" s="37" t="s">
        <v>70</v>
      </c>
      <c r="D115" s="35" t="s">
        <v>71</v>
      </c>
      <c r="E115" s="36" t="s">
        <v>72</v>
      </c>
      <c r="F115" s="83"/>
      <c r="G115" s="36"/>
    </row>
    <row r="116" spans="1:7" x14ac:dyDescent="0.35">
      <c r="A116" s="38" t="s">
        <v>73</v>
      </c>
      <c r="B116" s="37" t="s">
        <v>74</v>
      </c>
      <c r="C116" s="37" t="s">
        <v>75</v>
      </c>
      <c r="D116" s="35" t="s">
        <v>76</v>
      </c>
      <c r="E116" s="35">
        <v>2018</v>
      </c>
      <c r="F116" s="84">
        <v>2017</v>
      </c>
      <c r="G116" s="35">
        <v>2016</v>
      </c>
    </row>
    <row r="117" spans="1:7" x14ac:dyDescent="0.35">
      <c r="A117" s="33"/>
      <c r="B117" s="34"/>
      <c r="C117" s="34"/>
      <c r="D117" s="39" t="s">
        <v>77</v>
      </c>
      <c r="E117" s="39"/>
      <c r="F117" s="85"/>
      <c r="G117" s="39"/>
    </row>
    <row r="118" spans="1:7" x14ac:dyDescent="0.35">
      <c r="A118" s="33" t="s">
        <v>78</v>
      </c>
      <c r="B118" s="34" t="s">
        <v>79</v>
      </c>
      <c r="C118" s="34" t="s">
        <v>80</v>
      </c>
      <c r="D118" s="40">
        <v>363.8</v>
      </c>
      <c r="E118" s="40">
        <v>6.9</v>
      </c>
      <c r="F118" s="78">
        <v>6.4</v>
      </c>
      <c r="G118" s="40">
        <v>5.4</v>
      </c>
    </row>
    <row r="119" spans="1:7" x14ac:dyDescent="0.35">
      <c r="A119" s="33" t="s">
        <v>81</v>
      </c>
      <c r="B119" s="34" t="s">
        <v>79</v>
      </c>
      <c r="C119" s="34" t="s">
        <v>82</v>
      </c>
      <c r="D119" s="40">
        <v>1309.9000000000001</v>
      </c>
      <c r="E119" s="40">
        <v>14.5</v>
      </c>
      <c r="F119" s="78">
        <v>12.8</v>
      </c>
      <c r="G119" s="40">
        <v>11.4</v>
      </c>
    </row>
    <row r="120" spans="1:7" x14ac:dyDescent="0.35">
      <c r="A120" s="33" t="s">
        <v>83</v>
      </c>
      <c r="B120" s="34" t="s">
        <v>79</v>
      </c>
      <c r="C120" s="34" t="s">
        <v>84</v>
      </c>
      <c r="D120" s="40">
        <v>322.10000000000002</v>
      </c>
      <c r="E120" s="41">
        <v>0</v>
      </c>
      <c r="F120" s="80">
        <v>0</v>
      </c>
      <c r="G120" s="41">
        <v>0</v>
      </c>
    </row>
    <row r="121" spans="1:7" x14ac:dyDescent="0.35">
      <c r="A121" s="33" t="s">
        <v>85</v>
      </c>
      <c r="B121" s="34" t="s">
        <v>86</v>
      </c>
      <c r="C121" s="34" t="s">
        <v>84</v>
      </c>
      <c r="D121" s="40">
        <v>74.599999999999994</v>
      </c>
      <c r="E121" s="40">
        <v>2</v>
      </c>
      <c r="F121" s="78">
        <v>2</v>
      </c>
      <c r="G121" s="40">
        <v>2.2000000000000002</v>
      </c>
    </row>
    <row r="122" spans="1:7" x14ac:dyDescent="0.35">
      <c r="A122" s="33"/>
      <c r="B122" s="34"/>
      <c r="C122" s="34"/>
      <c r="D122" s="40">
        <v>2070.4</v>
      </c>
      <c r="E122" s="40">
        <v>23.4</v>
      </c>
      <c r="F122" s="78">
        <v>21.2</v>
      </c>
      <c r="G122" s="40">
        <v>19</v>
      </c>
    </row>
    <row r="125" spans="1:7" x14ac:dyDescent="0.35">
      <c r="A125" s="52"/>
      <c r="B125" s="53" t="s">
        <v>88</v>
      </c>
      <c r="C125" s="53" t="s">
        <v>89</v>
      </c>
      <c r="D125" s="53" t="s">
        <v>90</v>
      </c>
      <c r="E125" s="53" t="s">
        <v>91</v>
      </c>
      <c r="F125" s="83" t="s">
        <v>92</v>
      </c>
      <c r="G125" s="54"/>
    </row>
    <row r="126" spans="1:7" x14ac:dyDescent="0.35">
      <c r="A126" s="52"/>
      <c r="B126" s="55"/>
      <c r="C126" s="55"/>
      <c r="D126" s="55"/>
      <c r="E126" s="55"/>
      <c r="F126" s="86"/>
      <c r="G126" s="55"/>
    </row>
    <row r="127" spans="1:7" x14ac:dyDescent="0.35">
      <c r="A127" s="52" t="s">
        <v>93</v>
      </c>
      <c r="B127" s="56">
        <v>1097366</v>
      </c>
      <c r="C127" s="56">
        <v>716617</v>
      </c>
      <c r="D127" s="56">
        <v>227813</v>
      </c>
      <c r="E127" s="56">
        <v>944430</v>
      </c>
      <c r="F127" s="87">
        <v>152936</v>
      </c>
      <c r="G127" s="57">
        <v>0.16200000000000001</v>
      </c>
    </row>
    <row r="128" spans="1:7" x14ac:dyDescent="0.35">
      <c r="A128" s="52" t="s">
        <v>94</v>
      </c>
      <c r="B128" s="58">
        <v>23395</v>
      </c>
      <c r="C128" s="58">
        <v>16085</v>
      </c>
      <c r="D128" s="58">
        <v>5283</v>
      </c>
      <c r="E128" s="58">
        <v>21368</v>
      </c>
      <c r="F128" s="80">
        <v>2027</v>
      </c>
      <c r="G128" s="57">
        <v>9.5000000000000001E-2</v>
      </c>
    </row>
    <row r="129" spans="1:7" x14ac:dyDescent="0.35">
      <c r="A129" s="52" t="s">
        <v>95</v>
      </c>
      <c r="B129" s="59">
        <v>46.91</v>
      </c>
      <c r="C129" s="59">
        <v>44.55</v>
      </c>
      <c r="D129" s="59">
        <v>43.12</v>
      </c>
      <c r="E129" s="59">
        <v>44.2</v>
      </c>
      <c r="F129" s="82">
        <v>2.71</v>
      </c>
      <c r="G129" s="57">
        <v>6.0999999999999999E-2</v>
      </c>
    </row>
    <row r="130" spans="1:7" x14ac:dyDescent="0.35">
      <c r="A130" s="52" t="s">
        <v>96</v>
      </c>
      <c r="B130" s="59">
        <v>37.07</v>
      </c>
      <c r="C130" s="59">
        <v>36.729999999999997</v>
      </c>
      <c r="D130" s="59">
        <v>35.979999999999997</v>
      </c>
      <c r="E130" s="59">
        <v>36.549999999999997</v>
      </c>
      <c r="F130" s="82">
        <v>0.52</v>
      </c>
      <c r="G130" s="57">
        <v>1.4E-2</v>
      </c>
    </row>
    <row r="131" spans="1:7" x14ac:dyDescent="0.35">
      <c r="A131" s="52"/>
      <c r="B131" s="55"/>
      <c r="C131" s="55"/>
      <c r="D131" s="55"/>
      <c r="E131" s="55"/>
      <c r="F131" s="86"/>
      <c r="G131" s="55"/>
    </row>
    <row r="132" spans="1:7" x14ac:dyDescent="0.35">
      <c r="A132" s="52" t="s">
        <v>97</v>
      </c>
      <c r="B132" s="52"/>
      <c r="C132" s="52"/>
      <c r="D132" s="52"/>
      <c r="E132" s="52"/>
      <c r="F132" s="88"/>
      <c r="G132" s="52"/>
    </row>
    <row r="133" spans="1:7" x14ac:dyDescent="0.35">
      <c r="A133" s="52" t="s">
        <v>98</v>
      </c>
      <c r="B133" s="52"/>
      <c r="C133" s="52"/>
      <c r="D133" s="52"/>
      <c r="E133" s="52"/>
      <c r="F133" s="88"/>
      <c r="G133" s="52"/>
    </row>
    <row r="153" spans="1:7" x14ac:dyDescent="0.35">
      <c r="B153" t="s">
        <v>108</v>
      </c>
      <c r="C153" t="s">
        <v>109</v>
      </c>
      <c r="D153" t="s">
        <v>110</v>
      </c>
      <c r="E153" t="s">
        <v>111</v>
      </c>
      <c r="F153" s="74" t="s">
        <v>112</v>
      </c>
    </row>
    <row r="155" spans="1:7" x14ac:dyDescent="0.35">
      <c r="A155" t="s">
        <v>113</v>
      </c>
      <c r="B155" s="105">
        <v>526984</v>
      </c>
      <c r="C155" s="105">
        <v>367844</v>
      </c>
      <c r="D155" s="105">
        <v>117762</v>
      </c>
      <c r="E155" s="105">
        <v>485606</v>
      </c>
      <c r="F155" s="106">
        <v>41378</v>
      </c>
      <c r="G155" s="24">
        <v>8.5000000000000006E-2</v>
      </c>
    </row>
    <row r="156" spans="1:7" x14ac:dyDescent="0.35">
      <c r="A156" t="s">
        <v>114</v>
      </c>
      <c r="B156" s="107">
        <v>23065</v>
      </c>
      <c r="C156" s="107">
        <v>16085</v>
      </c>
      <c r="D156" s="107">
        <v>5165</v>
      </c>
      <c r="E156" s="107">
        <v>21250</v>
      </c>
      <c r="F156" s="108">
        <v>1815</v>
      </c>
      <c r="G156" s="24">
        <v>8.5000000000000006E-2</v>
      </c>
    </row>
    <row r="157" spans="1:7" x14ac:dyDescent="0.35">
      <c r="A157" t="s">
        <v>115</v>
      </c>
      <c r="B157" s="109">
        <v>22.85</v>
      </c>
      <c r="C157" s="109">
        <v>22.87</v>
      </c>
      <c r="D157" s="109">
        <v>22.8</v>
      </c>
      <c r="E157" s="109">
        <v>22.85</v>
      </c>
      <c r="F157" s="74" t="s">
        <v>116</v>
      </c>
      <c r="G157" t="s">
        <v>117</v>
      </c>
    </row>
    <row r="159" spans="1:7" x14ac:dyDescent="0.35">
      <c r="A159" t="s">
        <v>118</v>
      </c>
      <c r="B159" s="107">
        <v>23313</v>
      </c>
      <c r="C159" s="107">
        <v>15912</v>
      </c>
      <c r="D159" s="107">
        <v>5267</v>
      </c>
      <c r="E159" s="107">
        <v>21179</v>
      </c>
      <c r="F159" s="108">
        <v>2134</v>
      </c>
      <c r="G159" s="24">
        <v>0.10100000000000001</v>
      </c>
    </row>
    <row r="160" spans="1:7" x14ac:dyDescent="0.35">
      <c r="A160" t="s">
        <v>119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DA05-4100-41E7-A551-1DA95A5C456F}">
  <dimension ref="A1:Q42"/>
  <sheetViews>
    <sheetView showGridLines="0" zoomScale="70" zoomScaleNormal="70" workbookViewId="0">
      <selection activeCell="K17" sqref="K17"/>
    </sheetView>
  </sheetViews>
  <sheetFormatPr defaultRowHeight="14.5" x14ac:dyDescent="0.35"/>
  <cols>
    <col min="1" max="1" width="34.81640625" bestFit="1" customWidth="1"/>
    <col min="3" max="3" width="9.453125" bestFit="1" customWidth="1"/>
    <col min="5" max="5" width="9.453125" style="1" bestFit="1" customWidth="1"/>
    <col min="7" max="7" width="8.7265625" style="26"/>
  </cols>
  <sheetData>
    <row r="1" spans="1:17" x14ac:dyDescent="0.35">
      <c r="A1" s="325" t="s">
        <v>1</v>
      </c>
      <c r="C1" s="5" t="s">
        <v>2</v>
      </c>
      <c r="D1" s="5"/>
      <c r="E1" s="20"/>
      <c r="F1" s="5"/>
      <c r="G1" s="21">
        <v>43679</v>
      </c>
      <c r="H1" s="21"/>
      <c r="J1" t="s">
        <v>38</v>
      </c>
      <c r="L1" t="s">
        <v>31</v>
      </c>
    </row>
    <row r="2" spans="1:17" x14ac:dyDescent="0.35">
      <c r="A2" s="4" t="s">
        <v>0</v>
      </c>
      <c r="B2" s="4"/>
      <c r="C2" s="6">
        <v>43555</v>
      </c>
      <c r="D2" s="7" t="s">
        <v>3</v>
      </c>
      <c r="E2" s="6" t="s">
        <v>4</v>
      </c>
      <c r="F2" s="7" t="s">
        <v>5</v>
      </c>
      <c r="G2" s="25" t="s">
        <v>6</v>
      </c>
      <c r="H2" s="7" t="s">
        <v>7</v>
      </c>
      <c r="J2" s="24">
        <v>2.47E-2</v>
      </c>
      <c r="L2" s="29">
        <v>2019</v>
      </c>
      <c r="M2" s="29">
        <f>L2+1</f>
        <v>2020</v>
      </c>
      <c r="N2" s="29">
        <f t="shared" ref="N2:P2" si="0">M2+1</f>
        <v>2021</v>
      </c>
      <c r="O2" s="29">
        <f t="shared" si="0"/>
        <v>2022</v>
      </c>
      <c r="P2" s="29">
        <f t="shared" si="0"/>
        <v>2023</v>
      </c>
    </row>
    <row r="3" spans="1:17" s="14" customFormat="1" x14ac:dyDescent="0.35">
      <c r="E3" s="1"/>
      <c r="G3" s="26"/>
    </row>
    <row r="4" spans="1:17" s="14" customFormat="1" x14ac:dyDescent="0.35">
      <c r="A4" s="14" t="s">
        <v>8</v>
      </c>
      <c r="C4" s="14">
        <v>3.4885999999999999</v>
      </c>
      <c r="E4" s="1"/>
      <c r="G4" s="26"/>
      <c r="J4" s="16" t="s">
        <v>39</v>
      </c>
    </row>
    <row r="5" spans="1:17" s="14" customFormat="1" x14ac:dyDescent="0.35">
      <c r="A5" s="14" t="s">
        <v>9</v>
      </c>
      <c r="C5" s="14">
        <v>112.7</v>
      </c>
      <c r="E5" s="1"/>
      <c r="G5" s="26"/>
    </row>
    <row r="6" spans="1:17" s="14" customFormat="1" ht="15" thickBot="1" x14ac:dyDescent="0.4">
      <c r="A6" s="14" t="s">
        <v>27</v>
      </c>
      <c r="C6" s="15">
        <f>SUM(C4:C5)</f>
        <v>116.18860000000001</v>
      </c>
      <c r="E6" s="1"/>
      <c r="G6" s="26"/>
    </row>
    <row r="7" spans="1:17" s="14" customFormat="1" ht="15" thickTop="1" x14ac:dyDescent="0.35">
      <c r="E7" s="1"/>
      <c r="G7" s="26"/>
    </row>
    <row r="8" spans="1:17" s="14" customFormat="1" x14ac:dyDescent="0.35">
      <c r="A8" s="14" t="s">
        <v>10</v>
      </c>
      <c r="C8" s="14">
        <v>45</v>
      </c>
      <c r="E8" s="1">
        <v>44283</v>
      </c>
      <c r="F8" s="23">
        <v>525</v>
      </c>
      <c r="G8" s="26"/>
      <c r="J8" s="14">
        <f>C8*(F8/10000+$J$2)</f>
        <v>3.4739999999999998</v>
      </c>
      <c r="N8" s="14">
        <f>C8</f>
        <v>45</v>
      </c>
    </row>
    <row r="9" spans="1:17" s="14" customFormat="1" x14ac:dyDescent="0.35">
      <c r="A9" s="14" t="s">
        <v>11</v>
      </c>
      <c r="C9" s="14">
        <v>762.9</v>
      </c>
      <c r="E9" s="1">
        <v>44648</v>
      </c>
      <c r="F9" s="23">
        <v>575</v>
      </c>
      <c r="G9" s="26">
        <v>72</v>
      </c>
      <c r="H9" s="14">
        <v>30.655000000000001</v>
      </c>
      <c r="J9" s="14">
        <f>C9*(F9/10000+$J$2)</f>
        <v>62.710379999999994</v>
      </c>
      <c r="O9" s="14">
        <f>C9</f>
        <v>762.9</v>
      </c>
    </row>
    <row r="10" spans="1:17" s="14" customFormat="1" x14ac:dyDescent="0.35">
      <c r="A10" s="14" t="s">
        <v>13</v>
      </c>
      <c r="C10" s="14">
        <v>9.3000000000000007</v>
      </c>
      <c r="E10" s="1">
        <v>43635</v>
      </c>
      <c r="F10" s="24">
        <v>5.7799999999999997E-2</v>
      </c>
      <c r="G10" s="26"/>
      <c r="J10" s="14">
        <f>F10*C10</f>
        <v>0.53754000000000002</v>
      </c>
      <c r="L10" s="14">
        <f>C10</f>
        <v>9.3000000000000007</v>
      </c>
    </row>
    <row r="11" spans="1:17" s="14" customFormat="1" x14ac:dyDescent="0.35">
      <c r="A11" s="14" t="s">
        <v>14</v>
      </c>
      <c r="C11" s="14">
        <v>3.1</v>
      </c>
      <c r="E11" s="1">
        <v>43727</v>
      </c>
      <c r="F11" s="24">
        <v>5.5599999999999997E-2</v>
      </c>
      <c r="G11" s="26"/>
      <c r="J11" s="14">
        <f>F11*C11</f>
        <v>0.17235999999999999</v>
      </c>
      <c r="L11" s="14">
        <f>C11</f>
        <v>3.1</v>
      </c>
    </row>
    <row r="12" spans="1:17" s="14" customFormat="1" x14ac:dyDescent="0.35">
      <c r="A12" s="14" t="s">
        <v>29</v>
      </c>
      <c r="C12" s="14">
        <v>10.9</v>
      </c>
      <c r="E12" s="1"/>
      <c r="G12" s="26"/>
    </row>
    <row r="13" spans="1:17" s="16" customFormat="1" x14ac:dyDescent="0.35">
      <c r="A13" s="16" t="s">
        <v>28</v>
      </c>
      <c r="C13" s="17">
        <f>SUM(C8:C12)</f>
        <v>831.19999999999993</v>
      </c>
      <c r="D13" s="17"/>
      <c r="E13" s="22"/>
      <c r="G13" s="27"/>
    </row>
    <row r="14" spans="1:17" s="14" customFormat="1" x14ac:dyDescent="0.35">
      <c r="A14" s="14" t="s">
        <v>12</v>
      </c>
      <c r="C14" s="14">
        <v>425</v>
      </c>
      <c r="E14" s="1">
        <v>45017</v>
      </c>
      <c r="F14" s="24">
        <v>0.115</v>
      </c>
      <c r="G14" s="26">
        <v>38.869999999999997</v>
      </c>
      <c r="H14" s="14">
        <v>48.16</v>
      </c>
      <c r="J14" s="14">
        <f>F14*C14</f>
        <v>48.875</v>
      </c>
      <c r="P14" s="14">
        <f>C14</f>
        <v>425</v>
      </c>
    </row>
    <row r="15" spans="1:17" s="16" customFormat="1" x14ac:dyDescent="0.35">
      <c r="A15" s="16" t="s">
        <v>15</v>
      </c>
      <c r="C15" s="17">
        <f>SUM(C13:C14)</f>
        <v>1256.1999999999998</v>
      </c>
      <c r="D15" s="17"/>
      <c r="E15" s="22"/>
      <c r="G15" s="27"/>
      <c r="J15" s="17">
        <f>SUM(J8:J14)</f>
        <v>115.76927999999999</v>
      </c>
      <c r="L15" s="17">
        <f>SUM(L3:L14)</f>
        <v>12.4</v>
      </c>
      <c r="M15" s="17">
        <f t="shared" ref="M15:P15" si="1">SUM(M3:M14)</f>
        <v>0</v>
      </c>
      <c r="N15" s="17">
        <f t="shared" si="1"/>
        <v>45</v>
      </c>
      <c r="O15" s="17">
        <f t="shared" si="1"/>
        <v>762.9</v>
      </c>
      <c r="P15" s="17">
        <f t="shared" si="1"/>
        <v>425</v>
      </c>
      <c r="Q15" s="16">
        <f>SUM(L15:P15)</f>
        <v>1245.3</v>
      </c>
    </row>
    <row r="16" spans="1:17" s="14" customFormat="1" x14ac:dyDescent="0.35">
      <c r="E16" s="1"/>
      <c r="G16" s="26"/>
    </row>
    <row r="17" spans="1:7" s="14" customFormat="1" x14ac:dyDescent="0.35">
      <c r="A17" s="14" t="s">
        <v>16</v>
      </c>
      <c r="C17" s="14">
        <v>65</v>
      </c>
      <c r="E17" s="1"/>
      <c r="G17" s="26"/>
    </row>
    <row r="18" spans="1:7" s="14" customFormat="1" ht="15" thickBot="1" x14ac:dyDescent="0.4">
      <c r="A18" s="14" t="s">
        <v>17</v>
      </c>
      <c r="C18" s="18">
        <f>SUM(C15:C17)</f>
        <v>1321.1999999999998</v>
      </c>
      <c r="D18" s="19"/>
      <c r="E18" s="1"/>
      <c r="G18" s="26"/>
    </row>
    <row r="19" spans="1:7" ht="15" thickTop="1" x14ac:dyDescent="0.35"/>
    <row r="20" spans="1:7" s="2" customFormat="1" x14ac:dyDescent="0.35">
      <c r="A20" s="11" t="s">
        <v>18</v>
      </c>
      <c r="B20" s="11"/>
      <c r="C20" s="12" t="s">
        <v>37</v>
      </c>
      <c r="D20" s="13" t="s">
        <v>22</v>
      </c>
      <c r="E20" s="22"/>
      <c r="G20" s="27"/>
    </row>
    <row r="21" spans="1:7" x14ac:dyDescent="0.35">
      <c r="A21" t="s">
        <v>19</v>
      </c>
      <c r="C21">
        <f>B34</f>
        <v>314.10700000000003</v>
      </c>
      <c r="D21">
        <f>B36</f>
        <v>313.584</v>
      </c>
    </row>
    <row r="22" spans="1:7" x14ac:dyDescent="0.35">
      <c r="A22" t="s">
        <v>20</v>
      </c>
      <c r="C22">
        <f>B39</f>
        <v>102.71199999999999</v>
      </c>
      <c r="D22">
        <f>B41</f>
        <v>84.147000000000006</v>
      </c>
    </row>
    <row r="23" spans="1:7" x14ac:dyDescent="0.35">
      <c r="A23" t="s">
        <v>21</v>
      </c>
      <c r="C23" s="14">
        <f>J15</f>
        <v>115.76927999999999</v>
      </c>
      <c r="D23" s="14">
        <f>C23</f>
        <v>115.76927999999999</v>
      </c>
    </row>
    <row r="25" spans="1:7" s="2" customFormat="1" x14ac:dyDescent="0.35">
      <c r="A25" s="11" t="s">
        <v>23</v>
      </c>
      <c r="B25" s="11"/>
      <c r="C25" s="12" t="str">
        <f>C20</f>
        <v>LTM</v>
      </c>
      <c r="D25" s="13" t="str">
        <f>D20</f>
        <v>YE2018</v>
      </c>
      <c r="E25" s="22"/>
      <c r="G25" s="27"/>
    </row>
    <row r="26" spans="1:7" x14ac:dyDescent="0.35">
      <c r="A26" t="s">
        <v>40</v>
      </c>
      <c r="C26" s="30">
        <f>C13/$C$21</f>
        <v>2.6462320164784607</v>
      </c>
      <c r="D26" s="30">
        <f>C13/$D$21</f>
        <v>2.6506454410939333</v>
      </c>
    </row>
    <row r="27" spans="1:7" x14ac:dyDescent="0.35">
      <c r="A27" t="s">
        <v>24</v>
      </c>
      <c r="C27" s="30">
        <f>C15/$C$21</f>
        <v>3.9992741327000028</v>
      </c>
      <c r="D27" s="30">
        <f>C15/$D$21</f>
        <v>4.0059441808255514</v>
      </c>
    </row>
    <row r="28" spans="1:7" x14ac:dyDescent="0.35">
      <c r="A28" t="s">
        <v>25</v>
      </c>
      <c r="C28" s="30">
        <f>C21/C23</f>
        <v>2.7132154575030616</v>
      </c>
      <c r="D28" s="30">
        <f>D21/D23</f>
        <v>2.7086978514507476</v>
      </c>
    </row>
    <row r="29" spans="1:7" x14ac:dyDescent="0.35">
      <c r="A29" t="s">
        <v>26</v>
      </c>
      <c r="C29" s="30">
        <f>(C21-C22)/C23</f>
        <v>1.8260025457530706</v>
      </c>
      <c r="D29" s="30">
        <f>(D21-D22)/D23</f>
        <v>1.981846997752772</v>
      </c>
    </row>
    <row r="31" spans="1:7" x14ac:dyDescent="0.35">
      <c r="A31" t="s">
        <v>30</v>
      </c>
    </row>
    <row r="32" spans="1:7" x14ac:dyDescent="0.35">
      <c r="A32" t="s">
        <v>41</v>
      </c>
    </row>
    <row r="34" spans="1:7" s="2" customFormat="1" x14ac:dyDescent="0.35">
      <c r="A34" s="2" t="s">
        <v>32</v>
      </c>
      <c r="B34" s="2">
        <f>SUM(B35:B36)-B37</f>
        <v>314.10700000000003</v>
      </c>
      <c r="E34" s="22"/>
      <c r="G34" s="27"/>
    </row>
    <row r="35" spans="1:7" x14ac:dyDescent="0.35">
      <c r="A35" t="s">
        <v>33</v>
      </c>
      <c r="B35">
        <v>65.534999999999997</v>
      </c>
    </row>
    <row r="36" spans="1:7" x14ac:dyDescent="0.35">
      <c r="A36" t="s">
        <v>34</v>
      </c>
      <c r="B36">
        <v>313.584</v>
      </c>
    </row>
    <row r="37" spans="1:7" x14ac:dyDescent="0.35">
      <c r="A37" t="s">
        <v>35</v>
      </c>
      <c r="B37">
        <v>65.012</v>
      </c>
    </row>
    <row r="39" spans="1:7" s="2" customFormat="1" x14ac:dyDescent="0.35">
      <c r="A39" s="2" t="s">
        <v>36</v>
      </c>
      <c r="B39" s="2">
        <f>SUM(B40:B41)-B42</f>
        <v>102.71199999999999</v>
      </c>
      <c r="E39" s="22"/>
      <c r="G39" s="27"/>
    </row>
    <row r="40" spans="1:7" x14ac:dyDescent="0.35">
      <c r="A40" t="s">
        <v>33</v>
      </c>
      <c r="B40">
        <v>35.095999999999997</v>
      </c>
    </row>
    <row r="41" spans="1:7" x14ac:dyDescent="0.35">
      <c r="A41" t="s">
        <v>34</v>
      </c>
      <c r="B41">
        <v>84.147000000000006</v>
      </c>
    </row>
    <row r="42" spans="1:7" x14ac:dyDescent="0.35">
      <c r="A42" t="s">
        <v>35</v>
      </c>
      <c r="B42">
        <v>16.530999999999999</v>
      </c>
    </row>
  </sheetData>
  <pageMargins left="0.7" right="0.7" top="0.75" bottom="0.75" header="0.3" footer="0.3"/>
  <pageSetup scale="48" orientation="portrait" r:id="rId1"/>
  <colBreaks count="1" manualBreakCount="1">
    <brk id="18" max="28" man="1"/>
  </colBreak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2875-4BB3-47E6-A74C-A21DE1443521}">
  <sheetPr>
    <tabColor rgb="FFFF0000"/>
  </sheetPr>
  <dimension ref="A1"/>
  <sheetViews>
    <sheetView workbookViewId="0">
      <selection activeCell="I24" sqref="I24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E548-9721-4435-8BF2-759365B0263E}">
  <dimension ref="A1:I209"/>
  <sheetViews>
    <sheetView zoomScale="70" zoomScaleNormal="70" workbookViewId="0">
      <pane ySplit="1" topLeftCell="A155" activePane="bottomLeft" state="frozen"/>
      <selection pane="bottomLeft" activeCell="A156" sqref="A156"/>
    </sheetView>
  </sheetViews>
  <sheetFormatPr defaultRowHeight="14.5" x14ac:dyDescent="0.35"/>
  <cols>
    <col min="1" max="1" width="50.6328125" customWidth="1"/>
    <col min="2" max="5" width="15.6328125" customWidth="1"/>
    <col min="6" max="6" width="15.6328125" style="74" customWidth="1"/>
    <col min="7" max="10" width="15.6328125" customWidth="1"/>
  </cols>
  <sheetData>
    <row r="1" spans="1:9" s="135" customFormat="1" x14ac:dyDescent="0.35">
      <c r="F1" s="74"/>
      <c r="G1" s="135">
        <v>2016</v>
      </c>
      <c r="H1" s="135">
        <v>2017</v>
      </c>
      <c r="I1" s="135">
        <v>2018</v>
      </c>
    </row>
    <row r="2" spans="1:9" s="103" customFormat="1" x14ac:dyDescent="0.35">
      <c r="A2" s="103" t="s">
        <v>166</v>
      </c>
      <c r="F2" s="104"/>
    </row>
    <row r="3" spans="1:9" s="114" customFormat="1" x14ac:dyDescent="0.35">
      <c r="F3" s="74"/>
    </row>
    <row r="4" spans="1:9" x14ac:dyDescent="0.35">
      <c r="A4" s="115"/>
      <c r="B4" s="116" t="s">
        <v>129</v>
      </c>
      <c r="C4" s="116" t="s">
        <v>129</v>
      </c>
      <c r="D4" s="116" t="s">
        <v>130</v>
      </c>
      <c r="E4" s="116" t="s">
        <v>130</v>
      </c>
    </row>
    <row r="5" spans="1:9" x14ac:dyDescent="0.35">
      <c r="A5" s="115"/>
      <c r="B5" s="116" t="s">
        <v>131</v>
      </c>
      <c r="C5" s="116" t="s">
        <v>132</v>
      </c>
      <c r="D5" s="116" t="s">
        <v>133</v>
      </c>
      <c r="E5" s="116" t="s">
        <v>134</v>
      </c>
    </row>
    <row r="6" spans="1:9" x14ac:dyDescent="0.35">
      <c r="A6" s="115" t="s">
        <v>135</v>
      </c>
      <c r="B6" s="117"/>
      <c r="C6" s="117"/>
      <c r="D6" s="117"/>
      <c r="E6" s="117"/>
    </row>
    <row r="7" spans="1:9" x14ac:dyDescent="0.35">
      <c r="A7" s="115" t="s">
        <v>93</v>
      </c>
      <c r="B7" s="118">
        <v>1097366</v>
      </c>
      <c r="C7" s="118">
        <v>716617</v>
      </c>
      <c r="D7" s="118">
        <v>227813</v>
      </c>
      <c r="E7" s="118">
        <v>866628</v>
      </c>
      <c r="G7" s="140">
        <f>E7</f>
        <v>866628</v>
      </c>
      <c r="H7" s="140">
        <f>SUM(C7:D7)</f>
        <v>944430</v>
      </c>
      <c r="I7" s="140">
        <f>B7</f>
        <v>1097366</v>
      </c>
    </row>
    <row r="8" spans="1:9" x14ac:dyDescent="0.35">
      <c r="A8" s="115" t="s">
        <v>136</v>
      </c>
      <c r="B8" s="119">
        <v>7625</v>
      </c>
      <c r="C8" s="119">
        <v>7527</v>
      </c>
      <c r="D8" s="119">
        <v>2581</v>
      </c>
      <c r="E8" s="119">
        <v>9204</v>
      </c>
      <c r="G8" s="141">
        <f t="shared" ref="G8:G45" si="0">E8</f>
        <v>9204</v>
      </c>
      <c r="H8" s="141">
        <f t="shared" ref="H8:H45" si="1">SUM(C8:D8)</f>
        <v>10108</v>
      </c>
      <c r="I8" s="141">
        <f t="shared" ref="I8:I45" si="2">B8</f>
        <v>7625</v>
      </c>
    </row>
    <row r="9" spans="1:9" x14ac:dyDescent="0.35">
      <c r="A9" s="115" t="s">
        <v>137</v>
      </c>
      <c r="B9" s="119">
        <v>1104991</v>
      </c>
      <c r="C9" s="119">
        <v>724144</v>
      </c>
      <c r="D9" s="119">
        <v>230394</v>
      </c>
      <c r="E9" s="119">
        <v>875832</v>
      </c>
      <c r="G9" s="141">
        <f t="shared" si="0"/>
        <v>875832</v>
      </c>
      <c r="H9" s="141">
        <f t="shared" si="1"/>
        <v>954538</v>
      </c>
      <c r="I9" s="141">
        <f t="shared" si="2"/>
        <v>1104991</v>
      </c>
    </row>
    <row r="10" spans="1:9" x14ac:dyDescent="0.35">
      <c r="A10" s="115"/>
      <c r="B10" s="117"/>
      <c r="C10" s="117"/>
      <c r="D10" s="117"/>
      <c r="E10" s="117"/>
      <c r="G10" s="139">
        <f t="shared" si="0"/>
        <v>0</v>
      </c>
      <c r="H10" s="139">
        <f t="shared" si="1"/>
        <v>0</v>
      </c>
      <c r="I10" s="139">
        <f t="shared" si="2"/>
        <v>0</v>
      </c>
    </row>
    <row r="11" spans="1:9" x14ac:dyDescent="0.35">
      <c r="A11" s="115" t="s">
        <v>138</v>
      </c>
      <c r="B11" s="117"/>
      <c r="C11" s="117"/>
      <c r="D11" s="117"/>
      <c r="E11" s="117"/>
      <c r="G11" s="139">
        <f t="shared" si="0"/>
        <v>0</v>
      </c>
      <c r="H11" s="139">
        <f t="shared" si="1"/>
        <v>0</v>
      </c>
      <c r="I11" s="139">
        <f t="shared" si="2"/>
        <v>0</v>
      </c>
    </row>
    <row r="12" spans="1:9" x14ac:dyDescent="0.35">
      <c r="A12" s="115" t="s">
        <v>113</v>
      </c>
      <c r="B12" s="119">
        <v>526984</v>
      </c>
      <c r="C12" s="119">
        <v>367844</v>
      </c>
      <c r="D12" s="119">
        <v>117762</v>
      </c>
      <c r="E12" s="119">
        <v>423995</v>
      </c>
      <c r="G12" s="141">
        <f t="shared" si="0"/>
        <v>423995</v>
      </c>
      <c r="H12" s="141">
        <f t="shared" si="1"/>
        <v>485606</v>
      </c>
      <c r="I12" s="141">
        <f t="shared" si="2"/>
        <v>526984</v>
      </c>
    </row>
    <row r="13" spans="1:9" x14ac:dyDescent="0.35">
      <c r="A13" s="115" t="s">
        <v>139</v>
      </c>
      <c r="B13" s="119">
        <v>14572</v>
      </c>
      <c r="C13" s="119">
        <v>0</v>
      </c>
      <c r="D13" s="119">
        <v>7973</v>
      </c>
      <c r="E13" s="119">
        <v>13541</v>
      </c>
      <c r="G13" s="141">
        <f t="shared" si="0"/>
        <v>13541</v>
      </c>
      <c r="H13" s="141">
        <f t="shared" si="1"/>
        <v>7973</v>
      </c>
      <c r="I13" s="141">
        <f t="shared" si="2"/>
        <v>14572</v>
      </c>
    </row>
    <row r="14" spans="1:9" x14ac:dyDescent="0.35">
      <c r="A14" s="115" t="s">
        <v>70</v>
      </c>
      <c r="B14" s="119">
        <v>230052</v>
      </c>
      <c r="C14" s="119">
        <v>125772</v>
      </c>
      <c r="D14" s="119">
        <v>37726</v>
      </c>
      <c r="E14" s="119">
        <v>139659</v>
      </c>
      <c r="G14" s="141">
        <f t="shared" si="0"/>
        <v>139659</v>
      </c>
      <c r="H14" s="141">
        <f t="shared" si="1"/>
        <v>163498</v>
      </c>
      <c r="I14" s="141">
        <f t="shared" si="2"/>
        <v>230052</v>
      </c>
    </row>
    <row r="15" spans="1:9" x14ac:dyDescent="0.35">
      <c r="A15" s="115" t="s">
        <v>140</v>
      </c>
      <c r="B15" s="119">
        <v>212640</v>
      </c>
      <c r="C15" s="119">
        <v>167794</v>
      </c>
      <c r="D15" s="119">
        <v>39298</v>
      </c>
      <c r="E15" s="119">
        <v>164212</v>
      </c>
      <c r="G15" s="141">
        <f t="shared" si="0"/>
        <v>164212</v>
      </c>
      <c r="H15" s="141">
        <f t="shared" si="1"/>
        <v>207092</v>
      </c>
      <c r="I15" s="141">
        <f t="shared" si="2"/>
        <v>212640</v>
      </c>
    </row>
    <row r="16" spans="1:9" x14ac:dyDescent="0.35">
      <c r="A16" s="115" t="s">
        <v>141</v>
      </c>
      <c r="B16" s="119">
        <v>-86481</v>
      </c>
      <c r="C16" s="119">
        <v>1408</v>
      </c>
      <c r="D16" s="119">
        <v>0</v>
      </c>
      <c r="E16" s="119">
        <v>0</v>
      </c>
      <c r="G16" s="141">
        <f t="shared" si="0"/>
        <v>0</v>
      </c>
      <c r="H16" s="141">
        <f t="shared" si="1"/>
        <v>1408</v>
      </c>
      <c r="I16" s="141">
        <f t="shared" si="2"/>
        <v>-86481</v>
      </c>
    </row>
    <row r="17" spans="1:9" x14ac:dyDescent="0.35">
      <c r="A17" s="115" t="s">
        <v>142</v>
      </c>
      <c r="B17" s="119">
        <v>-8516</v>
      </c>
      <c r="C17" s="119">
        <v>2179</v>
      </c>
      <c r="D17" s="119">
        <v>710</v>
      </c>
      <c r="E17" s="119">
        <v>3376</v>
      </c>
      <c r="G17" s="141">
        <f t="shared" si="0"/>
        <v>3376</v>
      </c>
      <c r="H17" s="141">
        <f t="shared" si="1"/>
        <v>2889</v>
      </c>
      <c r="I17" s="141">
        <f t="shared" si="2"/>
        <v>-8516</v>
      </c>
    </row>
    <row r="18" spans="1:9" x14ac:dyDescent="0.35">
      <c r="A18" s="115" t="s">
        <v>143</v>
      </c>
      <c r="B18" s="119">
        <v>39568</v>
      </c>
      <c r="C18" s="119">
        <v>23555</v>
      </c>
      <c r="D18" s="119">
        <v>6554</v>
      </c>
      <c r="E18" s="119">
        <v>25265</v>
      </c>
      <c r="G18" s="141">
        <f t="shared" si="0"/>
        <v>25265</v>
      </c>
      <c r="H18" s="141">
        <f t="shared" si="1"/>
        <v>30109</v>
      </c>
      <c r="I18" s="141">
        <f t="shared" si="2"/>
        <v>39568</v>
      </c>
    </row>
    <row r="19" spans="1:9" x14ac:dyDescent="0.35">
      <c r="A19" s="115" t="s">
        <v>144</v>
      </c>
      <c r="B19" s="119">
        <v>110689</v>
      </c>
      <c r="C19" s="119">
        <v>42667</v>
      </c>
      <c r="D19" s="119">
        <v>0</v>
      </c>
      <c r="E19" s="119">
        <v>74575</v>
      </c>
      <c r="G19" s="141">
        <f t="shared" si="0"/>
        <v>74575</v>
      </c>
      <c r="H19" s="141">
        <f t="shared" si="1"/>
        <v>42667</v>
      </c>
      <c r="I19" s="141">
        <f t="shared" si="2"/>
        <v>110689</v>
      </c>
    </row>
    <row r="20" spans="1:9" x14ac:dyDescent="0.35">
      <c r="A20" s="115" t="s">
        <v>145</v>
      </c>
      <c r="B20" s="119">
        <v>0</v>
      </c>
      <c r="C20" s="119">
        <v>0</v>
      </c>
      <c r="D20" s="119">
        <v>0</v>
      </c>
      <c r="E20" s="119">
        <v>6889</v>
      </c>
      <c r="G20" s="141">
        <f t="shared" si="0"/>
        <v>6889</v>
      </c>
      <c r="H20" s="141">
        <f t="shared" si="1"/>
        <v>0</v>
      </c>
      <c r="I20" s="141">
        <f t="shared" si="2"/>
        <v>0</v>
      </c>
    </row>
    <row r="21" spans="1:9" x14ac:dyDescent="0.35">
      <c r="A21" s="115" t="s">
        <v>146</v>
      </c>
      <c r="B21" s="119">
        <v>0</v>
      </c>
      <c r="C21" s="119">
        <v>2607</v>
      </c>
      <c r="D21" s="119">
        <v>1492</v>
      </c>
      <c r="E21" s="119">
        <v>23752</v>
      </c>
      <c r="G21" s="141">
        <f t="shared" si="0"/>
        <v>23752</v>
      </c>
      <c r="H21" s="141">
        <f t="shared" si="1"/>
        <v>4099</v>
      </c>
      <c r="I21" s="141">
        <f t="shared" si="2"/>
        <v>0</v>
      </c>
    </row>
    <row r="22" spans="1:9" x14ac:dyDescent="0.35">
      <c r="A22" s="115" t="s">
        <v>147</v>
      </c>
      <c r="B22" s="119">
        <v>-19040</v>
      </c>
      <c r="C22" s="119">
        <v>-13537</v>
      </c>
      <c r="D22" s="119">
        <v>451</v>
      </c>
      <c r="E22" s="119">
        <v>-22161</v>
      </c>
      <c r="G22" s="141">
        <f t="shared" si="0"/>
        <v>-22161</v>
      </c>
      <c r="H22" s="141">
        <f t="shared" si="1"/>
        <v>-13086</v>
      </c>
      <c r="I22" s="141">
        <f t="shared" si="2"/>
        <v>-19040</v>
      </c>
    </row>
    <row r="23" spans="1:9" x14ac:dyDescent="0.35">
      <c r="A23" s="115" t="s">
        <v>148</v>
      </c>
      <c r="B23" s="119">
        <v>84523</v>
      </c>
      <c r="C23" s="119">
        <v>3855</v>
      </c>
      <c r="D23" s="119">
        <v>18428</v>
      </c>
      <c r="E23" s="119">
        <v>22729</v>
      </c>
      <c r="G23" s="141">
        <f t="shared" si="0"/>
        <v>22729</v>
      </c>
      <c r="H23" s="141">
        <f t="shared" si="1"/>
        <v>22283</v>
      </c>
      <c r="I23" s="141">
        <f t="shared" si="2"/>
        <v>84523</v>
      </c>
    </row>
    <row r="24" spans="1:9" x14ac:dyDescent="0.35">
      <c r="A24" s="115" t="s">
        <v>149</v>
      </c>
      <c r="B24" s="117"/>
      <c r="C24" s="117"/>
      <c r="D24" s="117"/>
      <c r="E24" s="117"/>
      <c r="G24" s="139">
        <f t="shared" si="0"/>
        <v>0</v>
      </c>
      <c r="H24" s="139">
        <f t="shared" si="1"/>
        <v>0</v>
      </c>
      <c r="I24" s="139">
        <f t="shared" si="2"/>
        <v>0</v>
      </c>
    </row>
    <row r="25" spans="1:9" x14ac:dyDescent="0.35">
      <c r="A25" s="115" t="s">
        <v>150</v>
      </c>
      <c r="B25" s="119">
        <v>146136</v>
      </c>
      <c r="C25" s="119">
        <v>107904</v>
      </c>
      <c r="D25" s="119">
        <v>43380</v>
      </c>
      <c r="E25" s="119">
        <v>149201</v>
      </c>
      <c r="G25" s="141">
        <f t="shared" si="0"/>
        <v>149201</v>
      </c>
      <c r="H25" s="141">
        <f t="shared" si="1"/>
        <v>151284</v>
      </c>
      <c r="I25" s="141">
        <f t="shared" si="2"/>
        <v>146136</v>
      </c>
    </row>
    <row r="26" spans="1:9" x14ac:dyDescent="0.35">
      <c r="A26" s="115" t="s">
        <v>151</v>
      </c>
      <c r="B26" s="119">
        <v>0</v>
      </c>
      <c r="C26" s="119">
        <v>0</v>
      </c>
      <c r="D26" s="119">
        <v>0</v>
      </c>
      <c r="E26" s="119">
        <v>21821</v>
      </c>
      <c r="G26" s="141">
        <f t="shared" si="0"/>
        <v>21821</v>
      </c>
      <c r="H26" s="141">
        <f t="shared" si="1"/>
        <v>0</v>
      </c>
      <c r="I26" s="141">
        <f t="shared" si="2"/>
        <v>0</v>
      </c>
    </row>
    <row r="27" spans="1:9" x14ac:dyDescent="0.35">
      <c r="A27" s="115" t="s">
        <v>152</v>
      </c>
      <c r="B27" s="119">
        <v>0</v>
      </c>
      <c r="C27" s="119">
        <v>0</v>
      </c>
      <c r="D27" s="119">
        <v>-9278</v>
      </c>
      <c r="E27" s="119">
        <v>17124</v>
      </c>
      <c r="G27" s="141">
        <f t="shared" si="0"/>
        <v>17124</v>
      </c>
      <c r="H27" s="141">
        <f t="shared" si="1"/>
        <v>-9278</v>
      </c>
      <c r="I27" s="141">
        <f t="shared" si="2"/>
        <v>0</v>
      </c>
    </row>
    <row r="28" spans="1:9" x14ac:dyDescent="0.35">
      <c r="A28" s="115" t="s">
        <v>153</v>
      </c>
      <c r="B28" s="119">
        <v>0</v>
      </c>
      <c r="C28" s="119">
        <v>0</v>
      </c>
      <c r="D28" s="119">
        <v>95510</v>
      </c>
      <c r="E28" s="119">
        <v>13203</v>
      </c>
      <c r="G28" s="141">
        <f t="shared" si="0"/>
        <v>13203</v>
      </c>
      <c r="H28" s="141">
        <f t="shared" si="1"/>
        <v>95510</v>
      </c>
      <c r="I28" s="141">
        <f t="shared" si="2"/>
        <v>0</v>
      </c>
    </row>
    <row r="29" spans="1:9" x14ac:dyDescent="0.35">
      <c r="A29" s="115" t="s">
        <v>154</v>
      </c>
      <c r="B29" s="119">
        <v>-61613</v>
      </c>
      <c r="C29" s="119">
        <v>-104049</v>
      </c>
      <c r="D29" s="119">
        <v>-111184</v>
      </c>
      <c r="E29" s="119">
        <v>-178620</v>
      </c>
      <c r="G29" s="141">
        <f t="shared" si="0"/>
        <v>-178620</v>
      </c>
      <c r="H29" s="141">
        <f t="shared" si="1"/>
        <v>-215233</v>
      </c>
      <c r="I29" s="141">
        <f t="shared" si="2"/>
        <v>-61613</v>
      </c>
    </row>
    <row r="30" spans="1:9" x14ac:dyDescent="0.35">
      <c r="A30" s="115" t="s">
        <v>155</v>
      </c>
      <c r="B30" s="119">
        <v>0</v>
      </c>
      <c r="C30" s="119">
        <v>0</v>
      </c>
      <c r="D30" s="119">
        <v>0</v>
      </c>
      <c r="E30" s="119">
        <v>169</v>
      </c>
      <c r="G30" s="141">
        <f t="shared" si="0"/>
        <v>169</v>
      </c>
      <c r="H30" s="141">
        <f t="shared" si="1"/>
        <v>0</v>
      </c>
      <c r="I30" s="141">
        <f t="shared" si="2"/>
        <v>0</v>
      </c>
    </row>
    <row r="31" spans="1:9" x14ac:dyDescent="0.35">
      <c r="A31" s="115" t="s">
        <v>156</v>
      </c>
      <c r="B31" s="118">
        <v>-61613</v>
      </c>
      <c r="C31" s="118">
        <v>-104049</v>
      </c>
      <c r="D31" s="118">
        <v>-111184</v>
      </c>
      <c r="E31" s="118">
        <v>-178789</v>
      </c>
      <c r="G31" s="140">
        <f t="shared" si="0"/>
        <v>-178789</v>
      </c>
      <c r="H31" s="140">
        <f t="shared" si="1"/>
        <v>-215233</v>
      </c>
      <c r="I31" s="140">
        <f t="shared" si="2"/>
        <v>-61613</v>
      </c>
    </row>
    <row r="32" spans="1:9" x14ac:dyDescent="0.35">
      <c r="A32" s="115"/>
      <c r="B32" s="117"/>
      <c r="C32" s="117"/>
      <c r="D32" s="117"/>
      <c r="E32" s="117"/>
      <c r="G32" s="139">
        <f t="shared" si="0"/>
        <v>0</v>
      </c>
      <c r="H32" s="139">
        <f t="shared" si="1"/>
        <v>0</v>
      </c>
      <c r="I32" s="139">
        <f t="shared" si="2"/>
        <v>0</v>
      </c>
    </row>
    <row r="33" spans="1:9" x14ac:dyDescent="0.35">
      <c r="A33" s="115" t="s">
        <v>157</v>
      </c>
      <c r="B33" s="117"/>
      <c r="C33" s="117"/>
      <c r="D33" s="117"/>
      <c r="E33" s="117"/>
      <c r="G33" s="139">
        <f t="shared" si="0"/>
        <v>0</v>
      </c>
      <c r="H33" s="139">
        <f t="shared" si="1"/>
        <v>0</v>
      </c>
      <c r="I33" s="139">
        <f t="shared" si="2"/>
        <v>0</v>
      </c>
    </row>
    <row r="34" spans="1:9" x14ac:dyDescent="0.35">
      <c r="A34" s="115" t="s">
        <v>158</v>
      </c>
      <c r="B34" s="118">
        <v>-25783</v>
      </c>
      <c r="C34" s="118">
        <v>-52143</v>
      </c>
      <c r="D34" s="118">
        <v>-56259</v>
      </c>
      <c r="E34" s="118">
        <v>-90015</v>
      </c>
      <c r="G34" s="140">
        <f t="shared" si="0"/>
        <v>-90015</v>
      </c>
      <c r="H34" s="140">
        <f t="shared" si="1"/>
        <v>-108402</v>
      </c>
      <c r="I34" s="140">
        <f t="shared" si="2"/>
        <v>-25783</v>
      </c>
    </row>
    <row r="35" spans="1:9" x14ac:dyDescent="0.35">
      <c r="A35" s="115" t="s">
        <v>159</v>
      </c>
      <c r="B35" s="118">
        <v>-35830</v>
      </c>
      <c r="C35" s="118">
        <v>-51906</v>
      </c>
      <c r="D35" s="118">
        <v>-54925</v>
      </c>
      <c r="E35" s="118">
        <v>-88774</v>
      </c>
      <c r="G35" s="140">
        <f t="shared" si="0"/>
        <v>-88774</v>
      </c>
      <c r="H35" s="140">
        <f t="shared" si="1"/>
        <v>-106831</v>
      </c>
      <c r="I35" s="140">
        <f t="shared" si="2"/>
        <v>-35830</v>
      </c>
    </row>
    <row r="36" spans="1:9" x14ac:dyDescent="0.35">
      <c r="A36" s="115"/>
      <c r="B36" s="117"/>
      <c r="C36" s="117"/>
      <c r="D36" s="117"/>
      <c r="E36" s="117"/>
      <c r="G36" s="139">
        <f t="shared" si="0"/>
        <v>0</v>
      </c>
      <c r="H36" s="139">
        <f t="shared" si="1"/>
        <v>0</v>
      </c>
      <c r="I36" s="139">
        <f t="shared" si="2"/>
        <v>0</v>
      </c>
    </row>
    <row r="37" spans="1:9" x14ac:dyDescent="0.35">
      <c r="A37" s="115" t="s">
        <v>160</v>
      </c>
      <c r="B37" s="117"/>
      <c r="C37" s="117"/>
      <c r="D37" s="117"/>
      <c r="E37" s="117"/>
      <c r="G37" s="139">
        <f t="shared" si="0"/>
        <v>0</v>
      </c>
      <c r="H37" s="139">
        <f t="shared" si="1"/>
        <v>0</v>
      </c>
      <c r="I37" s="139">
        <f t="shared" si="2"/>
        <v>0</v>
      </c>
    </row>
    <row r="38" spans="1:9" x14ac:dyDescent="0.35">
      <c r="A38" s="115" t="s">
        <v>158</v>
      </c>
      <c r="B38" s="120">
        <v>-0.32</v>
      </c>
      <c r="C38" s="120">
        <v>-0.68</v>
      </c>
      <c r="D38" s="120">
        <v>-0.85</v>
      </c>
      <c r="E38" s="120">
        <v>-1.37</v>
      </c>
      <c r="G38" s="120">
        <f t="shared" si="0"/>
        <v>-1.37</v>
      </c>
      <c r="H38" s="120">
        <f t="shared" si="1"/>
        <v>-1.53</v>
      </c>
      <c r="I38" s="120">
        <f t="shared" si="2"/>
        <v>-0.32</v>
      </c>
    </row>
    <row r="39" spans="1:9" x14ac:dyDescent="0.35">
      <c r="A39" s="115" t="s">
        <v>159</v>
      </c>
      <c r="B39" s="120">
        <v>-0.55000000000000004</v>
      </c>
      <c r="C39" s="120">
        <v>-0.8</v>
      </c>
      <c r="D39" s="120">
        <v>-0.85</v>
      </c>
      <c r="E39" s="120">
        <v>-1.37</v>
      </c>
      <c r="G39" s="120">
        <f t="shared" si="0"/>
        <v>-1.37</v>
      </c>
      <c r="H39" s="120">
        <f t="shared" si="1"/>
        <v>-1.65</v>
      </c>
      <c r="I39" s="120">
        <f t="shared" si="2"/>
        <v>-0.55000000000000004</v>
      </c>
    </row>
    <row r="40" spans="1:9" x14ac:dyDescent="0.35">
      <c r="A40" s="115"/>
      <c r="B40" s="117"/>
      <c r="C40" s="117"/>
      <c r="D40" s="117"/>
      <c r="E40" s="117"/>
      <c r="G40" s="139">
        <f t="shared" si="0"/>
        <v>0</v>
      </c>
      <c r="H40" s="139">
        <f t="shared" si="1"/>
        <v>0</v>
      </c>
      <c r="I40" s="139">
        <f t="shared" si="2"/>
        <v>0</v>
      </c>
    </row>
    <row r="41" spans="1:9" x14ac:dyDescent="0.35">
      <c r="A41" s="115" t="s">
        <v>161</v>
      </c>
      <c r="B41" s="117"/>
      <c r="C41" s="117"/>
      <c r="D41" s="117"/>
      <c r="E41" s="117"/>
      <c r="G41" s="139">
        <f t="shared" si="0"/>
        <v>0</v>
      </c>
      <c r="H41" s="139">
        <f t="shared" si="1"/>
        <v>0</v>
      </c>
      <c r="I41" s="139">
        <f t="shared" si="2"/>
        <v>0</v>
      </c>
    </row>
    <row r="42" spans="1:9" x14ac:dyDescent="0.35">
      <c r="A42" s="115" t="s">
        <v>162</v>
      </c>
      <c r="B42" s="119">
        <v>80016</v>
      </c>
      <c r="C42" s="119">
        <v>77145</v>
      </c>
      <c r="D42" s="119">
        <v>66533</v>
      </c>
      <c r="E42" s="119">
        <v>65829</v>
      </c>
      <c r="G42" s="141">
        <f t="shared" si="0"/>
        <v>65829</v>
      </c>
      <c r="H42" s="141">
        <f t="shared" si="1"/>
        <v>143678</v>
      </c>
      <c r="I42" s="141">
        <f t="shared" si="2"/>
        <v>80016</v>
      </c>
    </row>
    <row r="43" spans="1:9" x14ac:dyDescent="0.35">
      <c r="A43" s="115" t="s">
        <v>163</v>
      </c>
      <c r="B43" s="119">
        <v>64955</v>
      </c>
      <c r="C43" s="119">
        <v>64955</v>
      </c>
      <c r="D43" s="119">
        <v>64955</v>
      </c>
      <c r="E43" s="119">
        <v>64955</v>
      </c>
      <c r="G43" s="141">
        <f t="shared" si="0"/>
        <v>64955</v>
      </c>
      <c r="H43" s="141">
        <f t="shared" si="1"/>
        <v>129910</v>
      </c>
      <c r="I43" s="141">
        <f t="shared" si="2"/>
        <v>64955</v>
      </c>
    </row>
    <row r="44" spans="1:9" x14ac:dyDescent="0.35">
      <c r="A44" s="115"/>
      <c r="B44" s="117"/>
      <c r="C44" s="117"/>
      <c r="D44" s="117"/>
      <c r="E44" s="117"/>
      <c r="G44" s="139">
        <f t="shared" si="0"/>
        <v>0</v>
      </c>
      <c r="H44" s="139">
        <f t="shared" si="1"/>
        <v>0</v>
      </c>
      <c r="I44" s="139">
        <f t="shared" si="2"/>
        <v>0</v>
      </c>
    </row>
    <row r="45" spans="1:9" x14ac:dyDescent="0.35">
      <c r="A45" s="115" t="s">
        <v>164</v>
      </c>
      <c r="B45" s="120">
        <v>0.23</v>
      </c>
      <c r="C45" s="120">
        <v>0.13</v>
      </c>
      <c r="D45" s="118">
        <v>0</v>
      </c>
      <c r="E45" s="118">
        <v>0</v>
      </c>
      <c r="G45" s="140">
        <f t="shared" si="0"/>
        <v>0</v>
      </c>
      <c r="H45" s="140">
        <f t="shared" si="1"/>
        <v>0.13</v>
      </c>
      <c r="I45" s="140">
        <f t="shared" si="2"/>
        <v>0.23</v>
      </c>
    </row>
    <row r="46" spans="1:9" x14ac:dyDescent="0.35">
      <c r="A46" s="115" t="s">
        <v>165</v>
      </c>
      <c r="B46" s="117"/>
      <c r="C46" s="117"/>
      <c r="D46" s="117"/>
      <c r="E46" s="117"/>
    </row>
    <row r="48" spans="1:9" x14ac:dyDescent="0.35">
      <c r="A48" s="121" t="s">
        <v>30</v>
      </c>
      <c r="B48" s="114"/>
      <c r="C48" s="114"/>
      <c r="D48" s="114"/>
      <c r="E48" s="114"/>
    </row>
    <row r="50" spans="1:9" s="103" customFormat="1" x14ac:dyDescent="0.35">
      <c r="A50" s="103" t="s">
        <v>202</v>
      </c>
      <c r="F50" s="104"/>
    </row>
    <row r="52" spans="1:9" x14ac:dyDescent="0.35">
      <c r="A52" s="123"/>
      <c r="B52" s="124" t="s">
        <v>129</v>
      </c>
      <c r="C52" s="124" t="s">
        <v>129</v>
      </c>
      <c r="D52" s="131" t="s">
        <v>130</v>
      </c>
    </row>
    <row r="53" spans="1:9" x14ac:dyDescent="0.35">
      <c r="A53" s="123"/>
      <c r="B53" s="124" t="s">
        <v>167</v>
      </c>
      <c r="C53" s="124" t="s">
        <v>167</v>
      </c>
      <c r="D53" s="131" t="s">
        <v>167</v>
      </c>
    </row>
    <row r="54" spans="1:9" x14ac:dyDescent="0.35">
      <c r="A54" s="123"/>
      <c r="B54" s="124">
        <v>2018</v>
      </c>
      <c r="C54" s="124">
        <v>2017</v>
      </c>
      <c r="D54" s="131">
        <v>2016</v>
      </c>
    </row>
    <row r="55" spans="1:9" x14ac:dyDescent="0.35">
      <c r="A55" s="125" t="s">
        <v>168</v>
      </c>
      <c r="B55" s="126"/>
      <c r="C55" s="126"/>
    </row>
    <row r="56" spans="1:9" x14ac:dyDescent="0.35">
      <c r="A56" s="123" t="s">
        <v>169</v>
      </c>
      <c r="B56" s="126"/>
      <c r="C56" s="126"/>
    </row>
    <row r="57" spans="1:9" x14ac:dyDescent="0.35">
      <c r="A57" s="123" t="s">
        <v>170</v>
      </c>
      <c r="B57" s="127">
        <v>269</v>
      </c>
      <c r="C57" s="127">
        <v>2179</v>
      </c>
      <c r="D57" s="133">
        <v>103690</v>
      </c>
      <c r="G57" s="140">
        <f>D57</f>
        <v>103690</v>
      </c>
      <c r="H57" s="140">
        <f>C57</f>
        <v>2179</v>
      </c>
      <c r="I57" s="140">
        <f>B57</f>
        <v>269</v>
      </c>
    </row>
    <row r="58" spans="1:9" x14ac:dyDescent="0.35">
      <c r="A58" s="123" t="s">
        <v>171</v>
      </c>
      <c r="B58" s="128">
        <v>32248</v>
      </c>
      <c r="C58" s="128">
        <v>35158</v>
      </c>
      <c r="D58" s="134">
        <v>54905</v>
      </c>
      <c r="G58" s="141">
        <f t="shared" ref="G58:G97" si="3">D58</f>
        <v>54905</v>
      </c>
      <c r="H58" s="141">
        <f t="shared" ref="H58:H97" si="4">C58</f>
        <v>35158</v>
      </c>
      <c r="I58" s="141">
        <f t="shared" ref="I58:I97" si="5">B58</f>
        <v>32248</v>
      </c>
    </row>
    <row r="59" spans="1:9" x14ac:dyDescent="0.35">
      <c r="A59" s="123" t="s">
        <v>172</v>
      </c>
      <c r="B59" s="128">
        <v>49613</v>
      </c>
      <c r="C59" s="128">
        <v>37685</v>
      </c>
      <c r="D59" s="134">
        <v>16891</v>
      </c>
      <c r="G59" s="141">
        <f t="shared" si="3"/>
        <v>16891</v>
      </c>
      <c r="H59" s="141">
        <f t="shared" si="4"/>
        <v>37685</v>
      </c>
      <c r="I59" s="141">
        <f t="shared" si="5"/>
        <v>49613</v>
      </c>
    </row>
    <row r="60" spans="1:9" x14ac:dyDescent="0.35">
      <c r="A60" s="123" t="s">
        <v>173</v>
      </c>
      <c r="B60" s="128">
        <v>3392</v>
      </c>
      <c r="C60" s="128">
        <v>3138</v>
      </c>
      <c r="D60" s="134">
        <v>2904</v>
      </c>
      <c r="G60" s="141">
        <f t="shared" si="3"/>
        <v>2904</v>
      </c>
      <c r="H60" s="141">
        <f t="shared" si="4"/>
        <v>3138</v>
      </c>
      <c r="I60" s="141">
        <f t="shared" si="5"/>
        <v>3392</v>
      </c>
    </row>
    <row r="61" spans="1:9" x14ac:dyDescent="0.35">
      <c r="A61" s="123" t="s">
        <v>174</v>
      </c>
      <c r="B61" s="128">
        <v>56524</v>
      </c>
      <c r="C61" s="128">
        <v>40539</v>
      </c>
      <c r="D61" s="134">
        <v>43052</v>
      </c>
      <c r="G61" s="141">
        <f t="shared" si="3"/>
        <v>43052</v>
      </c>
      <c r="H61" s="141">
        <f t="shared" si="4"/>
        <v>40539</v>
      </c>
      <c r="I61" s="141">
        <f t="shared" si="5"/>
        <v>56524</v>
      </c>
    </row>
    <row r="62" spans="1:9" x14ac:dyDescent="0.35">
      <c r="A62" s="123" t="s">
        <v>175</v>
      </c>
      <c r="B62" s="128">
        <v>2000</v>
      </c>
      <c r="C62" s="128">
        <v>4000</v>
      </c>
      <c r="D62" s="134">
        <v>3136</v>
      </c>
      <c r="G62" s="141">
        <f t="shared" si="3"/>
        <v>3136</v>
      </c>
      <c r="H62" s="141">
        <f t="shared" si="4"/>
        <v>4000</v>
      </c>
      <c r="I62" s="141">
        <f t="shared" si="5"/>
        <v>2000</v>
      </c>
    </row>
    <row r="63" spans="1:9" x14ac:dyDescent="0.35">
      <c r="A63" s="123" t="s">
        <v>176</v>
      </c>
      <c r="B63" s="128">
        <v>14940</v>
      </c>
      <c r="C63" s="128">
        <v>9520</v>
      </c>
      <c r="D63" s="134">
        <v>13310</v>
      </c>
      <c r="G63" s="141">
        <f t="shared" si="3"/>
        <v>13310</v>
      </c>
      <c r="H63" s="141">
        <f t="shared" si="4"/>
        <v>9520</v>
      </c>
      <c r="I63" s="141">
        <f t="shared" si="5"/>
        <v>14940</v>
      </c>
    </row>
    <row r="64" spans="1:9" s="129" customFormat="1" x14ac:dyDescent="0.35">
      <c r="A64" s="130" t="s">
        <v>203</v>
      </c>
      <c r="B64" s="134"/>
      <c r="C64" s="134"/>
      <c r="D64" s="134">
        <v>7650</v>
      </c>
      <c r="F64" s="74"/>
      <c r="G64" s="141">
        <f t="shared" si="3"/>
        <v>7650</v>
      </c>
      <c r="H64" s="141">
        <f t="shared" si="4"/>
        <v>0</v>
      </c>
      <c r="I64" s="141">
        <f t="shared" si="5"/>
        <v>0</v>
      </c>
    </row>
    <row r="65" spans="1:9" x14ac:dyDescent="0.35">
      <c r="A65" s="123" t="s">
        <v>177</v>
      </c>
      <c r="B65" s="128">
        <v>10872</v>
      </c>
      <c r="C65" s="128">
        <v>10844</v>
      </c>
      <c r="D65" s="134">
        <v>21443</v>
      </c>
      <c r="G65" s="141">
        <f t="shared" si="3"/>
        <v>21443</v>
      </c>
      <c r="H65" s="141">
        <f t="shared" si="4"/>
        <v>10844</v>
      </c>
      <c r="I65" s="141">
        <f t="shared" si="5"/>
        <v>10872</v>
      </c>
    </row>
    <row r="66" spans="1:9" x14ac:dyDescent="0.35">
      <c r="A66" s="123" t="s">
        <v>178</v>
      </c>
      <c r="B66" s="128">
        <v>1326</v>
      </c>
      <c r="C66" s="128">
        <v>11268</v>
      </c>
      <c r="D66" s="134">
        <v>0</v>
      </c>
      <c r="G66" s="141">
        <f t="shared" si="3"/>
        <v>0</v>
      </c>
      <c r="H66" s="141">
        <f t="shared" si="4"/>
        <v>11268</v>
      </c>
      <c r="I66" s="141">
        <f t="shared" si="5"/>
        <v>1326</v>
      </c>
    </row>
    <row r="67" spans="1:9" x14ac:dyDescent="0.35">
      <c r="A67" s="123" t="s">
        <v>179</v>
      </c>
      <c r="B67" s="128">
        <v>171184</v>
      </c>
      <c r="C67" s="128">
        <v>154331</v>
      </c>
      <c r="D67" s="134">
        <v>266981</v>
      </c>
      <c r="G67" s="141">
        <f t="shared" si="3"/>
        <v>266981</v>
      </c>
      <c r="H67" s="141">
        <f t="shared" si="4"/>
        <v>154331</v>
      </c>
      <c r="I67" s="141">
        <f t="shared" si="5"/>
        <v>171184</v>
      </c>
    </row>
    <row r="68" spans="1:9" x14ac:dyDescent="0.35">
      <c r="A68" s="123" t="s">
        <v>180</v>
      </c>
      <c r="B68" s="128">
        <v>2148569</v>
      </c>
      <c r="C68" s="128">
        <v>2378605</v>
      </c>
      <c r="D68" s="134">
        <v>1318937</v>
      </c>
      <c r="G68" s="141">
        <f t="shared" si="3"/>
        <v>1318937</v>
      </c>
      <c r="H68" s="141">
        <f t="shared" si="4"/>
        <v>2378605</v>
      </c>
      <c r="I68" s="141">
        <f t="shared" si="5"/>
        <v>2148569</v>
      </c>
    </row>
    <row r="69" spans="1:9" x14ac:dyDescent="0.35">
      <c r="A69" s="123" t="s">
        <v>172</v>
      </c>
      <c r="B69" s="128">
        <v>0</v>
      </c>
      <c r="C69" s="128">
        <v>947</v>
      </c>
      <c r="D69" s="134">
        <v>1843</v>
      </c>
      <c r="G69" s="141">
        <f t="shared" si="3"/>
        <v>1843</v>
      </c>
      <c r="H69" s="141">
        <f t="shared" si="4"/>
        <v>947</v>
      </c>
      <c r="I69" s="141">
        <f t="shared" si="5"/>
        <v>0</v>
      </c>
    </row>
    <row r="70" spans="1:9" x14ac:dyDescent="0.35">
      <c r="A70" s="123" t="s">
        <v>173</v>
      </c>
      <c r="B70" s="128">
        <v>60705</v>
      </c>
      <c r="C70" s="128">
        <v>64097</v>
      </c>
      <c r="D70" s="134">
        <v>67235</v>
      </c>
      <c r="G70" s="141">
        <f t="shared" si="3"/>
        <v>67235</v>
      </c>
      <c r="H70" s="141">
        <f t="shared" si="4"/>
        <v>64097</v>
      </c>
      <c r="I70" s="141">
        <f t="shared" si="5"/>
        <v>60705</v>
      </c>
    </row>
    <row r="71" spans="1:9" x14ac:dyDescent="0.35">
      <c r="A71" s="123" t="s">
        <v>175</v>
      </c>
      <c r="B71" s="128">
        <v>2678</v>
      </c>
      <c r="C71" s="128">
        <v>1250</v>
      </c>
      <c r="D71" s="134">
        <v>13765</v>
      </c>
      <c r="G71" s="141">
        <f t="shared" si="3"/>
        <v>13765</v>
      </c>
      <c r="H71" s="141">
        <f t="shared" si="4"/>
        <v>1250</v>
      </c>
      <c r="I71" s="141">
        <f t="shared" si="5"/>
        <v>2678</v>
      </c>
    </row>
    <row r="72" spans="1:9" x14ac:dyDescent="0.35">
      <c r="A72" s="123" t="s">
        <v>181</v>
      </c>
      <c r="B72" s="128">
        <v>4311</v>
      </c>
      <c r="C72" s="128">
        <v>5358</v>
      </c>
      <c r="D72" s="134">
        <v>20250</v>
      </c>
      <c r="G72" s="141">
        <f t="shared" si="3"/>
        <v>20250</v>
      </c>
      <c r="H72" s="141">
        <f t="shared" si="4"/>
        <v>5358</v>
      </c>
      <c r="I72" s="141">
        <f t="shared" si="5"/>
        <v>4311</v>
      </c>
    </row>
    <row r="73" spans="1:9" x14ac:dyDescent="0.35">
      <c r="A73" s="123" t="s">
        <v>178</v>
      </c>
      <c r="B73" s="128">
        <v>726</v>
      </c>
      <c r="C73" s="128">
        <v>2052</v>
      </c>
      <c r="D73" s="134">
        <v>0</v>
      </c>
      <c r="G73" s="141">
        <f t="shared" si="3"/>
        <v>0</v>
      </c>
      <c r="H73" s="141">
        <f t="shared" si="4"/>
        <v>2052</v>
      </c>
      <c r="I73" s="141">
        <f t="shared" si="5"/>
        <v>726</v>
      </c>
    </row>
    <row r="74" spans="1:9" x14ac:dyDescent="0.35">
      <c r="A74" s="123" t="s">
        <v>182</v>
      </c>
      <c r="B74" s="127">
        <v>2388173</v>
      </c>
      <c r="C74" s="127">
        <v>2606640</v>
      </c>
      <c r="D74" s="133">
        <v>1689011</v>
      </c>
      <c r="G74" s="140">
        <f t="shared" si="3"/>
        <v>1689011</v>
      </c>
      <c r="H74" s="140">
        <f t="shared" si="4"/>
        <v>2606640</v>
      </c>
      <c r="I74" s="140">
        <f t="shared" si="5"/>
        <v>2388173</v>
      </c>
    </row>
    <row r="75" spans="1:9" x14ac:dyDescent="0.35">
      <c r="A75" s="125" t="s">
        <v>183</v>
      </c>
      <c r="B75" s="126"/>
      <c r="C75" s="126"/>
      <c r="D75" s="132"/>
      <c r="G75" s="139">
        <f t="shared" si="3"/>
        <v>0</v>
      </c>
      <c r="H75" s="139">
        <f t="shared" si="4"/>
        <v>0</v>
      </c>
      <c r="I75" s="139">
        <f t="shared" si="5"/>
        <v>0</v>
      </c>
    </row>
    <row r="76" spans="1:9" x14ac:dyDescent="0.35">
      <c r="A76" s="123" t="s">
        <v>184</v>
      </c>
      <c r="B76" s="126"/>
      <c r="C76" s="126"/>
      <c r="D76" s="132"/>
      <c r="G76" s="139">
        <f t="shared" si="3"/>
        <v>0</v>
      </c>
      <c r="H76" s="139">
        <f t="shared" si="4"/>
        <v>0</v>
      </c>
      <c r="I76" s="139">
        <f t="shared" si="5"/>
        <v>0</v>
      </c>
    </row>
    <row r="77" spans="1:9" x14ac:dyDescent="0.35">
      <c r="A77" s="123" t="s">
        <v>185</v>
      </c>
      <c r="B77" s="127">
        <v>53709</v>
      </c>
      <c r="C77" s="127">
        <v>109532</v>
      </c>
      <c r="D77" s="133">
        <v>368993</v>
      </c>
      <c r="G77" s="140">
        <f t="shared" si="3"/>
        <v>368993</v>
      </c>
      <c r="H77" s="140">
        <f t="shared" si="4"/>
        <v>109532</v>
      </c>
      <c r="I77" s="140">
        <f t="shared" si="5"/>
        <v>53709</v>
      </c>
    </row>
    <row r="78" spans="1:9" x14ac:dyDescent="0.35">
      <c r="A78" s="123" t="s">
        <v>186</v>
      </c>
      <c r="B78" s="128">
        <v>6629</v>
      </c>
      <c r="C78" s="128">
        <v>4148</v>
      </c>
      <c r="D78" s="134">
        <v>1372</v>
      </c>
      <c r="G78" s="141">
        <f t="shared" si="3"/>
        <v>1372</v>
      </c>
      <c r="H78" s="141">
        <f t="shared" si="4"/>
        <v>4148</v>
      </c>
      <c r="I78" s="141">
        <f t="shared" si="5"/>
        <v>6629</v>
      </c>
    </row>
    <row r="79" spans="1:9" x14ac:dyDescent="0.35">
      <c r="A79" s="123" t="s">
        <v>187</v>
      </c>
      <c r="B79" s="128">
        <v>24304</v>
      </c>
      <c r="C79" s="128">
        <v>13410</v>
      </c>
      <c r="D79" s="134">
        <v>29760</v>
      </c>
      <c r="G79" s="141">
        <f t="shared" si="3"/>
        <v>29760</v>
      </c>
      <c r="H79" s="141">
        <f t="shared" si="4"/>
        <v>13410</v>
      </c>
      <c r="I79" s="141">
        <f t="shared" si="5"/>
        <v>24304</v>
      </c>
    </row>
    <row r="80" spans="1:9" x14ac:dyDescent="0.35">
      <c r="A80" s="123" t="s">
        <v>188</v>
      </c>
      <c r="B80" s="128">
        <v>99735</v>
      </c>
      <c r="C80" s="128">
        <v>76658</v>
      </c>
      <c r="D80" s="134">
        <v>60971</v>
      </c>
      <c r="G80" s="141">
        <f t="shared" si="3"/>
        <v>60971</v>
      </c>
      <c r="H80" s="141">
        <f t="shared" si="4"/>
        <v>76658</v>
      </c>
      <c r="I80" s="141">
        <f t="shared" si="5"/>
        <v>99735</v>
      </c>
    </row>
    <row r="81" spans="1:9" x14ac:dyDescent="0.35">
      <c r="A81" s="123" t="s">
        <v>189</v>
      </c>
      <c r="B81" s="128">
        <v>67466</v>
      </c>
      <c r="C81" s="128">
        <v>62442</v>
      </c>
      <c r="D81" s="134">
        <v>43592</v>
      </c>
      <c r="G81" s="141">
        <f t="shared" si="3"/>
        <v>43592</v>
      </c>
      <c r="H81" s="141">
        <f t="shared" si="4"/>
        <v>62442</v>
      </c>
      <c r="I81" s="141">
        <f t="shared" si="5"/>
        <v>67466</v>
      </c>
    </row>
    <row r="82" spans="1:9" x14ac:dyDescent="0.35">
      <c r="A82" s="123" t="s">
        <v>190</v>
      </c>
      <c r="B82" s="128">
        <v>6578</v>
      </c>
      <c r="C82" s="128">
        <v>4416</v>
      </c>
      <c r="D82" s="134">
        <v>7273</v>
      </c>
      <c r="G82" s="141">
        <f t="shared" si="3"/>
        <v>7273</v>
      </c>
      <c r="H82" s="141">
        <f t="shared" si="4"/>
        <v>4416</v>
      </c>
      <c r="I82" s="141">
        <f t="shared" si="5"/>
        <v>6578</v>
      </c>
    </row>
    <row r="83" spans="1:9" x14ac:dyDescent="0.35">
      <c r="A83" s="123" t="s">
        <v>191</v>
      </c>
      <c r="B83" s="128">
        <v>17740</v>
      </c>
      <c r="C83" s="128">
        <v>13324</v>
      </c>
      <c r="D83" s="134">
        <v>20904</v>
      </c>
      <c r="G83" s="141">
        <f t="shared" si="3"/>
        <v>20904</v>
      </c>
      <c r="H83" s="141">
        <f t="shared" si="4"/>
        <v>13324</v>
      </c>
      <c r="I83" s="141">
        <f t="shared" si="5"/>
        <v>17740</v>
      </c>
    </row>
    <row r="84" spans="1:9" x14ac:dyDescent="0.35">
      <c r="A84" s="123" t="s">
        <v>178</v>
      </c>
      <c r="B84" s="128">
        <v>8820</v>
      </c>
      <c r="C84" s="128">
        <v>28688</v>
      </c>
      <c r="D84" s="134">
        <v>0</v>
      </c>
      <c r="G84" s="141">
        <f t="shared" si="3"/>
        <v>0</v>
      </c>
      <c r="H84" s="141">
        <f t="shared" si="4"/>
        <v>28688</v>
      </c>
      <c r="I84" s="141">
        <f t="shared" si="5"/>
        <v>8820</v>
      </c>
    </row>
    <row r="85" spans="1:9" x14ac:dyDescent="0.35">
      <c r="A85" s="123" t="s">
        <v>192</v>
      </c>
      <c r="B85" s="128">
        <v>284981</v>
      </c>
      <c r="C85" s="128">
        <v>312618</v>
      </c>
      <c r="D85" s="134">
        <v>532865</v>
      </c>
      <c r="G85" s="141">
        <f t="shared" si="3"/>
        <v>532865</v>
      </c>
      <c r="H85" s="141">
        <f t="shared" si="4"/>
        <v>312618</v>
      </c>
      <c r="I85" s="141">
        <f t="shared" si="5"/>
        <v>284981</v>
      </c>
    </row>
    <row r="86" spans="1:9" x14ac:dyDescent="0.35">
      <c r="A86" s="123" t="s">
        <v>193</v>
      </c>
      <c r="B86" s="128">
        <v>1194394</v>
      </c>
      <c r="C86" s="128">
        <v>1205000</v>
      </c>
      <c r="D86" s="134">
        <v>1022070</v>
      </c>
      <c r="G86" s="141">
        <f t="shared" si="3"/>
        <v>1022070</v>
      </c>
      <c r="H86" s="141">
        <f t="shared" si="4"/>
        <v>1205000</v>
      </c>
      <c r="I86" s="141">
        <f t="shared" si="5"/>
        <v>1194394</v>
      </c>
    </row>
    <row r="87" spans="1:9" x14ac:dyDescent="0.35">
      <c r="A87" s="123" t="s">
        <v>194</v>
      </c>
      <c r="B87" s="128">
        <v>189855</v>
      </c>
      <c r="C87" s="128">
        <v>196496</v>
      </c>
      <c r="D87" s="134">
        <v>190497</v>
      </c>
      <c r="G87" s="141">
        <f t="shared" si="3"/>
        <v>190497</v>
      </c>
      <c r="H87" s="141">
        <f t="shared" si="4"/>
        <v>196496</v>
      </c>
      <c r="I87" s="141">
        <f t="shared" si="5"/>
        <v>189855</v>
      </c>
    </row>
    <row r="88" spans="1:9" x14ac:dyDescent="0.35">
      <c r="A88" s="123" t="s">
        <v>190</v>
      </c>
      <c r="B88" s="128">
        <v>38966</v>
      </c>
      <c r="C88" s="128">
        <v>39655</v>
      </c>
      <c r="D88" s="134">
        <v>37644</v>
      </c>
      <c r="G88" s="141">
        <f t="shared" si="3"/>
        <v>37644</v>
      </c>
      <c r="H88" s="141">
        <f t="shared" si="4"/>
        <v>39655</v>
      </c>
      <c r="I88" s="141">
        <f t="shared" si="5"/>
        <v>38966</v>
      </c>
    </row>
    <row r="89" spans="1:9" s="129" customFormat="1" x14ac:dyDescent="0.35">
      <c r="A89" s="130" t="s">
        <v>204</v>
      </c>
      <c r="B89" s="134"/>
      <c r="C89" s="134"/>
      <c r="D89" s="134">
        <v>51169</v>
      </c>
      <c r="F89" s="74"/>
      <c r="G89" s="141">
        <f t="shared" si="3"/>
        <v>51169</v>
      </c>
      <c r="H89" s="141">
        <f t="shared" si="4"/>
        <v>0</v>
      </c>
      <c r="I89" s="141">
        <f t="shared" si="5"/>
        <v>0</v>
      </c>
    </row>
    <row r="90" spans="1:9" x14ac:dyDescent="0.35">
      <c r="A90" s="123" t="s">
        <v>195</v>
      </c>
      <c r="B90" s="128">
        <v>16428</v>
      </c>
      <c r="C90" s="128">
        <v>32330</v>
      </c>
      <c r="D90" s="134">
        <v>9359</v>
      </c>
      <c r="G90" s="141">
        <f t="shared" si="3"/>
        <v>9359</v>
      </c>
      <c r="H90" s="141">
        <f t="shared" si="4"/>
        <v>32330</v>
      </c>
      <c r="I90" s="141">
        <f t="shared" si="5"/>
        <v>16428</v>
      </c>
    </row>
    <row r="91" spans="1:9" x14ac:dyDescent="0.35">
      <c r="A91" s="123" t="s">
        <v>178</v>
      </c>
      <c r="B91" s="128">
        <v>66834</v>
      </c>
      <c r="C91" s="128">
        <v>144715</v>
      </c>
      <c r="D91" s="134">
        <v>0</v>
      </c>
      <c r="G91" s="141">
        <f t="shared" si="3"/>
        <v>0</v>
      </c>
      <c r="H91" s="141">
        <f t="shared" si="4"/>
        <v>144715</v>
      </c>
      <c r="I91" s="141">
        <f t="shared" si="5"/>
        <v>66834</v>
      </c>
    </row>
    <row r="92" spans="1:9" x14ac:dyDescent="0.35">
      <c r="A92" s="123" t="s">
        <v>196</v>
      </c>
      <c r="B92" s="128">
        <v>1791458</v>
      </c>
      <c r="C92" s="128">
        <v>1930814</v>
      </c>
      <c r="D92" s="134">
        <v>1843604</v>
      </c>
      <c r="G92" s="141">
        <f t="shared" si="3"/>
        <v>1843604</v>
      </c>
      <c r="H92" s="141">
        <f t="shared" si="4"/>
        <v>1930814</v>
      </c>
      <c r="I92" s="141">
        <f t="shared" si="5"/>
        <v>1791458</v>
      </c>
    </row>
    <row r="93" spans="1:9" x14ac:dyDescent="0.35">
      <c r="A93" s="123" t="s">
        <v>197</v>
      </c>
      <c r="B93" s="126"/>
      <c r="C93" s="126"/>
      <c r="D93" s="132"/>
      <c r="G93" s="139">
        <f t="shared" si="3"/>
        <v>0</v>
      </c>
      <c r="H93" s="139">
        <f t="shared" si="4"/>
        <v>0</v>
      </c>
      <c r="I93" s="139">
        <f t="shared" si="5"/>
        <v>0</v>
      </c>
    </row>
    <row r="94" spans="1:9" x14ac:dyDescent="0.35">
      <c r="A94" s="123" t="s">
        <v>198</v>
      </c>
      <c r="B94" s="128">
        <v>377880</v>
      </c>
      <c r="C94" s="128">
        <v>421161</v>
      </c>
      <c r="D94" s="134">
        <v>100628</v>
      </c>
      <c r="G94" s="141">
        <f t="shared" si="3"/>
        <v>100628</v>
      </c>
      <c r="H94" s="141">
        <f t="shared" si="4"/>
        <v>421161</v>
      </c>
      <c r="I94" s="141">
        <f t="shared" si="5"/>
        <v>377880</v>
      </c>
    </row>
    <row r="95" spans="1:9" x14ac:dyDescent="0.35">
      <c r="A95" s="123" t="s">
        <v>199</v>
      </c>
      <c r="B95" s="128">
        <v>218835</v>
      </c>
      <c r="C95" s="128">
        <v>254665</v>
      </c>
      <c r="D95" s="134">
        <v>-255221</v>
      </c>
      <c r="G95" s="141">
        <f t="shared" si="3"/>
        <v>-255221</v>
      </c>
      <c r="H95" s="141">
        <f t="shared" si="4"/>
        <v>254665</v>
      </c>
      <c r="I95" s="141">
        <f t="shared" si="5"/>
        <v>218835</v>
      </c>
    </row>
    <row r="96" spans="1:9" x14ac:dyDescent="0.35">
      <c r="A96" s="123" t="s">
        <v>200</v>
      </c>
      <c r="B96" s="128">
        <v>596715</v>
      </c>
      <c r="C96" s="128">
        <v>675826</v>
      </c>
      <c r="D96" s="134">
        <v>-154593</v>
      </c>
      <c r="G96" s="141">
        <f t="shared" si="3"/>
        <v>-154593</v>
      </c>
      <c r="H96" s="141">
        <f t="shared" si="4"/>
        <v>675826</v>
      </c>
      <c r="I96" s="141">
        <f t="shared" si="5"/>
        <v>596715</v>
      </c>
    </row>
    <row r="97" spans="1:9" x14ac:dyDescent="0.35">
      <c r="A97" s="123" t="s">
        <v>201</v>
      </c>
      <c r="B97" s="127">
        <v>2388173</v>
      </c>
      <c r="C97" s="127">
        <v>2606640</v>
      </c>
      <c r="D97" s="133">
        <v>1689011</v>
      </c>
      <c r="G97" s="140">
        <f t="shared" si="3"/>
        <v>1689011</v>
      </c>
      <c r="H97" s="140">
        <f t="shared" si="4"/>
        <v>2606640</v>
      </c>
      <c r="I97" s="140">
        <f t="shared" si="5"/>
        <v>2388173</v>
      </c>
    </row>
    <row r="99" spans="1:9" s="103" customFormat="1" x14ac:dyDescent="0.35">
      <c r="A99" s="103" t="s">
        <v>205</v>
      </c>
      <c r="F99" s="104"/>
    </row>
    <row r="101" spans="1:9" x14ac:dyDescent="0.35">
      <c r="A101" s="136"/>
      <c r="B101" s="137" t="s">
        <v>129</v>
      </c>
      <c r="C101" s="137" t="s">
        <v>129</v>
      </c>
      <c r="D101" s="137" t="s">
        <v>130</v>
      </c>
      <c r="E101" s="137" t="s">
        <v>130</v>
      </c>
    </row>
    <row r="102" spans="1:9" x14ac:dyDescent="0.35">
      <c r="A102" s="136"/>
      <c r="B102" s="137" t="s">
        <v>131</v>
      </c>
      <c r="C102" s="137" t="s">
        <v>132</v>
      </c>
      <c r="D102" s="137" t="s">
        <v>206</v>
      </c>
      <c r="E102" s="137" t="s">
        <v>134</v>
      </c>
    </row>
    <row r="103" spans="1:9" x14ac:dyDescent="0.35">
      <c r="A103" s="138" t="s">
        <v>207</v>
      </c>
      <c r="B103" s="139"/>
      <c r="C103" s="139"/>
      <c r="D103" s="139"/>
      <c r="E103" s="139"/>
    </row>
    <row r="104" spans="1:9" x14ac:dyDescent="0.35">
      <c r="A104" s="136" t="s">
        <v>154</v>
      </c>
      <c r="B104" s="140">
        <v>-61613</v>
      </c>
      <c r="C104" s="140">
        <v>-104049</v>
      </c>
      <c r="D104" s="140">
        <v>-111184</v>
      </c>
      <c r="E104" s="140">
        <v>-178620</v>
      </c>
      <c r="G104" s="140">
        <f>E104</f>
        <v>-178620</v>
      </c>
      <c r="H104" s="140">
        <f>SUM(C104:D104)</f>
        <v>-215233</v>
      </c>
      <c r="I104" s="140">
        <f>B104</f>
        <v>-61613</v>
      </c>
    </row>
    <row r="105" spans="1:9" x14ac:dyDescent="0.35">
      <c r="A105" s="136" t="s">
        <v>208</v>
      </c>
      <c r="B105" s="139"/>
      <c r="C105" s="139"/>
      <c r="D105" s="139"/>
      <c r="E105" s="139"/>
      <c r="G105" s="139">
        <f t="shared" ref="G105:G153" si="6">E105</f>
        <v>0</v>
      </c>
      <c r="H105" s="139">
        <f t="shared" ref="H105:H151" si="7">SUM(C105:D105)</f>
        <v>0</v>
      </c>
      <c r="I105" s="139">
        <f t="shared" ref="I105:I153" si="8">B105</f>
        <v>0</v>
      </c>
    </row>
    <row r="106" spans="1:9" x14ac:dyDescent="0.35">
      <c r="A106" s="136" t="s">
        <v>140</v>
      </c>
      <c r="B106" s="141">
        <v>212640</v>
      </c>
      <c r="C106" s="141">
        <v>167794</v>
      </c>
      <c r="D106" s="141">
        <v>39298</v>
      </c>
      <c r="E106" s="141">
        <v>164212</v>
      </c>
      <c r="G106" s="141">
        <f t="shared" si="6"/>
        <v>164212</v>
      </c>
      <c r="H106" s="141">
        <f t="shared" si="7"/>
        <v>207092</v>
      </c>
      <c r="I106" s="141">
        <f t="shared" si="8"/>
        <v>212640</v>
      </c>
    </row>
    <row r="107" spans="1:9" x14ac:dyDescent="0.35">
      <c r="A107" s="136" t="s">
        <v>209</v>
      </c>
      <c r="B107" s="141">
        <v>2716</v>
      </c>
      <c r="C107" s="141">
        <v>1927</v>
      </c>
      <c r="D107" s="141">
        <v>6365</v>
      </c>
      <c r="E107" s="141">
        <v>12580</v>
      </c>
      <c r="G107" s="141">
        <f t="shared" si="6"/>
        <v>12580</v>
      </c>
      <c r="H107" s="141">
        <f t="shared" si="7"/>
        <v>8292</v>
      </c>
      <c r="I107" s="141">
        <f t="shared" si="8"/>
        <v>2716</v>
      </c>
    </row>
    <row r="108" spans="1:9" x14ac:dyDescent="0.35">
      <c r="A108" s="136" t="s">
        <v>141</v>
      </c>
      <c r="B108" s="141">
        <v>-86481</v>
      </c>
      <c r="C108" s="141">
        <v>1408</v>
      </c>
      <c r="D108" s="141">
        <v>0</v>
      </c>
      <c r="E108" s="141">
        <v>0</v>
      </c>
      <c r="G108" s="141">
        <f t="shared" si="6"/>
        <v>0</v>
      </c>
      <c r="H108" s="141">
        <f t="shared" si="7"/>
        <v>1408</v>
      </c>
      <c r="I108" s="141">
        <f t="shared" si="8"/>
        <v>-86481</v>
      </c>
    </row>
    <row r="109" spans="1:9" x14ac:dyDescent="0.35">
      <c r="A109" s="136" t="s">
        <v>142</v>
      </c>
      <c r="B109" s="141">
        <v>-8516</v>
      </c>
      <c r="C109" s="141">
        <v>2179</v>
      </c>
      <c r="D109" s="141">
        <v>710</v>
      </c>
      <c r="E109" s="141">
        <v>3376</v>
      </c>
      <c r="G109" s="141">
        <f t="shared" si="6"/>
        <v>3376</v>
      </c>
      <c r="H109" s="141">
        <f t="shared" si="7"/>
        <v>2889</v>
      </c>
      <c r="I109" s="141">
        <f t="shared" si="8"/>
        <v>-8516</v>
      </c>
    </row>
    <row r="110" spans="1:9" x14ac:dyDescent="0.35">
      <c r="A110" s="136" t="s">
        <v>210</v>
      </c>
      <c r="B110" s="141">
        <v>729</v>
      </c>
      <c r="C110" s="141">
        <v>575</v>
      </c>
      <c r="D110" s="141">
        <v>318</v>
      </c>
      <c r="E110" s="141">
        <v>5106</v>
      </c>
      <c r="G110" s="141">
        <f t="shared" si="6"/>
        <v>5106</v>
      </c>
      <c r="H110" s="141">
        <f t="shared" si="7"/>
        <v>893</v>
      </c>
      <c r="I110" s="141">
        <f t="shared" si="8"/>
        <v>729</v>
      </c>
    </row>
    <row r="111" spans="1:9" x14ac:dyDescent="0.35">
      <c r="A111" s="136" t="s">
        <v>211</v>
      </c>
      <c r="B111" s="141">
        <v>0</v>
      </c>
      <c r="C111" s="141">
        <v>2435</v>
      </c>
      <c r="D111" s="141">
        <v>5216</v>
      </c>
      <c r="E111" s="141">
        <v>36396</v>
      </c>
      <c r="G111" s="141">
        <f t="shared" si="6"/>
        <v>36396</v>
      </c>
      <c r="H111" s="141">
        <f t="shared" si="7"/>
        <v>7651</v>
      </c>
      <c r="I111" s="141">
        <f t="shared" si="8"/>
        <v>0</v>
      </c>
    </row>
    <row r="112" spans="1:9" x14ac:dyDescent="0.35">
      <c r="A112" s="136" t="s">
        <v>212</v>
      </c>
      <c r="B112" s="141">
        <v>0</v>
      </c>
      <c r="C112" s="141">
        <v>0</v>
      </c>
      <c r="D112" s="141">
        <v>-3520</v>
      </c>
      <c r="E112" s="141">
        <v>0</v>
      </c>
      <c r="G112" s="141">
        <f t="shared" si="6"/>
        <v>0</v>
      </c>
      <c r="H112" s="141">
        <f t="shared" si="7"/>
        <v>-3520</v>
      </c>
      <c r="I112" s="141">
        <f t="shared" si="8"/>
        <v>0</v>
      </c>
    </row>
    <row r="113" spans="1:9" x14ac:dyDescent="0.35">
      <c r="A113" s="136" t="s">
        <v>213</v>
      </c>
      <c r="B113" s="141">
        <v>-42947</v>
      </c>
      <c r="C113" s="141">
        <v>0</v>
      </c>
      <c r="D113" s="141">
        <v>0</v>
      </c>
      <c r="E113" s="141">
        <v>0</v>
      </c>
      <c r="G113" s="141">
        <f t="shared" si="6"/>
        <v>0</v>
      </c>
      <c r="H113" s="141">
        <f t="shared" si="7"/>
        <v>0</v>
      </c>
      <c r="I113" s="141">
        <f t="shared" si="8"/>
        <v>-42947</v>
      </c>
    </row>
    <row r="114" spans="1:9" x14ac:dyDescent="0.35">
      <c r="A114" s="136" t="s">
        <v>152</v>
      </c>
      <c r="B114" s="141">
        <v>0</v>
      </c>
      <c r="C114" s="141">
        <v>0</v>
      </c>
      <c r="D114" s="141">
        <v>-9278</v>
      </c>
      <c r="E114" s="141">
        <v>17124</v>
      </c>
      <c r="G114" s="141">
        <f t="shared" si="6"/>
        <v>17124</v>
      </c>
      <c r="H114" s="141">
        <f t="shared" si="7"/>
        <v>-9278</v>
      </c>
      <c r="I114" s="141">
        <f t="shared" si="8"/>
        <v>0</v>
      </c>
    </row>
    <row r="115" spans="1:9" x14ac:dyDescent="0.35">
      <c r="A115" s="136" t="s">
        <v>144</v>
      </c>
      <c r="B115" s="141">
        <v>110689</v>
      </c>
      <c r="C115" s="141">
        <v>42667</v>
      </c>
      <c r="D115" s="141">
        <v>0</v>
      </c>
      <c r="E115" s="141">
        <v>74575</v>
      </c>
      <c r="G115" s="141">
        <f t="shared" si="6"/>
        <v>74575</v>
      </c>
      <c r="H115" s="141">
        <f t="shared" si="7"/>
        <v>42667</v>
      </c>
      <c r="I115" s="141">
        <f t="shared" si="8"/>
        <v>110689</v>
      </c>
    </row>
    <row r="116" spans="1:9" x14ac:dyDescent="0.35">
      <c r="A116" s="136" t="s">
        <v>214</v>
      </c>
      <c r="B116" s="141">
        <v>0</v>
      </c>
      <c r="C116" s="141">
        <v>0</v>
      </c>
      <c r="D116" s="141">
        <v>0</v>
      </c>
      <c r="E116" s="141">
        <v>2333</v>
      </c>
      <c r="G116" s="141">
        <f t="shared" si="6"/>
        <v>2333</v>
      </c>
      <c r="H116" s="141">
        <f t="shared" si="7"/>
        <v>0</v>
      </c>
      <c r="I116" s="141">
        <f t="shared" si="8"/>
        <v>0</v>
      </c>
    </row>
    <row r="117" spans="1:9" x14ac:dyDescent="0.35">
      <c r="A117" s="136" t="s">
        <v>215</v>
      </c>
      <c r="B117" s="141">
        <v>0</v>
      </c>
      <c r="C117" s="141">
        <v>0</v>
      </c>
      <c r="D117" s="141">
        <v>0</v>
      </c>
      <c r="E117" s="141">
        <v>31484</v>
      </c>
      <c r="G117" s="141">
        <f t="shared" si="6"/>
        <v>31484</v>
      </c>
      <c r="H117" s="141">
        <f t="shared" si="7"/>
        <v>0</v>
      </c>
      <c r="I117" s="141">
        <f t="shared" si="8"/>
        <v>0</v>
      </c>
    </row>
    <row r="118" spans="1:9" x14ac:dyDescent="0.35">
      <c r="A118" s="136" t="s">
        <v>216</v>
      </c>
      <c r="B118" s="141">
        <v>0</v>
      </c>
      <c r="C118" s="141">
        <v>0</v>
      </c>
      <c r="D118" s="141">
        <v>95510</v>
      </c>
      <c r="E118" s="141">
        <v>11124</v>
      </c>
      <c r="G118" s="141">
        <f t="shared" si="6"/>
        <v>11124</v>
      </c>
      <c r="H118" s="141">
        <f t="shared" si="7"/>
        <v>95510</v>
      </c>
      <c r="I118" s="141">
        <f t="shared" si="8"/>
        <v>0</v>
      </c>
    </row>
    <row r="119" spans="1:9" x14ac:dyDescent="0.35">
      <c r="A119" s="136" t="s">
        <v>217</v>
      </c>
      <c r="B119" s="141">
        <v>0</v>
      </c>
      <c r="C119" s="141">
        <v>8868</v>
      </c>
      <c r="D119" s="141">
        <v>0</v>
      </c>
      <c r="E119" s="141">
        <v>0</v>
      </c>
      <c r="G119" s="141">
        <f t="shared" si="6"/>
        <v>0</v>
      </c>
      <c r="H119" s="141">
        <f t="shared" si="7"/>
        <v>8868</v>
      </c>
      <c r="I119" s="141">
        <f t="shared" si="8"/>
        <v>0</v>
      </c>
    </row>
    <row r="120" spans="1:9" x14ac:dyDescent="0.35">
      <c r="A120" s="136" t="s">
        <v>218</v>
      </c>
      <c r="B120" s="139"/>
      <c r="C120" s="139"/>
      <c r="D120" s="139"/>
      <c r="E120" s="139"/>
      <c r="G120" s="139">
        <f t="shared" si="6"/>
        <v>0</v>
      </c>
      <c r="H120" s="139">
        <f t="shared" si="7"/>
        <v>0</v>
      </c>
      <c r="I120" s="139">
        <f t="shared" si="8"/>
        <v>0</v>
      </c>
    </row>
    <row r="121" spans="1:9" x14ac:dyDescent="0.35">
      <c r="A121" s="136" t="s">
        <v>171</v>
      </c>
      <c r="B121" s="141">
        <v>2910</v>
      </c>
      <c r="C121" s="141">
        <v>52</v>
      </c>
      <c r="D121" s="141">
        <v>19695</v>
      </c>
      <c r="E121" s="141">
        <v>6420</v>
      </c>
      <c r="G121" s="141">
        <f t="shared" si="6"/>
        <v>6420</v>
      </c>
      <c r="H121" s="141">
        <f t="shared" si="7"/>
        <v>19747</v>
      </c>
      <c r="I121" s="141">
        <f t="shared" si="8"/>
        <v>2910</v>
      </c>
    </row>
    <row r="122" spans="1:9" x14ac:dyDescent="0.35">
      <c r="A122" s="136" t="s">
        <v>219</v>
      </c>
      <c r="B122" s="141">
        <v>-6565</v>
      </c>
      <c r="C122" s="141">
        <v>-14321</v>
      </c>
      <c r="D122" s="141">
        <v>-13157</v>
      </c>
      <c r="E122" s="141">
        <v>12940</v>
      </c>
      <c r="G122" s="141">
        <f t="shared" si="6"/>
        <v>12940</v>
      </c>
      <c r="H122" s="141">
        <f t="shared" si="7"/>
        <v>-27478</v>
      </c>
      <c r="I122" s="141">
        <f t="shared" si="8"/>
        <v>-6565</v>
      </c>
    </row>
    <row r="123" spans="1:9" x14ac:dyDescent="0.35">
      <c r="A123" s="136" t="s">
        <v>220</v>
      </c>
      <c r="B123" s="141">
        <v>-13712</v>
      </c>
      <c r="C123" s="141">
        <v>4788</v>
      </c>
      <c r="D123" s="141">
        <v>-917</v>
      </c>
      <c r="E123" s="141">
        <v>7858</v>
      </c>
      <c r="G123" s="141">
        <f t="shared" si="6"/>
        <v>7858</v>
      </c>
      <c r="H123" s="141">
        <f t="shared" si="7"/>
        <v>3871</v>
      </c>
      <c r="I123" s="141">
        <f t="shared" si="8"/>
        <v>-13712</v>
      </c>
    </row>
    <row r="124" spans="1:9" x14ac:dyDescent="0.35">
      <c r="A124" s="136" t="s">
        <v>221</v>
      </c>
      <c r="B124" s="141">
        <v>974</v>
      </c>
      <c r="C124" s="141">
        <v>-10535</v>
      </c>
      <c r="D124" s="141">
        <v>-5117</v>
      </c>
      <c r="E124" s="141">
        <v>5623</v>
      </c>
      <c r="G124" s="141">
        <f t="shared" si="6"/>
        <v>5623</v>
      </c>
      <c r="H124" s="141">
        <f t="shared" si="7"/>
        <v>-15652</v>
      </c>
      <c r="I124" s="141">
        <f t="shared" si="8"/>
        <v>974</v>
      </c>
    </row>
    <row r="125" spans="1:9" x14ac:dyDescent="0.35">
      <c r="A125" s="136" t="s">
        <v>175</v>
      </c>
      <c r="B125" s="141">
        <v>572</v>
      </c>
      <c r="C125" s="141">
        <v>1368</v>
      </c>
      <c r="D125" s="141">
        <v>-241</v>
      </c>
      <c r="E125" s="141">
        <v>-15790</v>
      </c>
      <c r="G125" s="141">
        <f t="shared" si="6"/>
        <v>-15790</v>
      </c>
      <c r="H125" s="141">
        <f t="shared" si="7"/>
        <v>1127</v>
      </c>
      <c r="I125" s="141">
        <f t="shared" si="8"/>
        <v>572</v>
      </c>
    </row>
    <row r="126" spans="1:9" x14ac:dyDescent="0.35">
      <c r="A126" s="136" t="s">
        <v>222</v>
      </c>
      <c r="B126" s="141">
        <v>0</v>
      </c>
      <c r="C126" s="141">
        <v>633</v>
      </c>
      <c r="D126" s="141">
        <v>-532</v>
      </c>
      <c r="E126" s="141">
        <v>3938</v>
      </c>
      <c r="G126" s="141">
        <f t="shared" si="6"/>
        <v>3938</v>
      </c>
      <c r="H126" s="141">
        <f t="shared" si="7"/>
        <v>101</v>
      </c>
      <c r="I126" s="141">
        <f t="shared" si="8"/>
        <v>0</v>
      </c>
    </row>
    <row r="127" spans="1:9" x14ac:dyDescent="0.35">
      <c r="A127" s="136" t="s">
        <v>188</v>
      </c>
      <c r="B127" s="141">
        <v>23077</v>
      </c>
      <c r="C127" s="141">
        <v>8363</v>
      </c>
      <c r="D127" s="141">
        <v>7324</v>
      </c>
      <c r="E127" s="141">
        <v>5779</v>
      </c>
      <c r="G127" s="141">
        <f t="shared" si="6"/>
        <v>5779</v>
      </c>
      <c r="H127" s="141">
        <f t="shared" si="7"/>
        <v>15687</v>
      </c>
      <c r="I127" s="141">
        <f t="shared" si="8"/>
        <v>23077</v>
      </c>
    </row>
    <row r="128" spans="1:9" x14ac:dyDescent="0.35">
      <c r="A128" s="136" t="s">
        <v>187</v>
      </c>
      <c r="B128" s="141">
        <v>10894</v>
      </c>
      <c r="C128" s="141">
        <v>8961</v>
      </c>
      <c r="D128" s="141">
        <v>-9803</v>
      </c>
      <c r="E128" s="141">
        <v>22905</v>
      </c>
      <c r="G128" s="141">
        <f t="shared" si="6"/>
        <v>22905</v>
      </c>
      <c r="H128" s="141">
        <f t="shared" si="7"/>
        <v>-842</v>
      </c>
      <c r="I128" s="141">
        <f t="shared" si="8"/>
        <v>10894</v>
      </c>
    </row>
    <row r="129" spans="1:9" x14ac:dyDescent="0.35">
      <c r="A129" s="136" t="s">
        <v>189</v>
      </c>
      <c r="B129" s="141">
        <v>-12276</v>
      </c>
      <c r="C129" s="141">
        <v>-11574</v>
      </c>
      <c r="D129" s="141">
        <v>-3430</v>
      </c>
      <c r="E129" s="141">
        <v>5537</v>
      </c>
      <c r="G129" s="141">
        <f t="shared" si="6"/>
        <v>5537</v>
      </c>
      <c r="H129" s="141">
        <f t="shared" si="7"/>
        <v>-15004</v>
      </c>
      <c r="I129" s="141">
        <f t="shared" si="8"/>
        <v>-12276</v>
      </c>
    </row>
    <row r="130" spans="1:9" x14ac:dyDescent="0.35">
      <c r="A130" s="136" t="s">
        <v>223</v>
      </c>
      <c r="B130" s="141">
        <v>276</v>
      </c>
      <c r="C130" s="141">
        <v>29</v>
      </c>
      <c r="D130" s="141">
        <v>2393</v>
      </c>
      <c r="E130" s="141">
        <v>3551</v>
      </c>
      <c r="G130" s="141">
        <f t="shared" si="6"/>
        <v>3551</v>
      </c>
      <c r="H130" s="141">
        <f t="shared" si="7"/>
        <v>2422</v>
      </c>
      <c r="I130" s="141">
        <f t="shared" si="8"/>
        <v>276</v>
      </c>
    </row>
    <row r="131" spans="1:9" x14ac:dyDescent="0.35">
      <c r="A131" s="136" t="s">
        <v>224</v>
      </c>
      <c r="B131" s="141">
        <v>133367</v>
      </c>
      <c r="C131" s="141">
        <v>111568</v>
      </c>
      <c r="D131" s="141">
        <v>19650</v>
      </c>
      <c r="E131" s="141">
        <v>238451</v>
      </c>
      <c r="G131" s="141">
        <f t="shared" si="6"/>
        <v>238451</v>
      </c>
      <c r="H131" s="141">
        <f t="shared" si="7"/>
        <v>131218</v>
      </c>
      <c r="I131" s="141">
        <f t="shared" si="8"/>
        <v>133367</v>
      </c>
    </row>
    <row r="132" spans="1:9" x14ac:dyDescent="0.35">
      <c r="A132" s="138" t="s">
        <v>225</v>
      </c>
      <c r="B132" s="139"/>
      <c r="C132" s="139"/>
      <c r="D132" s="139"/>
      <c r="E132" s="139"/>
      <c r="G132" s="139">
        <f t="shared" si="6"/>
        <v>0</v>
      </c>
      <c r="H132" s="139">
        <f t="shared" si="7"/>
        <v>0</v>
      </c>
      <c r="I132" s="139">
        <f t="shared" si="8"/>
        <v>0</v>
      </c>
    </row>
    <row r="133" spans="1:9" x14ac:dyDescent="0.35">
      <c r="A133" s="136" t="s">
        <v>226</v>
      </c>
      <c r="B133" s="141">
        <v>-84147</v>
      </c>
      <c r="C133" s="141">
        <v>-56547</v>
      </c>
      <c r="D133" s="141">
        <v>-19908</v>
      </c>
      <c r="E133" s="141">
        <v>-54584</v>
      </c>
      <c r="G133" s="141">
        <f t="shared" si="6"/>
        <v>-54584</v>
      </c>
      <c r="H133" s="141">
        <f t="shared" si="7"/>
        <v>-76455</v>
      </c>
      <c r="I133" s="141">
        <f t="shared" si="8"/>
        <v>-84147</v>
      </c>
    </row>
    <row r="134" spans="1:9" x14ac:dyDescent="0.35">
      <c r="A134" s="136" t="s">
        <v>227</v>
      </c>
      <c r="B134" s="141">
        <v>0</v>
      </c>
      <c r="C134" s="141">
        <v>0</v>
      </c>
      <c r="D134" s="141">
        <v>3520</v>
      </c>
      <c r="E134" s="141">
        <v>0</v>
      </c>
      <c r="G134" s="141">
        <f t="shared" si="6"/>
        <v>0</v>
      </c>
      <c r="H134" s="141">
        <f t="shared" si="7"/>
        <v>3520</v>
      </c>
      <c r="I134" s="141">
        <f t="shared" si="8"/>
        <v>0</v>
      </c>
    </row>
    <row r="135" spans="1:9" x14ac:dyDescent="0.35">
      <c r="A135" s="136" t="s">
        <v>213</v>
      </c>
      <c r="B135" s="141">
        <v>42947</v>
      </c>
      <c r="C135" s="141">
        <v>0</v>
      </c>
      <c r="D135" s="141">
        <v>0</v>
      </c>
      <c r="E135" s="141">
        <v>0</v>
      </c>
      <c r="G135" s="141">
        <f t="shared" si="6"/>
        <v>0</v>
      </c>
      <c r="H135" s="141">
        <f t="shared" si="7"/>
        <v>0</v>
      </c>
      <c r="I135" s="141">
        <f t="shared" si="8"/>
        <v>42947</v>
      </c>
    </row>
    <row r="136" spans="1:9" x14ac:dyDescent="0.35">
      <c r="A136" s="136" t="s">
        <v>228</v>
      </c>
      <c r="B136" s="141">
        <v>3138</v>
      </c>
      <c r="C136" s="141">
        <v>2199</v>
      </c>
      <c r="D136" s="141">
        <v>705</v>
      </c>
      <c r="E136" s="141">
        <v>2689</v>
      </c>
      <c r="G136" s="141">
        <f t="shared" si="6"/>
        <v>2689</v>
      </c>
      <c r="H136" s="141">
        <f t="shared" si="7"/>
        <v>2904</v>
      </c>
      <c r="I136" s="141">
        <f t="shared" si="8"/>
        <v>3138</v>
      </c>
    </row>
    <row r="137" spans="1:9" x14ac:dyDescent="0.35">
      <c r="A137" s="136" t="s">
        <v>229</v>
      </c>
      <c r="B137" s="141">
        <v>0</v>
      </c>
      <c r="C137" s="141">
        <v>0</v>
      </c>
      <c r="D137" s="141">
        <v>1898</v>
      </c>
      <c r="E137" s="141">
        <v>4266</v>
      </c>
      <c r="G137" s="141">
        <f t="shared" si="6"/>
        <v>4266</v>
      </c>
      <c r="H137" s="141">
        <f t="shared" si="7"/>
        <v>1898</v>
      </c>
      <c r="I137" s="141">
        <f t="shared" si="8"/>
        <v>0</v>
      </c>
    </row>
    <row r="138" spans="1:9" x14ac:dyDescent="0.35">
      <c r="A138" s="136" t="s">
        <v>230</v>
      </c>
      <c r="B138" s="141">
        <v>-38062</v>
      </c>
      <c r="C138" s="141">
        <v>-54348</v>
      </c>
      <c r="D138" s="141">
        <v>-13785</v>
      </c>
      <c r="E138" s="141">
        <v>-47629</v>
      </c>
      <c r="G138" s="141">
        <f t="shared" si="6"/>
        <v>-47629</v>
      </c>
      <c r="H138" s="141">
        <f t="shared" si="7"/>
        <v>-68133</v>
      </c>
      <c r="I138" s="141">
        <f t="shared" si="8"/>
        <v>-38062</v>
      </c>
    </row>
    <row r="139" spans="1:9" x14ac:dyDescent="0.35">
      <c r="A139" s="138" t="s">
        <v>231</v>
      </c>
      <c r="B139" s="139"/>
      <c r="C139" s="139"/>
      <c r="D139" s="139"/>
      <c r="E139" s="139"/>
      <c r="G139" s="139">
        <f t="shared" si="6"/>
        <v>0</v>
      </c>
      <c r="H139" s="139">
        <f t="shared" si="7"/>
        <v>0</v>
      </c>
      <c r="I139" s="139">
        <f t="shared" si="8"/>
        <v>0</v>
      </c>
    </row>
    <row r="140" spans="1:9" x14ac:dyDescent="0.35">
      <c r="A140" s="136" t="s">
        <v>232</v>
      </c>
      <c r="B140" s="141">
        <v>61000</v>
      </c>
      <c r="C140" s="141">
        <v>0</v>
      </c>
      <c r="D140" s="141">
        <v>0</v>
      </c>
      <c r="E140" s="141">
        <v>0</v>
      </c>
      <c r="G140" s="141">
        <f t="shared" si="6"/>
        <v>0</v>
      </c>
      <c r="H140" s="141">
        <f t="shared" si="7"/>
        <v>0</v>
      </c>
      <c r="I140" s="141">
        <f t="shared" si="8"/>
        <v>61000</v>
      </c>
    </row>
    <row r="141" spans="1:9" x14ac:dyDescent="0.35">
      <c r="A141" s="136" t="s">
        <v>233</v>
      </c>
      <c r="B141" s="141">
        <v>-24000</v>
      </c>
      <c r="C141" s="141">
        <v>0</v>
      </c>
      <c r="D141" s="141">
        <v>-352500</v>
      </c>
      <c r="E141" s="141">
        <v>0</v>
      </c>
      <c r="G141" s="141">
        <f t="shared" si="6"/>
        <v>0</v>
      </c>
      <c r="H141" s="141">
        <f t="shared" si="7"/>
        <v>-352500</v>
      </c>
      <c r="I141" s="141">
        <f t="shared" si="8"/>
        <v>-24000</v>
      </c>
    </row>
    <row r="142" spans="1:9" x14ac:dyDescent="0.35">
      <c r="A142" s="136" t="s">
        <v>234</v>
      </c>
      <c r="B142" s="141">
        <v>0</v>
      </c>
      <c r="C142" s="141">
        <v>-21200</v>
      </c>
      <c r="D142" s="141">
        <v>7000</v>
      </c>
      <c r="E142" s="141">
        <v>-26800</v>
      </c>
      <c r="G142" s="141">
        <f t="shared" si="6"/>
        <v>-26800</v>
      </c>
      <c r="H142" s="141">
        <f t="shared" si="7"/>
        <v>-14200</v>
      </c>
      <c r="I142" s="141">
        <f t="shared" si="8"/>
        <v>0</v>
      </c>
    </row>
    <row r="143" spans="1:9" x14ac:dyDescent="0.35">
      <c r="A143" s="136" t="s">
        <v>235</v>
      </c>
      <c r="B143" s="141">
        <v>0</v>
      </c>
      <c r="C143" s="141">
        <v>0</v>
      </c>
      <c r="D143" s="141">
        <v>1234438</v>
      </c>
      <c r="E143" s="141">
        <v>0</v>
      </c>
      <c r="G143" s="141">
        <f t="shared" si="6"/>
        <v>0</v>
      </c>
      <c r="H143" s="141">
        <f t="shared" si="7"/>
        <v>1234438</v>
      </c>
      <c r="I143" s="141">
        <f t="shared" si="8"/>
        <v>0</v>
      </c>
    </row>
    <row r="144" spans="1:9" x14ac:dyDescent="0.35">
      <c r="A144" s="136" t="s">
        <v>236</v>
      </c>
      <c r="B144" s="141">
        <v>-106146</v>
      </c>
      <c r="C144" s="141">
        <v>-33971</v>
      </c>
      <c r="D144" s="141">
        <v>-970721</v>
      </c>
      <c r="E144" s="141">
        <v>-45692</v>
      </c>
      <c r="G144" s="141">
        <f t="shared" si="6"/>
        <v>-45692</v>
      </c>
      <c r="H144" s="141">
        <f t="shared" si="7"/>
        <v>-1004692</v>
      </c>
      <c r="I144" s="141">
        <f t="shared" si="8"/>
        <v>-106146</v>
      </c>
    </row>
    <row r="145" spans="1:9" x14ac:dyDescent="0.35">
      <c r="A145" s="136" t="s">
        <v>237</v>
      </c>
      <c r="B145" s="141">
        <v>0</v>
      </c>
      <c r="C145" s="141">
        <v>0</v>
      </c>
      <c r="D145" s="141">
        <v>60586</v>
      </c>
      <c r="E145" s="141">
        <v>0</v>
      </c>
      <c r="G145" s="141">
        <f t="shared" si="6"/>
        <v>0</v>
      </c>
      <c r="H145" s="141">
        <f t="shared" si="7"/>
        <v>60586</v>
      </c>
      <c r="I145" s="141">
        <f t="shared" si="8"/>
        <v>0</v>
      </c>
    </row>
    <row r="146" spans="1:9" x14ac:dyDescent="0.35">
      <c r="A146" s="136" t="s">
        <v>238</v>
      </c>
      <c r="B146" s="141">
        <v>-18142</v>
      </c>
      <c r="C146" s="141">
        <v>-9725</v>
      </c>
      <c r="D146" s="141">
        <v>0</v>
      </c>
      <c r="E146" s="141">
        <v>-182</v>
      </c>
      <c r="G146" s="141">
        <f t="shared" si="6"/>
        <v>-182</v>
      </c>
      <c r="H146" s="141">
        <f t="shared" si="7"/>
        <v>-9725</v>
      </c>
      <c r="I146" s="141">
        <f t="shared" si="8"/>
        <v>-18142</v>
      </c>
    </row>
    <row r="147" spans="1:9" x14ac:dyDescent="0.35">
      <c r="A147" s="136" t="s">
        <v>239</v>
      </c>
      <c r="B147" s="141">
        <v>0</v>
      </c>
      <c r="C147" s="141">
        <v>0</v>
      </c>
      <c r="D147" s="141">
        <v>-57645</v>
      </c>
      <c r="E147" s="141">
        <v>0</v>
      </c>
      <c r="G147" s="141">
        <f t="shared" si="6"/>
        <v>0</v>
      </c>
      <c r="H147" s="141">
        <f t="shared" si="7"/>
        <v>-57645</v>
      </c>
      <c r="I147" s="141">
        <f t="shared" si="8"/>
        <v>0</v>
      </c>
    </row>
    <row r="148" spans="1:9" x14ac:dyDescent="0.35">
      <c r="A148" s="136" t="s">
        <v>240</v>
      </c>
      <c r="B148" s="141">
        <v>0</v>
      </c>
      <c r="C148" s="141">
        <v>0</v>
      </c>
      <c r="D148" s="141">
        <v>-27328</v>
      </c>
      <c r="E148" s="141">
        <v>-15735</v>
      </c>
      <c r="G148" s="141">
        <f t="shared" si="6"/>
        <v>-15735</v>
      </c>
      <c r="H148" s="141">
        <f t="shared" si="7"/>
        <v>-27328</v>
      </c>
      <c r="I148" s="141">
        <f t="shared" si="8"/>
        <v>0</v>
      </c>
    </row>
    <row r="149" spans="1:9" x14ac:dyDescent="0.35">
      <c r="A149" s="136" t="s">
        <v>241</v>
      </c>
      <c r="B149" s="141">
        <v>-9927</v>
      </c>
      <c r="C149" s="141">
        <v>-4869</v>
      </c>
      <c r="D149" s="141">
        <v>-1892</v>
      </c>
      <c r="E149" s="141">
        <v>-3030</v>
      </c>
      <c r="G149" s="141">
        <f t="shared" si="6"/>
        <v>-3030</v>
      </c>
      <c r="H149" s="141">
        <f t="shared" si="7"/>
        <v>-6761</v>
      </c>
      <c r="I149" s="141">
        <f t="shared" si="8"/>
        <v>-9927</v>
      </c>
    </row>
    <row r="150" spans="1:9" x14ac:dyDescent="0.35">
      <c r="A150" s="136" t="s">
        <v>242</v>
      </c>
      <c r="B150" s="141">
        <v>-97215</v>
      </c>
      <c r="C150" s="141">
        <v>-69765</v>
      </c>
      <c r="D150" s="141">
        <v>-108062</v>
      </c>
      <c r="E150" s="141">
        <v>-91439</v>
      </c>
      <c r="G150" s="141">
        <f t="shared" si="6"/>
        <v>-91439</v>
      </c>
      <c r="H150" s="141">
        <f t="shared" si="7"/>
        <v>-177827</v>
      </c>
      <c r="I150" s="141">
        <f t="shared" si="8"/>
        <v>-97215</v>
      </c>
    </row>
    <row r="151" spans="1:9" x14ac:dyDescent="0.35">
      <c r="A151" s="136" t="s">
        <v>243</v>
      </c>
      <c r="B151" s="141">
        <v>-1910</v>
      </c>
      <c r="C151" s="141">
        <v>-12545</v>
      </c>
      <c r="D151" s="141">
        <v>-102197</v>
      </c>
      <c r="E151" s="141">
        <v>99383</v>
      </c>
      <c r="G151" s="141">
        <f t="shared" si="6"/>
        <v>99383</v>
      </c>
      <c r="H151" s="141">
        <f t="shared" si="7"/>
        <v>-114742</v>
      </c>
      <c r="I151" s="141">
        <f t="shared" si="8"/>
        <v>-1910</v>
      </c>
    </row>
    <row r="152" spans="1:9" x14ac:dyDescent="0.35">
      <c r="A152" s="136" t="s">
        <v>244</v>
      </c>
      <c r="B152" s="141">
        <v>2179</v>
      </c>
      <c r="C152" s="141">
        <v>14724</v>
      </c>
      <c r="D152" s="141">
        <v>116921</v>
      </c>
      <c r="E152" s="141">
        <v>17538</v>
      </c>
      <c r="G152" s="141">
        <f t="shared" si="6"/>
        <v>17538</v>
      </c>
      <c r="H152" s="142">
        <f>D152</f>
        <v>116921</v>
      </c>
      <c r="I152" s="141">
        <f t="shared" si="8"/>
        <v>2179</v>
      </c>
    </row>
    <row r="153" spans="1:9" x14ac:dyDescent="0.35">
      <c r="A153" s="136" t="s">
        <v>245</v>
      </c>
      <c r="B153" s="140">
        <v>269</v>
      </c>
      <c r="C153" s="140">
        <v>2179</v>
      </c>
      <c r="D153" s="140">
        <v>14724</v>
      </c>
      <c r="E153" s="140">
        <v>116921</v>
      </c>
      <c r="G153" s="141">
        <f t="shared" si="6"/>
        <v>116921</v>
      </c>
      <c r="H153" s="143">
        <f>C153</f>
        <v>2179</v>
      </c>
      <c r="I153" s="141">
        <f t="shared" si="8"/>
        <v>269</v>
      </c>
    </row>
    <row r="156" spans="1:9" s="103" customFormat="1" x14ac:dyDescent="0.35">
      <c r="A156" s="103" t="s">
        <v>389</v>
      </c>
      <c r="F156" s="104"/>
    </row>
    <row r="157" spans="1:9" x14ac:dyDescent="0.35">
      <c r="A157" s="306"/>
      <c r="B157" s="307"/>
      <c r="C157" s="307"/>
      <c r="D157" s="307"/>
      <c r="E157" s="308" t="s">
        <v>364</v>
      </c>
      <c r="F157" s="308"/>
      <c r="G157" s="308"/>
    </row>
    <row r="158" spans="1:9" x14ac:dyDescent="0.35">
      <c r="A158" s="306"/>
      <c r="B158" s="307" t="s">
        <v>365</v>
      </c>
      <c r="C158" s="307" t="s">
        <v>132</v>
      </c>
      <c r="D158" s="307" t="s">
        <v>366</v>
      </c>
      <c r="E158" s="307">
        <v>2016</v>
      </c>
      <c r="F158" s="307">
        <v>2015</v>
      </c>
      <c r="G158" s="307">
        <v>2014</v>
      </c>
    </row>
    <row r="159" spans="1:9" x14ac:dyDescent="0.35">
      <c r="A159" s="306"/>
      <c r="B159" s="307" t="s">
        <v>129</v>
      </c>
      <c r="C159" s="307" t="s">
        <v>129</v>
      </c>
      <c r="D159" s="307" t="s">
        <v>130</v>
      </c>
      <c r="E159" s="307" t="s">
        <v>130</v>
      </c>
      <c r="F159" s="307" t="s">
        <v>130</v>
      </c>
      <c r="G159" s="307" t="s">
        <v>130</v>
      </c>
    </row>
    <row r="160" spans="1:9" x14ac:dyDescent="0.35">
      <c r="A160" s="306" t="s">
        <v>367</v>
      </c>
      <c r="B160" s="306"/>
      <c r="C160" s="306"/>
      <c r="D160" s="309" t="s">
        <v>367</v>
      </c>
      <c r="E160" s="309"/>
      <c r="F160" s="309"/>
      <c r="G160" s="309"/>
    </row>
    <row r="161" spans="1:7" x14ac:dyDescent="0.35">
      <c r="A161" s="306" t="s">
        <v>135</v>
      </c>
      <c r="B161" s="310"/>
      <c r="C161" s="310"/>
      <c r="D161" s="310"/>
      <c r="E161" s="310"/>
      <c r="F161" s="310"/>
      <c r="G161" s="310"/>
    </row>
    <row r="162" spans="1:7" x14ac:dyDescent="0.35">
      <c r="A162" s="306" t="s">
        <v>93</v>
      </c>
      <c r="B162" s="311">
        <v>1097366</v>
      </c>
      <c r="C162" s="311">
        <v>716617</v>
      </c>
      <c r="D162" s="311">
        <v>227813</v>
      </c>
      <c r="E162" s="311">
        <v>866628</v>
      </c>
      <c r="F162" s="311">
        <v>979179</v>
      </c>
      <c r="G162" s="311">
        <v>1109404</v>
      </c>
    </row>
    <row r="163" spans="1:7" x14ac:dyDescent="0.35">
      <c r="A163" s="306" t="s">
        <v>136</v>
      </c>
      <c r="B163" s="312">
        <v>7625</v>
      </c>
      <c r="C163" s="312">
        <v>7527</v>
      </c>
      <c r="D163" s="312">
        <v>2581</v>
      </c>
      <c r="E163" s="312">
        <v>9204</v>
      </c>
      <c r="F163" s="312">
        <v>5674</v>
      </c>
      <c r="G163" s="312">
        <v>0</v>
      </c>
    </row>
    <row r="164" spans="1:7" x14ac:dyDescent="0.35">
      <c r="A164" s="306" t="s">
        <v>137</v>
      </c>
      <c r="B164" s="312">
        <v>1104991</v>
      </c>
      <c r="C164" s="312">
        <v>724144</v>
      </c>
      <c r="D164" s="312">
        <v>230394</v>
      </c>
      <c r="E164" s="312">
        <v>875832</v>
      </c>
      <c r="F164" s="312">
        <v>984853</v>
      </c>
      <c r="G164" s="312">
        <v>1109404</v>
      </c>
    </row>
    <row r="165" spans="1:7" x14ac:dyDescent="0.35">
      <c r="A165" s="306"/>
      <c r="B165" s="310"/>
      <c r="C165" s="310"/>
      <c r="D165" s="310"/>
      <c r="E165" s="310"/>
      <c r="F165" s="310"/>
      <c r="G165" s="310"/>
    </row>
    <row r="166" spans="1:7" x14ac:dyDescent="0.35">
      <c r="A166" s="306" t="s">
        <v>368</v>
      </c>
      <c r="B166" s="310"/>
      <c r="C166" s="310"/>
      <c r="D166" s="310"/>
      <c r="E166" s="310"/>
      <c r="F166" s="310"/>
      <c r="G166" s="310"/>
    </row>
    <row r="167" spans="1:7" x14ac:dyDescent="0.35">
      <c r="A167" s="306" t="s">
        <v>113</v>
      </c>
      <c r="B167" s="312">
        <v>526984</v>
      </c>
      <c r="C167" s="312">
        <v>367844</v>
      </c>
      <c r="D167" s="312">
        <v>117762</v>
      </c>
      <c r="E167" s="312">
        <v>423995</v>
      </c>
      <c r="F167" s="312">
        <v>509170</v>
      </c>
      <c r="G167" s="312">
        <v>449905</v>
      </c>
    </row>
    <row r="168" spans="1:7" x14ac:dyDescent="0.35">
      <c r="A168" s="306" t="s">
        <v>139</v>
      </c>
      <c r="B168" s="312">
        <v>14572</v>
      </c>
      <c r="C168" s="312">
        <v>0</v>
      </c>
      <c r="D168" s="312">
        <v>7973</v>
      </c>
      <c r="E168" s="312">
        <v>13541</v>
      </c>
      <c r="F168" s="312">
        <v>17444</v>
      </c>
      <c r="G168" s="312">
        <v>18232</v>
      </c>
    </row>
    <row r="169" spans="1:7" x14ac:dyDescent="0.35">
      <c r="A169" s="306" t="s">
        <v>70</v>
      </c>
      <c r="B169" s="312">
        <v>230052</v>
      </c>
      <c r="C169" s="312">
        <v>125772</v>
      </c>
      <c r="D169" s="312">
        <v>37726</v>
      </c>
      <c r="E169" s="312">
        <v>139659</v>
      </c>
      <c r="F169" s="312">
        <v>171733</v>
      </c>
      <c r="G169" s="312">
        <v>221178</v>
      </c>
    </row>
    <row r="170" spans="1:7" x14ac:dyDescent="0.35">
      <c r="A170" s="306" t="s">
        <v>140</v>
      </c>
      <c r="B170" s="312">
        <v>212640</v>
      </c>
      <c r="C170" s="312">
        <v>167794</v>
      </c>
      <c r="D170" s="312">
        <v>39298</v>
      </c>
      <c r="E170" s="312">
        <v>164212</v>
      </c>
      <c r="F170" s="312">
        <v>195415</v>
      </c>
      <c r="G170" s="312">
        <v>169767</v>
      </c>
    </row>
    <row r="171" spans="1:7" x14ac:dyDescent="0.35">
      <c r="A171" s="306" t="s">
        <v>141</v>
      </c>
      <c r="B171" s="312">
        <v>-86481</v>
      </c>
      <c r="C171" s="312">
        <v>1408</v>
      </c>
      <c r="D171" s="312">
        <v>0</v>
      </c>
      <c r="E171" s="312">
        <v>0</v>
      </c>
      <c r="F171" s="312">
        <v>0</v>
      </c>
      <c r="G171" s="312">
        <v>0</v>
      </c>
    </row>
    <row r="172" spans="1:7" x14ac:dyDescent="0.35">
      <c r="A172" s="306" t="s">
        <v>369</v>
      </c>
      <c r="B172" s="312">
        <v>-8516</v>
      </c>
      <c r="C172" s="312">
        <v>2179</v>
      </c>
      <c r="D172" s="312">
        <v>710</v>
      </c>
      <c r="E172" s="312">
        <v>3376</v>
      </c>
      <c r="F172" s="312">
        <v>2267</v>
      </c>
      <c r="G172" s="312">
        <v>1621</v>
      </c>
    </row>
    <row r="173" spans="1:7" x14ac:dyDescent="0.35">
      <c r="A173" s="306" t="s">
        <v>143</v>
      </c>
      <c r="B173" s="312">
        <v>39568</v>
      </c>
      <c r="C173" s="312">
        <v>23555</v>
      </c>
      <c r="D173" s="312">
        <v>6554</v>
      </c>
      <c r="E173" s="312">
        <v>25265</v>
      </c>
      <c r="F173" s="312">
        <v>31357</v>
      </c>
      <c r="G173" s="312">
        <v>33683</v>
      </c>
    </row>
    <row r="174" spans="1:7" x14ac:dyDescent="0.35">
      <c r="A174" s="306" t="s">
        <v>144</v>
      </c>
      <c r="B174" s="312">
        <v>110689</v>
      </c>
      <c r="C174" s="312">
        <v>42667</v>
      </c>
      <c r="D174" s="312">
        <v>0</v>
      </c>
      <c r="E174" s="312">
        <v>74575</v>
      </c>
      <c r="F174" s="312">
        <v>12592</v>
      </c>
      <c r="G174" s="312">
        <v>34700</v>
      </c>
    </row>
    <row r="175" spans="1:7" x14ac:dyDescent="0.35">
      <c r="A175" s="306" t="s">
        <v>145</v>
      </c>
      <c r="B175" s="312">
        <v>0</v>
      </c>
      <c r="C175" s="312">
        <v>0</v>
      </c>
      <c r="D175" s="312">
        <v>0</v>
      </c>
      <c r="E175" s="312">
        <v>6889</v>
      </c>
      <c r="F175" s="312">
        <v>21433</v>
      </c>
      <c r="G175" s="312">
        <v>0</v>
      </c>
    </row>
    <row r="176" spans="1:7" x14ac:dyDescent="0.35">
      <c r="A176" s="306" t="s">
        <v>146</v>
      </c>
      <c r="B176" s="312">
        <v>0</v>
      </c>
      <c r="C176" s="312">
        <v>2607</v>
      </c>
      <c r="D176" s="312">
        <v>1492</v>
      </c>
      <c r="E176" s="312">
        <v>23752</v>
      </c>
      <c r="F176" s="312">
        <v>-45691</v>
      </c>
      <c r="G176" s="312">
        <v>-76330</v>
      </c>
    </row>
    <row r="177" spans="1:7" x14ac:dyDescent="0.35">
      <c r="A177" s="306" t="s">
        <v>370</v>
      </c>
      <c r="B177" s="312">
        <v>-19040</v>
      </c>
      <c r="C177" s="312">
        <v>-13537</v>
      </c>
      <c r="D177" s="312">
        <v>451</v>
      </c>
      <c r="E177" s="312">
        <v>-22161</v>
      </c>
      <c r="F177" s="312">
        <v>-13424</v>
      </c>
      <c r="G177" s="312">
        <v>-2837</v>
      </c>
    </row>
    <row r="178" spans="1:7" x14ac:dyDescent="0.35">
      <c r="A178" s="306" t="s">
        <v>148</v>
      </c>
      <c r="B178" s="312">
        <v>84523</v>
      </c>
      <c r="C178" s="312">
        <v>3855</v>
      </c>
      <c r="D178" s="312">
        <v>18428</v>
      </c>
      <c r="E178" s="312">
        <v>22729</v>
      </c>
      <c r="F178" s="312">
        <v>82557</v>
      </c>
      <c r="G178" s="312">
        <v>259485</v>
      </c>
    </row>
    <row r="179" spans="1:7" x14ac:dyDescent="0.35">
      <c r="A179" s="306" t="s">
        <v>371</v>
      </c>
      <c r="B179" s="310"/>
      <c r="C179" s="310"/>
      <c r="D179" s="310"/>
      <c r="E179" s="310"/>
      <c r="F179" s="310"/>
      <c r="G179" s="310"/>
    </row>
    <row r="180" spans="1:7" x14ac:dyDescent="0.35">
      <c r="A180" s="306" t="s">
        <v>150</v>
      </c>
      <c r="B180" s="312">
        <v>146136</v>
      </c>
      <c r="C180" s="312">
        <v>107904</v>
      </c>
      <c r="D180" s="312">
        <v>43380</v>
      </c>
      <c r="E180" s="312">
        <v>149201</v>
      </c>
      <c r="F180" s="312">
        <v>117311</v>
      </c>
      <c r="G180" s="312">
        <v>113030</v>
      </c>
    </row>
    <row r="181" spans="1:7" x14ac:dyDescent="0.35">
      <c r="A181" s="306" t="s">
        <v>151</v>
      </c>
      <c r="B181" s="312">
        <v>0</v>
      </c>
      <c r="C181" s="312">
        <v>0</v>
      </c>
      <c r="D181" s="312">
        <v>0</v>
      </c>
      <c r="E181" s="312">
        <v>21821</v>
      </c>
      <c r="F181" s="312">
        <v>3930</v>
      </c>
      <c r="G181" s="312">
        <v>0</v>
      </c>
    </row>
    <row r="182" spans="1:7" x14ac:dyDescent="0.35">
      <c r="A182" s="306" t="s">
        <v>152</v>
      </c>
      <c r="B182" s="312">
        <v>0</v>
      </c>
      <c r="C182" s="312">
        <v>0</v>
      </c>
      <c r="D182" s="312">
        <v>-9278</v>
      </c>
      <c r="E182" s="312">
        <v>17124</v>
      </c>
      <c r="F182" s="312">
        <v>0</v>
      </c>
      <c r="G182" s="312">
        <v>0</v>
      </c>
    </row>
    <row r="183" spans="1:7" x14ac:dyDescent="0.35">
      <c r="A183" s="306" t="s">
        <v>153</v>
      </c>
      <c r="B183" s="312">
        <v>0</v>
      </c>
      <c r="C183" s="312">
        <v>0</v>
      </c>
      <c r="D183" s="312">
        <v>95510</v>
      </c>
      <c r="E183" s="312">
        <v>13203</v>
      </c>
      <c r="F183" s="312">
        <v>0</v>
      </c>
      <c r="G183" s="312">
        <v>4979</v>
      </c>
    </row>
    <row r="184" spans="1:7" x14ac:dyDescent="0.35">
      <c r="A184" s="306" t="s">
        <v>372</v>
      </c>
      <c r="B184" s="312">
        <v>-61613</v>
      </c>
      <c r="C184" s="312">
        <v>-104049</v>
      </c>
      <c r="D184" s="312">
        <v>-111184</v>
      </c>
      <c r="E184" s="312">
        <v>-178620</v>
      </c>
      <c r="F184" s="312">
        <v>-38684</v>
      </c>
      <c r="G184" s="312">
        <v>141476</v>
      </c>
    </row>
    <row r="185" spans="1:7" x14ac:dyDescent="0.35">
      <c r="A185" s="306" t="s">
        <v>155</v>
      </c>
      <c r="B185" s="312">
        <v>0</v>
      </c>
      <c r="C185" s="312">
        <v>0</v>
      </c>
      <c r="D185" s="312">
        <v>0</v>
      </c>
      <c r="E185" s="312">
        <v>169</v>
      </c>
      <c r="F185" s="312">
        <v>770</v>
      </c>
      <c r="G185" s="312">
        <v>3909</v>
      </c>
    </row>
    <row r="186" spans="1:7" x14ac:dyDescent="0.35">
      <c r="A186" s="306" t="s">
        <v>373</v>
      </c>
      <c r="B186" s="312">
        <v>-61613</v>
      </c>
      <c r="C186" s="312">
        <v>-104049</v>
      </c>
      <c r="D186" s="312">
        <v>-111184</v>
      </c>
      <c r="E186" s="312">
        <v>-178789</v>
      </c>
      <c r="F186" s="312">
        <v>-39454</v>
      </c>
      <c r="G186" s="312">
        <v>137567</v>
      </c>
    </row>
    <row r="187" spans="1:7" x14ac:dyDescent="0.35">
      <c r="A187" s="306" t="s">
        <v>374</v>
      </c>
      <c r="B187" s="312">
        <v>0</v>
      </c>
      <c r="C187" s="312">
        <v>0</v>
      </c>
      <c r="D187" s="312">
        <v>0</v>
      </c>
      <c r="E187" s="312">
        <v>0</v>
      </c>
      <c r="F187" s="312">
        <v>23</v>
      </c>
      <c r="G187" s="312">
        <v>67375</v>
      </c>
    </row>
    <row r="188" spans="1:7" x14ac:dyDescent="0.35">
      <c r="A188" s="306" t="s">
        <v>375</v>
      </c>
      <c r="B188" s="311">
        <v>-61613</v>
      </c>
      <c r="C188" s="311">
        <v>-104049</v>
      </c>
      <c r="D188" s="311">
        <v>-111184</v>
      </c>
      <c r="E188" s="311">
        <v>-178789</v>
      </c>
      <c r="F188" s="311">
        <v>-39477</v>
      </c>
      <c r="G188" s="311">
        <v>70192</v>
      </c>
    </row>
    <row r="189" spans="1:7" x14ac:dyDescent="0.35">
      <c r="A189" s="306"/>
      <c r="B189" s="310"/>
      <c r="C189" s="310"/>
      <c r="D189" s="310"/>
      <c r="E189" s="310"/>
      <c r="F189" s="310"/>
      <c r="G189" s="310"/>
    </row>
    <row r="190" spans="1:7" x14ac:dyDescent="0.35">
      <c r="A190" s="313" t="s">
        <v>376</v>
      </c>
      <c r="B190" s="310"/>
      <c r="C190" s="310"/>
      <c r="D190" s="310"/>
      <c r="E190" s="310"/>
      <c r="F190" s="310"/>
      <c r="G190" s="310"/>
    </row>
    <row r="191" spans="1:7" x14ac:dyDescent="0.35">
      <c r="A191" s="306" t="s">
        <v>377</v>
      </c>
      <c r="B191" s="314">
        <v>-0.43</v>
      </c>
      <c r="C191" s="314">
        <v>-0.73</v>
      </c>
      <c r="D191" s="314">
        <v>-0.85</v>
      </c>
      <c r="E191" s="314">
        <v>-1.37</v>
      </c>
      <c r="F191" s="314">
        <v>-0.3</v>
      </c>
      <c r="G191" s="314">
        <v>0.54</v>
      </c>
    </row>
    <row r="192" spans="1:7" x14ac:dyDescent="0.35">
      <c r="A192" s="306" t="s">
        <v>164</v>
      </c>
      <c r="B192" s="314">
        <v>0.23</v>
      </c>
      <c r="C192" s="314">
        <v>0.13</v>
      </c>
      <c r="D192" s="311">
        <v>0</v>
      </c>
      <c r="E192" s="311">
        <v>0</v>
      </c>
      <c r="F192" s="314">
        <v>1.17</v>
      </c>
      <c r="G192" s="314">
        <v>0.38</v>
      </c>
    </row>
    <row r="193" spans="1:7" x14ac:dyDescent="0.35">
      <c r="A193" s="313" t="s">
        <v>378</v>
      </c>
      <c r="B193" s="310"/>
      <c r="C193" s="310"/>
      <c r="D193" s="310"/>
      <c r="E193" s="310"/>
      <c r="F193" s="310"/>
      <c r="G193" s="310"/>
    </row>
    <row r="194" spans="1:7" x14ac:dyDescent="0.35">
      <c r="A194" s="306" t="s">
        <v>224</v>
      </c>
      <c r="B194" s="311">
        <v>133367</v>
      </c>
      <c r="C194" s="311">
        <v>111568</v>
      </c>
      <c r="D194" s="311">
        <v>19650</v>
      </c>
      <c r="E194" s="311">
        <v>238451</v>
      </c>
      <c r="F194" s="311">
        <v>200412</v>
      </c>
      <c r="G194" s="311">
        <v>240782</v>
      </c>
    </row>
    <row r="195" spans="1:7" x14ac:dyDescent="0.35">
      <c r="A195" s="306" t="s">
        <v>230</v>
      </c>
      <c r="B195" s="311">
        <v>-38062</v>
      </c>
      <c r="C195" s="311">
        <v>-54348</v>
      </c>
      <c r="D195" s="311">
        <v>-13785</v>
      </c>
      <c r="E195" s="311">
        <v>-47629</v>
      </c>
      <c r="F195" s="311">
        <v>-138781</v>
      </c>
      <c r="G195" s="311">
        <v>-224583</v>
      </c>
    </row>
    <row r="196" spans="1:7" x14ac:dyDescent="0.35">
      <c r="A196" s="306" t="s">
        <v>242</v>
      </c>
      <c r="B196" s="311">
        <v>-97215</v>
      </c>
      <c r="C196" s="311">
        <v>-69765</v>
      </c>
      <c r="D196" s="311">
        <v>-108062</v>
      </c>
      <c r="E196" s="311">
        <v>-91439</v>
      </c>
      <c r="F196" s="311">
        <v>-70602</v>
      </c>
      <c r="G196" s="311">
        <v>-14477</v>
      </c>
    </row>
    <row r="197" spans="1:7" x14ac:dyDescent="0.35">
      <c r="A197" s="313" t="s">
        <v>379</v>
      </c>
      <c r="B197" s="310"/>
      <c r="C197" s="310"/>
      <c r="D197" s="310"/>
      <c r="E197" s="310"/>
      <c r="F197" s="310"/>
      <c r="G197" s="310"/>
    </row>
    <row r="198" spans="1:7" x14ac:dyDescent="0.35">
      <c r="A198" s="306" t="s">
        <v>170</v>
      </c>
      <c r="B198" s="311">
        <v>269</v>
      </c>
      <c r="C198" s="311">
        <v>2179</v>
      </c>
      <c r="D198" s="311">
        <v>4235</v>
      </c>
      <c r="E198" s="311">
        <v>103690</v>
      </c>
      <c r="F198" s="311">
        <v>17538</v>
      </c>
      <c r="G198" s="311">
        <v>26509</v>
      </c>
    </row>
    <row r="199" spans="1:7" x14ac:dyDescent="0.35">
      <c r="A199" s="306" t="s">
        <v>380</v>
      </c>
      <c r="B199" s="311">
        <v>2148569</v>
      </c>
      <c r="C199" s="311">
        <v>2378605</v>
      </c>
      <c r="D199" s="311">
        <v>2607144</v>
      </c>
      <c r="E199" s="311">
        <v>1318937</v>
      </c>
      <c r="F199" s="311">
        <v>1433193</v>
      </c>
      <c r="G199" s="311">
        <v>1522488</v>
      </c>
    </row>
    <row r="200" spans="1:7" x14ac:dyDescent="0.35">
      <c r="A200" s="306" t="s">
        <v>182</v>
      </c>
      <c r="B200" s="311">
        <v>2388173</v>
      </c>
      <c r="C200" s="311">
        <v>2606640</v>
      </c>
      <c r="D200" s="311">
        <v>2864099</v>
      </c>
      <c r="E200" s="311">
        <v>1689011</v>
      </c>
      <c r="F200" s="311">
        <v>1821183</v>
      </c>
      <c r="G200" s="311">
        <v>1896721</v>
      </c>
    </row>
    <row r="201" spans="1:7" x14ac:dyDescent="0.35">
      <c r="A201" s="306" t="s">
        <v>381</v>
      </c>
      <c r="B201" s="311">
        <v>1248103</v>
      </c>
      <c r="C201" s="311">
        <v>1314532</v>
      </c>
      <c r="D201" s="311">
        <v>1367776</v>
      </c>
      <c r="E201" s="311">
        <v>1391063</v>
      </c>
      <c r="F201" s="311">
        <v>1434566</v>
      </c>
      <c r="G201" s="311">
        <v>1341740</v>
      </c>
    </row>
    <row r="202" spans="1:7" x14ac:dyDescent="0.35">
      <c r="A202" s="306" t="s">
        <v>382</v>
      </c>
      <c r="B202" s="311">
        <v>596715</v>
      </c>
      <c r="C202" s="311">
        <v>675826</v>
      </c>
      <c r="D202" s="311">
        <v>1000493</v>
      </c>
      <c r="E202" s="311">
        <v>-154593</v>
      </c>
      <c r="F202" s="311">
        <v>18883</v>
      </c>
      <c r="G202" s="311">
        <v>186397</v>
      </c>
    </row>
    <row r="203" spans="1:7" x14ac:dyDescent="0.35">
      <c r="A203" s="313" t="s">
        <v>352</v>
      </c>
      <c r="B203" s="310"/>
      <c r="C203" s="310"/>
      <c r="D203" s="310"/>
      <c r="E203" s="310"/>
      <c r="F203" s="310"/>
      <c r="G203" s="310"/>
    </row>
    <row r="204" spans="1:7" x14ac:dyDescent="0.35">
      <c r="A204" s="306" t="s">
        <v>383</v>
      </c>
      <c r="B204" s="311">
        <v>313584</v>
      </c>
      <c r="C204" s="311">
        <v>229781</v>
      </c>
      <c r="D204" s="311">
        <v>63970</v>
      </c>
      <c r="E204" s="311">
        <v>308799</v>
      </c>
      <c r="F204" s="311">
        <v>338408</v>
      </c>
      <c r="G204" s="311">
        <v>409562</v>
      </c>
    </row>
    <row r="205" spans="1:7" x14ac:dyDescent="0.35">
      <c r="A205" s="306" t="s">
        <v>384</v>
      </c>
      <c r="B205" s="312">
        <v>23313</v>
      </c>
      <c r="C205" s="312">
        <v>15912</v>
      </c>
      <c r="D205" s="312">
        <v>5267</v>
      </c>
      <c r="E205" s="312">
        <v>19040</v>
      </c>
      <c r="F205" s="312">
        <v>20097</v>
      </c>
      <c r="G205" s="312">
        <v>22547</v>
      </c>
    </row>
    <row r="206" spans="1:7" x14ac:dyDescent="0.35">
      <c r="A206" s="306" t="s">
        <v>385</v>
      </c>
      <c r="B206" s="312">
        <v>23395</v>
      </c>
      <c r="C206" s="312">
        <v>16085</v>
      </c>
      <c r="D206" s="312">
        <v>5283</v>
      </c>
      <c r="E206" s="312">
        <v>19270</v>
      </c>
      <c r="F206" s="312">
        <v>21946</v>
      </c>
      <c r="G206" s="312">
        <v>22044</v>
      </c>
    </row>
    <row r="207" spans="1:7" x14ac:dyDescent="0.35">
      <c r="A207" s="306" t="s">
        <v>386</v>
      </c>
      <c r="B207" s="314">
        <v>46.91</v>
      </c>
      <c r="C207" s="314">
        <v>44.55</v>
      </c>
      <c r="D207" s="314">
        <v>43.12</v>
      </c>
      <c r="E207" s="314">
        <v>44.97</v>
      </c>
      <c r="F207" s="314">
        <v>44.62</v>
      </c>
      <c r="G207" s="314">
        <v>50.33</v>
      </c>
    </row>
    <row r="208" spans="1:7" x14ac:dyDescent="0.35">
      <c r="A208" s="306" t="s">
        <v>387</v>
      </c>
      <c r="B208" s="314">
        <v>37.07</v>
      </c>
      <c r="C208" s="314">
        <v>36.729999999999997</v>
      </c>
      <c r="D208" s="314">
        <v>35.979999999999997</v>
      </c>
      <c r="E208" s="314">
        <v>37.729999999999997</v>
      </c>
      <c r="F208" s="314">
        <v>36.79</v>
      </c>
      <c r="G208" s="314">
        <v>40.29</v>
      </c>
    </row>
    <row r="209" spans="1:7" x14ac:dyDescent="0.35">
      <c r="A209" s="306" t="s">
        <v>388</v>
      </c>
      <c r="B209" s="314">
        <v>22.85</v>
      </c>
      <c r="C209" s="314">
        <v>22.87</v>
      </c>
      <c r="D209" s="314">
        <v>22.8</v>
      </c>
      <c r="E209" s="314">
        <v>22.32</v>
      </c>
      <c r="F209" s="314">
        <v>23.67</v>
      </c>
      <c r="G209" s="314">
        <v>20.8</v>
      </c>
    </row>
  </sheetData>
  <sortState xmlns:xlrd2="http://schemas.microsoft.com/office/spreadsheetml/2017/richdata2" ref="A2:E2">
    <sortCondition ref="A2"/>
  </sortState>
  <hyperlinks>
    <hyperlink ref="A4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</vt:lpstr>
      <vt:lpstr>Valuation</vt:lpstr>
      <vt:lpstr>Tower</vt:lpstr>
      <vt:lpstr>Debt</vt:lpstr>
      <vt:lpstr>Assumptions</vt:lpstr>
      <vt:lpstr>Rev Cost Build</vt:lpstr>
      <vt:lpstr>Capitalization</vt:lpstr>
      <vt:lpstr>Raw Data --&gt;</vt:lpstr>
      <vt:lpstr>Financials</vt:lpstr>
      <vt:lpstr>Capitalization!Print_Area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</dc:creator>
  <cp:lastModifiedBy>Alex Li</cp:lastModifiedBy>
  <dcterms:created xsi:type="dcterms:W3CDTF">2019-08-03T01:26:28Z</dcterms:created>
  <dcterms:modified xsi:type="dcterms:W3CDTF">2019-08-05T19:18:00Z</dcterms:modified>
</cp:coreProperties>
</file>