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toronto-my.sharepoint.com/personal/xuhong_guo_mail_utoronto_ca/Documents/MGFD60/"/>
    </mc:Choice>
  </mc:AlternateContent>
  <xr:revisionPtr revIDLastSave="313" documentId="8_{4B8FDA8A-EAF8-45BD-AF3D-01DFBB4EC67D}" xr6:coauthVersionLast="47" xr6:coauthVersionMax="47" xr10:uidLastSave="{7AE2EAB6-9B5F-49CA-8D15-9DB7A48B7749}"/>
  <bookViews>
    <workbookView xWindow="-120" yWindow="-120" windowWidth="29040" windowHeight="15720" activeTab="1" xr2:uid="{00000000-000D-0000-FFFF-FFFF00000000}"/>
  </bookViews>
  <sheets>
    <sheet name="Flow Chart" sheetId="3" r:id="rId1"/>
    <sheet name="ABX" sheetId="1" r:id="rId2"/>
  </sheets>
  <externalReferences>
    <externalReference r:id="rId3"/>
  </externalReferences>
  <definedNames>
    <definedName name="AK_Dur">'[1]CL-AK Price Path'!$C$4</definedName>
    <definedName name="AK_LEASE">[1]Assets!$F$9</definedName>
    <definedName name="ChartPrice">OFFSET([1]Summary!$M$7,[1]Summary!$L$18,0)</definedName>
    <definedName name="ChartTime">OFFSET([1]Summary!$L$7,[1]Summary!$L$18,0)</definedName>
    <definedName name="CLF1_Arbs">'[1]CL-F1 Price Path'!$C$3</definedName>
    <definedName name="CLF1_Dur">'[1]CL-F1 Price Path'!$C$4</definedName>
    <definedName name="CLF1_Lower">'[1]CL-F1 Price Path'!$E$4</definedName>
    <definedName name="CLF1_Upper">'[1]CL-F1 Price Path'!$E$3</definedName>
    <definedName name="CLF2_Arbs">'[1]CL-F2 Price Path'!$C$3</definedName>
    <definedName name="CLF2_Dur">'[1]CL-F2 Price Path'!$C$4</definedName>
    <definedName name="CLF2_Lower">'[1]CL-F2 Price Path'!$E$4</definedName>
    <definedName name="CLF2_Upper">'[1]CL-F2 Price Path'!$E$3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"09/20/2013 20:30:26"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NewsDelay">[1]Summary!$M$35</definedName>
    <definedName name="NYC_Dur">'[1]CL-NYC Price Path'!$C$4</definedName>
    <definedName name="NYC_LEASE">[1]Assets!$G$9</definedName>
  </definedName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K32" i="1"/>
  <c r="P32" i="1" s="1"/>
  <c r="K31" i="1"/>
  <c r="P31" i="1" s="1"/>
  <c r="K30" i="1"/>
  <c r="P30" i="1" s="1"/>
  <c r="M10" i="1" s="1"/>
  <c r="K29" i="1"/>
  <c r="P29" i="1" s="1"/>
  <c r="C8" i="1" s="1"/>
  <c r="K28" i="1"/>
  <c r="P28" i="1" s="1"/>
  <c r="K27" i="1"/>
  <c r="P27" i="1" s="1"/>
  <c r="C14" i="1" s="1"/>
  <c r="K26" i="1"/>
  <c r="P26" i="1" s="1"/>
  <c r="C12" i="1" s="1"/>
  <c r="K25" i="1"/>
  <c r="P25" i="1" s="1"/>
  <c r="K24" i="1"/>
  <c r="P24" i="1" s="1"/>
  <c r="K23" i="1"/>
  <c r="P23" i="1" s="1"/>
  <c r="K22" i="1"/>
  <c r="P22" i="1" s="1"/>
  <c r="C19" i="1" s="1"/>
  <c r="K21" i="1"/>
  <c r="K14" i="1"/>
  <c r="U6" i="1"/>
  <c r="U4" i="1"/>
  <c r="E26" i="1" l="1"/>
  <c r="H26" i="1"/>
  <c r="G26" i="1"/>
  <c r="F26" i="1"/>
  <c r="C26" i="1"/>
  <c r="D26" i="1"/>
  <c r="D50" i="1" l="1"/>
  <c r="E50" i="1" s="1"/>
  <c r="F50" i="1" s="1"/>
  <c r="G50" i="1" s="1"/>
  <c r="H50" i="1" s="1"/>
  <c r="C28" i="1" l="1"/>
  <c r="C24" i="1"/>
  <c r="D24" i="1" s="1"/>
  <c r="E24" i="1" s="1"/>
  <c r="E48" i="1" s="1"/>
  <c r="E41" i="1" l="1"/>
  <c r="E25" i="1"/>
  <c r="E45" i="1"/>
  <c r="F24" i="1"/>
  <c r="F25" i="1" s="1"/>
  <c r="C48" i="1"/>
  <c r="C41" i="1"/>
  <c r="C25" i="1"/>
  <c r="C45" i="1"/>
  <c r="C43" i="1" s="1"/>
  <c r="F41" i="1" l="1"/>
  <c r="F58" i="1" s="1"/>
  <c r="F45" i="1"/>
  <c r="F48" i="1"/>
  <c r="F59" i="1" s="1"/>
  <c r="G24" i="1"/>
  <c r="H24" i="1" s="1"/>
  <c r="D25" i="1"/>
  <c r="D48" i="1"/>
  <c r="D45" i="1"/>
  <c r="D41" i="1"/>
  <c r="C46" i="1"/>
  <c r="C49" i="1" s="1"/>
  <c r="G41" i="1" l="1"/>
  <c r="G58" i="1" s="1"/>
  <c r="G25" i="1"/>
  <c r="G45" i="1"/>
  <c r="G48" i="1"/>
  <c r="G59" i="1" s="1"/>
  <c r="D59" i="1"/>
  <c r="E59" i="1"/>
  <c r="D58" i="1"/>
  <c r="E58" i="1"/>
  <c r="H41" i="1"/>
  <c r="H25" i="1"/>
  <c r="H48" i="1"/>
  <c r="H45" i="1"/>
  <c r="D49" i="1"/>
  <c r="C27" i="1"/>
  <c r="C33" i="1" s="1"/>
  <c r="C34" i="1" s="1"/>
  <c r="C35" i="1" s="1"/>
  <c r="C36" i="1" s="1"/>
  <c r="C37" i="1" s="1"/>
  <c r="C52" i="1"/>
  <c r="H58" i="1" l="1"/>
  <c r="H59" i="1"/>
  <c r="D27" i="1"/>
  <c r="D61" i="1" s="1"/>
  <c r="E49" i="1"/>
  <c r="E27" i="1"/>
  <c r="E61" i="1" s="1"/>
  <c r="F49" i="1" l="1"/>
  <c r="F27" i="1"/>
  <c r="F61" i="1" s="1"/>
  <c r="G49" i="1" l="1"/>
  <c r="H49" i="1" l="1"/>
  <c r="G27" i="1"/>
  <c r="G61" i="1" l="1"/>
  <c r="H27" i="1"/>
  <c r="H61" i="1" l="1"/>
  <c r="E62" i="1" l="1"/>
  <c r="H37" i="1"/>
  <c r="H36" i="1"/>
  <c r="H62" i="1"/>
  <c r="G46" i="1"/>
  <c r="L5" i="1"/>
  <c r="L4" i="1"/>
  <c r="D60" i="1"/>
  <c r="E60" i="1"/>
  <c r="E43" i="1"/>
  <c r="E29" i="1"/>
  <c r="E57" i="1"/>
  <c r="F36" i="1"/>
  <c r="F37" i="1"/>
  <c r="H57" i="1"/>
  <c r="H29" i="1"/>
  <c r="D62" i="1"/>
  <c r="F46" i="1"/>
  <c r="F57" i="1"/>
  <c r="F29" i="1"/>
  <c r="G57" i="1"/>
  <c r="G29" i="1"/>
  <c r="D46" i="1"/>
  <c r="G62" i="1"/>
  <c r="E46" i="1"/>
  <c r="F62" i="1"/>
  <c r="H44" i="1"/>
  <c r="H43" i="1"/>
  <c r="H60" i="1"/>
  <c r="N4" i="1"/>
  <c r="E52" i="1"/>
  <c r="E40" i="1"/>
  <c r="F28" i="1"/>
  <c r="F33" i="1"/>
  <c r="F34" i="1"/>
  <c r="F35" i="1"/>
  <c r="F56" i="1"/>
  <c r="F63" i="1"/>
  <c r="N3" i="1"/>
  <c r="N5" i="1"/>
  <c r="G37" i="1"/>
  <c r="G36" i="1"/>
  <c r="F43" i="1"/>
  <c r="F60" i="1"/>
  <c r="E44" i="1"/>
  <c r="F44" i="1"/>
  <c r="G44" i="1"/>
  <c r="G43" i="1"/>
  <c r="G60" i="1"/>
  <c r="M39" i="1"/>
  <c r="K39" i="1"/>
  <c r="U8" i="1"/>
  <c r="D56" i="1"/>
  <c r="D63" i="1"/>
  <c r="L3" i="1"/>
  <c r="K7" i="1"/>
  <c r="K10" i="1"/>
  <c r="K12" i="1"/>
  <c r="P4" i="1"/>
  <c r="G52" i="1"/>
  <c r="G40" i="1"/>
  <c r="H28" i="1"/>
  <c r="H33" i="1"/>
  <c r="H34" i="1"/>
  <c r="H35" i="1"/>
  <c r="H56" i="1"/>
  <c r="H63" i="1"/>
  <c r="P3" i="1"/>
  <c r="P5" i="1"/>
  <c r="O5" i="1"/>
  <c r="F52" i="1"/>
  <c r="F40" i="1"/>
  <c r="G28" i="1"/>
  <c r="G33" i="1"/>
  <c r="G34" i="1"/>
  <c r="G35" i="1"/>
  <c r="G56" i="1"/>
  <c r="G63" i="1"/>
  <c r="O3" i="1"/>
  <c r="O4" i="1"/>
  <c r="M4" i="1"/>
  <c r="E56" i="1"/>
  <c r="E63" i="1"/>
  <c r="M3" i="1"/>
  <c r="M5" i="1"/>
  <c r="D44" i="1"/>
  <c r="D43" i="1"/>
  <c r="D29" i="1"/>
  <c r="D57" i="1"/>
  <c r="E37" i="1"/>
  <c r="E28" i="1"/>
  <c r="E33" i="1"/>
  <c r="E34" i="1"/>
  <c r="E35" i="1"/>
  <c r="E36" i="1"/>
  <c r="H46" i="1"/>
  <c r="D52" i="1"/>
  <c r="D40" i="1"/>
  <c r="D28" i="1"/>
  <c r="D33" i="1"/>
  <c r="D34" i="1"/>
  <c r="D35" i="1"/>
  <c r="D36" i="1"/>
  <c r="D37" i="1"/>
  <c r="D51" i="1"/>
  <c r="E51" i="1"/>
  <c r="F51" i="1"/>
  <c r="G51" i="1"/>
  <c r="H51" i="1"/>
  <c r="H52" i="1"/>
  <c r="H40" i="1"/>
</calcChain>
</file>

<file path=xl/sharedStrings.xml><?xml version="1.0" encoding="utf-8"?>
<sst xmlns="http://schemas.openxmlformats.org/spreadsheetml/2006/main" count="80" uniqueCount="76">
  <si>
    <t>INPUT</t>
  </si>
  <si>
    <t>Year</t>
  </si>
  <si>
    <t>Model</t>
  </si>
  <si>
    <t>Sample Model for the RIT Equity Valuation 3 Case</t>
  </si>
  <si>
    <t>FCFF</t>
  </si>
  <si>
    <t>Version 1.0</t>
  </si>
  <si>
    <t>Terminal Value</t>
  </si>
  <si>
    <t>WACC</t>
  </si>
  <si>
    <t>Total</t>
  </si>
  <si>
    <t>Growth, g</t>
  </si>
  <si>
    <t>Assumptions</t>
  </si>
  <si>
    <t>Estimates</t>
  </si>
  <si>
    <t>Enterprise Value</t>
  </si>
  <si>
    <t>Sales growth rate</t>
  </si>
  <si>
    <t>Add in cash available in year 0</t>
  </si>
  <si>
    <t>Valuation</t>
  </si>
  <si>
    <t>Current assets/Sales</t>
  </si>
  <si>
    <t>Subtract value of current debt</t>
  </si>
  <si>
    <t>Current liabilities/Sales</t>
  </si>
  <si>
    <t>Estimated total equity value</t>
  </si>
  <si>
    <t>estimated R&amp;D</t>
  </si>
  <si>
    <t>Net fixed assets/Sales</t>
  </si>
  <si>
    <t>Current shares outstanding</t>
  </si>
  <si>
    <t>Costs of goods sold/Sales</t>
  </si>
  <si>
    <t>Estimate of value per share</t>
  </si>
  <si>
    <t>Depreciation rate</t>
  </si>
  <si>
    <t>Interest rate on debt</t>
  </si>
  <si>
    <t>Current Market Price (ABX)</t>
  </si>
  <si>
    <t>Interest paid on cash</t>
  </si>
  <si>
    <t>Corporate Tax rate</t>
  </si>
  <si>
    <t>Dividend payout ratio</t>
  </si>
  <si>
    <t>Long Term Real Growth of FCFF</t>
  </si>
  <si>
    <t>Inflation</t>
  </si>
  <si>
    <t>Weighted Average Cost of Capital - WACC</t>
  </si>
  <si>
    <t>Released News Items</t>
  </si>
  <si>
    <t>GOOD OR BAD</t>
  </si>
  <si>
    <t>Value</t>
  </si>
  <si>
    <t>Income statement</t>
  </si>
  <si>
    <t>Sales</t>
  </si>
  <si>
    <t>Costs of goods sold</t>
  </si>
  <si>
    <t>R&amp;D</t>
  </si>
  <si>
    <t>Interest payments on debt</t>
  </si>
  <si>
    <t>Interest earned on cash</t>
  </si>
  <si>
    <t>Depreciation</t>
  </si>
  <si>
    <t>Unusual assets</t>
  </si>
  <si>
    <t xml:space="preserve">  Asset Write-down</t>
  </si>
  <si>
    <t xml:space="preserve">  Gain/Loss on sale of Investments or Assets</t>
  </si>
  <si>
    <t>Profit before tax</t>
  </si>
  <si>
    <t>Taxes</t>
  </si>
  <si>
    <t>Profit after tax</t>
  </si>
  <si>
    <t>Output</t>
  </si>
  <si>
    <t>Dividends</t>
  </si>
  <si>
    <t>Retained earnings</t>
  </si>
  <si>
    <t>Time remaining</t>
  </si>
  <si>
    <t>Balance sheet</t>
  </si>
  <si>
    <t>Price Differential</t>
  </si>
  <si>
    <t>&lt;-</t>
  </si>
  <si>
    <t>Cash</t>
  </si>
  <si>
    <t>Current assets</t>
  </si>
  <si>
    <t>Fixed assets</t>
  </si>
  <si>
    <t xml:space="preserve">     At cost</t>
  </si>
  <si>
    <t xml:space="preserve">     Depreciation</t>
  </si>
  <si>
    <t xml:space="preserve">     Net fixed assets</t>
  </si>
  <si>
    <t>Total assets</t>
  </si>
  <si>
    <t>Current liabilities</t>
  </si>
  <si>
    <t>Debt</t>
  </si>
  <si>
    <t>Stock</t>
  </si>
  <si>
    <t>Accumulated retained earnings</t>
  </si>
  <si>
    <t>Total liabilities and equity</t>
  </si>
  <si>
    <t>FCFF calculation</t>
  </si>
  <si>
    <t>Add back depreciation</t>
  </si>
  <si>
    <t>Subtract increase in current assets</t>
  </si>
  <si>
    <t>Add back increase in current liabilities</t>
  </si>
  <si>
    <t>Subtract increase in fixed assets at cost</t>
  </si>
  <si>
    <t>Add back after-tax interest on debt</t>
  </si>
  <si>
    <t>Subtract after-tax interest on cash and marketable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</si>
</sst>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0_);\(0\)"/>
    <numFmt numFmtId="167" formatCode="[$-409]d/mmm/yy;@"/>
    <numFmt numFmtId="168" formatCode="&quot;$&quot;#,##0.00"/>
    <numFmt numFmtId="169" formatCode="0.00_);\(0.00\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7" fontId="4" fillId="0" borderId="0"/>
  </cellStyleXfs>
  <cellXfs count="66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37" fontId="1" fillId="0" borderId="0" xfId="1" applyNumberFormat="1"/>
    <xf numFmtId="0" fontId="3" fillId="0" borderId="0" xfId="1" applyFont="1"/>
    <xf numFmtId="0" fontId="3" fillId="2" borderId="0" xfId="1" applyFont="1" applyFill="1" applyAlignment="1">
      <alignment horizontal="center"/>
    </xf>
    <xf numFmtId="0" fontId="1" fillId="2" borderId="0" xfId="1" applyFill="1"/>
    <xf numFmtId="0" fontId="1" fillId="2" borderId="1" xfId="1" applyFill="1" applyBorder="1"/>
    <xf numFmtId="0" fontId="1" fillId="3" borderId="0" xfId="1" applyFill="1"/>
    <xf numFmtId="164" fontId="0" fillId="3" borderId="0" xfId="2" applyFont="1" applyFill="1"/>
    <xf numFmtId="165" fontId="0" fillId="3" borderId="0" xfId="2" applyNumberFormat="1" applyFont="1" applyFill="1" applyAlignment="1"/>
    <xf numFmtId="165" fontId="0" fillId="3" borderId="0" xfId="2" applyNumberFormat="1" applyFont="1" applyFill="1"/>
    <xf numFmtId="0" fontId="3" fillId="3" borderId="0" xfId="1" applyFont="1" applyFill="1"/>
    <xf numFmtId="166" fontId="3" fillId="3" borderId="0" xfId="1" applyNumberFormat="1" applyFont="1" applyFill="1"/>
    <xf numFmtId="164" fontId="1" fillId="3" borderId="0" xfId="1" applyNumberFormat="1" applyFill="1"/>
    <xf numFmtId="0" fontId="2" fillId="3" borderId="0" xfId="1" applyFont="1" applyFill="1"/>
    <xf numFmtId="0" fontId="1" fillId="3" borderId="2" xfId="1" applyFill="1" applyBorder="1"/>
    <xf numFmtId="0" fontId="2" fillId="3" borderId="2" xfId="1" applyFont="1" applyFill="1" applyBorder="1"/>
    <xf numFmtId="10" fontId="1" fillId="3" borderId="0" xfId="1" applyNumberFormat="1" applyFill="1"/>
    <xf numFmtId="9" fontId="1" fillId="3" borderId="0" xfId="1" applyNumberFormat="1" applyFill="1"/>
    <xf numFmtId="0" fontId="1" fillId="3" borderId="0" xfId="1" applyFill="1" applyAlignment="1">
      <alignment horizontal="center"/>
    </xf>
    <xf numFmtId="0" fontId="3" fillId="4" borderId="1" xfId="1" applyFont="1" applyFill="1" applyBorder="1"/>
    <xf numFmtId="0" fontId="1" fillId="4" borderId="1" xfId="1" applyFill="1" applyBorder="1"/>
    <xf numFmtId="165" fontId="0" fillId="5" borderId="1" xfId="2" applyNumberFormat="1" applyFont="1" applyFill="1" applyBorder="1"/>
    <xf numFmtId="165" fontId="0" fillId="5" borderId="1" xfId="2" applyNumberFormat="1" applyFont="1" applyFill="1" applyBorder="1" applyAlignment="1"/>
    <xf numFmtId="166" fontId="3" fillId="6" borderId="0" xfId="1" applyNumberFormat="1" applyFont="1" applyFill="1" applyAlignment="1">
      <alignment horizontal="center"/>
    </xf>
    <xf numFmtId="165" fontId="0" fillId="6" borderId="0" xfId="2" applyNumberFormat="1" applyFont="1" applyFill="1" applyAlignment="1"/>
    <xf numFmtId="166" fontId="1" fillId="6" borderId="1" xfId="1" applyNumberFormat="1" applyFill="1" applyBorder="1"/>
    <xf numFmtId="165" fontId="0" fillId="6" borderId="1" xfId="2" applyNumberFormat="1" applyFont="1" applyFill="1" applyBorder="1" applyAlignment="1"/>
    <xf numFmtId="0" fontId="1" fillId="3" borderId="3" xfId="1" applyFill="1" applyBorder="1"/>
    <xf numFmtId="0" fontId="3" fillId="2" borderId="3" xfId="1" applyFont="1" applyFill="1" applyBorder="1"/>
    <xf numFmtId="0" fontId="3" fillId="2" borderId="4" xfId="1" applyFont="1" applyFill="1" applyBorder="1"/>
    <xf numFmtId="0" fontId="3" fillId="5" borderId="4" xfId="1" applyFont="1" applyFill="1" applyBorder="1"/>
    <xf numFmtId="0" fontId="3" fillId="3" borderId="3" xfId="1" applyFont="1" applyFill="1" applyBorder="1"/>
    <xf numFmtId="166" fontId="3" fillId="6" borderId="3" xfId="1" applyNumberFormat="1" applyFont="1" applyFill="1" applyBorder="1"/>
    <xf numFmtId="166" fontId="3" fillId="6" borderId="4" xfId="1" applyNumberFormat="1" applyFont="1" applyFill="1" applyBorder="1"/>
    <xf numFmtId="166" fontId="1" fillId="3" borderId="3" xfId="1" applyNumberFormat="1" applyFill="1" applyBorder="1"/>
    <xf numFmtId="166" fontId="3" fillId="3" borderId="3" xfId="1" applyNumberFormat="1" applyFont="1" applyFill="1" applyBorder="1"/>
    <xf numFmtId="0" fontId="5" fillId="3" borderId="0" xfId="1" applyFont="1" applyFill="1"/>
    <xf numFmtId="0" fontId="3" fillId="7" borderId="1" xfId="1" applyFont="1" applyFill="1" applyBorder="1"/>
    <xf numFmtId="0" fontId="0" fillId="3" borderId="0" xfId="2" applyNumberFormat="1" applyFont="1" applyFill="1"/>
    <xf numFmtId="0" fontId="6" fillId="8" borderId="0" xfId="0" applyFont="1" applyFill="1" applyAlignment="1">
      <alignment horizontal="center"/>
    </xf>
    <xf numFmtId="0" fontId="7" fillId="8" borderId="0" xfId="0" applyFont="1" applyFill="1"/>
    <xf numFmtId="0" fontId="7" fillId="9" borderId="0" xfId="0" applyFont="1" applyFill="1"/>
    <xf numFmtId="10" fontId="9" fillId="9" borderId="0" xfId="0" applyNumberFormat="1" applyFont="1" applyFill="1"/>
    <xf numFmtId="0" fontId="7" fillId="10" borderId="0" xfId="0" applyFont="1" applyFill="1"/>
    <xf numFmtId="10" fontId="7" fillId="9" borderId="0" xfId="0" applyNumberFormat="1" applyFont="1" applyFill="1"/>
    <xf numFmtId="0" fontId="7" fillId="9" borderId="0" xfId="0" applyFont="1" applyFill="1" applyAlignment="1">
      <alignment horizontal="center"/>
    </xf>
    <xf numFmtId="168" fontId="7" fillId="9" borderId="0" xfId="0" applyNumberFormat="1" applyFont="1" applyFill="1"/>
    <xf numFmtId="0" fontId="8" fillId="8" borderId="0" xfId="0" applyFont="1" applyFill="1"/>
    <xf numFmtId="0" fontId="10" fillId="8" borderId="0" xfId="0" applyFont="1" applyFill="1"/>
    <xf numFmtId="0" fontId="6" fillId="11" borderId="0" xfId="0" applyFont="1" applyFill="1" applyAlignment="1">
      <alignment horizontal="center"/>
    </xf>
    <xf numFmtId="0" fontId="7" fillId="11" borderId="0" xfId="0" applyFont="1" applyFill="1"/>
    <xf numFmtId="0" fontId="7" fillId="11" borderId="0" xfId="0" applyFont="1" applyFill="1" applyAlignment="1">
      <alignment horizontal="center"/>
    </xf>
    <xf numFmtId="168" fontId="7" fillId="11" borderId="0" xfId="0" applyNumberFormat="1" applyFont="1" applyFill="1"/>
    <xf numFmtId="0" fontId="11" fillId="11" borderId="0" xfId="0" applyFont="1" applyFill="1"/>
    <xf numFmtId="166" fontId="1" fillId="3" borderId="0" xfId="1" applyNumberFormat="1" applyFill="1"/>
    <xf numFmtId="166" fontId="1" fillId="6" borderId="0" xfId="1" applyNumberFormat="1" applyFill="1"/>
    <xf numFmtId="165" fontId="0" fillId="6" borderId="0" xfId="2" applyNumberFormat="1" applyFont="1" applyFill="1" applyBorder="1" applyAlignment="1"/>
    <xf numFmtId="0" fontId="12" fillId="0" borderId="3" xfId="0" applyFont="1" applyBorder="1"/>
    <xf numFmtId="169" fontId="1" fillId="6" borderId="0" xfId="1" applyNumberFormat="1" applyFill="1"/>
    <xf numFmtId="43" fontId="0" fillId="3" borderId="0" xfId="2" applyNumberFormat="1" applyFont="1" applyFill="1"/>
    <xf numFmtId="0" fontId="6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</cellXfs>
  <cellStyles count="4">
    <cellStyle name="Comma 2 2" xfId="2" xr:uid="{00000000-0005-0000-0000-000000000000}"/>
    <cellStyle name="Normal" xfId="0" builtinId="0"/>
    <cellStyle name="Normal 2" xfId="3" xr:uid="{00000000-0005-0000-0000-000002000000}"/>
    <cellStyle name="Normal 5" xfId="1" xr:uid="{00000000-0005-0000-0000-000003000000}"/>
  </cellStyles>
  <dxfs count="0"/>
  <tableStyles count="0" defaultTableStyle="TableStyleMedium2" defaultPivotStyle="PivotStyleLight16"/>
  <colors>
    <mruColors>
      <color rgb="FFA9D08E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1</xdr:row>
      <xdr:rowOff>19050</xdr:rowOff>
    </xdr:from>
    <xdr:to>
      <xdr:col>12</xdr:col>
      <xdr:colOff>19050</xdr:colOff>
      <xdr:row>62</xdr:row>
      <xdr:rowOff>86198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6F57EC-4B2C-3B0D-B589-3EB32C199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209550"/>
          <a:ext cx="6248400" cy="116876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935182</xdr:colOff>
      <xdr:row>1</xdr:row>
      <xdr:rowOff>103909</xdr:rowOff>
    </xdr:from>
    <xdr:ext cx="1790700" cy="523875"/>
    <xdr:pic>
      <xdr:nvPicPr>
        <xdr:cNvPr id="2" name="Picture 1" descr="logo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5182" y="103909"/>
          <a:ext cx="17907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co.salerno.ROTMAN\Dropbox\RIT\RIT%202.0\Case%20Documents\Additional%20iterations\COM5%20model%20generator\COM5%20-%20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Securities"/>
      <sheetName val="TradingLimits"/>
      <sheetName val="TraderTypes"/>
      <sheetName val="Settlements"/>
      <sheetName val="News"/>
      <sheetName val="VarData"/>
      <sheetName val="Assets"/>
      <sheetName val="Variables"/>
      <sheetName val="$CL"/>
      <sheetName val="$CL-1F"/>
      <sheetName val="$CL-2F"/>
      <sheetName val="$CL-AK"/>
      <sheetName val="$CL-NYC"/>
      <sheetName val="$HO"/>
      <sheetName val="$RB"/>
      <sheetName val="CL-AK Price Path"/>
      <sheetName val="CL-NYC Price Path"/>
      <sheetName val="CL News Model and Effects"/>
      <sheetName val="CL Refinery Model"/>
      <sheetName val="CL-F1 Price Path"/>
      <sheetName val="CL-F2 Price Path"/>
      <sheetName val="CL Price Path"/>
      <sheetName val="CL Noise Model"/>
      <sheetName val="AK NYC Noise Model"/>
      <sheetName val="Refinery Noise Model"/>
      <sheetName val="CL Reation Type Model"/>
      <sheetName val="All Prices"/>
      <sheetName val="News Map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">
          <cell r="F9">
            <v>40000</v>
          </cell>
          <cell r="G9">
            <v>20000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180</v>
          </cell>
        </row>
      </sheetData>
      <sheetData sheetId="17">
        <row r="4">
          <cell r="C4">
            <v>180</v>
          </cell>
        </row>
      </sheetData>
      <sheetData sheetId="18" refreshError="1"/>
      <sheetData sheetId="19" refreshError="1"/>
      <sheetData sheetId="20">
        <row r="3">
          <cell r="C3">
            <v>1</v>
          </cell>
          <cell r="E3">
            <v>40</v>
          </cell>
        </row>
        <row r="4">
          <cell r="C4">
            <v>30</v>
          </cell>
          <cell r="E4">
            <v>30</v>
          </cell>
        </row>
      </sheetData>
      <sheetData sheetId="21">
        <row r="3">
          <cell r="C3">
            <v>5</v>
          </cell>
          <cell r="E3">
            <v>40</v>
          </cell>
        </row>
        <row r="4">
          <cell r="C4">
            <v>60</v>
          </cell>
          <cell r="E4">
            <v>30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7">
          <cell r="L7">
            <v>26</v>
          </cell>
          <cell r="M7">
            <v>99.952810800219154</v>
          </cell>
        </row>
        <row r="35">
          <cell r="M35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35A3-6ABA-403D-8F90-CA5D39DED165}">
  <dimension ref="A1"/>
  <sheetViews>
    <sheetView workbookViewId="0">
      <selection activeCell="O30" sqref="O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G231"/>
  <sheetViews>
    <sheetView tabSelected="1" topLeftCell="A26" zoomScale="90" zoomScaleNormal="90" workbookViewId="0">
      <selection activeCell="C8" sqref="C8"/>
    </sheetView>
  </sheetViews>
  <sheetFormatPr defaultColWidth="8.85546875" defaultRowHeight="12.75" x14ac:dyDescent="0.2"/>
  <cols>
    <col min="1" max="1" width="3.140625" style="1" customWidth="1"/>
    <col min="2" max="2" width="52.42578125" style="1" customWidth="1"/>
    <col min="3" max="3" width="9.85546875" style="1" bestFit="1" customWidth="1"/>
    <col min="4" max="4" width="12.42578125" style="1" customWidth="1"/>
    <col min="5" max="5" width="13.140625" style="1" customWidth="1"/>
    <col min="6" max="6" width="12.7109375" style="1" customWidth="1"/>
    <col min="7" max="7" width="10.42578125" style="1" bestFit="1" customWidth="1"/>
    <col min="8" max="8" width="10.85546875" style="1" customWidth="1"/>
    <col min="9" max="9" width="9.28515625" style="1" customWidth="1"/>
    <col min="10" max="10" width="36.5703125" style="1" customWidth="1"/>
    <col min="11" max="11" width="19.42578125" style="1" customWidth="1"/>
    <col min="12" max="12" width="18" style="1" customWidth="1"/>
    <col min="13" max="13" width="21.42578125" style="1" customWidth="1"/>
    <col min="14" max="15" width="21.7109375" style="1" customWidth="1"/>
    <col min="16" max="16" width="13.85546875" style="1" bestFit="1" customWidth="1"/>
    <col min="17" max="21" width="15.28515625" style="1" customWidth="1"/>
    <col min="22" max="26" width="13.85546875" style="1" bestFit="1" customWidth="1"/>
    <col min="27" max="31" width="15.28515625" style="1" customWidth="1"/>
    <col min="32" max="32" width="11.28515625" style="1" bestFit="1" customWidth="1"/>
    <col min="33" max="16384" width="8.85546875" style="1"/>
  </cols>
  <sheetData>
    <row r="1" spans="1:33" ht="18" customHeight="1" x14ac:dyDescent="0.2">
      <c r="J1" s="57" t="s">
        <v>0</v>
      </c>
    </row>
    <row r="2" spans="1:33" ht="21" x14ac:dyDescent="0.35">
      <c r="A2" s="8"/>
      <c r="B2" s="15"/>
      <c r="C2" s="15"/>
      <c r="D2" s="15"/>
      <c r="E2" s="15"/>
      <c r="F2" s="15"/>
      <c r="G2" s="15"/>
      <c r="H2" s="15"/>
      <c r="I2" s="8"/>
      <c r="J2" s="34" t="s">
        <v>1</v>
      </c>
      <c r="K2" s="25">
        <v>0</v>
      </c>
      <c r="L2" s="25">
        <v>1</v>
      </c>
      <c r="M2" s="25">
        <v>2</v>
      </c>
      <c r="N2" s="25">
        <v>3</v>
      </c>
      <c r="O2" s="25">
        <v>4</v>
      </c>
      <c r="P2" s="25">
        <v>5</v>
      </c>
      <c r="Q2" s="26"/>
      <c r="R2" s="41"/>
      <c r="S2" s="62" t="s">
        <v>2</v>
      </c>
      <c r="T2" s="62"/>
      <c r="U2" s="62"/>
      <c r="V2" s="62"/>
      <c r="W2" s="8"/>
    </row>
    <row r="3" spans="1:33" ht="21" customHeight="1" x14ac:dyDescent="0.35">
      <c r="A3" s="8"/>
      <c r="B3" s="15"/>
      <c r="C3" s="15" t="s">
        <v>3</v>
      </c>
      <c r="D3" s="15"/>
      <c r="E3" s="8"/>
      <c r="F3" s="15"/>
      <c r="G3" s="15"/>
      <c r="H3" s="15"/>
      <c r="I3" s="8"/>
      <c r="J3" s="56" t="s">
        <v>4</v>
      </c>
      <c r="K3" s="57"/>
      <c r="L3" s="60">
        <f ca="1">D63</f>
        <v>199.6255319148942</v>
      </c>
      <c r="M3" s="60">
        <f ca="1">E63</f>
        <v>208.39883386149177</v>
      </c>
      <c r="N3" s="60">
        <f t="shared" ref="N3:P3" ca="1" si="0">F63</f>
        <v>216.95526712057563</v>
      </c>
      <c r="O3" s="60">
        <f t="shared" ca="1" si="0"/>
        <v>225.16019715424821</v>
      </c>
      <c r="P3" s="60">
        <f t="shared" ca="1" si="0"/>
        <v>232.85324610660751</v>
      </c>
      <c r="Q3" s="58"/>
      <c r="R3" s="42"/>
      <c r="S3" s="43"/>
      <c r="T3" s="43"/>
      <c r="U3" s="43"/>
      <c r="V3" s="43"/>
      <c r="W3" s="8"/>
    </row>
    <row r="4" spans="1:33" ht="23.25" customHeight="1" x14ac:dyDescent="0.35">
      <c r="A4" s="8"/>
      <c r="B4" s="8"/>
      <c r="C4" s="38" t="s">
        <v>5</v>
      </c>
      <c r="D4" s="15"/>
      <c r="E4" s="15"/>
      <c r="F4" s="15"/>
      <c r="G4" s="15"/>
      <c r="H4" s="15"/>
      <c r="I4" s="8"/>
      <c r="J4" s="36" t="s">
        <v>6</v>
      </c>
      <c r="K4" s="9"/>
      <c r="L4" s="60">
        <f ca="1">L3*(1+U6)/(U4-U6)</f>
        <v>1397.3787234042593</v>
      </c>
      <c r="M4" s="60">
        <f ca="1">M3*(1+U6)/(U4-U6)</f>
        <v>1458.7918370304424</v>
      </c>
      <c r="N4" s="60">
        <f ca="1">N3*(1+U6)/(U4-U6)</f>
        <v>1518.6868698440292</v>
      </c>
      <c r="O4" s="60">
        <f ca="1">O3*(1+U6)/(U4-U6)</f>
        <v>1576.1213800797373</v>
      </c>
      <c r="P4" s="60">
        <f ca="1">P3*(1+U6)/(U4-U6)</f>
        <v>1629.9727227462524</v>
      </c>
      <c r="Q4" s="10"/>
      <c r="R4" s="42"/>
      <c r="S4" s="43"/>
      <c r="T4" s="43" t="s">
        <v>7</v>
      </c>
      <c r="U4" s="44">
        <f>0.2</f>
        <v>0.2</v>
      </c>
      <c r="V4" s="43"/>
      <c r="W4" s="8"/>
    </row>
    <row r="5" spans="1:33" ht="26.25" customHeight="1" thickBot="1" x14ac:dyDescent="0.4">
      <c r="A5" s="8"/>
      <c r="B5" s="16"/>
      <c r="C5" s="17"/>
      <c r="D5" s="17"/>
      <c r="E5" s="17"/>
      <c r="F5" s="17"/>
      <c r="G5" s="17"/>
      <c r="H5" s="17"/>
      <c r="I5" s="16"/>
      <c r="J5" s="59" t="s">
        <v>8</v>
      </c>
      <c r="K5" s="9"/>
      <c r="L5" s="60">
        <f ca="1">L3+L4</f>
        <v>1597.0042553191536</v>
      </c>
      <c r="M5" s="60">
        <f t="shared" ref="M5:O5" ca="1" si="1">M3+M4</f>
        <v>1667.1906708919341</v>
      </c>
      <c r="N5" s="60">
        <f t="shared" ca="1" si="1"/>
        <v>1735.6421369646048</v>
      </c>
      <c r="O5" s="60">
        <f t="shared" ca="1" si="1"/>
        <v>1801.2815772339854</v>
      </c>
      <c r="P5" s="60">
        <f ca="1">P3+P4</f>
        <v>1862.8259688528599</v>
      </c>
      <c r="Q5" s="10"/>
      <c r="R5" s="42"/>
      <c r="S5" s="43"/>
      <c r="T5" s="43"/>
      <c r="U5" s="43"/>
      <c r="V5" s="43"/>
      <c r="W5" s="8"/>
    </row>
    <row r="6" spans="1:33" ht="17.25" customHeight="1" x14ac:dyDescent="0.35">
      <c r="A6" s="8"/>
      <c r="B6" s="8"/>
      <c r="C6" s="15"/>
      <c r="D6" s="15"/>
      <c r="E6" s="15"/>
      <c r="F6" s="15"/>
      <c r="G6" s="15"/>
      <c r="H6" s="15"/>
      <c r="I6" s="8"/>
      <c r="J6" s="36"/>
      <c r="K6" s="9"/>
      <c r="L6" s="9"/>
      <c r="M6" s="9"/>
      <c r="N6" s="9"/>
      <c r="O6" s="60"/>
      <c r="P6" s="60"/>
      <c r="Q6" s="10"/>
      <c r="R6" s="42"/>
      <c r="S6" s="43"/>
      <c r="T6" s="43" t="s">
        <v>9</v>
      </c>
      <c r="U6" s="46">
        <f>0.05</f>
        <v>0.05</v>
      </c>
      <c r="V6" s="43"/>
      <c r="W6" s="8"/>
    </row>
    <row r="7" spans="1:33" ht="16.5" customHeight="1" x14ac:dyDescent="0.35">
      <c r="A7" s="8"/>
      <c r="B7" s="39" t="s">
        <v>10</v>
      </c>
      <c r="C7" s="21" t="s">
        <v>11</v>
      </c>
      <c r="D7" s="22"/>
      <c r="E7" s="22"/>
      <c r="F7" s="22"/>
      <c r="G7" s="22"/>
      <c r="H7" s="22"/>
      <c r="I7" s="22"/>
      <c r="J7" s="36" t="s">
        <v>12</v>
      </c>
      <c r="K7" s="60">
        <f ca="1">(SUM(L3/(1+U4),M3/(1+U4)^2,N3/(1+U4)^3,O3/(1+U4)^4,P3/(1+U4)^5)+P4/(1+U4)^5)*(1+U4)^0.5</f>
        <v>1417.3318210393852</v>
      </c>
      <c r="L7" s="9"/>
      <c r="M7" s="9"/>
      <c r="N7" s="9"/>
      <c r="O7" s="60"/>
      <c r="P7" s="60"/>
      <c r="Q7" s="10"/>
      <c r="R7" s="42"/>
      <c r="S7" s="43"/>
      <c r="T7" s="63"/>
      <c r="U7" s="63"/>
      <c r="V7" s="43"/>
      <c r="W7" s="8"/>
    </row>
    <row r="8" spans="1:33" ht="15.75" customHeight="1" x14ac:dyDescent="0.35">
      <c r="A8" s="8"/>
      <c r="B8" s="29" t="s">
        <v>13</v>
      </c>
      <c r="C8" s="18">
        <f>IFERROR(0.08-0.01*P29,0.08)</f>
        <v>0.08</v>
      </c>
      <c r="D8" s="19"/>
      <c r="E8" s="8"/>
      <c r="F8" s="8"/>
      <c r="G8" s="8"/>
      <c r="H8" s="8"/>
      <c r="I8" s="8"/>
      <c r="J8" s="36" t="s">
        <v>14</v>
      </c>
      <c r="K8" s="60">
        <v>80</v>
      </c>
      <c r="L8" s="9"/>
      <c r="M8" s="9"/>
      <c r="N8" s="9"/>
      <c r="O8" s="60"/>
      <c r="P8" s="60"/>
      <c r="Q8" s="10"/>
      <c r="R8" s="42"/>
      <c r="S8" s="47"/>
      <c r="T8" s="43" t="s">
        <v>15</v>
      </c>
      <c r="U8" s="48">
        <f ca="1">K12</f>
        <v>26.946636432089548</v>
      </c>
      <c r="V8" s="43"/>
      <c r="W8" s="20"/>
      <c r="X8" s="2"/>
      <c r="Y8" s="2"/>
      <c r="Z8" s="2"/>
      <c r="AA8" s="2"/>
      <c r="AB8" s="2"/>
      <c r="AC8" s="2"/>
      <c r="AD8" s="2"/>
      <c r="AE8" s="2"/>
      <c r="AF8" s="3"/>
      <c r="AG8" s="3"/>
    </row>
    <row r="9" spans="1:33" ht="21" x14ac:dyDescent="0.35">
      <c r="A9" s="8"/>
      <c r="B9" s="29" t="s">
        <v>16</v>
      </c>
      <c r="C9" s="18">
        <v>0.15</v>
      </c>
      <c r="D9" s="19"/>
      <c r="E9" s="8"/>
      <c r="F9" s="8"/>
      <c r="G9" s="8"/>
      <c r="H9" s="8"/>
      <c r="I9" s="8"/>
      <c r="J9" s="59" t="s">
        <v>17</v>
      </c>
      <c r="K9" s="60">
        <v>-150</v>
      </c>
      <c r="L9" s="9"/>
      <c r="M9" s="9"/>
      <c r="N9" s="9"/>
      <c r="O9" s="60"/>
      <c r="P9" s="60"/>
      <c r="Q9" s="10"/>
      <c r="R9" s="42"/>
      <c r="S9" s="43"/>
      <c r="T9" s="43"/>
      <c r="U9" s="43"/>
      <c r="V9" s="43"/>
      <c r="W9" s="20"/>
      <c r="X9" s="2"/>
      <c r="Y9" s="2"/>
      <c r="Z9" s="2"/>
      <c r="AA9" s="2"/>
      <c r="AB9" s="2"/>
      <c r="AC9" s="2"/>
      <c r="AD9" s="2"/>
      <c r="AE9" s="2"/>
      <c r="AF9" s="3"/>
    </row>
    <row r="10" spans="1:33" ht="21" x14ac:dyDescent="0.35">
      <c r="A10" s="8"/>
      <c r="B10" s="29" t="s">
        <v>18</v>
      </c>
      <c r="C10" s="18">
        <v>0.08</v>
      </c>
      <c r="D10" s="19"/>
      <c r="E10" s="8"/>
      <c r="F10" s="8"/>
      <c r="G10" s="8"/>
      <c r="H10" s="8"/>
      <c r="I10" s="8"/>
      <c r="J10" s="36" t="s">
        <v>19</v>
      </c>
      <c r="K10" s="60">
        <f ca="1">K7+K8+K9-M10</f>
        <v>1347.3318210393852</v>
      </c>
      <c r="L10" s="9" t="s">
        <v>20</v>
      </c>
      <c r="M10" s="9">
        <f>IFERROR(P30,0)</f>
        <v>0</v>
      </c>
      <c r="N10" s="9"/>
      <c r="O10" s="60"/>
      <c r="P10" s="60"/>
      <c r="Q10" s="10"/>
      <c r="R10" s="42"/>
      <c r="S10" s="43"/>
      <c r="T10" s="43"/>
      <c r="U10" s="43"/>
      <c r="V10" s="43"/>
      <c r="W10" s="20"/>
      <c r="X10" s="2"/>
      <c r="Y10" s="2"/>
      <c r="Z10" s="2"/>
      <c r="AA10" s="2"/>
      <c r="AB10" s="2"/>
      <c r="AC10" s="2"/>
      <c r="AD10" s="2"/>
      <c r="AE10" s="2"/>
      <c r="AF10" s="3"/>
    </row>
    <row r="11" spans="1:33" ht="21" x14ac:dyDescent="0.35">
      <c r="A11" s="8"/>
      <c r="B11" s="29" t="s">
        <v>21</v>
      </c>
      <c r="C11" s="18">
        <v>0.6</v>
      </c>
      <c r="D11" s="19"/>
      <c r="E11" s="8"/>
      <c r="F11" s="8"/>
      <c r="G11" s="8"/>
      <c r="H11" s="8"/>
      <c r="I11" s="8"/>
      <c r="J11" s="36" t="s">
        <v>22</v>
      </c>
      <c r="K11" s="60">
        <v>50</v>
      </c>
      <c r="L11" s="9"/>
      <c r="M11" s="9"/>
      <c r="N11" s="9"/>
      <c r="O11" s="60"/>
      <c r="P11" s="60"/>
      <c r="Q11" s="10"/>
      <c r="R11" s="42"/>
      <c r="S11" s="43"/>
      <c r="T11" s="43"/>
      <c r="U11" s="43"/>
      <c r="V11" s="43"/>
      <c r="W11" s="20"/>
      <c r="X11" s="2"/>
      <c r="Y11" s="2"/>
      <c r="Z11" s="2"/>
      <c r="AA11" s="2"/>
      <c r="AB11" s="2"/>
      <c r="AC11" s="2"/>
      <c r="AD11" s="2"/>
      <c r="AE11" s="2"/>
      <c r="AF11" s="3"/>
    </row>
    <row r="12" spans="1:33" ht="21" x14ac:dyDescent="0.35">
      <c r="A12" s="8"/>
      <c r="B12" s="29" t="s">
        <v>23</v>
      </c>
      <c r="C12" s="18">
        <f>IFERROR(0.5-0.01*P26,0.5)</f>
        <v>0.5</v>
      </c>
      <c r="D12" s="19"/>
      <c r="E12" s="8"/>
      <c r="F12" s="8"/>
      <c r="G12" s="8"/>
      <c r="H12" s="8"/>
      <c r="I12" s="8"/>
      <c r="J12" s="59" t="s">
        <v>24</v>
      </c>
      <c r="K12" s="60">
        <f ca="1">K10/K11</f>
        <v>26.946636420787705</v>
      </c>
      <c r="L12" s="9"/>
      <c r="M12" s="9"/>
      <c r="N12" s="9"/>
      <c r="O12" s="60"/>
      <c r="P12" s="60"/>
      <c r="Q12" s="10"/>
      <c r="R12" s="42"/>
      <c r="S12" s="43"/>
      <c r="T12" s="43"/>
      <c r="U12" s="43"/>
      <c r="V12" s="43"/>
      <c r="W12" s="20"/>
      <c r="X12" s="2"/>
      <c r="Y12" s="2"/>
      <c r="Z12" s="2"/>
    </row>
    <row r="13" spans="1:33" ht="21" x14ac:dyDescent="0.35">
      <c r="A13" s="8"/>
      <c r="B13" s="29" t="s">
        <v>25</v>
      </c>
      <c r="C13" s="18">
        <v>0.12</v>
      </c>
      <c r="D13" s="19"/>
      <c r="E13" s="8"/>
      <c r="F13" s="8"/>
      <c r="G13" s="8"/>
      <c r="H13" s="8"/>
      <c r="I13" s="8"/>
      <c r="J13" s="42"/>
      <c r="K13" s="42"/>
      <c r="L13" s="42"/>
      <c r="M13" s="42"/>
      <c r="N13" s="42"/>
      <c r="O13" s="42"/>
      <c r="P13" s="42"/>
      <c r="Q13" s="42"/>
      <c r="R13" s="42"/>
      <c r="S13" s="43"/>
      <c r="T13" s="43"/>
      <c r="U13" s="43"/>
      <c r="V13" s="43"/>
      <c r="W13" s="20"/>
      <c r="X13" s="2"/>
      <c r="Y13" s="2"/>
      <c r="Z13" s="2"/>
    </row>
    <row r="14" spans="1:33" ht="21" x14ac:dyDescent="0.35">
      <c r="A14" s="8"/>
      <c r="B14" s="29" t="s">
        <v>26</v>
      </c>
      <c r="C14" s="18">
        <f>IFERROR(0.1+0.01*P27,0.1)</f>
        <v>0.1</v>
      </c>
      <c r="D14" s="18"/>
      <c r="E14" s="8"/>
      <c r="F14" s="8"/>
      <c r="G14" s="8"/>
      <c r="H14" s="8"/>
      <c r="I14" s="8"/>
      <c r="J14" s="42" t="s">
        <v>27</v>
      </c>
      <c r="K14" s="45" t="str">
        <f>RTD("rit2.rtd",,"ABX","LAST")</f>
        <v>ABX|LAST</v>
      </c>
      <c r="L14" s="42"/>
      <c r="M14" s="42"/>
      <c r="N14" s="42"/>
      <c r="O14" s="42"/>
      <c r="P14" s="42"/>
      <c r="Q14" s="42"/>
      <c r="R14" s="42"/>
      <c r="S14" s="43"/>
      <c r="T14" s="43"/>
      <c r="U14" s="43"/>
      <c r="V14" s="43"/>
      <c r="W14" s="20"/>
      <c r="X14" s="2"/>
      <c r="Y14" s="2"/>
      <c r="Z14" s="2"/>
    </row>
    <row r="15" spans="1:33" ht="21" x14ac:dyDescent="0.35">
      <c r="A15" s="8"/>
      <c r="B15" s="29" t="s">
        <v>28</v>
      </c>
      <c r="C15" s="18">
        <v>0.08</v>
      </c>
      <c r="D15" s="18"/>
      <c r="E15" s="8"/>
      <c r="F15" s="8"/>
      <c r="G15" s="8"/>
      <c r="H15" s="8"/>
      <c r="I15" s="8"/>
      <c r="J15" s="42"/>
      <c r="K15" s="42"/>
      <c r="L15" s="42"/>
      <c r="M15" s="42"/>
      <c r="N15" s="42"/>
      <c r="O15" s="42"/>
      <c r="P15" s="42"/>
      <c r="Q15" s="42"/>
      <c r="R15" s="42"/>
      <c r="S15" s="43"/>
      <c r="T15" s="43"/>
      <c r="U15" s="43"/>
      <c r="V15" s="43"/>
      <c r="W15" s="20"/>
      <c r="X15" s="2"/>
      <c r="Y15" s="2"/>
      <c r="Z15" s="2"/>
    </row>
    <row r="16" spans="1:33" ht="21" x14ac:dyDescent="0.35">
      <c r="A16" s="8"/>
      <c r="B16" s="29" t="s">
        <v>29</v>
      </c>
      <c r="C16" s="18">
        <v>0.4</v>
      </c>
      <c r="D16" s="19"/>
      <c r="E16" s="8"/>
      <c r="F16" s="8"/>
      <c r="G16" s="8"/>
      <c r="H16" s="8"/>
      <c r="I16" s="8"/>
      <c r="J16" s="42"/>
      <c r="K16" s="42"/>
      <c r="L16" s="42"/>
      <c r="M16" s="42"/>
      <c r="N16" s="42"/>
      <c r="O16" s="50"/>
      <c r="P16" s="50"/>
      <c r="Q16" s="50"/>
      <c r="R16" s="50"/>
      <c r="S16" s="43"/>
      <c r="T16" s="43"/>
      <c r="U16" s="43"/>
      <c r="V16" s="43"/>
      <c r="W16" s="20"/>
      <c r="X16" s="2"/>
      <c r="Y16" s="2"/>
      <c r="Z16" s="2"/>
    </row>
    <row r="17" spans="1:26" ht="21" x14ac:dyDescent="0.35">
      <c r="A17" s="8"/>
      <c r="B17" s="29" t="s">
        <v>30</v>
      </c>
      <c r="C17" s="18">
        <v>0.4</v>
      </c>
      <c r="D17" s="19"/>
      <c r="E17" s="8"/>
      <c r="F17" s="8"/>
      <c r="G17" s="8"/>
      <c r="H17" s="8"/>
      <c r="I17" s="8"/>
      <c r="J17" s="42"/>
      <c r="K17" s="42"/>
      <c r="L17" s="42"/>
      <c r="M17" s="42"/>
      <c r="N17" s="42"/>
      <c r="O17" s="42"/>
      <c r="P17" s="42"/>
      <c r="Q17" s="42"/>
      <c r="R17" s="42"/>
      <c r="S17" s="43"/>
      <c r="T17" s="43"/>
      <c r="U17" s="43"/>
      <c r="V17" s="43"/>
      <c r="W17" s="20"/>
      <c r="X17" s="2"/>
      <c r="Y17" s="2"/>
      <c r="Z17" s="2"/>
    </row>
    <row r="18" spans="1:26" ht="21" x14ac:dyDescent="0.35">
      <c r="A18" s="8"/>
      <c r="B18" s="29" t="s">
        <v>31</v>
      </c>
      <c r="C18" s="18">
        <v>0.02</v>
      </c>
      <c r="D18" s="19"/>
      <c r="E18" s="8"/>
      <c r="F18" s="8"/>
      <c r="G18" s="8"/>
      <c r="H18" s="8"/>
      <c r="I18" s="8"/>
      <c r="J18" s="42"/>
      <c r="K18" s="42"/>
      <c r="L18" s="42"/>
      <c r="M18" s="42"/>
      <c r="N18" s="42"/>
      <c r="O18" s="42"/>
      <c r="P18" s="42"/>
      <c r="Q18" s="42"/>
      <c r="R18" s="42"/>
      <c r="S18" s="43"/>
      <c r="T18" s="43"/>
      <c r="U18" s="43"/>
      <c r="V18" s="43"/>
      <c r="W18" s="20"/>
      <c r="X18" s="2"/>
      <c r="Y18" s="2"/>
      <c r="Z18" s="2"/>
    </row>
    <row r="19" spans="1:26" ht="21" x14ac:dyDescent="0.35">
      <c r="A19" s="8"/>
      <c r="B19" s="29" t="s">
        <v>32</v>
      </c>
      <c r="C19" s="18">
        <f>IFERROR(0.03-0.0001*P22,0.03)</f>
        <v>0.03</v>
      </c>
      <c r="D19" s="19"/>
      <c r="E19" s="8"/>
      <c r="F19" s="8"/>
      <c r="G19" s="8"/>
      <c r="H19" s="8"/>
      <c r="I19" s="8"/>
      <c r="J19" s="42"/>
      <c r="K19" s="42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43"/>
      <c r="W19" s="20"/>
      <c r="X19" s="2"/>
      <c r="Y19" s="2"/>
      <c r="Z19" s="2"/>
    </row>
    <row r="20" spans="1:26" ht="21" x14ac:dyDescent="0.35">
      <c r="A20" s="8"/>
      <c r="B20" s="29" t="s">
        <v>33</v>
      </c>
      <c r="C20" s="18">
        <v>0.2</v>
      </c>
      <c r="D20" s="19"/>
      <c r="E20" s="8"/>
      <c r="F20" s="8"/>
      <c r="G20" s="8"/>
      <c r="H20" s="8"/>
      <c r="I20" s="8"/>
      <c r="J20" s="42"/>
      <c r="K20" s="49" t="s">
        <v>34</v>
      </c>
      <c r="L20" s="42"/>
      <c r="M20" s="42"/>
      <c r="N20" s="42"/>
      <c r="O20" s="42" t="s">
        <v>35</v>
      </c>
      <c r="P20" s="42" t="s">
        <v>36</v>
      </c>
      <c r="Q20" s="42"/>
      <c r="R20" s="42"/>
      <c r="S20" s="43"/>
      <c r="T20" s="43"/>
      <c r="U20" s="43"/>
      <c r="V20" s="43"/>
      <c r="W20" s="20"/>
      <c r="X20" s="2"/>
      <c r="Y20" s="2"/>
      <c r="Z20" s="2"/>
    </row>
    <row r="21" spans="1:26" ht="21" x14ac:dyDescent="0.35">
      <c r="A21" s="8"/>
      <c r="B21" s="29"/>
      <c r="C21" s="8"/>
      <c r="D21" s="8"/>
      <c r="E21" s="8"/>
      <c r="F21" s="8"/>
      <c r="G21" s="8"/>
      <c r="H21" s="8"/>
      <c r="I21" s="8"/>
      <c r="J21" s="50">
        <v>1</v>
      </c>
      <c r="K21" s="50" t="str">
        <f>RTD("rit2.rtd",, "NEWS", J21)</f>
        <v>NEWS|1</v>
      </c>
      <c r="L21" s="42"/>
      <c r="M21" s="42"/>
      <c r="N21" s="42"/>
      <c r="O21" s="42"/>
      <c r="P21" s="42"/>
      <c r="Q21" s="42"/>
      <c r="R21" s="42"/>
      <c r="S21" s="43"/>
      <c r="T21" s="43"/>
      <c r="U21" s="43"/>
      <c r="V21" s="43"/>
      <c r="W21" s="8"/>
    </row>
    <row r="22" spans="1:26" ht="21" x14ac:dyDescent="0.35">
      <c r="A22" s="8"/>
      <c r="B22" s="30" t="s">
        <v>1</v>
      </c>
      <c r="C22" s="5">
        <v>0</v>
      </c>
      <c r="D22" s="5">
        <v>1</v>
      </c>
      <c r="E22" s="5">
        <v>2</v>
      </c>
      <c r="F22" s="5">
        <v>3</v>
      </c>
      <c r="G22" s="5">
        <v>4</v>
      </c>
      <c r="H22" s="5">
        <v>5</v>
      </c>
      <c r="I22" s="6"/>
      <c r="J22" s="50">
        <v>2</v>
      </c>
      <c r="K22" s="50" t="str">
        <f>RTD("rit2.rtd",, "NEWS",J22)</f>
        <v>NEWS|2</v>
      </c>
      <c r="L22" s="42"/>
      <c r="M22" s="42"/>
      <c r="N22" s="42"/>
      <c r="O22" s="42"/>
      <c r="P22" s="42" t="e">
        <f>_xlfn.NUMBERVALUE(MID(K22,FIND("fallen ",K22)+7,2))</f>
        <v>#VALUE!</v>
      </c>
      <c r="Q22" s="42"/>
      <c r="R22" s="42"/>
      <c r="S22" s="43"/>
      <c r="T22" s="43"/>
      <c r="U22" s="43"/>
      <c r="V22" s="43"/>
      <c r="W22" s="8"/>
    </row>
    <row r="23" spans="1:26" ht="21" x14ac:dyDescent="0.35">
      <c r="A23" s="8"/>
      <c r="B23" s="31" t="s">
        <v>37</v>
      </c>
      <c r="C23" s="7"/>
      <c r="D23" s="7"/>
      <c r="E23" s="7"/>
      <c r="F23" s="7"/>
      <c r="G23" s="7"/>
      <c r="H23" s="7"/>
      <c r="I23" s="7"/>
      <c r="J23" s="50">
        <v>3</v>
      </c>
      <c r="K23" s="50" t="str">
        <f>RTD("rit2.rtd",, "NEWS",J23)</f>
        <v>NEWS|3</v>
      </c>
      <c r="L23" s="42"/>
      <c r="M23" s="42"/>
      <c r="N23" s="42"/>
      <c r="O23" s="42"/>
      <c r="P23" s="42" t="e">
        <f>_xlfn.NUMBERVALUE(MID(K23,FIND("$",K23)+1,5))</f>
        <v>#VALUE!</v>
      </c>
      <c r="Q23" s="42"/>
      <c r="R23" s="42"/>
      <c r="S23" s="43"/>
      <c r="T23" s="43"/>
      <c r="U23" s="43"/>
      <c r="V23" s="43"/>
      <c r="W23" s="8"/>
    </row>
    <row r="24" spans="1:26" ht="21" x14ac:dyDescent="0.35">
      <c r="A24" s="8"/>
      <c r="B24" s="29" t="s">
        <v>38</v>
      </c>
      <c r="C24" s="9">
        <f>1000</f>
        <v>1000</v>
      </c>
      <c r="D24" s="9">
        <f>C24*(1+$C$8)</f>
        <v>1080</v>
      </c>
      <c r="E24" s="9">
        <f>D24*(1+$C$8)</f>
        <v>1166.4000000000001</v>
      </c>
      <c r="F24" s="9">
        <f t="shared" ref="F24:H24" si="2">E24*(1+$C$8)</f>
        <v>1259.7120000000002</v>
      </c>
      <c r="G24" s="9">
        <f t="shared" si="2"/>
        <v>1360.4889600000004</v>
      </c>
      <c r="H24" s="9">
        <f t="shared" si="2"/>
        <v>1469.3280768000004</v>
      </c>
      <c r="I24" s="10"/>
      <c r="J24" s="50">
        <v>4</v>
      </c>
      <c r="K24" s="50" t="str">
        <f>RTD("rit2.rtd",, "NEWS",J24)</f>
        <v>NEWS|4</v>
      </c>
      <c r="L24" s="42"/>
      <c r="M24" s="42"/>
      <c r="N24" s="42"/>
      <c r="O24" s="42"/>
      <c r="P24" s="42" t="e">
        <f>_xlfn.NUMBERVALUE(MID(K24,FIND("a ",K24)+2,2))</f>
        <v>#VALUE!</v>
      </c>
      <c r="Q24" s="42"/>
      <c r="R24" s="42"/>
      <c r="S24" s="43"/>
      <c r="T24" s="43"/>
      <c r="U24" s="43"/>
      <c r="V24" s="43"/>
      <c r="W24" s="8"/>
    </row>
    <row r="25" spans="1:26" ht="21" x14ac:dyDescent="0.35">
      <c r="A25" s="8"/>
      <c r="B25" s="29" t="s">
        <v>39</v>
      </c>
      <c r="C25" s="9">
        <f t="shared" ref="C25" si="3">-C24*$C$12</f>
        <v>-500</v>
      </c>
      <c r="D25" s="9">
        <f>-D24*$C$12</f>
        <v>-540</v>
      </c>
      <c r="E25" s="9">
        <f t="shared" ref="E25:H25" si="4">-E24*$C$12</f>
        <v>-583.20000000000005</v>
      </c>
      <c r="F25" s="9">
        <f t="shared" si="4"/>
        <v>-629.85600000000011</v>
      </c>
      <c r="G25" s="9">
        <f t="shared" si="4"/>
        <v>-680.24448000000018</v>
      </c>
      <c r="H25" s="9">
        <f t="shared" si="4"/>
        <v>-734.66403840000021</v>
      </c>
      <c r="I25" s="10"/>
      <c r="J25" s="50">
        <v>5</v>
      </c>
      <c r="K25" s="50" t="str">
        <f>RTD("rit2.rtd",, "NEWS",J25)</f>
        <v>NEWS|5</v>
      </c>
      <c r="L25" s="42"/>
      <c r="M25" s="42"/>
      <c r="N25" s="42"/>
      <c r="O25" s="42"/>
      <c r="P25" s="42" t="e">
        <f>_xlfn.NUMBERVALUE(MID(K25,FIND("by ",K25)+3,1))</f>
        <v>#VALUE!</v>
      </c>
      <c r="Q25" s="42"/>
      <c r="R25" s="42"/>
      <c r="S25" s="43"/>
      <c r="T25" s="43"/>
      <c r="U25" s="43"/>
      <c r="V25" s="43"/>
      <c r="W25" s="8"/>
    </row>
    <row r="26" spans="1:26" ht="21" x14ac:dyDescent="0.35">
      <c r="A26" s="8"/>
      <c r="B26" s="29" t="s">
        <v>40</v>
      </c>
      <c r="C26" s="9">
        <f>-IFERROR(M10+P31,M10)</f>
        <v>0</v>
      </c>
      <c r="D26" s="9">
        <f>-IFERROR(M10+P31,M10)</f>
        <v>0</v>
      </c>
      <c r="E26" s="9">
        <f>-IFERROR(M10+P31,M10)</f>
        <v>0</v>
      </c>
      <c r="F26" s="9">
        <f>-IFERROR(M10+P31,M10)</f>
        <v>0</v>
      </c>
      <c r="G26" s="9">
        <f>-IFERROR(M10+P31,M10)</f>
        <v>0</v>
      </c>
      <c r="H26" s="9">
        <f>-IFERROR(M10+P31,M10)</f>
        <v>0</v>
      </c>
      <c r="I26" s="10"/>
      <c r="J26" s="50">
        <v>6</v>
      </c>
      <c r="K26" s="50" t="str">
        <f>RTD("rit2.rtd",, "NEWS",J26)</f>
        <v>NEWS|6</v>
      </c>
      <c r="L26" s="42"/>
      <c r="M26" s="42"/>
      <c r="N26" s="42"/>
      <c r="O26" s="42"/>
      <c r="P26" s="42" t="e">
        <f>_xlfn.NUMBERVALUE(MID(K26,FIND("by ",K26)+3,1))</f>
        <v>#VALUE!</v>
      </c>
      <c r="Q26" s="42"/>
      <c r="R26" s="42"/>
      <c r="S26" s="43"/>
      <c r="T26" s="43"/>
      <c r="U26" s="43"/>
      <c r="V26" s="43"/>
      <c r="W26" s="8"/>
    </row>
    <row r="27" spans="1:26" ht="21" x14ac:dyDescent="0.35">
      <c r="A27" s="8"/>
      <c r="B27" s="29" t="s">
        <v>41</v>
      </c>
      <c r="C27" s="9">
        <f>-$C$14*C49</f>
        <v>-15</v>
      </c>
      <c r="D27" s="9">
        <f>-$C$14*(C49+D49)/2</f>
        <v>-15</v>
      </c>
      <c r="E27" s="40">
        <f>-$C$14*(D49+E49)/2</f>
        <v>-15</v>
      </c>
      <c r="F27" s="9">
        <f t="shared" ref="F27:H27" si="5">-$C$14*(E49+F49)/2</f>
        <v>-15</v>
      </c>
      <c r="G27" s="9">
        <f t="shared" si="5"/>
        <v>-15</v>
      </c>
      <c r="H27" s="9">
        <f t="shared" si="5"/>
        <v>-15</v>
      </c>
      <c r="I27" s="10"/>
      <c r="J27" s="50">
        <v>7</v>
      </c>
      <c r="K27" s="50" t="str">
        <f>RTD("rit2.rtd",, "NEWS",J27)</f>
        <v>NEWS|7</v>
      </c>
      <c r="L27" s="42"/>
      <c r="M27" s="42"/>
      <c r="N27" s="42"/>
      <c r="O27" s="42"/>
      <c r="P27" s="42" t="e">
        <f>_xlfn.NUMBERVALUE(MID(K27,FIND("by ",K27)+3,4))</f>
        <v>#VALUE!</v>
      </c>
      <c r="Q27" s="42"/>
      <c r="R27" s="42"/>
      <c r="S27" s="43"/>
      <c r="T27" s="43"/>
      <c r="U27" s="43"/>
      <c r="V27" s="43"/>
      <c r="W27" s="8"/>
    </row>
    <row r="28" spans="1:26" ht="21" x14ac:dyDescent="0.35">
      <c r="A28" s="8"/>
      <c r="B28" s="29" t="s">
        <v>42</v>
      </c>
      <c r="C28" s="9">
        <f>$C$15*C40</f>
        <v>6.4</v>
      </c>
      <c r="D28" s="9">
        <f ca="1">$C$15*(C40+D40)/2</f>
        <v>10.265232108317237</v>
      </c>
      <c r="E28" s="9">
        <f ca="1">$C$15*(D40+E40)/2</f>
        <v>18.252666628764601</v>
      </c>
      <c r="F28" s="61">
        <f ca="1">$C$15*(E40+F40)/2</f>
        <v>26.750700904819279</v>
      </c>
      <c r="G28" s="9">
        <f ca="1">$C$15*(F40+G40)/2</f>
        <v>35.748831665235443</v>
      </c>
      <c r="H28" s="9">
        <f ca="1">$C$15*(G40+H40)/2</f>
        <v>45.228138328175881</v>
      </c>
      <c r="I28" s="10"/>
      <c r="J28" s="50">
        <v>8</v>
      </c>
      <c r="K28" s="50" t="str">
        <f>RTD("rit2.rtd",, "NEWS",J28)</f>
        <v>NEWS|8</v>
      </c>
      <c r="L28" s="42"/>
      <c r="M28" s="42"/>
      <c r="N28" s="42"/>
      <c r="O28" s="42"/>
      <c r="P28" s="42" t="e">
        <f t="shared" ref="P28" si="6">_xlfn.NUMBERVALUE(MID(K28,FIND("$",K28)+1,5))</f>
        <v>#VALUE!</v>
      </c>
      <c r="Q28" s="42"/>
      <c r="R28" s="42"/>
      <c r="S28" s="43"/>
      <c r="T28" s="43"/>
      <c r="U28" s="43"/>
      <c r="V28" s="43"/>
      <c r="W28" s="8"/>
    </row>
    <row r="29" spans="1:26" ht="21" x14ac:dyDescent="0.35">
      <c r="A29" s="8"/>
      <c r="B29" s="29" t="s">
        <v>43</v>
      </c>
      <c r="C29" s="9">
        <v>-100</v>
      </c>
      <c r="D29" s="9">
        <f ca="1">-$C$13*(D43+C43)/2</f>
        <v>-117.95744680851057</v>
      </c>
      <c r="E29" s="9">
        <f t="shared" ref="E29:H29" ca="1" si="7">-$C$13*(E43+D43)/2</f>
        <v>-139.38861023087193</v>
      </c>
      <c r="F29" s="9">
        <f t="shared" ca="1" si="7"/>
        <v>-164.06548813266519</v>
      </c>
      <c r="G29" s="9">
        <f t="shared" ca="1" si="7"/>
        <v>-192.44321274518285</v>
      </c>
      <c r="H29" s="9">
        <f t="shared" ca="1" si="7"/>
        <v>-225.03828114229728</v>
      </c>
      <c r="I29" s="10"/>
      <c r="J29" s="50">
        <v>9</v>
      </c>
      <c r="K29" s="50" t="str">
        <f>RTD("rit2.rtd",, "NEWS",J29)</f>
        <v>NEWS|9</v>
      </c>
      <c r="L29" s="42"/>
      <c r="M29" s="42"/>
      <c r="N29" s="42"/>
      <c r="O29" s="42"/>
      <c r="P29" s="42" t="e">
        <f>_xlfn.NUMBERVALUE(MID(K29,FIND("decrease ",K29)+9,1))</f>
        <v>#VALUE!</v>
      </c>
      <c r="Q29" s="42"/>
      <c r="R29" s="42"/>
      <c r="S29" s="43"/>
      <c r="T29" s="43"/>
      <c r="U29" s="43"/>
      <c r="V29" s="43"/>
      <c r="W29" s="8"/>
    </row>
    <row r="30" spans="1:26" ht="21" x14ac:dyDescent="0.35">
      <c r="A30" s="8"/>
      <c r="B30" s="29" t="s">
        <v>44</v>
      </c>
      <c r="C30" s="9"/>
      <c r="D30" s="9"/>
      <c r="E30" s="9"/>
      <c r="F30" s="9"/>
      <c r="G30" s="9"/>
      <c r="H30" s="9"/>
      <c r="I30" s="10"/>
      <c r="J30" s="50">
        <v>10</v>
      </c>
      <c r="K30" s="50" t="str">
        <f>RTD("rit2.rtd",, "NEWS",J30)</f>
        <v>NEWS|10</v>
      </c>
      <c r="L30" s="42"/>
      <c r="M30" s="42"/>
      <c r="N30" s="42"/>
      <c r="O30" s="42"/>
      <c r="P30" s="42" t="e">
        <f>_xlfn.NUMBERVALUE(MID(K30,FIND("$",K30)+1,2))</f>
        <v>#VALUE!</v>
      </c>
      <c r="Q30" s="42"/>
      <c r="R30" s="42"/>
      <c r="S30" s="43"/>
      <c r="T30" s="43"/>
      <c r="U30" s="43"/>
      <c r="V30" s="43"/>
      <c r="W30" s="8"/>
    </row>
    <row r="31" spans="1:26" ht="21" x14ac:dyDescent="0.35">
      <c r="A31" s="8"/>
      <c r="B31" s="29" t="s">
        <v>45</v>
      </c>
      <c r="C31" s="9">
        <v>0</v>
      </c>
      <c r="D31" s="9"/>
      <c r="E31" s="9"/>
      <c r="F31" s="9"/>
      <c r="G31" s="9"/>
      <c r="H31" s="9"/>
      <c r="I31" s="10"/>
      <c r="J31" s="50">
        <v>11</v>
      </c>
      <c r="K31" s="50" t="str">
        <f>RTD("rit2.rtd",, "NEWS",J31)</f>
        <v>NEWS|11</v>
      </c>
      <c r="L31" s="42"/>
      <c r="M31" s="42"/>
      <c r="N31" s="42"/>
      <c r="O31" s="42"/>
      <c r="P31" s="42" t="e">
        <f>_xlfn.NUMBERVALUE(MID(K31,FIND("$",K31)+1,2))</f>
        <v>#VALUE!</v>
      </c>
      <c r="Q31" s="42"/>
      <c r="R31" s="42"/>
      <c r="S31" s="43"/>
      <c r="T31" s="43"/>
      <c r="U31" s="43"/>
      <c r="V31" s="43"/>
      <c r="W31" s="8"/>
    </row>
    <row r="32" spans="1:26" ht="21" x14ac:dyDescent="0.35">
      <c r="A32" s="8"/>
      <c r="B32" s="29" t="s">
        <v>46</v>
      </c>
      <c r="C32" s="9">
        <v>0</v>
      </c>
      <c r="D32" s="9"/>
      <c r="E32" s="9"/>
      <c r="F32" s="9"/>
      <c r="G32" s="9"/>
      <c r="H32" s="9"/>
      <c r="I32" s="10"/>
      <c r="J32" s="50">
        <v>12</v>
      </c>
      <c r="K32" s="50" t="str">
        <f>RTD("rit2.rtd",, "NEWS",J32)</f>
        <v>NEWS|12</v>
      </c>
      <c r="L32" s="42"/>
      <c r="M32" s="42"/>
      <c r="N32" s="42"/>
      <c r="O32" s="42"/>
      <c r="P32" s="42" t="e">
        <f>_xlfn.NUMBERVALUE(MID(K32,FIND("increase ",K32)+9,1))</f>
        <v>#VALUE!</v>
      </c>
      <c r="Q32" s="42"/>
      <c r="R32" s="42"/>
      <c r="S32" s="43"/>
      <c r="T32" s="43"/>
      <c r="U32" s="43"/>
      <c r="V32" s="43"/>
      <c r="W32" s="8"/>
    </row>
    <row r="33" spans="1:23" ht="21" x14ac:dyDescent="0.35">
      <c r="A33" s="8"/>
      <c r="B33" s="29" t="s">
        <v>47</v>
      </c>
      <c r="C33" s="9">
        <f>SUM(C24:C32)</f>
        <v>391.4</v>
      </c>
      <c r="D33" s="9">
        <f ca="1">SUM(D24:D32)</f>
        <v>417.30778529980671</v>
      </c>
      <c r="E33" s="9">
        <f t="shared" ref="E33:H33" ca="1" si="8">SUM(E24:E32)</f>
        <v>447.06405639789273</v>
      </c>
      <c r="F33" s="9">
        <f t="shared" ca="1" si="8"/>
        <v>477.54121277215415</v>
      </c>
      <c r="G33" s="9">
        <f t="shared" ca="1" si="8"/>
        <v>508.55009892005279</v>
      </c>
      <c r="H33" s="9">
        <f t="shared" ca="1" si="8"/>
        <v>539.85389558587883</v>
      </c>
      <c r="I33" s="10"/>
      <c r="J33" s="50"/>
      <c r="K33" s="42"/>
      <c r="L33" s="42"/>
      <c r="M33" s="42"/>
      <c r="N33" s="42"/>
      <c r="O33" s="42"/>
      <c r="P33" s="42"/>
      <c r="Q33" s="42"/>
      <c r="R33" s="42"/>
      <c r="S33" s="43"/>
      <c r="T33" s="43"/>
      <c r="U33" s="43"/>
      <c r="V33" s="43"/>
      <c r="W33" s="8"/>
    </row>
    <row r="34" spans="1:23" ht="21" x14ac:dyDescent="0.35">
      <c r="A34" s="8"/>
      <c r="B34" s="29" t="s">
        <v>48</v>
      </c>
      <c r="C34" s="9">
        <f t="shared" ref="C34" si="9">-C33*$C$16</f>
        <v>-156.56</v>
      </c>
      <c r="D34" s="9">
        <f ca="1">-D33*$C$16</f>
        <v>-166.9231141199227</v>
      </c>
      <c r="E34" s="9">
        <f t="shared" ref="E34:H34" ca="1" si="10">-E33*$C$16</f>
        <v>-178.8256225591571</v>
      </c>
      <c r="F34" s="9">
        <f t="shared" ca="1" si="10"/>
        <v>-191.01648510886167</v>
      </c>
      <c r="G34" s="9">
        <f t="shared" ca="1" si="10"/>
        <v>-203.42003956802114</v>
      </c>
      <c r="H34" s="9">
        <f t="shared" ca="1" si="10"/>
        <v>-215.94155823435153</v>
      </c>
      <c r="I34" s="10"/>
      <c r="J34" s="50"/>
      <c r="K34" s="42"/>
      <c r="L34" s="42"/>
      <c r="M34" s="42"/>
      <c r="N34" s="42"/>
      <c r="O34" s="42"/>
      <c r="P34" s="42"/>
      <c r="Q34" s="42"/>
      <c r="R34" s="42"/>
      <c r="S34" s="43"/>
      <c r="T34" s="43"/>
      <c r="U34" s="43"/>
      <c r="V34" s="43"/>
      <c r="W34" s="8"/>
    </row>
    <row r="35" spans="1:23" ht="21" x14ac:dyDescent="0.35">
      <c r="A35" s="8"/>
      <c r="B35" s="29" t="s">
        <v>49</v>
      </c>
      <c r="C35" s="9">
        <f t="shared" ref="C35" si="11">C34+C33</f>
        <v>234.83999999999997</v>
      </c>
      <c r="D35" s="9">
        <f ca="1">D34+D33</f>
        <v>250.38467117988401</v>
      </c>
      <c r="E35" s="9">
        <f t="shared" ref="E35:H35" ca="1" si="12">E34+E33</f>
        <v>268.23843383873566</v>
      </c>
      <c r="F35" s="9">
        <f t="shared" ca="1" si="12"/>
        <v>286.52472766329248</v>
      </c>
      <c r="G35" s="9">
        <f t="shared" ca="1" si="12"/>
        <v>305.13005935203165</v>
      </c>
      <c r="H35" s="9">
        <f t="shared" ca="1" si="12"/>
        <v>323.9123373515273</v>
      </c>
      <c r="I35" s="10"/>
      <c r="J35" s="64" t="s">
        <v>50</v>
      </c>
      <c r="K35" s="64"/>
      <c r="L35" s="64"/>
      <c r="M35" s="64"/>
      <c r="N35" s="64"/>
      <c r="O35" s="64"/>
      <c r="P35" s="64"/>
      <c r="Q35" s="51"/>
      <c r="R35" s="51"/>
      <c r="S35" s="43"/>
      <c r="T35" s="43"/>
      <c r="U35" s="43"/>
      <c r="V35" s="43"/>
      <c r="W35" s="8"/>
    </row>
    <row r="36" spans="1:23" ht="21" x14ac:dyDescent="0.35">
      <c r="A36" s="8"/>
      <c r="B36" s="29" t="s">
        <v>51</v>
      </c>
      <c r="C36" s="9">
        <f>-C35*$C$17</f>
        <v>-93.935999999999993</v>
      </c>
      <c r="D36" s="9">
        <f ca="1">-$C$17*D35</f>
        <v>-100.15386847195361</v>
      </c>
      <c r="E36" s="9">
        <f t="shared" ref="E36:H36" ca="1" si="13">-$C$17*E35</f>
        <v>-107.29537353549426</v>
      </c>
      <c r="F36" s="9">
        <f t="shared" ca="1" si="13"/>
        <v>-114.609891065317</v>
      </c>
      <c r="G36" s="9">
        <f t="shared" ca="1" si="13"/>
        <v>-122.05202374081267</v>
      </c>
      <c r="H36" s="9">
        <f t="shared" ca="1" si="13"/>
        <v>-129.56493494061093</v>
      </c>
      <c r="I36" s="10"/>
      <c r="J36" s="52"/>
      <c r="K36" s="52"/>
      <c r="L36" s="52"/>
      <c r="M36" s="52"/>
      <c r="N36" s="52"/>
      <c r="O36" s="52"/>
      <c r="P36" s="52"/>
      <c r="Q36" s="52"/>
      <c r="R36" s="52"/>
      <c r="S36" s="43"/>
      <c r="T36" s="43"/>
      <c r="U36" s="43"/>
      <c r="V36" s="43"/>
      <c r="W36" s="8"/>
    </row>
    <row r="37" spans="1:23" ht="21" x14ac:dyDescent="0.35">
      <c r="A37" s="8"/>
      <c r="B37" s="29" t="s">
        <v>52</v>
      </c>
      <c r="C37" s="9">
        <f>C36+C35</f>
        <v>140.904</v>
      </c>
      <c r="D37" s="9">
        <f ca="1">D36+D35</f>
        <v>150.23080270793039</v>
      </c>
      <c r="E37" s="9">
        <f t="shared" ref="E37:H37" ca="1" si="14">E36+E35</f>
        <v>160.9430603032414</v>
      </c>
      <c r="F37" s="9">
        <f t="shared" ca="1" si="14"/>
        <v>171.91483659797547</v>
      </c>
      <c r="G37" s="9">
        <f t="shared" ca="1" si="14"/>
        <v>183.07803561121898</v>
      </c>
      <c r="H37" s="9">
        <f t="shared" ca="1" si="14"/>
        <v>194.34740241091637</v>
      </c>
      <c r="I37" s="10"/>
      <c r="J37" s="52" t="s">
        <v>53</v>
      </c>
      <c r="K37" s="65" t="str">
        <f>RTD("rit2.rtd",,"Timeremaining")</f>
        <v>TIMEREMAINING</v>
      </c>
      <c r="L37" s="65"/>
      <c r="M37" s="52"/>
      <c r="N37" s="52"/>
      <c r="O37" s="52"/>
      <c r="P37" s="52"/>
      <c r="Q37" s="52"/>
      <c r="R37" s="52"/>
      <c r="S37" s="43"/>
      <c r="T37" s="43"/>
      <c r="U37" s="43"/>
      <c r="V37" s="43"/>
      <c r="W37" s="8"/>
    </row>
    <row r="38" spans="1:23" ht="21" x14ac:dyDescent="0.35">
      <c r="A38" s="8"/>
      <c r="B38" s="29"/>
      <c r="C38" s="11"/>
      <c r="D38" s="11"/>
      <c r="E38" s="11"/>
      <c r="F38" s="11"/>
      <c r="G38" s="11"/>
      <c r="H38" s="11"/>
      <c r="I38" s="10"/>
      <c r="J38" s="52"/>
      <c r="K38" s="52"/>
      <c r="L38" s="52"/>
      <c r="M38" s="52"/>
      <c r="N38" s="52"/>
      <c r="O38" s="52"/>
      <c r="P38" s="52"/>
      <c r="Q38" s="52"/>
      <c r="R38" s="52"/>
      <c r="S38" s="43"/>
      <c r="T38" s="43"/>
      <c r="U38" s="43"/>
      <c r="V38" s="43"/>
      <c r="W38" s="8"/>
    </row>
    <row r="39" spans="1:23" ht="21" x14ac:dyDescent="0.35">
      <c r="A39" s="8"/>
      <c r="B39" s="32" t="s">
        <v>54</v>
      </c>
      <c r="C39" s="23"/>
      <c r="D39" s="23"/>
      <c r="E39" s="23"/>
      <c r="F39" s="23"/>
      <c r="G39" s="23"/>
      <c r="H39" s="23"/>
      <c r="I39" s="24"/>
      <c r="J39" s="52" t="s">
        <v>55</v>
      </c>
      <c r="K39" s="54" t="e">
        <f ca="1">U8-K14</f>
        <v>#VALUE!</v>
      </c>
      <c r="L39" s="53" t="s">
        <v>56</v>
      </c>
      <c r="M39" s="52" t="e">
        <f ca="1">IF(K39&gt;0, "Market underpriced, BUY", "Market overpriced, SELL")</f>
        <v>#VALUE!</v>
      </c>
      <c r="N39" s="52"/>
      <c r="O39" s="52"/>
      <c r="P39" s="52"/>
      <c r="Q39" s="52"/>
      <c r="R39" s="52"/>
      <c r="S39" s="43"/>
      <c r="T39" s="43"/>
      <c r="U39" s="43"/>
      <c r="V39" s="43"/>
      <c r="W39" s="8"/>
    </row>
    <row r="40" spans="1:23" ht="21" x14ac:dyDescent="0.35">
      <c r="A40" s="8"/>
      <c r="B40" s="29" t="s">
        <v>57</v>
      </c>
      <c r="C40" s="9">
        <v>80</v>
      </c>
      <c r="D40" s="9">
        <f ca="1">D52-D41-D45</f>
        <v>176.63080270793091</v>
      </c>
      <c r="E40" s="9">
        <f t="shared" ref="E40:H40" ca="1" si="15">E52-E41-E45</f>
        <v>279.6858630111841</v>
      </c>
      <c r="F40" s="9">
        <f t="shared" ca="1" si="15"/>
        <v>389.08165960929784</v>
      </c>
      <c r="G40" s="9">
        <f t="shared" ca="1" si="15"/>
        <v>504.63913202158813</v>
      </c>
      <c r="H40" s="9">
        <f t="shared" ca="1" si="15"/>
        <v>626.06432618280951</v>
      </c>
      <c r="I40" s="10"/>
      <c r="J40" s="52"/>
      <c r="K40" s="52"/>
      <c r="L40" s="52"/>
      <c r="M40" s="52"/>
      <c r="N40" s="52"/>
      <c r="O40" s="52"/>
      <c r="P40" s="52"/>
      <c r="Q40" s="52"/>
      <c r="R40" s="52"/>
      <c r="S40" s="43"/>
      <c r="T40" s="43"/>
      <c r="U40" s="43"/>
      <c r="V40" s="43"/>
      <c r="W40" s="8"/>
    </row>
    <row r="41" spans="1:23" ht="21" x14ac:dyDescent="0.35">
      <c r="A41" s="8"/>
      <c r="B41" s="29" t="s">
        <v>58</v>
      </c>
      <c r="C41" s="9">
        <f>$C$9*C24</f>
        <v>150</v>
      </c>
      <c r="D41" s="9">
        <f>D24*$C$9</f>
        <v>162</v>
      </c>
      <c r="E41" s="9">
        <f t="shared" ref="E41:H41" si="16">E24*$C$9</f>
        <v>174.96</v>
      </c>
      <c r="F41" s="9">
        <f t="shared" si="16"/>
        <v>188.95680000000002</v>
      </c>
      <c r="G41" s="9">
        <f t="shared" si="16"/>
        <v>204.07334400000005</v>
      </c>
      <c r="H41" s="9">
        <f t="shared" si="16"/>
        <v>220.39921152000005</v>
      </c>
      <c r="I41" s="10"/>
      <c r="J41" s="52"/>
      <c r="K41" s="52"/>
      <c r="L41" s="55"/>
      <c r="M41" s="55"/>
      <c r="N41" s="55"/>
      <c r="O41" s="55"/>
      <c r="P41" s="53"/>
      <c r="Q41" s="53"/>
      <c r="R41" s="53"/>
      <c r="S41" s="43"/>
      <c r="T41" s="43"/>
      <c r="U41" s="43"/>
      <c r="V41" s="43"/>
      <c r="W41" s="8"/>
    </row>
    <row r="42" spans="1:23" ht="21" x14ac:dyDescent="0.35">
      <c r="A42" s="8"/>
      <c r="B42" s="29" t="s">
        <v>59</v>
      </c>
      <c r="C42" s="9"/>
      <c r="D42" s="9"/>
      <c r="E42" s="9"/>
      <c r="F42" s="9"/>
      <c r="G42" s="9"/>
      <c r="H42" s="9"/>
      <c r="I42" s="10"/>
      <c r="J42" s="52"/>
      <c r="K42" s="52"/>
      <c r="L42" s="52"/>
      <c r="M42" s="52"/>
      <c r="N42" s="52"/>
      <c r="O42" s="52"/>
      <c r="P42" s="52"/>
      <c r="Q42" s="52"/>
      <c r="R42" s="52"/>
      <c r="S42" s="43"/>
      <c r="T42" s="43"/>
      <c r="U42" s="43"/>
      <c r="V42" s="43"/>
      <c r="W42" s="8"/>
    </row>
    <row r="43" spans="1:23" ht="15" x14ac:dyDescent="0.25">
      <c r="A43" s="8"/>
      <c r="B43" s="29" t="s">
        <v>60</v>
      </c>
      <c r="C43" s="9">
        <f t="shared" ref="C43" si="17">C45-C44</f>
        <v>900</v>
      </c>
      <c r="D43" s="9">
        <f ca="1">D45-D44</f>
        <v>1065.9574468085095</v>
      </c>
      <c r="E43" s="9">
        <f t="shared" ref="E43:H43" ca="1" si="18">E45-E44</f>
        <v>1257.1860570393565</v>
      </c>
      <c r="F43" s="9">
        <f t="shared" ca="1" si="18"/>
        <v>1477.2387451717304</v>
      </c>
      <c r="G43" s="9">
        <f t="shared" ca="1" si="18"/>
        <v>1730.1481339146503</v>
      </c>
      <c r="H43" s="9">
        <f t="shared" ca="1" si="18"/>
        <v>2020.4898851236378</v>
      </c>
      <c r="I43" s="1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5" x14ac:dyDescent="0.25">
      <c r="A44" s="8"/>
      <c r="B44" s="29" t="s">
        <v>61</v>
      </c>
      <c r="C44" s="9">
        <v>-300</v>
      </c>
      <c r="D44" s="9">
        <f ca="1">C44+D29</f>
        <v>-417.95744680851055</v>
      </c>
      <c r="E44" s="9">
        <f t="shared" ref="E44:H44" ca="1" si="19">D44+E29</f>
        <v>-557.34605703938246</v>
      </c>
      <c r="F44" s="9">
        <f t="shared" ca="1" si="19"/>
        <v>-721.41154517204768</v>
      </c>
      <c r="G44" s="9">
        <f t="shared" ca="1" si="19"/>
        <v>-913.85475791723047</v>
      </c>
      <c r="H44" s="9">
        <f t="shared" ca="1" si="19"/>
        <v>-1138.8930390595278</v>
      </c>
      <c r="I44" s="10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5" x14ac:dyDescent="0.25">
      <c r="A45" s="8"/>
      <c r="B45" s="29" t="s">
        <v>62</v>
      </c>
      <c r="C45" s="9">
        <f t="shared" ref="C45" si="20">C24*$C$11</f>
        <v>600</v>
      </c>
      <c r="D45" s="9">
        <f>D24*$C$11</f>
        <v>648</v>
      </c>
      <c r="E45" s="9">
        <f t="shared" ref="E45:H45" si="21">E24*$C$11</f>
        <v>699.84</v>
      </c>
      <c r="F45" s="9">
        <f t="shared" si="21"/>
        <v>755.82720000000006</v>
      </c>
      <c r="G45" s="9">
        <f t="shared" si="21"/>
        <v>816.29337600000019</v>
      </c>
      <c r="H45" s="9">
        <f t="shared" si="21"/>
        <v>881.5968460800002</v>
      </c>
      <c r="I45" s="10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5" x14ac:dyDescent="0.25">
      <c r="A46" s="8"/>
      <c r="B46" s="33" t="s">
        <v>63</v>
      </c>
      <c r="C46" s="9">
        <f>C40+C41+C45</f>
        <v>830</v>
      </c>
      <c r="D46" s="9">
        <f ca="1">D45+D41+D40</f>
        <v>986.63080270793091</v>
      </c>
      <c r="E46" s="9">
        <f t="shared" ref="E46:H46" ca="1" si="22">E45+E41+E40</f>
        <v>1154.4858630111842</v>
      </c>
      <c r="F46" s="9">
        <f t="shared" ca="1" si="22"/>
        <v>1333.8656596092978</v>
      </c>
      <c r="G46" s="9">
        <f t="shared" ca="1" si="22"/>
        <v>1525.0058520215885</v>
      </c>
      <c r="H46" s="9">
        <f t="shared" ca="1" si="22"/>
        <v>1728.0603837828098</v>
      </c>
      <c r="I46" s="1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5" x14ac:dyDescent="0.25">
      <c r="A47" s="8"/>
      <c r="B47" s="29"/>
      <c r="C47" s="9"/>
      <c r="D47" s="9"/>
      <c r="E47" s="9"/>
      <c r="F47" s="9"/>
      <c r="G47" s="9"/>
      <c r="H47" s="9"/>
      <c r="I47" s="10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5" x14ac:dyDescent="0.25">
      <c r="A48" s="8"/>
      <c r="B48" s="29" t="s">
        <v>64</v>
      </c>
      <c r="C48" s="9">
        <f t="shared" ref="C48" si="23">C24*$C$10</f>
        <v>80</v>
      </c>
      <c r="D48" s="9">
        <f>D24*$C$10</f>
        <v>86.4</v>
      </c>
      <c r="E48" s="9">
        <f t="shared" ref="E48:H48" si="24">E24*$C$10</f>
        <v>93.312000000000012</v>
      </c>
      <c r="F48" s="9">
        <f t="shared" si="24"/>
        <v>100.77696000000002</v>
      </c>
      <c r="G48" s="9">
        <f t="shared" si="24"/>
        <v>108.83911680000003</v>
      </c>
      <c r="H48" s="9">
        <f t="shared" si="24"/>
        <v>117.54624614400004</v>
      </c>
      <c r="I48" s="10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5" x14ac:dyDescent="0.25">
      <c r="A49" s="8"/>
      <c r="B49" s="29" t="s">
        <v>65</v>
      </c>
      <c r="C49" s="9">
        <f>C46-C48-C50-C51</f>
        <v>150</v>
      </c>
      <c r="D49" s="9">
        <f>C49</f>
        <v>150</v>
      </c>
      <c r="E49" s="9">
        <f t="shared" ref="E49:H49" si="25">D49</f>
        <v>150</v>
      </c>
      <c r="F49" s="9">
        <f t="shared" si="25"/>
        <v>150</v>
      </c>
      <c r="G49" s="9">
        <f t="shared" si="25"/>
        <v>150</v>
      </c>
      <c r="H49" s="9">
        <f t="shared" si="25"/>
        <v>150</v>
      </c>
      <c r="I49" s="10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5" x14ac:dyDescent="0.25">
      <c r="A50" s="8"/>
      <c r="B50" s="29" t="s">
        <v>66</v>
      </c>
      <c r="C50" s="9">
        <v>450</v>
      </c>
      <c r="D50" s="9">
        <f>C50</f>
        <v>450</v>
      </c>
      <c r="E50" s="9">
        <f t="shared" ref="E50:H50" si="26">D50</f>
        <v>450</v>
      </c>
      <c r="F50" s="9">
        <f t="shared" si="26"/>
        <v>450</v>
      </c>
      <c r="G50" s="9">
        <f t="shared" si="26"/>
        <v>450</v>
      </c>
      <c r="H50" s="9">
        <f t="shared" si="26"/>
        <v>450</v>
      </c>
      <c r="I50" s="10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5" x14ac:dyDescent="0.25">
      <c r="A51" s="8"/>
      <c r="B51" s="29" t="s">
        <v>67</v>
      </c>
      <c r="C51" s="9">
        <v>150</v>
      </c>
      <c r="D51" s="9">
        <f ca="1">C51+D37</f>
        <v>300.23080270793037</v>
      </c>
      <c r="E51" s="9">
        <f t="shared" ref="E51:H51" ca="1" si="27">D51+E37</f>
        <v>461.17386301117176</v>
      </c>
      <c r="F51" s="9">
        <f t="shared" ca="1" si="27"/>
        <v>633.08869960914717</v>
      </c>
      <c r="G51" s="9">
        <f t="shared" ca="1" si="27"/>
        <v>816.16673522036615</v>
      </c>
      <c r="H51" s="9">
        <f t="shared" ca="1" si="27"/>
        <v>1010.5141376312826</v>
      </c>
      <c r="I51" s="10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5" x14ac:dyDescent="0.25">
      <c r="A52" s="8"/>
      <c r="B52" s="33" t="s">
        <v>68</v>
      </c>
      <c r="C52" s="9">
        <f t="shared" ref="C52" si="28">SUM(C48:C51)</f>
        <v>830</v>
      </c>
      <c r="D52" s="9">
        <f ca="1">SUM(D48:D51)</f>
        <v>986.63080270793034</v>
      </c>
      <c r="E52" s="9">
        <f t="shared" ref="E52:H52" ca="1" si="29">SUM(E48:E51)</f>
        <v>1154.4858630111717</v>
      </c>
      <c r="F52" s="9">
        <f t="shared" ca="1" si="29"/>
        <v>1333.8656596091473</v>
      </c>
      <c r="G52" s="9">
        <f t="shared" ca="1" si="29"/>
        <v>1525.0058520203661</v>
      </c>
      <c r="H52" s="9">
        <f t="shared" ca="1" si="29"/>
        <v>1728.0603837752826</v>
      </c>
      <c r="I52" s="10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5" x14ac:dyDescent="0.25">
      <c r="A53" s="8"/>
      <c r="B53" s="29"/>
      <c r="C53" s="8"/>
      <c r="D53" s="8"/>
      <c r="E53" s="8"/>
      <c r="F53" s="8"/>
      <c r="G53" s="8"/>
      <c r="H53" s="8"/>
      <c r="I53" s="10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s="4" customFormat="1" ht="15" x14ac:dyDescent="0.25">
      <c r="A54" s="12"/>
      <c r="B54" s="34" t="s">
        <v>1</v>
      </c>
      <c r="C54" s="25">
        <v>0</v>
      </c>
      <c r="D54" s="25">
        <v>1</v>
      </c>
      <c r="E54" s="25">
        <v>2</v>
      </c>
      <c r="F54" s="25">
        <v>3</v>
      </c>
      <c r="G54" s="25">
        <v>4</v>
      </c>
      <c r="H54" s="25">
        <v>5</v>
      </c>
      <c r="I54" s="26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1:23" ht="15" x14ac:dyDescent="0.25">
      <c r="A55" s="8"/>
      <c r="B55" s="35" t="s">
        <v>69</v>
      </c>
      <c r="C55" s="27"/>
      <c r="D55" s="27"/>
      <c r="E55" s="27"/>
      <c r="F55" s="27"/>
      <c r="G55" s="27"/>
      <c r="H55" s="27"/>
      <c r="I55" s="2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5" x14ac:dyDescent="0.25">
      <c r="A56" s="8"/>
      <c r="B56" s="36" t="s">
        <v>49</v>
      </c>
      <c r="C56" s="9"/>
      <c r="D56" s="9">
        <f ca="1">D35</f>
        <v>250.38467117988401</v>
      </c>
      <c r="E56" s="9">
        <f t="shared" ref="E56:H56" ca="1" si="30">E35</f>
        <v>268.23843383873566</v>
      </c>
      <c r="F56" s="9">
        <f t="shared" ca="1" si="30"/>
        <v>286.52472766329248</v>
      </c>
      <c r="G56" s="9">
        <f t="shared" ca="1" si="30"/>
        <v>305.13005935203165</v>
      </c>
      <c r="H56" s="9">
        <f t="shared" ca="1" si="30"/>
        <v>323.9123373515273</v>
      </c>
      <c r="I56" s="10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5" x14ac:dyDescent="0.25">
      <c r="A57" s="8"/>
      <c r="B57" s="36" t="s">
        <v>70</v>
      </c>
      <c r="C57" s="9"/>
      <c r="D57" s="9">
        <f ca="1">-D29</f>
        <v>117.95744680851057</v>
      </c>
      <c r="E57" s="9">
        <f t="shared" ref="E57:H57" ca="1" si="31">-E29</f>
        <v>139.38861023087193</v>
      </c>
      <c r="F57" s="9">
        <f t="shared" ca="1" si="31"/>
        <v>164.06548813266519</v>
      </c>
      <c r="G57" s="9">
        <f t="shared" ca="1" si="31"/>
        <v>192.44321274518285</v>
      </c>
      <c r="H57" s="9">
        <f t="shared" ca="1" si="31"/>
        <v>225.03828114229728</v>
      </c>
      <c r="I57" s="10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5" x14ac:dyDescent="0.25">
      <c r="A58" s="8"/>
      <c r="B58" s="36" t="s">
        <v>71</v>
      </c>
      <c r="C58" s="9"/>
      <c r="D58" s="9">
        <f>-(D41-C41)</f>
        <v>-12</v>
      </c>
      <c r="E58" s="9">
        <f t="shared" ref="E58:H58" si="32">-(E41-D41)</f>
        <v>-12.960000000000008</v>
      </c>
      <c r="F58" s="9">
        <f t="shared" si="32"/>
        <v>-13.996800000000007</v>
      </c>
      <c r="G58" s="9">
        <f t="shared" si="32"/>
        <v>-15.116544000000033</v>
      </c>
      <c r="H58" s="9">
        <f t="shared" si="32"/>
        <v>-16.325867520000003</v>
      </c>
      <c r="I58" s="10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5" x14ac:dyDescent="0.25">
      <c r="A59" s="8"/>
      <c r="B59" s="36" t="s">
        <v>72</v>
      </c>
      <c r="C59" s="9"/>
      <c r="D59" s="9">
        <f>D48-C48</f>
        <v>6.4000000000000057</v>
      </c>
      <c r="E59" s="9">
        <f t="shared" ref="E59:H59" si="33">E48-D48</f>
        <v>6.9120000000000061</v>
      </c>
      <c r="F59" s="9">
        <f t="shared" si="33"/>
        <v>7.4649600000000049</v>
      </c>
      <c r="G59" s="9">
        <f t="shared" si="33"/>
        <v>8.062156800000011</v>
      </c>
      <c r="H59" s="9">
        <f t="shared" si="33"/>
        <v>8.707129344000009</v>
      </c>
      <c r="I59" s="10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5" x14ac:dyDescent="0.25">
      <c r="A60" s="8"/>
      <c r="B60" s="36" t="s">
        <v>73</v>
      </c>
      <c r="C60" s="9"/>
      <c r="D60" s="9">
        <f ca="1">-(D43-C43)</f>
        <v>-165.95744680850953</v>
      </c>
      <c r="E60" s="9">
        <f t="shared" ref="E60:H60" ca="1" si="34">-(E43-D43)</f>
        <v>-191.22861023084693</v>
      </c>
      <c r="F60" s="9">
        <f t="shared" ca="1" si="34"/>
        <v>-220.05268813237399</v>
      </c>
      <c r="G60" s="9">
        <f t="shared" ca="1" si="34"/>
        <v>-252.90938874291987</v>
      </c>
      <c r="H60" s="9">
        <f t="shared" ca="1" si="34"/>
        <v>-290.34175120898749</v>
      </c>
      <c r="I60" s="10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5" x14ac:dyDescent="0.25">
      <c r="A61" s="8"/>
      <c r="B61" s="36" t="s">
        <v>74</v>
      </c>
      <c r="C61" s="9"/>
      <c r="D61" s="9">
        <f>-(1-$C$16)*D27</f>
        <v>9</v>
      </c>
      <c r="E61" s="9">
        <f t="shared" ref="E61:H61" si="35">-(1-$C$16)*E27</f>
        <v>9</v>
      </c>
      <c r="F61" s="9">
        <f t="shared" si="35"/>
        <v>9</v>
      </c>
      <c r="G61" s="9">
        <f t="shared" si="35"/>
        <v>9</v>
      </c>
      <c r="H61" s="9">
        <f t="shared" si="35"/>
        <v>9</v>
      </c>
      <c r="I61" s="10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5" x14ac:dyDescent="0.25">
      <c r="A62" s="8"/>
      <c r="B62" s="36" t="s">
        <v>75</v>
      </c>
      <c r="C62" s="9"/>
      <c r="D62" s="9">
        <f ca="1">-(1-$C$16)*D28</f>
        <v>-6.1591392649903423</v>
      </c>
      <c r="E62" s="9">
        <f t="shared" ref="E62:H62" ca="1" si="36">-(1-$C$16)*E28</f>
        <v>-10.951599977258761</v>
      </c>
      <c r="F62" s="9">
        <f t="shared" ca="1" si="36"/>
        <v>-16.050420542891565</v>
      </c>
      <c r="G62" s="9">
        <f t="shared" ca="1" si="36"/>
        <v>-21.449298999141266</v>
      </c>
      <c r="H62" s="9">
        <f t="shared" ca="1" si="36"/>
        <v>-27.136882996905527</v>
      </c>
      <c r="I62" s="10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5" x14ac:dyDescent="0.25">
      <c r="A63" s="8"/>
      <c r="B63" s="37" t="s">
        <v>4</v>
      </c>
      <c r="C63" s="9"/>
      <c r="D63" s="9">
        <f ca="1">SUM(D56:D62)</f>
        <v>199.62553191489476</v>
      </c>
      <c r="E63" s="9">
        <f t="shared" ref="E63:H63" ca="1" si="37">SUM(E56:E62)</f>
        <v>208.39883386150188</v>
      </c>
      <c r="F63" s="9">
        <f t="shared" ca="1" si="37"/>
        <v>216.9552671206921</v>
      </c>
      <c r="G63" s="9">
        <f t="shared" ca="1" si="37"/>
        <v>225.16019715515336</v>
      </c>
      <c r="H63" s="9">
        <f t="shared" ca="1" si="37"/>
        <v>232.85324611193158</v>
      </c>
      <c r="I63" s="10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5" x14ac:dyDescent="0.25">
      <c r="A64" s="8"/>
      <c r="B64" s="13"/>
      <c r="C64" s="14"/>
      <c r="D64" s="14"/>
      <c r="E64" s="14"/>
      <c r="F64" s="14"/>
      <c r="G64" s="14"/>
      <c r="H64" s="14"/>
      <c r="I64" s="10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9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9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9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9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9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9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9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9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9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9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</sheetData>
  <mergeCells count="4">
    <mergeCell ref="S2:V2"/>
    <mergeCell ref="T7:U7"/>
    <mergeCell ref="J35:P35"/>
    <mergeCell ref="K37:L37"/>
  </mergeCells>
  <conditionalFormatting sqref="K37">
    <cfRule type="colorScale" priority="1">
      <colorScale>
        <cfvo type="num" val="0"/>
        <cfvo type="num" val="150"/>
        <cfvo type="num" val="300"/>
        <color rgb="FFF8696B"/>
        <color rgb="FFFFEB84"/>
        <color rgb="FF63BE7B"/>
      </colorScale>
    </cfRule>
  </conditionalFormatting>
  <conditionalFormatting sqref="L38">
    <cfRule type="colorScale" priority="2">
      <colorScale>
        <cfvo type="num" val="0"/>
        <cfvo type="num" val="150"/>
        <cfvo type="num" val="300"/>
        <color rgb="FFF8696B"/>
        <color rgb="FFFFEB84"/>
        <color rgb="FF63BE7B"/>
      </colorScale>
    </cfRule>
  </conditionalFormatting>
  <printOptions headings="1" gridLines="1"/>
  <pageMargins left="0.75" right="0.75" top="1" bottom="1" header="0.5" footer="0.5"/>
  <pageSetup orientation="portrait" r:id="rId1"/>
  <headerFooter alignWithMargins="0"/>
  <drawing r:id="rId2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 Chart</vt:lpstr>
      <vt:lpstr>ABX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Salerno</dc:creator>
  <cp:keywords/>
  <dc:description/>
  <cp:lastModifiedBy>Xuhong Guo</cp:lastModifiedBy>
  <cp:revision/>
  <dcterms:created xsi:type="dcterms:W3CDTF">2014-09-15T16:28:11Z</dcterms:created>
  <dcterms:modified xsi:type="dcterms:W3CDTF">2025-08-02T22:12:31Z</dcterms:modified>
  <cp:category/>
  <cp:contentStatus/>
</cp:coreProperties>
</file>