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f\Desktop\Delft\Year 3\DSE\Code\DSE-Group16\Design Parameters\"/>
    </mc:Choice>
  </mc:AlternateContent>
  <xr:revisionPtr revIDLastSave="0" documentId="13_ncr:1_{0C0886F8-0772-4FC2-A107-D602F7079C25}" xr6:coauthVersionLast="47" xr6:coauthVersionMax="47" xr10:uidLastSave="{00000000-0000-0000-0000-000000000000}"/>
  <bookViews>
    <workbookView xWindow="-108" yWindow="-108" windowWidth="23256" windowHeight="12456" tabRatio="700" firstSheet="2" activeTab="10" xr2:uid="{00000000-000D-0000-FFFF-FFFF00000000}"/>
  </bookViews>
  <sheets>
    <sheet name="Master_Design_Parameters" sheetId="13" r:id="rId1"/>
    <sheet name="Master" sheetId="2" r:id="rId2"/>
    <sheet name="Aerodynamics" sheetId="10" r:id="rId3"/>
    <sheet name="Stability &amp; Control" sheetId="3" r:id="rId4"/>
    <sheet name="Propulsion" sheetId="4" r:id="rId5"/>
    <sheet name="Structures" sheetId="5" r:id="rId6"/>
    <sheet name="Plasma" sheetId="7" r:id="rId7"/>
    <sheet name="Power" sheetId="11" r:id="rId8"/>
    <sheet name="Landing System" sheetId="12" r:id="rId9"/>
    <sheet name="Avionics" sheetId="6" r:id="rId10"/>
    <sheet name="Payload" sheetId="9" r:id="rId11"/>
  </sheets>
  <definedNames>
    <definedName name="ExternalData_1" localSheetId="0" hidden="1">Master_Design_Parameters!$A$1:$F$67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6" l="1"/>
  <c r="R5" i="6"/>
  <c r="B6" i="6"/>
  <c r="N17" i="6"/>
  <c r="K17" i="6"/>
  <c r="H17" i="6"/>
  <c r="E17" i="6"/>
  <c r="B17" i="6"/>
  <c r="R6" i="5"/>
  <c r="H6" i="6"/>
  <c r="H7" i="6"/>
  <c r="H8" i="6"/>
  <c r="H10" i="6"/>
  <c r="H11" i="6"/>
  <c r="H12" i="6"/>
  <c r="O6" i="2"/>
  <c r="P6" i="2"/>
  <c r="Q6" i="2"/>
  <c r="R6" i="2"/>
  <c r="S6" i="2"/>
  <c r="T6" i="2"/>
  <c r="O7" i="2"/>
  <c r="P7" i="2"/>
  <c r="Q7" i="2"/>
  <c r="R7" i="2"/>
  <c r="S7" i="2"/>
  <c r="T7" i="2"/>
  <c r="O8" i="2"/>
  <c r="P8" i="2"/>
  <c r="Q8" i="2"/>
  <c r="R8" i="2"/>
  <c r="S8" i="2"/>
  <c r="T8" i="2"/>
  <c r="O9" i="2"/>
  <c r="P9" i="2"/>
  <c r="Q9" i="2"/>
  <c r="R9" i="2"/>
  <c r="S9" i="2"/>
  <c r="T9" i="2"/>
  <c r="O10" i="2"/>
  <c r="P10" i="2"/>
  <c r="Q10" i="2"/>
  <c r="R10" i="2"/>
  <c r="S10" i="2"/>
  <c r="T10" i="2"/>
  <c r="O11" i="2"/>
  <c r="P11" i="2"/>
  <c r="Q11" i="2"/>
  <c r="R11" i="2"/>
  <c r="S11" i="2"/>
  <c r="T11" i="2"/>
  <c r="O12" i="2"/>
  <c r="P12" i="2"/>
  <c r="Q12" i="2"/>
  <c r="R12" i="2"/>
  <c r="S12" i="2"/>
  <c r="T12" i="2"/>
  <c r="O13" i="2"/>
  <c r="P13" i="2"/>
  <c r="Q13" i="2"/>
  <c r="R13" i="2"/>
  <c r="S13" i="2"/>
  <c r="T13" i="2"/>
  <c r="O14" i="2"/>
  <c r="P14" i="2"/>
  <c r="Q14" i="2"/>
  <c r="R14" i="2"/>
  <c r="S14" i="2"/>
  <c r="T14" i="2"/>
  <c r="O15" i="2"/>
  <c r="P15" i="2"/>
  <c r="Q15" i="2"/>
  <c r="R15" i="2"/>
  <c r="S15" i="2"/>
  <c r="T15" i="2"/>
  <c r="O16" i="2"/>
  <c r="P16" i="2"/>
  <c r="Q16" i="2"/>
  <c r="R16" i="2"/>
  <c r="S16" i="2"/>
  <c r="T16" i="2"/>
  <c r="O17" i="2"/>
  <c r="P17" i="2"/>
  <c r="Q17" i="2"/>
  <c r="R17" i="2"/>
  <c r="S17" i="2"/>
  <c r="T17" i="2"/>
  <c r="O18" i="2"/>
  <c r="P18" i="2"/>
  <c r="Q18" i="2"/>
  <c r="R18" i="2"/>
  <c r="S18" i="2"/>
  <c r="T18" i="2"/>
  <c r="O19" i="2"/>
  <c r="P19" i="2"/>
  <c r="Q19" i="2"/>
  <c r="R19" i="2"/>
  <c r="S19" i="2"/>
  <c r="T19" i="2"/>
  <c r="O20" i="2"/>
  <c r="P20" i="2"/>
  <c r="Q20" i="2"/>
  <c r="R20" i="2"/>
  <c r="S20" i="2"/>
  <c r="T20" i="2"/>
  <c r="O21" i="2"/>
  <c r="P21" i="2"/>
  <c r="Q21" i="2"/>
  <c r="R21" i="2"/>
  <c r="S21" i="2"/>
  <c r="T21" i="2"/>
  <c r="O22" i="2"/>
  <c r="P22" i="2"/>
  <c r="Q22" i="2"/>
  <c r="R22" i="2"/>
  <c r="S22" i="2"/>
  <c r="T22" i="2"/>
  <c r="O23" i="2"/>
  <c r="P23" i="2"/>
  <c r="Q23" i="2"/>
  <c r="R23" i="2"/>
  <c r="S23" i="2"/>
  <c r="T23" i="2"/>
  <c r="O24" i="2"/>
  <c r="P24" i="2"/>
  <c r="Q24" i="2"/>
  <c r="R24" i="2"/>
  <c r="S24" i="2"/>
  <c r="T24" i="2"/>
  <c r="O25" i="2"/>
  <c r="P25" i="2"/>
  <c r="Q25" i="2"/>
  <c r="R25" i="2"/>
  <c r="S25" i="2"/>
  <c r="T25" i="2"/>
  <c r="O26" i="2"/>
  <c r="P26" i="2"/>
  <c r="Q26" i="2"/>
  <c r="R26" i="2"/>
  <c r="S26" i="2"/>
  <c r="T26" i="2"/>
  <c r="O27" i="2"/>
  <c r="P27" i="2"/>
  <c r="Q27" i="2"/>
  <c r="R27" i="2"/>
  <c r="S27" i="2"/>
  <c r="T27" i="2"/>
  <c r="O28" i="2"/>
  <c r="P28" i="2"/>
  <c r="Q28" i="2"/>
  <c r="R28" i="2"/>
  <c r="S28" i="2"/>
  <c r="T28" i="2"/>
  <c r="O29" i="2"/>
  <c r="P29" i="2"/>
  <c r="Q29" i="2"/>
  <c r="R29" i="2"/>
  <c r="S29" i="2"/>
  <c r="T29" i="2"/>
  <c r="O30" i="2"/>
  <c r="P30" i="2"/>
  <c r="Q30" i="2"/>
  <c r="R30" i="2"/>
  <c r="S30" i="2"/>
  <c r="T30" i="2"/>
  <c r="O31" i="2"/>
  <c r="P31" i="2"/>
  <c r="Q31" i="2"/>
  <c r="R31" i="2"/>
  <c r="S31" i="2"/>
  <c r="T31" i="2"/>
  <c r="O32" i="2"/>
  <c r="P32" i="2"/>
  <c r="Q32" i="2"/>
  <c r="R32" i="2"/>
  <c r="S32" i="2"/>
  <c r="T32" i="2"/>
  <c r="O33" i="2"/>
  <c r="P33" i="2"/>
  <c r="Q33" i="2"/>
  <c r="R33" i="2"/>
  <c r="S33" i="2"/>
  <c r="T33" i="2"/>
  <c r="O34" i="2"/>
  <c r="P34" i="2"/>
  <c r="Q34" i="2"/>
  <c r="R34" i="2"/>
  <c r="S34" i="2"/>
  <c r="T34" i="2"/>
  <c r="O35" i="2"/>
  <c r="P35" i="2"/>
  <c r="Q35" i="2"/>
  <c r="R35" i="2"/>
  <c r="S35" i="2"/>
  <c r="T35" i="2"/>
  <c r="O36" i="2"/>
  <c r="P36" i="2"/>
  <c r="Q36" i="2"/>
  <c r="R36" i="2"/>
  <c r="S36" i="2"/>
  <c r="T36" i="2"/>
  <c r="O37" i="2"/>
  <c r="P37" i="2"/>
  <c r="Q37" i="2"/>
  <c r="R37" i="2"/>
  <c r="S37" i="2"/>
  <c r="T37" i="2"/>
  <c r="O38" i="2"/>
  <c r="P38" i="2"/>
  <c r="Q38" i="2"/>
  <c r="R38" i="2"/>
  <c r="S38" i="2"/>
  <c r="T38" i="2"/>
  <c r="O39" i="2"/>
  <c r="P39" i="2"/>
  <c r="Q39" i="2"/>
  <c r="R39" i="2"/>
  <c r="S39" i="2"/>
  <c r="T39" i="2"/>
  <c r="O40" i="2"/>
  <c r="P40" i="2"/>
  <c r="Q40" i="2"/>
  <c r="R40" i="2"/>
  <c r="S40" i="2"/>
  <c r="T40" i="2"/>
  <c r="O41" i="2"/>
  <c r="P41" i="2"/>
  <c r="Q41" i="2"/>
  <c r="R41" i="2"/>
  <c r="S41" i="2"/>
  <c r="T41" i="2"/>
  <c r="O42" i="2"/>
  <c r="P42" i="2"/>
  <c r="Q42" i="2"/>
  <c r="R42" i="2"/>
  <c r="S42" i="2"/>
  <c r="T42" i="2"/>
  <c r="O43" i="2"/>
  <c r="P43" i="2"/>
  <c r="Q43" i="2"/>
  <c r="R43" i="2"/>
  <c r="S43" i="2"/>
  <c r="T43" i="2"/>
  <c r="O44" i="2"/>
  <c r="P44" i="2"/>
  <c r="Q44" i="2"/>
  <c r="R44" i="2"/>
  <c r="S44" i="2"/>
  <c r="T44" i="2"/>
  <c r="O45" i="2"/>
  <c r="P45" i="2"/>
  <c r="Q45" i="2"/>
  <c r="R45" i="2"/>
  <c r="S45" i="2"/>
  <c r="T45" i="2"/>
  <c r="O46" i="2"/>
  <c r="P46" i="2"/>
  <c r="Q46" i="2"/>
  <c r="R46" i="2"/>
  <c r="S46" i="2"/>
  <c r="T46" i="2"/>
  <c r="O47" i="2"/>
  <c r="P47" i="2"/>
  <c r="Q47" i="2"/>
  <c r="R47" i="2"/>
  <c r="S47" i="2"/>
  <c r="T47" i="2"/>
  <c r="O48" i="2"/>
  <c r="P48" i="2"/>
  <c r="Q48" i="2"/>
  <c r="R48" i="2"/>
  <c r="S48" i="2"/>
  <c r="T48" i="2"/>
  <c r="O49" i="2"/>
  <c r="P49" i="2"/>
  <c r="Q49" i="2"/>
  <c r="R49" i="2"/>
  <c r="S49" i="2"/>
  <c r="T49" i="2"/>
  <c r="O50" i="2"/>
  <c r="P50" i="2"/>
  <c r="Q50" i="2"/>
  <c r="R50" i="2"/>
  <c r="S50" i="2"/>
  <c r="T50" i="2"/>
  <c r="O51" i="2"/>
  <c r="P51" i="2"/>
  <c r="Q51" i="2"/>
  <c r="R51" i="2"/>
  <c r="S51" i="2"/>
  <c r="T51" i="2"/>
  <c r="O52" i="2"/>
  <c r="P52" i="2"/>
  <c r="Q52" i="2"/>
  <c r="R52" i="2"/>
  <c r="S52" i="2"/>
  <c r="T52" i="2"/>
  <c r="P5" i="2"/>
  <c r="Q5" i="2"/>
  <c r="R5" i="2"/>
  <c r="S5" i="2"/>
  <c r="T5" i="2"/>
  <c r="O5" i="2"/>
  <c r="R5" i="12"/>
  <c r="R6" i="12" s="1"/>
  <c r="R22" i="12"/>
  <c r="N8" i="11"/>
  <c r="N7" i="11"/>
  <c r="E7" i="11"/>
  <c r="B8" i="11"/>
  <c r="B7" i="11"/>
  <c r="H9" i="11"/>
  <c r="H10" i="11"/>
  <c r="H6" i="11"/>
  <c r="H7" i="11"/>
  <c r="R19" i="10"/>
  <c r="R23" i="10" s="1"/>
  <c r="R24" i="10" s="1"/>
  <c r="R17" i="10"/>
  <c r="R6" i="10"/>
  <c r="R7" i="12" l="1"/>
  <c r="R14" i="10"/>
  <c r="N12" i="2"/>
  <c r="N11" i="2"/>
  <c r="N10" i="2"/>
  <c r="N9" i="2"/>
  <c r="N8" i="2"/>
  <c r="N7" i="2"/>
  <c r="N6" i="2"/>
  <c r="K12" i="2"/>
  <c r="K11" i="2"/>
  <c r="K10" i="2"/>
  <c r="K9" i="2"/>
  <c r="K8" i="2"/>
  <c r="K7" i="2"/>
  <c r="K6" i="2"/>
  <c r="H12" i="2"/>
  <c r="H11" i="2"/>
  <c r="H10" i="2"/>
  <c r="H9" i="2"/>
  <c r="H8" i="2"/>
  <c r="H7" i="2"/>
  <c r="H6" i="2"/>
  <c r="E12" i="2"/>
  <c r="E11" i="2"/>
  <c r="E10" i="2"/>
  <c r="E9" i="2"/>
  <c r="E8" i="2"/>
  <c r="E7" i="2"/>
  <c r="E6" i="2"/>
  <c r="B12" i="2"/>
  <c r="B10" i="2"/>
  <c r="B9" i="2"/>
  <c r="B8" i="2"/>
  <c r="B11" i="2"/>
  <c r="B7" i="2"/>
  <c r="B6" i="2"/>
  <c r="K13" i="2" l="1"/>
  <c r="N13" i="2"/>
  <c r="H13" i="2"/>
  <c r="E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tc={C7E1F2F3-97AB-43D9-9B6D-7DC7E09A8B6E}</author>
  </authors>
  <commentList>
    <comment ref="U5" authorId="0" shapeId="0" xr:uid="{C7E1F2F3-97AB-43D9-9B6D-7DC7E09A8B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Decide if this is a parameter or a 'component'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tc={56BC53E0-208D-4F20-B51C-D0D9F88BC029}</author>
    <author>tc={E45C7BBC-CAE6-478E-99BC-90285F1F92FE}</author>
    <author>tc={5FD7140E-9983-4F48-B7AE-BCB7D45CDC3E}</author>
    <author>tc={430EC32A-E0ED-4EB6-8906-260BC1B720BC}</author>
    <author>tc={A5E65439-71F2-43F4-99CB-1EB0596E69E4}</author>
    <author>tc={3F3B1B0A-8219-4AC2-9E81-14195D9F8C36}</author>
    <author>tc={C1B919A9-BCE8-4851-AB25-937DD921B1E7}</author>
    <author>tc={60562429-E399-4B8D-B35B-CD76FA88A961}</author>
    <author>tc={81979858-99C3-452C-83B8-E6719C647CDD}</author>
  </authors>
  <commentList>
    <comment ref="B6" authorId="0" shapeId="0" xr:uid="{56BC53E0-208D-4F20-B51C-D0D9F88BC02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https://www.getfpv.com/holybro-pixhawk-6x-fc-module.html</t>
      </text>
    </comment>
    <comment ref="E6" authorId="1" shapeId="0" xr:uid="{E45C7BBC-CAE6-478E-99BC-90285F1F92F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rough estimate, Pixhawk (and APM) Power Consumption - Blogs - diydrones</t>
      </text>
    </comment>
    <comment ref="B7" authorId="2" shapeId="0" xr:uid="{5FD7140E-9983-4F48-B7AE-BCB7D45CDC3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rough estimate, only sensor board weight can be found on the internet and is 3.5g, but then there is also the pitot tube and the silicon tube</t>
      </text>
    </comment>
    <comment ref="W9" authorId="3" shapeId="0" xr:uid="{430EC32A-E0ED-4EB6-8906-260BC1B72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Raspberry pi?
</t>
      </text>
    </comment>
    <comment ref="B11" authorId="4" shapeId="0" xr:uid="{A5E65439-71F2-43F4-99CB-1EB0596E6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https://www.ycict.net/products/huawei-e3372h-153-usb-sticker/</t>
      </text>
    </comment>
    <comment ref="E11" authorId="5" shapeId="0" xr:uid="{3F3B1B0A-8219-4AC2-9E81-14195D9F8C3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https://www.ycict.net/products/huawei-e3372h-153-usb-sticker/</t>
      </text>
    </comment>
    <comment ref="B12" authorId="6" shapeId="0" xr:uid="{C1B919A9-BCE8-4851-AB25-937DD921B1E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https://www.tomshardware.com/reviews/raspberry-pi-camera-module-v3</t>
      </text>
    </comment>
    <comment ref="E12" authorId="7" shapeId="0" xr:uid="{60562429-E399-4B8D-B35B-CD76FA88A96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https://raspberrypi.stackexchange.com/questions/80300/camera-gets-hot-how-much-power-should-it-dissipate#:~:text=3%20camera%20takes%20about%20200%2D250mA.</t>
      </text>
    </comment>
    <comment ref="B13" authorId="8" shapeId="0" xr:uid="{81979858-99C3-452C-83B8-E6719C647C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1E817-3BED-4187-BBA7-7FA537726C4F}" keepAlive="1" name="Query - Master_Design_Parameters" description="Connection to the 'Master_Design_Parameters' query in the workbook." type="5" refreshedVersion="8" background="1" saveData="1">
    <dbPr connection="Provider=Microsoft.Mashup.OleDb.1;Data Source=$Workbook$;Location=Master_Design_Parameters;Extended Properties=&quot;&quot;" command="SELECT * FROM [Master_Design_Parameters]"/>
  </connection>
  <connection id="2" xr16:uid="{02A1216E-C4E9-45DA-8572-27D043AE3200}" keepAlive="1" name="Query - Master_Design_Parameters (2)" description="Connection to the 'Master_Design_Parameters (2)' query in the workbook." type="5" refreshedVersion="0" background="1" saveData="1">
    <dbPr connection="Provider=Microsoft.Mashup.OleDb.1;Data Source=$Workbook$;Location=&quot;Master_Design_Parameters (2)&quot;;Extended Properties=&quot;&quot;" command="SELECT * FROM [Master_Design_Parameters (2)]"/>
  </connection>
</connections>
</file>

<file path=xl/sharedStrings.xml><?xml version="1.0" encoding="utf-8"?>
<sst xmlns="http://schemas.openxmlformats.org/spreadsheetml/2006/main" count="1367" uniqueCount="350">
  <si>
    <t>Master</t>
  </si>
  <si>
    <t>Responsible:</t>
  </si>
  <si>
    <t>Everyone</t>
  </si>
  <si>
    <t>Budgets</t>
  </si>
  <si>
    <t>Design Parameters</t>
  </si>
  <si>
    <t>Components List</t>
  </si>
  <si>
    <t>System Mass Budget</t>
  </si>
  <si>
    <t>System Power Budget</t>
  </si>
  <si>
    <t>System Energy Budget (2hr flight)</t>
  </si>
  <si>
    <t>Data Budget (2hr flight)</t>
  </si>
  <si>
    <t>Money Budget</t>
  </si>
  <si>
    <t>Parameter</t>
  </si>
  <si>
    <t>Symbol in code</t>
  </si>
  <si>
    <t>Unit</t>
  </si>
  <si>
    <t>Value</t>
  </si>
  <si>
    <t>Comments</t>
  </si>
  <si>
    <t>ID</t>
  </si>
  <si>
    <t>Quanity</t>
  </si>
  <si>
    <t>Components</t>
  </si>
  <si>
    <t>Function</t>
  </si>
  <si>
    <t>Datasheet/Specifications</t>
  </si>
  <si>
    <t>Subsystem</t>
  </si>
  <si>
    <t>Mass [kg]</t>
  </si>
  <si>
    <t>Peak Power [W]</t>
  </si>
  <si>
    <t>Max. Energy [Wh]</t>
  </si>
  <si>
    <t>Max. Data [Mb/s]</t>
  </si>
  <si>
    <t>Price[EUR]</t>
  </si>
  <si>
    <t>Aerodynamics</t>
  </si>
  <si>
    <t>Stability &amp; Control</t>
  </si>
  <si>
    <t>Do nt use this table at the moment</t>
  </si>
  <si>
    <t>Propulsion</t>
  </si>
  <si>
    <t>Write chosen components in subsystem sheets</t>
  </si>
  <si>
    <t>Structures</t>
  </si>
  <si>
    <t>Plasma</t>
  </si>
  <si>
    <t>Power &amp; Avionics</t>
  </si>
  <si>
    <t>Payload</t>
  </si>
  <si>
    <t>Total</t>
  </si>
  <si>
    <t>Constraint</t>
  </si>
  <si>
    <t>Design Variables</t>
  </si>
  <si>
    <t>Variable</t>
  </si>
  <si>
    <t>Minimum rho_0</t>
  </si>
  <si>
    <t>kg/m^3</t>
  </si>
  <si>
    <t>MR &amp; TB</t>
  </si>
  <si>
    <t>Number</t>
  </si>
  <si>
    <t>Cruise velocity</t>
  </si>
  <si>
    <t>V_cruise</t>
  </si>
  <si>
    <t>m/s</t>
  </si>
  <si>
    <t>based on desmos limits</t>
  </si>
  <si>
    <t>MH115</t>
  </si>
  <si>
    <t>Main wing airfoil</t>
  </si>
  <si>
    <t>http://airfoiltools.com/airfoil/details?airfoil=mh115-il#polars</t>
  </si>
  <si>
    <t>subjce to change</t>
  </si>
  <si>
    <t>Component 1</t>
  </si>
  <si>
    <t>total mass</t>
  </si>
  <si>
    <t>m_tot</t>
  </si>
  <si>
    <t>kg</t>
  </si>
  <si>
    <t>1.2 * 6.4 (prelim)</t>
  </si>
  <si>
    <t>Component 2</t>
  </si>
  <si>
    <t>ROC</t>
  </si>
  <si>
    <t>requirement</t>
  </si>
  <si>
    <t>Component 3</t>
  </si>
  <si>
    <t>l/dmax</t>
  </si>
  <si>
    <t>ldmax</t>
  </si>
  <si>
    <t>-</t>
  </si>
  <si>
    <t>For airfoil (from airfoil tools)</t>
  </si>
  <si>
    <t>Component 4</t>
  </si>
  <si>
    <t>l/dcruise</t>
  </si>
  <si>
    <t>ldcruise</t>
  </si>
  <si>
    <t>Component 5</t>
  </si>
  <si>
    <t>clmax</t>
  </si>
  <si>
    <t>clcruise</t>
  </si>
  <si>
    <t>cd0</t>
  </si>
  <si>
    <t>CD0</t>
  </si>
  <si>
    <t>airfoil cd0/0.7</t>
  </si>
  <si>
    <t>wingspan</t>
  </si>
  <si>
    <t>b</t>
  </si>
  <si>
    <t>m</t>
  </si>
  <si>
    <t>subject to change - max A</t>
  </si>
  <si>
    <t>Wing area</t>
  </si>
  <si>
    <t>S</t>
  </si>
  <si>
    <t>m^2</t>
  </si>
  <si>
    <t>Aspect ratio</t>
  </si>
  <si>
    <t>A</t>
  </si>
  <si>
    <t>preliminary</t>
  </si>
  <si>
    <t>L/Dcruise</t>
  </si>
  <si>
    <t>LDcruise</t>
  </si>
  <si>
    <t>chord length</t>
  </si>
  <si>
    <t>MAC</t>
  </si>
  <si>
    <t>oswald eff</t>
  </si>
  <si>
    <t>e</t>
  </si>
  <si>
    <t>Re at MAC</t>
  </si>
  <si>
    <t>ReMAC</t>
  </si>
  <si>
    <t>based on laminar limits from literature</t>
  </si>
  <si>
    <t>taper ratio</t>
  </si>
  <si>
    <t>root chord</t>
  </si>
  <si>
    <t>c_r</t>
  </si>
  <si>
    <t>based on taper and mac</t>
  </si>
  <si>
    <t>tip chord</t>
  </si>
  <si>
    <t>c_t</t>
  </si>
  <si>
    <t xml:space="preserve">based on taper and mac </t>
  </si>
  <si>
    <t>LB &amp; SS</t>
  </si>
  <si>
    <t>Quantity</t>
  </si>
  <si>
    <t>AA</t>
  </si>
  <si>
    <t>Propeller</t>
  </si>
  <si>
    <t>Provide thrust</t>
  </si>
  <si>
    <t>10 incher</t>
  </si>
  <si>
    <t>Subject to change</t>
  </si>
  <si>
    <t>Motor</t>
  </si>
  <si>
    <t>Provide rotation to propeller</t>
  </si>
  <si>
    <t>ESC</t>
  </si>
  <si>
    <t>Control power to motor</t>
  </si>
  <si>
    <t>50Amp speed controller</t>
  </si>
  <si>
    <t>Any 50Amp speed controller</t>
  </si>
  <si>
    <t>OS &amp; GV &amp; JT</t>
  </si>
  <si>
    <t>Design Parameters Output</t>
  </si>
  <si>
    <t>Design Parameters Input</t>
  </si>
  <si>
    <t>Lift distribution</t>
  </si>
  <si>
    <t>Drag distribution</t>
  </si>
  <si>
    <t>DG</t>
  </si>
  <si>
    <t>Power</t>
  </si>
  <si>
    <t>AL</t>
  </si>
  <si>
    <t>Component</t>
  </si>
  <si>
    <t>Battery Capacity</t>
  </si>
  <si>
    <t>Batt_Cap</t>
  </si>
  <si>
    <t>Wh</t>
  </si>
  <si>
    <t>296Wh</t>
  </si>
  <si>
    <t>14.4*20</t>
  </si>
  <si>
    <t>Truningy 20Ah 4S</t>
  </si>
  <si>
    <t>Battery</t>
  </si>
  <si>
    <t>https://hobbyking.com/en_us/turnigy-high-capacity-battery-20000mah-4s-12c-drone-lipo-pack-xt90.html?___store=en_us</t>
  </si>
  <si>
    <t>about 300Wh</t>
  </si>
  <si>
    <t>Minipuls 0.1</t>
  </si>
  <si>
    <t>HV Generator</t>
  </si>
  <si>
    <t>https://www.gbs-elektronik.de/media/download_gallery/minipuls01e.pdf</t>
  </si>
  <si>
    <t>Used in the Darmstadt Paper</t>
  </si>
  <si>
    <t>DAR70575-HR</t>
  </si>
  <si>
    <t>HV Relay</t>
  </si>
  <si>
    <t>https://www.distrelec.biz/en/reed-relay-rhodium-5kv-5v-1no-sensata-cynergy3-dar70575-hr/p/30153234</t>
  </si>
  <si>
    <t>2ms switching time</t>
  </si>
  <si>
    <t>PM03D</t>
  </si>
  <si>
    <t>Power Managment PCB</t>
  </si>
  <si>
    <t>https://holybro.com/products/pm03d-power-module?pr_prod_strat=copurchase&amp;pr_rec_id=84c336254&amp;pr_rec_pid=7192462491837&amp;pr_ref_pid=7408912400573&amp;pr_seq=uniform</t>
  </si>
  <si>
    <t>does current sensisng, 5v 8v 12v</t>
  </si>
  <si>
    <t>12AWG Silicon</t>
  </si>
  <si>
    <t>High Current Wiring</t>
  </si>
  <si>
    <t>https://dronelab.se/siliconewire.html, https://www.vanallesenmeer.nl/12AWG-Silicone-Wire</t>
  </si>
  <si>
    <t>Estimated 60 cm to propulsion, 3x10cm to HV generators, 10cm to PM03D</t>
  </si>
  <si>
    <t>Avionics</t>
  </si>
  <si>
    <t>Prachute Diameter</t>
  </si>
  <si>
    <t>D_para</t>
  </si>
  <si>
    <t>FWRB-84-S-2P-OB</t>
  </si>
  <si>
    <t>Parachute</t>
  </si>
  <si>
    <t>https://shop.fruitychutes.com/collections/fixed-wing-bundle/products/fixed-wing-recovery-bundle-22lbs-10kg-15fps</t>
  </si>
  <si>
    <t>Parachute Bundle</t>
  </si>
  <si>
    <t>Parachute Drag Coefficient</t>
  </si>
  <si>
    <t>Cd_para</t>
  </si>
  <si>
    <t>Parachute Descent Rate</t>
  </si>
  <si>
    <t>V_para</t>
  </si>
  <si>
    <t>Total Mass</t>
  </si>
  <si>
    <t>MTOW</t>
  </si>
  <si>
    <t>Pixhawk 6X</t>
  </si>
  <si>
    <t>Flight Controller</t>
  </si>
  <si>
    <t>https://holybro.com/products/pixhawk-6x?variant=42471703150781</t>
  </si>
  <si>
    <t>Commonly used FC</t>
  </si>
  <si>
    <t>ASPD-4525</t>
  </si>
  <si>
    <t>Pitot Tube</t>
  </si>
  <si>
    <t>http://www.mateksys.com/?portfolio=aspd-4525#tab-id-2</t>
  </si>
  <si>
    <t>GPS + Compass</t>
  </si>
  <si>
    <t>ELRS-R24-D</t>
  </si>
  <si>
    <t>Radio</t>
  </si>
  <si>
    <t>http://www.mateksys.com/?portfolio=elrs-r24</t>
  </si>
  <si>
    <t>Microphone</t>
  </si>
  <si>
    <t>To monitor noise</t>
  </si>
  <si>
    <t>SONIK S</t>
  </si>
  <si>
    <t>Number Subject to change, Has own battery</t>
  </si>
  <si>
    <t xml:space="preserve"> 9G Servo</t>
  </si>
  <si>
    <t>Parachute Hatch Latch</t>
  </si>
  <si>
    <t>https://www.amazon.nl/Digital-Servo-Metal-Geschikt-Servo-arm/dp/B08NCZQ5MH</t>
  </si>
  <si>
    <t>clalpha</t>
  </si>
  <si>
    <t>rad^-1</t>
  </si>
  <si>
    <t>Xfoil prediction at 200000 Re</t>
  </si>
  <si>
    <t>Rasberry Pi 4B</t>
  </si>
  <si>
    <t>E3372h-153</t>
  </si>
  <si>
    <t>Component 6</t>
  </si>
  <si>
    <t>Component 7</t>
  </si>
  <si>
    <t>https://www.wimoodshop.nl/products/867/Huawei+E3372h-153+-+LTE+USB+-+4G+LTE+dongle</t>
  </si>
  <si>
    <t>LTE Modem</t>
  </si>
  <si>
    <t>FPV Video Feed</t>
  </si>
  <si>
    <t>LTE Communication &amp; Payload Interface</t>
  </si>
  <si>
    <t>Method</t>
  </si>
  <si>
    <t>Slotted airfoil</t>
  </si>
  <si>
    <t>Electrode material</t>
  </si>
  <si>
    <t>Al2O3</t>
  </si>
  <si>
    <t>Cu</t>
  </si>
  <si>
    <t>Provides sufficient (~10hr) durability</t>
  </si>
  <si>
    <t>Dielectric material</t>
  </si>
  <si>
    <t>Identifier</t>
  </si>
  <si>
    <t>AER</t>
  </si>
  <si>
    <t>PLASMA</t>
  </si>
  <si>
    <t>POWER</t>
  </si>
  <si>
    <t>LAND</t>
  </si>
  <si>
    <r>
      <t xml:space="preserve">Only actuation method which </t>
    </r>
    <r>
      <rPr>
        <b/>
        <sz val="11"/>
        <color rgb="FF000000"/>
        <rFont val="Calibri"/>
        <family val="2"/>
      </rPr>
      <t>might</t>
    </r>
    <r>
      <rPr>
        <sz val="11"/>
        <color rgb="FF000000"/>
        <rFont val="Calibri"/>
        <family val="2"/>
      </rPr>
      <t xml:space="preserve"> provide decent ΔC</t>
    </r>
    <r>
      <rPr>
        <vertAlign val="subscript"/>
        <sz val="11"/>
        <color rgb="FF000000"/>
        <rFont val="Calibri"/>
        <family val="2"/>
      </rPr>
      <t>l</t>
    </r>
    <r>
      <rPr>
        <sz val="11"/>
        <color rgb="FF000000"/>
        <rFont val="Calibri"/>
        <family val="2"/>
      </rPr>
      <t xml:space="preserve"> without relying on separation</t>
    </r>
  </si>
  <si>
    <t>http://www.mateksys.com/?page_id=3834</t>
  </si>
  <si>
    <t>Option 2</t>
  </si>
  <si>
    <t>Option 3</t>
  </si>
  <si>
    <t>https://navio2.hipi.io/</t>
  </si>
  <si>
    <t>Pixhawk (and APM) Power Consumption - Blogs - diydrones</t>
  </si>
  <si>
    <t>Pixhawk Power Consumption</t>
  </si>
  <si>
    <t>https://www.3dxr.co.uk/sensors-c5/airspeed-pressure-c154/matek-systems-digital-airspeed-sensor-aspd-dlvr-new-l431-can-node-p5014</t>
  </si>
  <si>
    <t>b_fus</t>
  </si>
  <si>
    <t>fuselage diameter</t>
  </si>
  <si>
    <t>STR</t>
  </si>
  <si>
    <t>Only actuation method which might provide decent ΔCl without relying on separation</t>
  </si>
  <si>
    <t>cm at AC</t>
  </si>
  <si>
    <t>side area fuselage</t>
  </si>
  <si>
    <t>length fuselage</t>
  </si>
  <si>
    <t>maximum height fuselage</t>
  </si>
  <si>
    <t>1/4 length fuslage width</t>
  </si>
  <si>
    <t>3/4 length fuslage width</t>
  </si>
  <si>
    <t>1/4 length fuslage height</t>
  </si>
  <si>
    <t>3/4 length fuslage height</t>
  </si>
  <si>
    <t>uses I2C, option 2 uses can butmore expensive</t>
  </si>
  <si>
    <t>https://www.team-blacksheep.com/products/prod:crossfire_tx</t>
  </si>
  <si>
    <t>UART Port, 900mhz or 2.4ghz, Bidirectional MAVLink telemetry is not supported which i dont really know what it means</t>
  </si>
  <si>
    <t>DroneCAN M8N GPS</t>
  </si>
  <si>
    <t>https://holybro.com/products/dronecan-m8n-gps</t>
  </si>
  <si>
    <t>Stability Margin</t>
  </si>
  <si>
    <t>SM</t>
  </si>
  <si>
    <t>Stability margin applied</t>
  </si>
  <si>
    <t>STB</t>
  </si>
  <si>
    <t>Turn radius</t>
  </si>
  <si>
    <t>r</t>
  </si>
  <si>
    <t>Minimal turn radius, currently based on Zamboni flight pattern</t>
  </si>
  <si>
    <t>delta_h</t>
  </si>
  <si>
    <t>alitude difference between start and end of climb</t>
  </si>
  <si>
    <t>Altitude change</t>
  </si>
  <si>
    <t>Htail taper ratio</t>
  </si>
  <si>
    <t>lamda_h</t>
  </si>
  <si>
    <t>taper ratio of horizontal tail</t>
  </si>
  <si>
    <t>Htail aspect ratio</t>
  </si>
  <si>
    <t>A_h</t>
  </si>
  <si>
    <t>aspect ratio of horizontal tail</t>
  </si>
  <si>
    <t>Cl htail slope</t>
  </si>
  <si>
    <t>C_l_alpha_h</t>
  </si>
  <si>
    <t>Cl_alpha of airfoil used on horizontal tail</t>
  </si>
  <si>
    <t>Design Rate of Climb</t>
  </si>
  <si>
    <t>Rate of Climb used during nominal flight patterns</t>
  </si>
  <si>
    <t>CAN</t>
  </si>
  <si>
    <t>USB @ Rpi</t>
  </si>
  <si>
    <t>length cg-nose</t>
  </si>
  <si>
    <t>https://www.raspberrypi.com/products/raspberry-pi-4-model-b/specifications/</t>
  </si>
  <si>
    <t>diameter prop</t>
  </si>
  <si>
    <t>D_p</t>
  </si>
  <si>
    <t>Diameter of propeller</t>
  </si>
  <si>
    <t>PROP</t>
  </si>
  <si>
    <t>l_p</t>
  </si>
  <si>
    <t>Not final value just for checks!</t>
  </si>
  <si>
    <t>distance of prop from cg or smth</t>
  </si>
  <si>
    <t>B_p</t>
  </si>
  <si>
    <t>number of prop blades</t>
  </si>
  <si>
    <t>Check @Archi</t>
  </si>
  <si>
    <t>guessed, please check @jasper</t>
  </si>
  <si>
    <t>l_cg</t>
  </si>
  <si>
    <t>h_fmax</t>
  </si>
  <si>
    <t>S_fs</t>
  </si>
  <si>
    <t>just based on rectangle, length times height</t>
  </si>
  <si>
    <t>b_f1</t>
  </si>
  <si>
    <t>b_f2</t>
  </si>
  <si>
    <t>h_f1</t>
  </si>
  <si>
    <t>h_f2</t>
  </si>
  <si>
    <t>https://www.arducam.com/product/presalearducam-12mp-imx708-102-degree-wide-angle-fixed-focus-hdr-high-snr-camera-module-for-raspberry-pi/</t>
  </si>
  <si>
    <t>Cm_ac</t>
  </si>
  <si>
    <t>C_l_alpha</t>
  </si>
  <si>
    <t>C_lcruise</t>
  </si>
  <si>
    <t>C_lmax</t>
  </si>
  <si>
    <t>Rasberry Pi Camera 3</t>
  </si>
  <si>
    <t>102 deg FOV, fixed Focus</t>
  </si>
  <si>
    <t>x_bar_ac</t>
  </si>
  <si>
    <t>x loc AC</t>
  </si>
  <si>
    <t>5V Power</t>
  </si>
  <si>
    <t>W</t>
  </si>
  <si>
    <t>Power_5V</t>
  </si>
  <si>
    <t>The power that the 5V regulator has to supply, used for the efficiency calculations of the swithcing converter</t>
  </si>
  <si>
    <t>Avionics Wiring</t>
  </si>
  <si>
    <t>Connect Components</t>
  </si>
  <si>
    <t>To very roughly estimate the total weight</t>
  </si>
  <si>
    <t>Component 8</t>
  </si>
  <si>
    <t>Surface Htail</t>
  </si>
  <si>
    <t>S_h</t>
  </si>
  <si>
    <t>lamda</t>
  </si>
  <si>
    <t>Surface of the horizontal tail, prelim. guess</t>
  </si>
  <si>
    <t>Surface of the vertical tail, prelim. guess</t>
  </si>
  <si>
    <t>Surface Vtail</t>
  </si>
  <si>
    <t>S_v</t>
  </si>
  <si>
    <t>length Htail</t>
  </si>
  <si>
    <t>length Vtail</t>
  </si>
  <si>
    <t>l_h</t>
  </si>
  <si>
    <t>l_v</t>
  </si>
  <si>
    <t>length of the horizontal tail, prelim. guess</t>
  </si>
  <si>
    <t>length of the vertical tail, prelim. guess</t>
  </si>
  <si>
    <t>fuselage width</t>
  </si>
  <si>
    <t>fus_w</t>
  </si>
  <si>
    <t>fuselage height</t>
  </si>
  <si>
    <t>fus_h</t>
  </si>
  <si>
    <t>fus_l</t>
  </si>
  <si>
    <t>skin thickness</t>
  </si>
  <si>
    <t>t_skin</t>
  </si>
  <si>
    <t>stringer pitch</t>
  </si>
  <si>
    <t>str_pitch</t>
  </si>
  <si>
    <t>stringer width</t>
  </si>
  <si>
    <t>str_w</t>
  </si>
  <si>
    <t>stringer height</t>
  </si>
  <si>
    <t>str_h</t>
  </si>
  <si>
    <t>stringer thickness</t>
  </si>
  <si>
    <t>str_t</t>
  </si>
  <si>
    <t>balsa tensile strength</t>
  </si>
  <si>
    <t>balsa_tens</t>
  </si>
  <si>
    <t>balsa compressive strength</t>
  </si>
  <si>
    <t>balsa_comp</t>
  </si>
  <si>
    <t>MPa</t>
  </si>
  <si>
    <t>boomlength</t>
  </si>
  <si>
    <t>boomdiameter</t>
  </si>
  <si>
    <t>l_boom</t>
  </si>
  <si>
    <t>d_boom</t>
  </si>
  <si>
    <t>https://www.campusplastics.com/campus/en/datasheet/VECTRA+A950/Ticona/163/268267e7</t>
  </si>
  <si>
    <t>VectraA950 Shear modulus</t>
  </si>
  <si>
    <t>G_A950</t>
  </si>
  <si>
    <t>boom connection half span</t>
  </si>
  <si>
    <t>b_boom</t>
  </si>
  <si>
    <t>front sparcap width</t>
  </si>
  <si>
    <t>front sparweb width</t>
  </si>
  <si>
    <t>front sparcap thickness</t>
  </si>
  <si>
    <t>front sparweb thickness</t>
  </si>
  <si>
    <t>rear sparcap thickness</t>
  </si>
  <si>
    <t>rear sparweb thickness</t>
  </si>
  <si>
    <t>rear sparcap width</t>
  </si>
  <si>
    <t>rear sparweb width</t>
  </si>
  <si>
    <t>w_frontCap</t>
  </si>
  <si>
    <t>w_frontWeb</t>
  </si>
  <si>
    <t>w_rearCap</t>
  </si>
  <si>
    <t>w_rearWeb</t>
  </si>
  <si>
    <t>t_frontCap</t>
  </si>
  <si>
    <t>t_frontWeb</t>
  </si>
  <si>
    <t>t_rearCap</t>
  </si>
  <si>
    <t>t_rearWeb</t>
  </si>
  <si>
    <t>fuselage mass</t>
  </si>
  <si>
    <t>m_fus</t>
  </si>
  <si>
    <t>First iteration only includes internal components</t>
  </si>
  <si>
    <t>STR-MASS-01</t>
  </si>
  <si>
    <t>Landing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</si>
</sst>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10" xfId="0" applyBorder="1"/>
    <xf numFmtId="0" fontId="3" fillId="0" borderId="10" xfId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2">
    <cellStyle name="Hyperlink" xfId="1" xr:uid="{00000000-000B-0000-0000-000008000000}"/>
    <cellStyle name="Normal" xfId="0" builtinId="0"/>
  </cellStyles>
  <dxfs count="1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0"/>
    </dxf>
    <dxf>
      <alignment wrapText="0"/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numFmt numFmtId="0" formatCode="General"/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n Lang" id="{4CD5175B-E9C5-41FE-806D-EA6818595A8B}" userId="S::aelang@tudelft.nl::50796402-ed90-4dac-b147-b21e76c0d1ee" providerId="AD"/>
  <person displayName="Tudor Bejan" id="{C0226FF7-CA48-4955-84D4-0942E163F936}" userId="S::tbejan@tudelft.nl::4be7520a-d569-4744-a30a-405d69f45994" providerId="AD"/>
  <person displayName="Jasper Tillie" id="{D17C2954-A160-4ADD-BB3C-7C2337D7D1A3}" userId="S::jptillie@tudelft.nl::7a3b0774-b7d9-470d-88eb-7d39da11beaf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B6DE51-F65C-4C3A-A0A7-0D8585BB23A3}" autoFormatId="16" applyNumberFormats="0" applyBorderFormats="0" applyFontFormats="0" applyPatternFormats="0" applyAlignmentFormats="0" applyWidthHeightFormats="0">
  <queryTableRefresh nextId="8">
    <queryTableFields count="6">
      <queryTableField id="1" name="Parameter" tableColumnId="1"/>
      <queryTableField id="2" name="Symbol in code" tableColumnId="2"/>
      <queryTableField id="3" name="Unit" tableColumnId="3"/>
      <queryTableField id="4" name="Value" tableColumnId="4"/>
      <queryTableField id="5" name="Comments" tableColumnId="5"/>
      <queryTableField id="6" name="Identifi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2D2A7D0-FCEE-477A-A792-408E67164152}" name="Table_Master_Design_Parameters" displayName="Table_Master_Design_Parameters" ref="A1:F67" tableType="queryTable" totalsRowShown="0">
  <autoFilter ref="A1:F67" xr:uid="{42D2A7D0-FCEE-477A-A792-408E67164152}"/>
  <tableColumns count="6">
    <tableColumn id="1" xr3:uid="{BFDC03A5-5231-435B-B7CF-59879270C36C}" uniqueName="1" name="Parameter" queryTableFieldId="1"/>
    <tableColumn id="2" xr3:uid="{5FDF6401-5CE0-4047-95D6-2ED91F532B92}" uniqueName="2" name="Symbol in code" queryTableFieldId="2"/>
    <tableColumn id="3" xr3:uid="{78E93CFF-F0E6-4135-9BAD-3B005698E517}" uniqueName="3" name="Unit" queryTableFieldId="3"/>
    <tableColumn id="4" xr3:uid="{1ABF28ED-DDEE-4BA4-A418-3DCEE5E2D6BE}" uniqueName="4" name="Value" queryTableFieldId="4"/>
    <tableColumn id="5" xr3:uid="{310CDC6A-5961-4776-9E6D-6089EEDCCF9F}" uniqueName="5" name="Comments" queryTableFieldId="5"/>
    <tableColumn id="6" xr3:uid="{72BCA578-8CC5-4187-A886-19CA336E3685}" uniqueName="6" name="Identifier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E9B09E1-45BD-4E14-9229-CAA81EF3BBB8}" name="Table14475762" displayName="Table14475762" ref="A5:B10" totalsRowShown="0">
  <autoFilter ref="A5:B10" xr:uid="{0E9B09E1-45BD-4E14-9229-CAA81EF3BBB8}"/>
  <tableColumns count="2">
    <tableColumn id="1" xr3:uid="{15296074-C88B-40F5-9104-BE7AA3B34266}" name="Subsystem"/>
    <tableColumn id="2" xr3:uid="{9D847B54-8A2A-406B-B3F3-8A0B3D83A5B6}" name="Mass [kg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53E84033-7F30-442E-AB5D-292747615841}" name="Table25485863" displayName="Table25485863" ref="D5:E10" totalsRowShown="0">
  <autoFilter ref="D5:E10" xr:uid="{53E84033-7F30-442E-AB5D-292747615841}"/>
  <tableColumns count="2">
    <tableColumn id="1" xr3:uid="{AB67FAA0-0C72-4444-BB43-B99BAF075786}" name="Subsystem"/>
    <tableColumn id="2" xr3:uid="{A55FA103-46F5-4208-92C3-817CB133E703}" name="Peak Power [W]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24252984-0494-4244-9E98-97A85C655657}" name="Table58495964" displayName="Table58495964" ref="G5:H10" totalsRowShown="0">
  <autoFilter ref="G5:H10" xr:uid="{24252984-0494-4244-9E98-97A85C655657}"/>
  <tableColumns count="2">
    <tableColumn id="1" xr3:uid="{D4C29A64-7B9C-49E6-A052-53C1E0219FD6}" name="Subsystem"/>
    <tableColumn id="2" xr3:uid="{85BD2EB6-564D-422E-A29E-473FBA4B1389}" name="Max. Energy [Wh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C930E3A4-B5A5-4DED-ADAA-5A90C9D2E9D6}" name="Table69506065" displayName="Table69506065" ref="J5:K10" totalsRowShown="0">
  <autoFilter ref="J5:K10" xr:uid="{C930E3A4-B5A5-4DED-ADAA-5A90C9D2E9D6}"/>
  <tableColumns count="2">
    <tableColumn id="1" xr3:uid="{081F0527-F3A1-459F-A9D0-5F7A388A04BD}" name="Subsystem"/>
    <tableColumn id="2" xr3:uid="{680D0722-2B19-4473-A639-2CD3CADF925A}" name="Max. Data [Mb/s]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A91D9DD-666C-41D2-B244-E1C82772307E}" name="Table623343536516166" displayName="Table623343536516166" ref="M5:N10" totalsRowShown="0">
  <autoFilter ref="M5:N10" xr:uid="{1A91D9DD-666C-41D2-B244-E1C82772307E}"/>
  <tableColumns count="2">
    <tableColumn id="1" xr3:uid="{D301B23D-AB66-4788-A035-8EB845EBC8F7}" name="Subsystem"/>
    <tableColumn id="2" xr3:uid="{E90EBB41-49D6-4E34-B275-F4A8D74F133D}" name="Price[EUR]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F6A36C47-47FE-47BD-BDE9-C3A4C69CD844}" name="DP_Aerodynamics" displayName="DP_Aerodynamics" ref="O4:T29" totalsRowShown="0" tableBorderDxfId="111">
  <autoFilter ref="O4:T29" xr:uid="{F6A36C47-47FE-47BD-BDE9-C3A4C69CD844}"/>
  <tableColumns count="6">
    <tableColumn id="1" xr3:uid="{86ECCA0F-2F1E-4810-9828-FF6D57A870CB}" name="Parameter" dataDxfId="110"/>
    <tableColumn id="2" xr3:uid="{56133444-5130-425F-8332-D788DB14BE5C}" name="Symbol in code"/>
    <tableColumn id="3" xr3:uid="{FC74E782-5158-4A50-847C-CCDE244B4AF1}" name="Unit"/>
    <tableColumn id="4" xr3:uid="{70A77CE7-7181-494A-BC43-0F36782B616C}" name="Value"/>
    <tableColumn id="5" xr3:uid="{04BEA43B-759C-42A6-9BB0-37411C91A5E3}" name="Comments"/>
    <tableColumn id="6" xr3:uid="{FF2C19EC-F132-4F3A-BF50-F5667C0D5287}" name="Identifie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80FB61C0-5954-4345-B6CB-C3FE5ACFB3DE}" name="Table87" displayName="Table87" ref="U4:Y10" totalsRowShown="0" tableBorderDxfId="109">
  <autoFilter ref="U4:Y10" xr:uid="{80FB61C0-5954-4345-B6CB-C3FE5ACFB3DE}"/>
  <tableColumns count="5">
    <tableColumn id="1" xr3:uid="{2D1F5659-0A5E-4593-BB2C-724319DF87AD}" name="Number"/>
    <tableColumn id="2" xr3:uid="{FDA8E74E-D88B-4855-B943-8C89C1F30B64}" name="Components"/>
    <tableColumn id="3" xr3:uid="{C25F837A-DDF8-44CC-9444-B9E6CD9F906D}" name="Function"/>
    <tableColumn id="4" xr3:uid="{1E3599C1-C91C-43B4-A4C4-8A343ADA1AE3}" name="Datasheet/Specifications"/>
    <tableColumn id="5" xr3:uid="{96F98F53-29BC-4C37-BA51-2D6E0EAE3A5E}" name="Comment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C2D85803-DB02-40FF-A916-869D3DCD9B19}" name="DP_Stability_Control" displayName="DP_Stability_Control" ref="O4:T15" totalsRowShown="0" tableBorderDxfId="108">
  <autoFilter ref="O4:T15" xr:uid="{C2D85803-DB02-40FF-A916-869D3DCD9B19}"/>
  <tableColumns count="6">
    <tableColumn id="1" xr3:uid="{D4126ACE-B502-443A-BD18-4A9A06E9E59C}" name="Parameter"/>
    <tableColumn id="2" xr3:uid="{BE75B0BA-F7F5-4329-B0D2-AE8DBAFCA3C6}" name="Symbol in code"/>
    <tableColumn id="3" xr3:uid="{B2CA4003-47D4-4203-85C4-8FEA35E1586E}" name="Unit"/>
    <tableColumn id="4" xr3:uid="{6A0B804D-D38C-4952-9EC8-50B388E7875A}" name="Value"/>
    <tableColumn id="5" xr3:uid="{70C6E6B0-88AB-4AD1-AE1A-3F21CB8CAD88}" name="Comments"/>
    <tableColumn id="6" xr3:uid="{EA71BBA6-CA17-4422-9468-4F8492CEA02E}" name="Identifier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43B5A5B5-0829-40DE-A65B-00EDCE9C93EA}" name="Table8790" displayName="Table8790" ref="U4:Y10" totalsRowShown="0" tableBorderDxfId="107">
  <autoFilter ref="U4:Y10" xr:uid="{43B5A5B5-0829-40DE-A65B-00EDCE9C93EA}"/>
  <tableColumns count="5">
    <tableColumn id="1" xr3:uid="{BC27E3A4-086C-4915-ADCE-5F2BD9CD1DAD}" name="ID"/>
    <tableColumn id="2" xr3:uid="{62840F8F-3FB8-4602-A9F0-C17D1324BB76}" name="Quantity"/>
    <tableColumn id="3" xr3:uid="{50E56ED7-6CBC-4B91-A856-CA07464A5D80}" name="Function"/>
    <tableColumn id="4" xr3:uid="{52B4A92D-836B-4C65-A5BF-28314C0CE10A}" name="Datasheet/Specifications"/>
    <tableColumn id="5" xr3:uid="{733DD4E7-3D0D-40F4-9CFB-AC55E9BD9F1C}" name="Comment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E4728-6F8F-472B-A165-B25CE8D000EF}" name="Table144757622" displayName="Table144757622" ref="A5:B10" totalsRowShown="0">
  <autoFilter ref="A5:B10" xr:uid="{AC5E4728-6F8F-472B-A165-B25CE8D000EF}"/>
  <tableColumns count="2">
    <tableColumn id="1" xr3:uid="{E0ED8A17-57E2-40D9-BC12-5383288C5D87}" name="Subsystem"/>
    <tableColumn id="2" xr3:uid="{6AAB2FF2-393E-4F1C-A7A1-D1F207203A57}" name="Mass [kg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B6B7F9-8D70-483E-BB5B-332D7E99EDE3}" name="Table120" displayName="Table120" ref="A5:B14" totalsRowShown="0">
  <autoFilter ref="A5:B14" xr:uid="{A9B6B7F9-8D70-483E-BB5B-332D7E99EDE3}"/>
  <tableColumns count="2">
    <tableColumn id="1" xr3:uid="{2D65B430-833C-46EF-8CC2-6599FC695019}" name="Subsystem"/>
    <tableColumn id="2" xr3:uid="{D5A7F382-0D03-4CD1-9EEA-39894D7B8BC4}" name="Mass [kg]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356F73-C0B8-494F-892D-C7C12430CE9E}" name="Table254858633" displayName="Table254858633" ref="D5:E10" totalsRowShown="0">
  <autoFilter ref="D5:E10" xr:uid="{DE356F73-C0B8-494F-892D-C7C12430CE9E}"/>
  <tableColumns count="2">
    <tableColumn id="1" xr3:uid="{04CC9F2C-212A-4930-A4AA-0422259C69DD}" name="Subsystem"/>
    <tableColumn id="2" xr3:uid="{685B15A7-4A7D-49C5-8192-8A7331BF2412}" name="Peak Power [W]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7DDF5E-2E87-4EE7-B0A1-BF04EEFFE26B}" name="Table584959644" displayName="Table584959644" ref="G5:H10" totalsRowShown="0">
  <autoFilter ref="G5:H10" xr:uid="{CD7DDF5E-2E87-4EE7-B0A1-BF04EEFFE26B}"/>
  <tableColumns count="2">
    <tableColumn id="1" xr3:uid="{C11E6F90-81AC-4DBA-A4F3-B382C4E4CA7D}" name="Subsystem"/>
    <tableColumn id="2" xr3:uid="{D255B36B-D904-4C00-BA25-D8DAAC7D21FC}" name="Max. Energy [Wh]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A10B69-9FF9-4F56-98DF-F6577CD3A87C}" name="Table695060655" displayName="Table695060655" ref="J5:K10" totalsRowShown="0">
  <autoFilter ref="J5:K10" xr:uid="{8EA10B69-9FF9-4F56-98DF-F6577CD3A87C}"/>
  <tableColumns count="2">
    <tableColumn id="1" xr3:uid="{014A14CD-9AAD-4BD6-A42C-692B0AE4B6D5}" name="Subsystem"/>
    <tableColumn id="2" xr3:uid="{802B607F-4048-4148-92CE-593A8D98E686}" name="Max. Data [Mb/s]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0DF575-46DC-42D3-9284-4D2886579098}" name="Table6233435365161666" displayName="Table6233435365161666" ref="M5:N10" totalsRowShown="0">
  <autoFilter ref="M5:N10" xr:uid="{3E0DF575-46DC-42D3-9284-4D2886579098}"/>
  <tableColumns count="2">
    <tableColumn id="1" xr3:uid="{9889A171-7CD0-4374-91EB-15374B36DFFF}" name="Subsystem"/>
    <tableColumn id="2" xr3:uid="{F677644F-1E92-4F98-A5F5-34DF9CA2CFB6}" name="Price[EUR]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279B1D9E-D958-4A83-A9CE-2FBEF7CA774D}" name="DP_Propulsion" displayName="DP_Propulsion" ref="O4:T10" totalsRowShown="0" headerRowDxfId="106" dataDxfId="105" tableBorderDxfId="104">
  <autoFilter ref="O4:T10" xr:uid="{279B1D9E-D958-4A83-A9CE-2FBEF7CA774D}"/>
  <tableColumns count="6">
    <tableColumn id="1" xr3:uid="{3F4AC0C5-ED8A-4608-BB39-249FE5035C46}" name="Parameter" dataDxfId="103"/>
    <tableColumn id="2" xr3:uid="{A1DC7233-AAC9-41F4-A298-85297E179B21}" name="Symbol in code" dataDxfId="102"/>
    <tableColumn id="3" xr3:uid="{FCADBD52-9AA1-4F54-AE1A-1F57F71FD877}" name="Unit" dataDxfId="101"/>
    <tableColumn id="4" xr3:uid="{95AA6D77-FEAD-4E91-9043-787FBB3F383B}" name="Value" dataDxfId="100"/>
    <tableColumn id="5" xr3:uid="{CB7EDFC3-C523-450D-8DE3-65C08C9C4D4F}" name="Comments" dataDxfId="99"/>
    <tableColumn id="6" xr3:uid="{A2240E9B-CC83-4AFF-A792-C42280753338}" name="Identifier" dataDxfId="9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1FC742DB-4F56-4CC1-AC97-E93CB17E5FA6}" name="Table879092" displayName="Table879092" ref="U4:Z10" totalsRowShown="0" headerRowDxfId="97" dataDxfId="96" tableBorderDxfId="95">
  <autoFilter ref="U4:Z10" xr:uid="{1FC742DB-4F56-4CC1-AC97-E93CB17E5FA6}"/>
  <tableColumns count="6">
    <tableColumn id="1" xr3:uid="{DF0D9214-95FD-4FE5-B341-B45981372A2E}" name="ID" dataDxfId="94"/>
    <tableColumn id="6" xr3:uid="{E6C4CA99-5A2E-470E-B897-19DE787E6E5D}" name="Quantity" dataDxfId="93"/>
    <tableColumn id="2" xr3:uid="{7AFCDD4D-BE4A-4F82-8A26-ECA96579ABF9}" name="Components" dataDxfId="92"/>
    <tableColumn id="3" xr3:uid="{16204EFC-B744-494C-B616-F8A2020CD1B2}" name="Function" dataDxfId="91"/>
    <tableColumn id="4" xr3:uid="{87F2EB70-B0F8-4F44-B810-714CD67D7401}" name="Datasheet/Specifications" dataDxfId="90"/>
    <tableColumn id="5" xr3:uid="{949E999D-DBD5-4175-8859-BF918445FB96}" name="Comments" dataDxfId="89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40127C-100A-44F2-A17A-BF935DA9704C}" name="Table1447576227" displayName="Table1447576227" ref="A5:B10" totalsRowShown="0" headerRowDxfId="88" dataDxfId="87">
  <autoFilter ref="A5:B10" xr:uid="{BC40127C-100A-44F2-A17A-BF935DA9704C}"/>
  <tableColumns count="2">
    <tableColumn id="1" xr3:uid="{62E70A6D-585C-4747-A007-B4423345ABBC}" name="Subsystem" dataDxfId="86"/>
    <tableColumn id="2" xr3:uid="{1DEAAF37-8D3C-4480-937A-72EB9128580C}" name="Mass [kg]" dataDxfId="8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C741D7-87E2-440A-8128-9BCAB063E512}" name="Table2548586338" displayName="Table2548586338" ref="D5:E10" totalsRowShown="0" headerRowDxfId="84" dataDxfId="83">
  <autoFilter ref="D5:E10" xr:uid="{90C741D7-87E2-440A-8128-9BCAB063E512}"/>
  <tableColumns count="2">
    <tableColumn id="1" xr3:uid="{97AA4558-666A-47AF-8169-B90ED1434938}" name="Subsystem" dataDxfId="82"/>
    <tableColumn id="2" xr3:uid="{518E51A6-93C6-4F2D-83B9-13D14674E6B7}" name="Peak Power [W]" dataDxfId="8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7FA996-90C8-40B4-BBAB-48DD2614BFAC}" name="Table5849596449" displayName="Table5849596449" ref="G5:H10" totalsRowShown="0" headerRowDxfId="80" dataDxfId="79">
  <autoFilter ref="G5:H10" xr:uid="{4A7FA996-90C8-40B4-BBAB-48DD2614BFAC}"/>
  <tableColumns count="2">
    <tableColumn id="1" xr3:uid="{8FCA2847-CD92-4418-A24E-27D5F85404FE}" name="Subsystem" dataDxfId="78"/>
    <tableColumn id="2" xr3:uid="{075FAEA8-AD8A-46C2-8FDA-472A477C5917}" name="Max. Energy [Wh]" dataDxfId="77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4AB36B-42B1-4746-B2CE-AA4D7C2915B0}" name="Table69506065510" displayName="Table69506065510" ref="J5:K10" totalsRowShown="0" headerRowDxfId="76" dataDxfId="75">
  <autoFilter ref="J5:K10" xr:uid="{454AB36B-42B1-4746-B2CE-AA4D7C2915B0}"/>
  <tableColumns count="2">
    <tableColumn id="1" xr3:uid="{0FA82B1F-595A-4432-B618-EF0422E7D05A}" name="Subsystem" dataDxfId="74"/>
    <tableColumn id="2" xr3:uid="{A7A4F680-DB9B-4523-B25C-E93D4BF40464}" name="Max. Data [Mb/s]" dataDxfId="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D50ED45-6201-4124-BAE5-2C5F3BF4106C}" name="Table221" displayName="Table221" ref="D5:E14" totalsRowShown="0">
  <autoFilter ref="D5:E14" xr:uid="{ED50ED45-6201-4124-BAE5-2C5F3BF4106C}"/>
  <tableColumns count="2">
    <tableColumn id="1" xr3:uid="{8DA5535B-85D1-4CF5-BFD4-E9605161741B}" name="Subsystem"/>
    <tableColumn id="2" xr3:uid="{D705777D-8B69-4D15-A028-C4BA6C25AC8C}" name="Peak Power [W]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B8EC23-4E06-4FB4-8E8D-D7565F972540}" name="Table623343536516166611" displayName="Table623343536516166611" ref="M5:N10" totalsRowShown="0" headerRowDxfId="72" dataDxfId="71">
  <autoFilter ref="M5:N10" xr:uid="{62B8EC23-4E06-4FB4-8E8D-D7565F972540}"/>
  <tableColumns count="2">
    <tableColumn id="1" xr3:uid="{FD8EF809-0EA5-4E1F-9854-8B024B9DEA75}" name="Subsystem" dataDxfId="70"/>
    <tableColumn id="2" xr3:uid="{CB5771E8-9D50-4B93-8B0E-9F36A0F02743}" name="Price[EUR]" dataDxfId="6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7A045D93-C7FF-445E-A553-95FF81222AD6}" name="DP_Structures" displayName="DP_Structures" ref="O4:T36" totalsRowShown="0" tableBorderDxfId="68">
  <autoFilter ref="O4:T36" xr:uid="{7A045D93-C7FF-445E-A553-95FF81222AD6}"/>
  <tableColumns count="6">
    <tableColumn id="1" xr3:uid="{9DF02EF9-D45F-4C11-8CA3-B5049F8147E2}" name="Parameter"/>
    <tableColumn id="2" xr3:uid="{782DCCB4-5078-42CF-B811-4A2FC72CBD7F}" name="Symbol in code"/>
    <tableColumn id="3" xr3:uid="{B7C44A0F-16E6-46D9-A314-B1E770CDC6A5}" name="Unit"/>
    <tableColumn id="4" xr3:uid="{C7B8C16D-F700-4D80-ABEB-EBDE628F59E9}" name="Value"/>
    <tableColumn id="5" xr3:uid="{07D41995-CA4C-40E1-A447-D2B9A9CD81F2}" name="Comments"/>
    <tableColumn id="6" xr3:uid="{32C60DB6-F21B-4317-9438-EA42A9DE2C43}" name="Identifier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4A966277-7D27-491E-A8DD-54EDBAF31F28}" name="Table87909294" displayName="Table87909294" ref="U4:Z10" totalsRowShown="0" tableBorderDxfId="67">
  <autoFilter ref="U4:Z10" xr:uid="{4A966277-7D27-491E-A8DD-54EDBAF31F28}"/>
  <tableColumns count="6">
    <tableColumn id="1" xr3:uid="{97984951-3B20-48F5-B239-B85812B4A545}" name="ID"/>
    <tableColumn id="6" xr3:uid="{B4E50524-E016-4D5C-B3C4-8DE7222673BC}" name="Quantity"/>
    <tableColumn id="2" xr3:uid="{524794FB-AC01-48CB-981E-DCFBCE146514}" name="Components"/>
    <tableColumn id="3" xr3:uid="{7BD5F936-7F49-4A43-A30A-C623153F368E}" name="Function"/>
    <tableColumn id="4" xr3:uid="{94459C50-8E76-4F14-B11A-FCE225EEDAA7}" name="Datasheet/Specifications"/>
    <tableColumn id="5" xr3:uid="{38D2F5C0-18E0-45F6-B9D1-D9011746DC2A}" name="Comment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E8A4E14-64FC-4F09-81C3-0940F5B3D5F4}" name="Table14475762212" displayName="Table14475762212" ref="A5:B10" totalsRowShown="0">
  <autoFilter ref="A5:B10" xr:uid="{0E8A4E14-64FC-4F09-81C3-0940F5B3D5F4}"/>
  <tableColumns count="2">
    <tableColumn id="1" xr3:uid="{79DAA8F5-C317-4107-B47E-EC8822CE3E9E}" name="Subsystem"/>
    <tableColumn id="2" xr3:uid="{30EC6380-4EC1-47EF-91AB-A37FA965B16E}" name="Mass [kg]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0FB1E5-6C6A-4501-9D58-9DF1BE0B9B49}" name="Table25485863313" displayName="Table25485863313" ref="D5:E10" totalsRowShown="0">
  <autoFilter ref="D5:E10" xr:uid="{D10FB1E5-6C6A-4501-9D58-9DF1BE0B9B49}"/>
  <tableColumns count="2">
    <tableColumn id="1" xr3:uid="{3003AB47-AB8B-4627-82A6-E1EC2A955FF4}" name="Subsystem"/>
    <tableColumn id="2" xr3:uid="{46EEA5CF-3387-49A3-B2F6-ABC921E25DF0}" name="Peak Power [W]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04B3A5-3A76-450D-9D02-A3C8A9B94BC6}" name="Table58495964414" displayName="Table58495964414" ref="G5:H10" totalsRowShown="0">
  <autoFilter ref="G5:H10" xr:uid="{1004B3A5-3A76-450D-9D02-A3C8A9B94BC6}"/>
  <tableColumns count="2">
    <tableColumn id="1" xr3:uid="{5806D849-A361-4B18-BBB6-326D194AF39A}" name="Subsystem"/>
    <tableColumn id="2" xr3:uid="{1F3C0924-10AF-4848-BF85-5DD35346DC23}" name="Max. Energy [Wh]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93B5399-0520-4726-8E20-D93C39517B07}" name="Table69506065515" displayName="Table69506065515" ref="J5:K10" totalsRowShown="0">
  <autoFilter ref="J5:K10" xr:uid="{793B5399-0520-4726-8E20-D93C39517B07}"/>
  <tableColumns count="2">
    <tableColumn id="1" xr3:uid="{0C5E6873-5585-4322-9EBB-E544EC1053B4}" name="Subsystem"/>
    <tableColumn id="2" xr3:uid="{4E3928EE-7745-4C30-857B-8FA4EA98BD20}" name="Max. Data [Mb/s]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2E00D-0336-4BE1-B948-7F78FDEBD3C7}" name="Table623343536516166616" displayName="Table623343536516166616" ref="M5:N10" totalsRowShown="0">
  <autoFilter ref="M5:N10" xr:uid="{5A02E00D-0336-4BE1-B948-7F78FDEBD3C7}"/>
  <tableColumns count="2">
    <tableColumn id="1" xr3:uid="{85E8F26E-A465-4E53-B808-262F59DC39C3}" name="Subsystem"/>
    <tableColumn id="2" xr3:uid="{7E75C4D6-35BB-4193-842D-6A2BD18A8CB9}" name="Price[EUR]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2B5CFD5-220C-4E6F-AF12-C79F520F5F10}" name="Table8689919344" displayName="Table8689919344" ref="O48:S54" totalsRowShown="0" tableBorderDxfId="66">
  <autoFilter ref="O48:S54" xr:uid="{92B5CFD5-220C-4E6F-AF12-C79F520F5F10}"/>
  <tableColumns count="5">
    <tableColumn id="1" xr3:uid="{97A107D4-4AB2-45FE-8915-E27335563F60}" name="Parameter"/>
    <tableColumn id="2" xr3:uid="{17D38EAC-785C-40BA-A18E-FA64F04BB509}" name="Symbol in code"/>
    <tableColumn id="3" xr3:uid="{15CDB185-9A49-41E0-95C8-7F37FE1A9CD7}" name="Unit"/>
    <tableColumn id="4" xr3:uid="{973F84D3-D38A-4462-9BD8-5BAC13352F67}" name="Value"/>
    <tableColumn id="5" xr3:uid="{D18BEA01-9B7D-489F-9457-95CB3959535B}" name="Comments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66CA55A5-8335-4DDD-8A14-A27A96342A0F}" name="DP_Plasma" displayName="DP_Plasma" ref="O4:T10" totalsRowShown="0" tableBorderDxfId="65">
  <autoFilter ref="O4:T10" xr:uid="{66CA55A5-8335-4DDD-8A14-A27A96342A0F}"/>
  <tableColumns count="6">
    <tableColumn id="1" xr3:uid="{D97E9459-639F-4876-B59E-430752D2675E}" name="Parameter"/>
    <tableColumn id="2" xr3:uid="{9921C141-2F42-41C5-8AF2-F405C522CFB2}" name="Symbol in code"/>
    <tableColumn id="3" xr3:uid="{F12DBFA7-ACA0-497A-91DF-A42E2073DA8A}" name="Unit"/>
    <tableColumn id="4" xr3:uid="{3AE9DE85-C101-40A1-8BE9-2E59A44BEF69}" name="Value"/>
    <tableColumn id="5" xr3:uid="{1569B5D0-C999-42F2-ABB1-00D387A78E63}" name="Comments"/>
    <tableColumn id="6" xr3:uid="{3CE2ABA8-85AE-4395-80F1-8408B209C255}" name="Identifi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D3CFE8C-E3AB-4F52-97F7-7F1F7C8FB9A6}" name="Table522" displayName="Table522" ref="G5:H14" totalsRowShown="0">
  <autoFilter ref="G5:H14" xr:uid="{0D3CFE8C-E3AB-4F52-97F7-7F1F7C8FB9A6}"/>
  <tableColumns count="2">
    <tableColumn id="1" xr3:uid="{4358EAC2-88D0-48A1-9D51-2A0FEF5C1EB7}" name="Subsystem"/>
    <tableColumn id="2" xr3:uid="{265CC111-D2CB-4D1E-9AFD-61B81BB65EC7}" name="Max. Energy [Wh]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821B1322-B7A2-47A3-9401-BF6F3339609A}" name="Table87909296" displayName="Table87909296" ref="U4:Z10" totalsRowShown="0" tableBorderDxfId="64">
  <autoFilter ref="U4:Z10" xr:uid="{821B1322-B7A2-47A3-9401-BF6F3339609A}"/>
  <tableColumns count="6">
    <tableColumn id="1" xr3:uid="{772BB833-1E17-446D-B304-90923D61B636}" name="ID"/>
    <tableColumn id="6" xr3:uid="{0BF637B9-4580-47B4-97D2-C7AA583EB367}" name="Quantity"/>
    <tableColumn id="2" xr3:uid="{327B846D-0862-4F87-8739-3893C3D45A3A}" name="Components"/>
    <tableColumn id="3" xr3:uid="{8EFBD83C-C850-4E85-841B-8B7E5A6AB092}" name="Function"/>
    <tableColumn id="4" xr3:uid="{96813F73-C0D1-4E93-A0A2-AB5F5C0618F3}" name="Datasheet/Specifications"/>
    <tableColumn id="5" xr3:uid="{756AFA28-4980-4B7A-A780-D02518FA636D}" name="Comment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BE58577-C055-4932-B9CA-50F22544BC9B}" name="Table1447576221217" displayName="Table1447576221217" ref="A5:B10" totalsRowShown="0">
  <autoFilter ref="A5:B10" xr:uid="{8BE58577-C055-4932-B9CA-50F22544BC9B}"/>
  <tableColumns count="2">
    <tableColumn id="1" xr3:uid="{2D6AE26F-CF7C-4D1E-AC6D-D90FEDFF1894}" name="Subsystem"/>
    <tableColumn id="2" xr3:uid="{24C3ADF5-0C27-4098-82DE-71E15A13D63B}" name="Mass [kg]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3A4DEF-780E-4F93-BE17-BEB7C35E2336}" name="Table2548586331318" displayName="Table2548586331318" ref="D5:E10" totalsRowShown="0">
  <autoFilter ref="D5:E10" xr:uid="{3A3A4DEF-780E-4F93-BE17-BEB7C35E2336}"/>
  <tableColumns count="2">
    <tableColumn id="1" xr3:uid="{B293807D-757E-412E-946C-36ED5F836564}" name="Subsystem"/>
    <tableColumn id="2" xr3:uid="{88016202-E62B-4ED6-8CFD-B7A7708A16B4}" name="Peak Power [W]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8461670-6A90-4AF8-852D-504D5219DA2C}" name="Table5849596441419" displayName="Table5849596441419" ref="G5:H10" totalsRowShown="0">
  <autoFilter ref="G5:H10" xr:uid="{78461670-6A90-4AF8-852D-504D5219DA2C}"/>
  <tableColumns count="2">
    <tableColumn id="1" xr3:uid="{6D8D1AFA-7CDE-47A5-8A18-D6FB491D10E0}" name="Subsystem"/>
    <tableColumn id="2" xr3:uid="{53728FDC-E46E-4A8A-B58A-94155A301B30}" name="Max. Energy [Wh]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3294E80-5E06-419B-96E7-1ED4C1ED6B23}" name="Table6950606551524" displayName="Table6950606551524" ref="J5:K10" totalsRowShown="0">
  <autoFilter ref="J5:K10" xr:uid="{C3294E80-5E06-419B-96E7-1ED4C1ED6B23}"/>
  <tableColumns count="2">
    <tableColumn id="1" xr3:uid="{3E68D7DF-D354-4CB4-8DB1-386214D470E8}" name="Subsystem"/>
    <tableColumn id="2" xr3:uid="{976ACA8F-B3B7-45F2-B56D-76F5AC9EA676}" name="Max. Data [Mb/s]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74A62EA-1E66-480B-A7FE-8692AF6139C4}" name="Table62334353651616661625" displayName="Table62334353651616661625" ref="M5:N10" totalsRowShown="0">
  <autoFilter ref="M5:N10" xr:uid="{074A62EA-1E66-480B-A7FE-8692AF6139C4}"/>
  <tableColumns count="2">
    <tableColumn id="1" xr3:uid="{3C733AA6-1F32-41EF-A9E3-3E4F364ADC72}" name="Subsystem"/>
    <tableColumn id="2" xr3:uid="{6740A7F4-E38F-4F1B-B69B-D87064DF5EAA}" name="Price[EUR]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271D808-0005-45FF-835A-03887842D135}" name="DP_Power" displayName="DP_Power" ref="O4:T10" totalsRowShown="0" tableBorderDxfId="63">
  <autoFilter ref="O4:T10" xr:uid="{7B521330-0634-41A1-93DF-EAC6956649DB}"/>
  <tableColumns count="6">
    <tableColumn id="1" xr3:uid="{6E777E58-3D25-41E8-93B3-8DC1D187DCE5}" name="Parameter"/>
    <tableColumn id="2" xr3:uid="{D63EB9DA-46CA-4489-8F34-6BC8636D1272}" name="Symbol in code"/>
    <tableColumn id="3" xr3:uid="{5BD49B7F-F4C2-4F66-A688-63E9DC720F44}" name="Unit"/>
    <tableColumn id="4" xr3:uid="{51C71DA8-EF49-4E9B-A9EC-2D4B8FCD5D18}" name="Value"/>
    <tableColumn id="5" xr3:uid="{E878CEA8-35BB-4A6D-8806-65D77745604B}" name="Comments"/>
    <tableColumn id="6" xr3:uid="{CA4DD93C-1E64-4E5C-AC14-0E3CB3BF0B9A}" name="Identifier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D8BBC56-0920-46C1-A2E6-D37EF701D3B6}" name="Table879092969838" displayName="Table879092969838" ref="U4:Z10" totalsRowShown="0" tableBorderDxfId="62">
  <autoFilter ref="U4:Z10" xr:uid="{7F7A7D6E-46AA-476C-8C3E-7858407D6DAF}"/>
  <tableColumns count="6">
    <tableColumn id="1" xr3:uid="{644AC5CF-AECD-4578-8742-F84C9FFAF262}" name="ID"/>
    <tableColumn id="6" xr3:uid="{180CDB0D-F201-408F-A1EE-3ACB9B2F167A}" name="Quantity"/>
    <tableColumn id="2" xr3:uid="{2A5EDBB3-27CD-453F-806B-6529FC05224B}" name="Components"/>
    <tableColumn id="3" xr3:uid="{A577E758-B517-4DC6-88E4-D223776B4FEA}" name="Function"/>
    <tableColumn id="4" xr3:uid="{372208B9-622E-4463-BCE8-37E08319729F}" name="Datasheet/Specifications"/>
    <tableColumn id="5" xr3:uid="{8E5F77DF-6C63-46D4-A8A9-41C88C0BA790}" name="Comments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0FB46C6-897C-4D1A-8010-81DC1921C272}" name="Table144757622122639" displayName="Table144757622122639" ref="A5:B19" totalsRowShown="0">
  <autoFilter ref="A5:B19" xr:uid="{AAF1AF9B-D783-426E-A057-632FF0BC7281}"/>
  <tableColumns count="2">
    <tableColumn id="1" xr3:uid="{0A0512A7-C954-420A-B807-DB2E763E8442}" name="Component"/>
    <tableColumn id="2" xr3:uid="{C95EE980-EC43-4877-B457-2F04A193E3D5}" name="Mass [kg]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801B9CC-A25B-45FD-AE38-E9F63BE34524}" name="Table254858633132740" displayName="Table254858633132740" ref="D5:E17" totalsRowShown="0">
  <autoFilter ref="D5:E17" xr:uid="{6763CDA0-AF8C-4786-BE1A-2B5A2B4C7732}"/>
  <tableColumns count="2">
    <tableColumn id="1" xr3:uid="{1B326BF1-00CC-4F5E-9E4C-34D3CC517009}" name="Component"/>
    <tableColumn id="2" xr3:uid="{370611F8-E271-45BB-8810-C0199C313FDC}" name="Peak Power [W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21384D-B55A-4827-94D4-98B4C6F89E20}" name="Table623" displayName="Table623" ref="J5:K14" totalsRowShown="0">
  <autoFilter ref="J5:K14" xr:uid="{9F21384D-B55A-4827-94D4-98B4C6F89E20}"/>
  <tableColumns count="2">
    <tableColumn id="1" xr3:uid="{9E3D8E94-8EE1-422F-9B31-9DA69693B6D2}" name="Subsystem"/>
    <tableColumn id="2" xr3:uid="{18AE4989-DEDC-43D2-99EA-575B62970C47}" name="Max. Data [Mb/s]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4F049EFB-A6D8-4561-A3F0-BC0ED203B852}" name="Table584959644142841" displayName="Table584959644142841" ref="G5:H19" totalsRowShown="0">
  <autoFilter ref="G5:H19" xr:uid="{5D4A0CC2-3E30-4AEC-896E-3245F72B6818}"/>
  <tableColumns count="2">
    <tableColumn id="1" xr3:uid="{7BAFF014-A258-4BE1-805E-69DAE459873E}" name="Component"/>
    <tableColumn id="2" xr3:uid="{9E014B4E-9CE2-4BB7-93EF-EFB9A48F689D}" name="Max. Energy [Wh]" dataDxfId="61">
      <calculatedColumnFormula>Table254858633132740[[#This Row],[Peak Power '[W']]]*0.85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9E96700-D468-4C68-8488-A961DB728A49}" name="Table695060655152942" displayName="Table695060655152942" ref="J5:K19" totalsRowShown="0">
  <autoFilter ref="J5:K19" xr:uid="{42E16273-9728-42CF-8DB4-8A2B12BFEF2E}"/>
  <tableColumns count="2">
    <tableColumn id="1" xr3:uid="{59B1BD8D-6D59-44C8-BD4A-97DFD652CDF7}" name="Component"/>
    <tableColumn id="2" xr3:uid="{50DFEC71-449D-40A4-913E-9B26FC0514FA}" name="Max. Data [Mb/s]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D522CAD-AFCE-46CE-9A48-01AC9D98CF3B}" name="Table6233435365161666163043" displayName="Table6233435365161666163043" ref="M5:N19" totalsRowShown="0">
  <autoFilter ref="M5:N19" xr:uid="{A6BDAAC5-4A76-40E0-874C-F02D70AB34C8}"/>
  <tableColumns count="2">
    <tableColumn id="1" xr3:uid="{4D3288AA-6499-461F-A7AF-01551A03F4E2}" name="Component"/>
    <tableColumn id="2" xr3:uid="{335C8BA7-96FF-4AFA-B6E4-45ED76461FA2}" name="Price[EUR]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CF091430-1117-479C-9B74-F2844CB42D5E}" name="DP_Landing_System" displayName="DP_Landing_System" ref="O4:T10" totalsRowShown="0" tableBorderDxfId="60">
  <autoFilter ref="O4:T10" xr:uid="{7B521330-0634-41A1-93DF-EAC6956649DB}"/>
  <tableColumns count="6">
    <tableColumn id="1" xr3:uid="{7D99FB24-E837-4626-BAF8-9234E8F594C4}" name="Parameter"/>
    <tableColumn id="2" xr3:uid="{DA4F1AC2-AB7A-45C9-8322-E6AA30CF0481}" name="Symbol in code"/>
    <tableColumn id="3" xr3:uid="{6454AE81-ADD8-4A4B-9438-DBEB352CF743}" name="Unit"/>
    <tableColumn id="4" xr3:uid="{72186DD1-B05C-45D7-86EB-D0ABC4DB33AD}" name="Value" dataDxfId="59">
      <calculatedColumnFormula>CONVERT(84, "in","m")</calculatedColumnFormula>
    </tableColumn>
    <tableColumn id="5" xr3:uid="{18B522F1-BAA5-4842-99B9-63B7099E595A}" name="Comments"/>
    <tableColumn id="6" xr3:uid="{44409A0C-2557-4E86-8C5A-6FF2E1843835}" name="Identifier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FF2A24F-33FB-4176-BAE8-CB80B52A53AF}" name="Table879092969846" displayName="Table879092969846" ref="U4:Z18" totalsRowShown="0" tableBorderDxfId="58">
  <autoFilter ref="U4:Z18" xr:uid="{7F7A7D6E-46AA-476C-8C3E-7858407D6DAF}"/>
  <tableColumns count="6">
    <tableColumn id="1" xr3:uid="{74E261AB-FB01-4796-9879-14503547A952}" name="ID"/>
    <tableColumn id="7" xr3:uid="{2D2A841B-E28B-4ECE-BD32-E0C49CE36F3F}" name="Quantity"/>
    <tableColumn id="2" xr3:uid="{C3214BB8-C824-493F-BFE6-21CF8DD2C17B}" name="Components"/>
    <tableColumn id="3" xr3:uid="{B5A37370-0BAB-49E3-9A79-0ED2888772F8}" name="Function"/>
    <tableColumn id="4" xr3:uid="{CC6B4D05-5161-495A-81DA-0CB6066C5125}" name="Datasheet/Specifications"/>
    <tableColumn id="5" xr3:uid="{048EA10E-9AA5-4CCC-8DDF-3FBC6CBDF5C0}" name="Comment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C2EBAFC1-27F2-44CD-ABE5-EE976B7A91B1}" name="Table144757622122647" displayName="Table144757622122647" ref="A5:B10" totalsRowShown="0">
  <autoFilter ref="A5:B10" xr:uid="{AAF1AF9B-D783-426E-A057-632FF0BC7281}"/>
  <tableColumns count="2">
    <tableColumn id="1" xr3:uid="{FCEDFC4C-72E1-4478-B2FF-6E96443355CB}" name="Subsystem"/>
    <tableColumn id="2" xr3:uid="{61525805-0932-4ED4-BBB2-665EEB92AEEA}" name="Mass [kg]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883BFFF1-8D9C-48F6-ADD6-81E3A5415126}" name="Table254858633132748" displayName="Table254858633132748" ref="D5:E10" totalsRowShown="0">
  <autoFilter ref="D5:E10" xr:uid="{6763CDA0-AF8C-4786-BE1A-2B5A2B4C7732}"/>
  <tableColumns count="2">
    <tableColumn id="1" xr3:uid="{5E0715B0-D0D6-4FCF-B38F-9CD91FAEE0E2}" name="Subsystem"/>
    <tableColumn id="2" xr3:uid="{8BA347B9-22A1-46EA-ACCD-360212765960}" name="Peak Power [W]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7B55865F-84FF-462B-834E-C73811CE2131}" name="Table584959644142849" displayName="Table584959644142849" ref="G5:H10" totalsRowShown="0">
  <autoFilter ref="G5:H10" xr:uid="{5D4A0CC2-3E30-4AEC-896E-3245F72B6818}"/>
  <tableColumns count="2">
    <tableColumn id="1" xr3:uid="{937F5E1E-7CE5-47DB-99DC-88B34844DC74}" name="Subsystem"/>
    <tableColumn id="2" xr3:uid="{F7B17C0B-0B58-498B-9872-464686ECEFDD}" name="Max. Energy [Wh]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E04AC6D8-05ED-4C91-9D57-7A4DF01AFE5B}" name="Table695060655152950" displayName="Table695060655152950" ref="J5:K10" totalsRowShown="0">
  <autoFilter ref="J5:K10" xr:uid="{42E16273-9728-42CF-8DB4-8A2B12BFEF2E}"/>
  <tableColumns count="2">
    <tableColumn id="1" xr3:uid="{91FDF93C-C138-45CD-B86C-EF5429E7C996}" name="Subsystem"/>
    <tableColumn id="2" xr3:uid="{D5337F97-4329-4AC1-95A9-E966CBEB544E}" name="Max. Data [Mb/s]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F0653968-42CD-483F-8A99-CE50151D2837}" name="Table6233435365161666163051" displayName="Table6233435365161666163051" ref="M5:N10" totalsRowShown="0">
  <autoFilter ref="M5:N10" xr:uid="{A6BDAAC5-4A76-40E0-874C-F02D70AB34C8}"/>
  <tableColumns count="2">
    <tableColumn id="1" xr3:uid="{418BA27B-65BD-48C6-BD94-B5EAEE7D8DA9}" name="Subsystem"/>
    <tableColumn id="2" xr3:uid="{FC437129-94B9-4704-B525-90380C3B96BB}" name="Price[EUR]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DCDFB3C-358F-4191-BFD6-A750EADA6CB3}" name="Table62334" displayName="Table62334" ref="M5:N14" totalsRowShown="0">
  <autoFilter ref="M5:N14" xr:uid="{2DCDFB3C-358F-4191-BFD6-A750EADA6CB3}"/>
  <tableColumns count="2">
    <tableColumn id="1" xr3:uid="{33ACD71B-3582-412D-8F19-8B52BFAB5D5F}" name="Subsystem"/>
    <tableColumn id="2" xr3:uid="{968A7923-B62A-4B3A-886F-5DA98694124F}" name="Price[EUR]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D2E29CE9-A7C0-45DB-97FA-38ADCE6453E3}" name="Table868991934453" displayName="Table868991934453" ref="O21:S27" totalsRowShown="0" tableBorderDxfId="57">
  <autoFilter ref="O21:S27" xr:uid="{D2E29CE9-A7C0-45DB-97FA-38ADCE6453E3}"/>
  <tableColumns count="5">
    <tableColumn id="1" xr3:uid="{0C2F1419-E42F-49AD-8321-F06E624EA9BC}" name="Parameter"/>
    <tableColumn id="2" xr3:uid="{7D43C3D6-13D7-4755-808C-C03049C33C99}" name="Symbol in code"/>
    <tableColumn id="3" xr3:uid="{84D64279-F64C-40A2-B479-CE18294C90EB}" name="Unit"/>
    <tableColumn id="4" xr3:uid="{847F3572-44E4-48DF-A9D1-6EC4AC719418}" name="Value" dataDxfId="56">
      <calculatedColumnFormula>Master!B13</calculatedColumnFormula>
    </tableColumn>
    <tableColumn id="5" xr3:uid="{E0B8ECAF-DDC4-4CED-84B7-DDD9B6B9AF64}" name="Comments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7B521330-0634-41A1-93DF-EAC6956649DB}" name="DP_Avionics" displayName="DP_Avionics" ref="O4:T10" totalsRowShown="0" tableBorderDxfId="55">
  <autoFilter ref="O4:T10" xr:uid="{7B521330-0634-41A1-93DF-EAC6956649DB}"/>
  <tableColumns count="6">
    <tableColumn id="1" xr3:uid="{078B2BBD-F5A5-4F89-A792-CCAB55ED1B81}" name="Parameter"/>
    <tableColumn id="2" xr3:uid="{F029F11F-6B88-4232-A9AB-F1B8608AA341}" name="Symbol in code"/>
    <tableColumn id="3" xr3:uid="{31E984E0-0B6D-4F67-8B15-0E09880C31BB}" name="Unit"/>
    <tableColumn id="4" xr3:uid="{707D4913-446F-4F1F-8B78-274EFF816054}" name="Value" dataDxfId="54">
      <calculatedColumnFormula>SUM(Table2548586331327[Peak Power '[W']])</calculatedColumnFormula>
    </tableColumn>
    <tableColumn id="5" xr3:uid="{736104AD-8DFB-4B11-B4CA-AA748F7CC9FA}" name="Comments"/>
    <tableColumn id="6" xr3:uid="{4300BC20-84D2-42A8-8AEB-329337B18ADC}" name="Identifier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7F7A7D6E-46AA-476C-8C3E-7858407D6DAF}" name="Table8790929698" displayName="Table8790929698" ref="U4:Z18" totalsRowShown="0" tableBorderDxfId="53">
  <autoFilter ref="U4:Z18" xr:uid="{7F7A7D6E-46AA-476C-8C3E-7858407D6DAF}"/>
  <tableColumns count="6">
    <tableColumn id="1" xr3:uid="{A59E6028-2B4B-41BC-AF22-CA8D57CA02B4}" name="ID"/>
    <tableColumn id="7" xr3:uid="{84FE3048-7FAC-4D74-BB56-6A686EE9B529}" name="Quantity"/>
    <tableColumn id="2" xr3:uid="{654BB090-7467-494C-AE79-E1462B890B1C}" name="Components"/>
    <tableColumn id="3" xr3:uid="{D1B81838-4547-4F89-9778-D0D979796192}" name="Function"/>
    <tableColumn id="4" xr3:uid="{17CCC62A-DDE7-4E95-B7C9-1910575E0AAC}" name="Datasheet/Specifications"/>
    <tableColumn id="5" xr3:uid="{F3621F26-5ECC-493B-B2CA-5C9C6C0F979C}" name="Comments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AF1AF9B-D783-426E-A057-632FF0BC7281}" name="Table1447576221226" displayName="Table1447576221226" ref="A5:B13" totalsRowShown="0">
  <autoFilter ref="A5:B13" xr:uid="{AAF1AF9B-D783-426E-A057-632FF0BC7281}"/>
  <tableColumns count="2">
    <tableColumn id="1" xr3:uid="{E8BAE306-D30A-4261-9C64-888C5D9BC8D2}" name="Subsystem"/>
    <tableColumn id="2" xr3:uid="{F9B2D783-A255-4EE3-AE98-CEF7867B4537}" name="Mass [kg]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763CDA0-AF8C-4786-BE1A-2B5A2B4C7732}" name="Table2548586331327" displayName="Table2548586331327" ref="D5:E13" totalsRowShown="0">
  <autoFilter ref="D5:E13" xr:uid="{6763CDA0-AF8C-4786-BE1A-2B5A2B4C7732}"/>
  <tableColumns count="2">
    <tableColumn id="1" xr3:uid="{FA46AB71-B69A-4D4C-B328-193687A75866}" name="Subsystem"/>
    <tableColumn id="2" xr3:uid="{D7C2BED5-D514-41C3-90D9-34E2C4596435}" name="Peak Power [W]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D4A0CC2-3E30-4AEC-896E-3245F72B6818}" name="Table5849596441428" displayName="Table5849596441428" ref="G5:H13" totalsRowShown="0">
  <autoFilter ref="G5:H13" xr:uid="{5D4A0CC2-3E30-4AEC-896E-3245F72B6818}"/>
  <tableColumns count="2">
    <tableColumn id="1" xr3:uid="{B12E2AD0-C5F2-44BC-A2D3-03A3D562DA46}" name="Subsystem"/>
    <tableColumn id="2" xr3:uid="{D7A75E25-DE98-48C6-83B4-134D1CF8901A}" name="Max. Energy [Wh]" dataDxfId="52">
      <calculatedColumnFormula>Table2548586331327[[#This Row],[Peak Power '[W']]]*2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2E16273-9728-42CF-8DB4-8A2B12BFEF2E}" name="Table6950606551529" displayName="Table6950606551529" ref="J5:K13" totalsRowShown="0">
  <autoFilter ref="J5:K13" xr:uid="{42E16273-9728-42CF-8DB4-8A2B12BFEF2E}"/>
  <tableColumns count="2">
    <tableColumn id="1" xr3:uid="{614E5F85-B4DF-4420-AA84-233101F23ED3}" name="Subsystem"/>
    <tableColumn id="2" xr3:uid="{761B16AB-A151-448E-80A2-FA974E5E7D01}" name="Max. Data [Mb/s]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6BDAAC5-4A76-40E0-874C-F02D70AB34C8}" name="Table62334353651616661630" displayName="Table62334353651616661630" ref="M5:N13" totalsRowShown="0">
  <autoFilter ref="M5:N13" xr:uid="{A6BDAAC5-4A76-40E0-874C-F02D70AB34C8}"/>
  <tableColumns count="2">
    <tableColumn id="1" xr3:uid="{4FD52175-B273-4987-9F45-CA8FDCB532EC}" name="Subsystem"/>
    <tableColumn id="2" xr3:uid="{B7FDC839-6487-4E25-8E07-366E1424B996}" name="Price[EUR]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F9D585EA-9223-4230-A0AA-91D0624E30FA}" name="DP_Payload" displayName="DP_Payload" ref="O4:T10" totalsRowShown="0" headerRowDxfId="51" dataDxfId="50" tableBorderDxfId="49">
  <autoFilter ref="O4:T10" xr:uid="{F9D585EA-9223-4230-A0AA-91D0624E30FA}"/>
  <tableColumns count="6">
    <tableColumn id="1" xr3:uid="{9E485887-CDE2-4FEA-BCAF-25089D2607A2}" name="Parameter" dataDxfId="48"/>
    <tableColumn id="2" xr3:uid="{1FB0D9B5-6752-46A8-9AB8-801B353B4E58}" name="Symbol in code" dataDxfId="47"/>
    <tableColumn id="3" xr3:uid="{6305A04F-F2A6-4FC8-9C1F-F1292396D8F0}" name="Unit" dataDxfId="46"/>
    <tableColumn id="4" xr3:uid="{1F061A20-C0F0-4B0B-8F17-D2128E96DED1}" name="Value" dataDxfId="45"/>
    <tableColumn id="5" xr3:uid="{83C409BF-6A93-4772-A21E-2F60866A389F}" name="Comments" dataDxfId="44"/>
    <tableColumn id="6" xr3:uid="{5A921551-5DE6-466F-843B-2A29A9984238}" name="Identifier" dataDxfId="43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9C97F761-BCB5-44D3-8D12-958AB2FE1526}" name="Table8790929698100" displayName="Table8790929698100" ref="U4:Z10" totalsRowShown="0" headerRowDxfId="42" dataDxfId="41" tableBorderDxfId="40">
  <autoFilter ref="U4:Z10" xr:uid="{9C97F761-BCB5-44D3-8D12-958AB2FE1526}"/>
  <tableColumns count="6">
    <tableColumn id="1" xr3:uid="{2FE23671-F2DE-49D5-BBAB-1B77B512EABE}" name="ID" dataDxfId="39"/>
    <tableColumn id="6" xr3:uid="{9D06AFBF-39A2-4734-B742-7FDA6B9CB012}" name="Quantity" dataDxfId="38"/>
    <tableColumn id="2" xr3:uid="{06E6F8EB-FF23-453D-9545-8067134EB626}" name="Components" dataDxfId="37"/>
    <tableColumn id="3" xr3:uid="{D27ADD9C-3714-4DFE-995B-D6223D781385}" name="Function" dataDxfId="36"/>
    <tableColumn id="4" xr3:uid="{735C7826-161C-4A0F-B6F8-002447136A0F}" name="Datasheet/Specifications" dataDxfId="35"/>
    <tableColumn id="5" xr3:uid="{F28F7B2D-EC10-4C6D-B95C-D34A7315875D}" name="Comments" dataDxfId="3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FD53C04D-B2AF-4AB2-AB06-0242D182B5C8}" name="Master_Design_Parameters" displayName="Master_Design_Parameters" ref="O4:T52" totalsRowShown="0" tableBorderDxfId="114">
  <autoFilter ref="O4:T52" xr:uid="{FD53C04D-B2AF-4AB2-AB06-0242D182B5C8}"/>
  <tableColumns count="6">
    <tableColumn id="1" xr3:uid="{721BC8F7-058B-4B90-8F0D-5C27C782E94F}" name="Parameter" dataDxfId="113">
      <calculatedColumnFormula>Master_Design_Parameters!A2</calculatedColumnFormula>
    </tableColumn>
    <tableColumn id="2" xr3:uid="{800271A2-23A5-4816-AD3E-E871760A41C0}" name="Symbol in code">
      <calculatedColumnFormula>Master_Design_Parameters!B2</calculatedColumnFormula>
    </tableColumn>
    <tableColumn id="3" xr3:uid="{7E8DF34A-5DF4-4A69-AF39-2F3DD28CEBAB}" name="Unit">
      <calculatedColumnFormula>Master_Design_Parameters!C2</calculatedColumnFormula>
    </tableColumn>
    <tableColumn id="4" xr3:uid="{26955CF9-DB80-43D4-9A3D-8A8F3EE60DAA}" name="Value">
      <calculatedColumnFormula>Master_Design_Parameters!D2</calculatedColumnFormula>
    </tableColumn>
    <tableColumn id="5" xr3:uid="{2D3A2B37-EBB0-4BAF-9940-475A142D95BA}" name="Comments">
      <calculatedColumnFormula>Master_Design_Parameters!E2</calculatedColumnFormula>
    </tableColumn>
    <tableColumn id="6" xr3:uid="{7BB6299A-29B1-459D-8FCA-5A927B3E4C71}" name="Identifier">
      <calculatedColumnFormula>Master_Design_Parameters!F2</calculatedColumnFormula>
    </tableColumn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E1A0A82-8584-4ABC-9A7A-5E5AA895784D}" name="Table1447576221231" displayName="Table1447576221231" ref="A5:B10" totalsRowShown="0" headerRowDxfId="33" dataDxfId="32">
  <autoFilter ref="A5:B10" xr:uid="{4E1A0A82-8584-4ABC-9A7A-5E5AA895784D}"/>
  <tableColumns count="2">
    <tableColumn id="1" xr3:uid="{39E8F417-DFB0-48FC-BD23-4F3B8837E0DF}" name="Subsystem" dataDxfId="31"/>
    <tableColumn id="2" xr3:uid="{F867F530-28C3-4962-9119-98DA86103CEF}" name="Mass [kg]" dataDxfId="30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88D6362-46CA-42A3-A807-52F6D109087D}" name="Table2548586331332" displayName="Table2548586331332" ref="D5:E10" totalsRowShown="0" headerRowDxfId="29" dataDxfId="28">
  <autoFilter ref="D5:E10" xr:uid="{988D6362-46CA-42A3-A807-52F6D109087D}"/>
  <tableColumns count="2">
    <tableColumn id="1" xr3:uid="{C47C069E-02CA-4F0D-A3BF-0DBF37CEA33E}" name="Subsystem" dataDxfId="27"/>
    <tableColumn id="2" xr3:uid="{1B79DEEF-2749-4FB0-8C4A-15F90DE7D117}" name="Peak Power [W]" dataDxfId="26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0D8FE74-99A9-4318-96E8-D6A91CAB9353}" name="Table5849596441433" displayName="Table5849596441433" ref="G5:H10" totalsRowShown="0" headerRowDxfId="25" dataDxfId="24">
  <autoFilter ref="G5:H10" xr:uid="{E0D8FE74-99A9-4318-96E8-D6A91CAB9353}"/>
  <tableColumns count="2">
    <tableColumn id="1" xr3:uid="{66ACA7E6-8EB2-4E8A-B8F4-F077B0B8A2FE}" name="Subsystem" dataDxfId="23"/>
    <tableColumn id="2" xr3:uid="{A60F5B57-B418-45A2-8A4A-255718428E67}" name="Max. Energy [Wh]" dataDxfId="22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5D114E7-A679-4A43-B2AE-D2C21B8C1914}" name="Table6950606551535" displayName="Table6950606551535" ref="J5:K10" totalsRowShown="0" headerRowDxfId="21" dataDxfId="20">
  <autoFilter ref="J5:K10" xr:uid="{B5D114E7-A679-4A43-B2AE-D2C21B8C1914}"/>
  <tableColumns count="2">
    <tableColumn id="1" xr3:uid="{F387A9D4-8D67-4E20-9F46-23C0318593EE}" name="Subsystem" dataDxfId="19"/>
    <tableColumn id="2" xr3:uid="{286D55A3-4460-461A-92AE-872777E545A2}" name="Max. Data [Mb/s]" dataDxfId="18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F0CD08C-E619-4F51-8B4F-D66F99C5B006}" name="Table62334353651616661636" displayName="Table62334353651616661636" ref="M5:N10" totalsRowShown="0" headerRowDxfId="17" dataDxfId="16">
  <autoFilter ref="M5:N10" xr:uid="{0F0CD08C-E619-4F51-8B4F-D66F99C5B006}"/>
  <tableColumns count="2">
    <tableColumn id="1" xr3:uid="{A7DB9417-ADDE-40D5-A3FF-E8988E1BDA61}" name="Subsystem" dataDxfId="15"/>
    <tableColumn id="2" xr3:uid="{2AB9A67A-4600-4B6C-8757-F75C57F19105}" name="Price[EUR]" data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4AEC59B8-9AC2-4A1A-9F5F-5A21CFEC0D85}" name="Master_Components_List" displayName="Master_Components_List" ref="U4:Z10" totalsRowShown="0" tableBorderDxfId="112">
  <autoFilter ref="U4:Z10" xr:uid="{4AEC59B8-9AC2-4A1A-9F5F-5A21CFEC0D85}"/>
  <tableColumns count="6">
    <tableColumn id="1" xr3:uid="{659994FE-C967-435F-86A2-B8A428973572}" name="ID"/>
    <tableColumn id="6" xr3:uid="{BB2F3055-313B-4BF6-A7CD-C11B74D0FA60}" name="Quanity"/>
    <tableColumn id="2" xr3:uid="{6FBA5221-20F5-46A0-9261-CBD0DDCDB743}" name="Components"/>
    <tableColumn id="3" xr3:uid="{C772FE4A-338A-4DC4-8ED3-2ED3685B6A49}" name="Function"/>
    <tableColumn id="4" xr3:uid="{16B6F152-8536-42A7-8A25-A0495F234EA8}" name="Datasheet/Specifications"/>
    <tableColumn id="5" xr3:uid="{8BC5EA79-3D39-4C61-8469-D225EF370F4B}" name="Comment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6EEA8BBA-6B29-4CFA-BB2E-12A0C09DF70B}" name="Table12054" displayName="Table12054" ref="A25:C34" totalsRowShown="0">
  <autoFilter ref="A25:C34" xr:uid="{6EEA8BBA-6B29-4CFA-BB2E-12A0C09DF70B}"/>
  <tableColumns count="3">
    <tableColumn id="1" xr3:uid="{DAFB35B3-606D-42E8-B262-F20659FF96C3}" name="Variable"/>
    <tableColumn id="3" xr3:uid="{279E483B-DAF5-4BAC-ACFE-E01D745259ED}" name="Unit"/>
    <tableColumn id="2" xr3:uid="{8281222A-72EE-47F3-9F6E-5F17B15FCDF8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5" dT="2023-05-30T11:29:38.95" personId="{C0226FF7-CA48-4955-84D4-0942E163F936}" id="{C7E1F2F3-97AB-43D9-9B6D-7DC7E09A8B6E}">
    <text xml:space="preserve">Decide if this is a parameter or a 'component'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23-06-01T15:11:24.91" personId="{4CD5175B-E9C5-41FE-806D-EA6818595A8B}" id="{56BC53E0-208D-4F20-B51C-D0D9F88BC029}">
    <text>https://www.getfpv.com/holybro-pixhawk-6x-fc-module.html</text>
    <extLst>
      <x:ext xmlns:xltc2="http://schemas.microsoft.com/office/spreadsheetml/2020/threadedcomments2" uri="{F7C98A9C-CBB3-438F-8F68-D28B6AF4A901}">
        <xltc2:checksum>2513913098</xltc2:checksum>
        <xltc2:hyperlink startIndex="0" length="56" url="https://www.getfpv.com/holybro-pixhawk-6x-fc-module.html"/>
      </x:ext>
    </extLst>
  </threadedComment>
  <threadedComment ref="E6" dT="2023-06-01T15:03:49.43" personId="{4CD5175B-E9C5-41FE-806D-EA6818595A8B}" id="{E45C7BBC-CAE6-478E-99BC-90285F1F92FE}">
    <text>Very rough estimate, Pixhawk (and APM) Power Consumption - Blogs - diydrones</text>
  </threadedComment>
  <threadedComment ref="B7" dT="2023-06-01T12:47:17.34" personId="{4CD5175B-E9C5-41FE-806D-EA6818595A8B}" id="{5FD7140E-9983-4F48-B7AE-BCB7D45CDC3E}">
    <text>Very rough estimate, only sensor board weight can be found on the internet and is 3.5g, but then there is also the pitot tube and the silicon tube</text>
  </threadedComment>
  <threadedComment ref="W9" dT="2023-05-31T13:48:30.92" personId="{D17C2954-A160-4ADD-BB3C-7C2337D7D1A3}" id="{430EC32A-E0ED-4EB6-8906-260BC1B720BC}">
    <text xml:space="preserve">Raspberry pi?
</text>
  </threadedComment>
  <threadedComment ref="B11" dT="2023-06-01T14:39:45.15" personId="{4CD5175B-E9C5-41FE-806D-EA6818595A8B}" id="{A5E65439-71F2-43F4-99CB-1EB0596E69E4}">
    <text>https://www.ycict.net/products/huawei-e3372h-153-usb-sticker/</text>
    <extLst>
      <x:ext xmlns:xltc2="http://schemas.microsoft.com/office/spreadsheetml/2020/threadedcomments2" uri="{F7C98A9C-CBB3-438F-8F68-D28B6AF4A901}">
        <xltc2:checksum>3238173156</xltc2:checksum>
        <xltc2:hyperlink startIndex="0" length="61" url="https://www.ycict.net/products/huawei-e3372h-153-usb-sticker/"/>
      </x:ext>
    </extLst>
  </threadedComment>
  <threadedComment ref="E11" dT="2023-06-01T14:39:54.18" personId="{4CD5175B-E9C5-41FE-806D-EA6818595A8B}" id="{3F3B1B0A-8219-4AC2-9E81-14195D9F8C36}">
    <text>https://www.ycict.net/products/huawei-e3372h-153-usb-sticker/</text>
    <extLst>
      <x:ext xmlns:xltc2="http://schemas.microsoft.com/office/spreadsheetml/2020/threadedcomments2" uri="{F7C98A9C-CBB3-438F-8F68-D28B6AF4A901}">
        <xltc2:checksum>3238173156</xltc2:checksum>
        <xltc2:hyperlink startIndex="0" length="61" url="https://www.ycict.net/products/huawei-e3372h-153-usb-sticker/"/>
      </x:ext>
    </extLst>
  </threadedComment>
  <threadedComment ref="B12" dT="2023-06-01T15:04:38.35" personId="{4CD5175B-E9C5-41FE-806D-EA6818595A8B}" id="{C1B919A9-BCE8-4851-AB25-937DD921B1E7}">
    <text>https://www.tomshardware.com/reviews/raspberry-pi-camera-module-v3</text>
    <extLst>
      <x:ext xmlns:xltc2="http://schemas.microsoft.com/office/spreadsheetml/2020/threadedcomments2" uri="{F7C98A9C-CBB3-438F-8F68-D28B6AF4A901}">
        <xltc2:checksum>443649653</xltc2:checksum>
        <xltc2:hyperlink startIndex="0" length="66" url="https://www.tomshardware.com/reviews/raspberry-pi-camera-module-v3"/>
      </x:ext>
    </extLst>
  </threadedComment>
  <threadedComment ref="E12" dT="2023-06-01T15:07:46.80" personId="{4CD5175B-E9C5-41FE-806D-EA6818595A8B}" id="{60562429-E399-4B8D-B35B-CD76FA88A961}">
    <text>https://raspberrypi.stackexchange.com/questions/80300/camera-gets-hot-how-much-power-should-it-dissipate#:~:text=3%20camera%20takes%20about%20200%2D250mA.</text>
    <extLst>
      <x:ext xmlns:xltc2="http://schemas.microsoft.com/office/spreadsheetml/2020/threadedcomments2" uri="{F7C98A9C-CBB3-438F-8F68-D28B6AF4A901}">
        <xltc2:checksum>1179062448</xltc2:checksum>
        <xltc2:hyperlink startIndex="0" length="153" url="https://raspberrypi.stackexchange.com/questions/80300/camera-gets-hot-how-much-power-should-it-dissipate#:~:text=3%20camera%20takes%20about%20200%2D250mA"/>
      </x:ext>
    </extLst>
  </threadedComment>
  <threadedComment ref="B13" dT="2023-06-01T15:29:16.47" personId="{4CD5175B-E9C5-41FE-806D-EA6818595A8B}" id="{81979858-99C3-452C-83B8-E6719C647CDD}">
    <text>Guess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4.xml"/><Relationship Id="rId13" Type="http://schemas.microsoft.com/office/2017/10/relationships/threadedComment" Target="../threadedComments/threadedComment2.xml"/><Relationship Id="rId3" Type="http://schemas.openxmlformats.org/officeDocument/2006/relationships/printerSettings" Target="../printerSettings/printerSettings4.bin"/><Relationship Id="rId7" Type="http://schemas.openxmlformats.org/officeDocument/2006/relationships/table" Target="../tables/table63.xml"/><Relationship Id="rId12" Type="http://schemas.openxmlformats.org/officeDocument/2006/relationships/comments" Target="../comments2.xml"/><Relationship Id="rId2" Type="http://schemas.openxmlformats.org/officeDocument/2006/relationships/hyperlink" Target="http://www.mateksys.com/?portfolio=aspd-4525" TargetMode="External"/><Relationship Id="rId1" Type="http://schemas.openxmlformats.org/officeDocument/2006/relationships/hyperlink" Target="https://diydrones.com/profiles/blogs/pixhawk-and-apm-power-consumption" TargetMode="External"/><Relationship Id="rId6" Type="http://schemas.openxmlformats.org/officeDocument/2006/relationships/table" Target="../tables/table62.xml"/><Relationship Id="rId11" Type="http://schemas.openxmlformats.org/officeDocument/2006/relationships/table" Target="../tables/table67.xml"/><Relationship Id="rId5" Type="http://schemas.openxmlformats.org/officeDocument/2006/relationships/table" Target="../tables/table61.xml"/><Relationship Id="rId10" Type="http://schemas.openxmlformats.org/officeDocument/2006/relationships/table" Target="../tables/table66.xml"/><Relationship Id="rId4" Type="http://schemas.openxmlformats.org/officeDocument/2006/relationships/vmlDrawing" Target="../drawings/vmlDrawing2.vml"/><Relationship Id="rId9" Type="http://schemas.openxmlformats.org/officeDocument/2006/relationships/table" Target="../tables/table65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4.xml"/><Relationship Id="rId3" Type="http://schemas.openxmlformats.org/officeDocument/2006/relationships/table" Target="../tables/table69.xml"/><Relationship Id="rId7" Type="http://schemas.openxmlformats.org/officeDocument/2006/relationships/table" Target="../tables/table73.xml"/><Relationship Id="rId2" Type="http://schemas.openxmlformats.org/officeDocument/2006/relationships/table" Target="../tables/table68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72.xml"/><Relationship Id="rId5" Type="http://schemas.openxmlformats.org/officeDocument/2006/relationships/table" Target="../tables/table71.xml"/><Relationship Id="rId4" Type="http://schemas.openxmlformats.org/officeDocument/2006/relationships/table" Target="../tables/table7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4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13.xml"/><Relationship Id="rId12" Type="http://schemas.microsoft.com/office/2017/10/relationships/threadedComment" Target="../threadedComments/threadedComment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irfoiltools.com/airfoil/details?airfoil=mh115-il" TargetMode="External"/><Relationship Id="rId6" Type="http://schemas.openxmlformats.org/officeDocument/2006/relationships/table" Target="../tables/table12.xml"/><Relationship Id="rId11" Type="http://schemas.openxmlformats.org/officeDocument/2006/relationships/comments" Target="../comments1.xml"/><Relationship Id="rId5" Type="http://schemas.openxmlformats.org/officeDocument/2006/relationships/table" Target="../tables/table11.xml"/><Relationship Id="rId10" Type="http://schemas.openxmlformats.org/officeDocument/2006/relationships/table" Target="../tables/table16.xml"/><Relationship Id="rId4" Type="http://schemas.openxmlformats.org/officeDocument/2006/relationships/table" Target="../tables/table10.xml"/><Relationship Id="rId9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7.xml"/><Relationship Id="rId3" Type="http://schemas.openxmlformats.org/officeDocument/2006/relationships/table" Target="../tables/table32.xml"/><Relationship Id="rId7" Type="http://schemas.openxmlformats.org/officeDocument/2006/relationships/table" Target="../tables/table36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Relationship Id="rId9" Type="http://schemas.openxmlformats.org/officeDocument/2006/relationships/table" Target="../tables/table3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7" Type="http://schemas.openxmlformats.org/officeDocument/2006/relationships/table" Target="../tables/table45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hyperlink" Target="https://www.distrelec.biz/en/reed-relay-rhodium-5kv-5v-1no-sensata-cynergy3-dar70575-hr/p/30153234" TargetMode="External"/><Relationship Id="rId7" Type="http://schemas.openxmlformats.org/officeDocument/2006/relationships/table" Target="../tables/table47.xml"/><Relationship Id="rId12" Type="http://schemas.openxmlformats.org/officeDocument/2006/relationships/table" Target="../tables/table52.xml"/><Relationship Id="rId2" Type="http://schemas.openxmlformats.org/officeDocument/2006/relationships/hyperlink" Target="https://www.gbs-elektronik.de/media/download_gallery/minipuls01e.pdf" TargetMode="External"/><Relationship Id="rId1" Type="http://schemas.openxmlformats.org/officeDocument/2006/relationships/hyperlink" Target="https://hobbyking.com/en_us/turnigy-high-capacity-battery-20000mah-4s-12c-drone-lipo-pack-xt90.html?___store=en_us" TargetMode="External"/><Relationship Id="rId6" Type="http://schemas.openxmlformats.org/officeDocument/2006/relationships/table" Target="../tables/table46.xml"/><Relationship Id="rId11" Type="http://schemas.openxmlformats.org/officeDocument/2006/relationships/table" Target="../tables/table51.xml"/><Relationship Id="rId5" Type="http://schemas.openxmlformats.org/officeDocument/2006/relationships/hyperlink" Target="https://dronelab.se/siliconewire.html,%20https:/www.vanallesenmeer.nl/12AWG-Silicone-Wire" TargetMode="External"/><Relationship Id="rId10" Type="http://schemas.openxmlformats.org/officeDocument/2006/relationships/table" Target="../tables/table50.xml"/><Relationship Id="rId4" Type="http://schemas.openxmlformats.org/officeDocument/2006/relationships/hyperlink" Target="https://holybro.com/products/pm03d-power-module?pr_prod_strat=copurchase&amp;pr_rec_id=84c336254&amp;pr_rec_pid=7192462491837&amp;pr_ref_pid=7408912400573&amp;pr_seq=uniform" TargetMode="External"/><Relationship Id="rId9" Type="http://schemas.openxmlformats.org/officeDocument/2006/relationships/table" Target="../tables/table4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3" Type="http://schemas.openxmlformats.org/officeDocument/2006/relationships/printerSettings" Target="../printerSettings/printerSettings3.bin"/><Relationship Id="rId7" Type="http://schemas.openxmlformats.org/officeDocument/2006/relationships/table" Target="../tables/table56.xml"/><Relationship Id="rId2" Type="http://schemas.openxmlformats.org/officeDocument/2006/relationships/hyperlink" Target="https://www.amazon.nl/Digital-Servo-Metal-Geschikt-Servo-arm/dp/B08NCZQ5MH" TargetMode="External"/><Relationship Id="rId1" Type="http://schemas.openxmlformats.org/officeDocument/2006/relationships/hyperlink" Target="https://shop.fruitychutes.com/collections/fixed-wing-bundle/products/fixed-wing-recovery-bundle-22lbs-10kg-15fps" TargetMode="External"/><Relationship Id="rId6" Type="http://schemas.openxmlformats.org/officeDocument/2006/relationships/table" Target="../tables/table55.xml"/><Relationship Id="rId11" Type="http://schemas.openxmlformats.org/officeDocument/2006/relationships/table" Target="../tables/table60.xml"/><Relationship Id="rId5" Type="http://schemas.openxmlformats.org/officeDocument/2006/relationships/table" Target="../tables/table54.xml"/><Relationship Id="rId10" Type="http://schemas.openxmlformats.org/officeDocument/2006/relationships/table" Target="../tables/table59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A4A7-5408-45FB-94F6-486F9A09DB05}">
  <dimension ref="A1:F67"/>
  <sheetViews>
    <sheetView topLeftCell="A44" workbookViewId="0">
      <selection activeCell="A66" sqref="A66"/>
    </sheetView>
  </sheetViews>
  <sheetFormatPr defaultRowHeight="14.4" x14ac:dyDescent="0.3"/>
  <cols>
    <col min="1" max="1" width="28" bestFit="1" customWidth="1"/>
    <col min="2" max="2" width="16.21875" bestFit="1" customWidth="1"/>
    <col min="3" max="3" width="6.77734375" bestFit="1" customWidth="1"/>
    <col min="4" max="4" width="12" bestFit="1" customWidth="1"/>
    <col min="5" max="5" width="80.88671875" bestFit="1" customWidth="1"/>
    <col min="6" max="6" width="10.88671875" bestFit="1" customWidth="1"/>
    <col min="7" max="7" width="11.6640625" bestFit="1" customWidth="1"/>
  </cols>
  <sheetData>
    <row r="1" spans="1:6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196</v>
      </c>
    </row>
    <row r="2" spans="1:6" x14ac:dyDescent="0.3">
      <c r="A2" t="s">
        <v>44</v>
      </c>
      <c r="B2" t="s">
        <v>45</v>
      </c>
      <c r="C2" t="s">
        <v>46</v>
      </c>
      <c r="D2">
        <v>15.1</v>
      </c>
      <c r="E2" t="s">
        <v>47</v>
      </c>
      <c r="F2" t="s">
        <v>197</v>
      </c>
    </row>
    <row r="3" spans="1:6" x14ac:dyDescent="0.3">
      <c r="A3" t="s">
        <v>53</v>
      </c>
      <c r="B3" t="s">
        <v>54</v>
      </c>
      <c r="C3" t="s">
        <v>55</v>
      </c>
      <c r="D3">
        <v>7.68</v>
      </c>
      <c r="E3" t="s">
        <v>56</v>
      </c>
      <c r="F3" t="s">
        <v>197</v>
      </c>
    </row>
    <row r="4" spans="1:6" x14ac:dyDescent="0.3">
      <c r="A4" t="s">
        <v>58</v>
      </c>
      <c r="B4" t="s">
        <v>58</v>
      </c>
      <c r="C4" t="s">
        <v>46</v>
      </c>
      <c r="D4">
        <v>2.8</v>
      </c>
      <c r="E4" t="s">
        <v>59</v>
      </c>
      <c r="F4" t="s">
        <v>197</v>
      </c>
    </row>
    <row r="5" spans="1:6" x14ac:dyDescent="0.3">
      <c r="A5" t="s">
        <v>61</v>
      </c>
      <c r="B5" t="s">
        <v>62</v>
      </c>
      <c r="C5" t="s">
        <v>63</v>
      </c>
      <c r="D5">
        <v>90</v>
      </c>
      <c r="E5" t="s">
        <v>64</v>
      </c>
      <c r="F5" t="s">
        <v>197</v>
      </c>
    </row>
    <row r="6" spans="1:6" x14ac:dyDescent="0.3">
      <c r="A6" t="s">
        <v>66</v>
      </c>
      <c r="B6" t="s">
        <v>67</v>
      </c>
      <c r="C6" t="s">
        <v>63</v>
      </c>
      <c r="D6">
        <v>83</v>
      </c>
      <c r="E6" t="s">
        <v>64</v>
      </c>
      <c r="F6" t="s">
        <v>197</v>
      </c>
    </row>
    <row r="7" spans="1:6" x14ac:dyDescent="0.3">
      <c r="A7" t="s">
        <v>69</v>
      </c>
      <c r="B7" t="s">
        <v>274</v>
      </c>
      <c r="C7" t="s">
        <v>63</v>
      </c>
      <c r="D7">
        <v>1.6</v>
      </c>
      <c r="E7" t="s">
        <v>64</v>
      </c>
      <c r="F7" t="s">
        <v>197</v>
      </c>
    </row>
    <row r="8" spans="1:6" x14ac:dyDescent="0.3">
      <c r="A8" t="s">
        <v>70</v>
      </c>
      <c r="B8" t="s">
        <v>273</v>
      </c>
      <c r="C8" t="s">
        <v>63</v>
      </c>
      <c r="D8">
        <v>0.92</v>
      </c>
      <c r="E8" t="s">
        <v>64</v>
      </c>
      <c r="F8" t="s">
        <v>197</v>
      </c>
    </row>
    <row r="9" spans="1:6" x14ac:dyDescent="0.3">
      <c r="A9" t="s">
        <v>71</v>
      </c>
      <c r="B9" t="s">
        <v>71</v>
      </c>
      <c r="C9" t="s">
        <v>63</v>
      </c>
      <c r="D9">
        <v>1.0999999999999999E-2</v>
      </c>
      <c r="E9" t="s">
        <v>64</v>
      </c>
      <c r="F9" t="s">
        <v>197</v>
      </c>
    </row>
    <row r="10" spans="1:6" x14ac:dyDescent="0.3">
      <c r="A10" t="s">
        <v>213</v>
      </c>
      <c r="B10" t="s">
        <v>271</v>
      </c>
      <c r="C10" t="s">
        <v>63</v>
      </c>
      <c r="D10">
        <v>-0.16</v>
      </c>
      <c r="E10" t="s">
        <v>64</v>
      </c>
      <c r="F10" t="s">
        <v>197</v>
      </c>
    </row>
    <row r="11" spans="1:6" x14ac:dyDescent="0.3">
      <c r="A11" t="s">
        <v>72</v>
      </c>
      <c r="B11" t="s">
        <v>72</v>
      </c>
      <c r="C11" t="s">
        <v>63</v>
      </c>
      <c r="D11">
        <v>1.5714285714285715E-2</v>
      </c>
      <c r="E11" t="s">
        <v>73</v>
      </c>
      <c r="F11" t="s">
        <v>197</v>
      </c>
    </row>
    <row r="12" spans="1:6" x14ac:dyDescent="0.3">
      <c r="A12" t="s">
        <v>74</v>
      </c>
      <c r="B12" t="s">
        <v>75</v>
      </c>
      <c r="C12" t="s">
        <v>76</v>
      </c>
      <c r="D12">
        <v>2.95</v>
      </c>
      <c r="E12" t="s">
        <v>77</v>
      </c>
      <c r="F12" t="s">
        <v>197</v>
      </c>
    </row>
    <row r="13" spans="1:6" x14ac:dyDescent="0.3">
      <c r="A13" t="s">
        <v>78</v>
      </c>
      <c r="B13" t="s">
        <v>79</v>
      </c>
      <c r="C13" t="s">
        <v>80</v>
      </c>
      <c r="D13">
        <v>1.1000000000000001</v>
      </c>
      <c r="E13" t="s">
        <v>47</v>
      </c>
      <c r="F13" t="s">
        <v>197</v>
      </c>
    </row>
    <row r="14" spans="1:6" x14ac:dyDescent="0.3">
      <c r="A14" t="s">
        <v>81</v>
      </c>
      <c r="B14" t="s">
        <v>82</v>
      </c>
      <c r="C14" t="s">
        <v>63</v>
      </c>
      <c r="D14">
        <v>7.9113636363636362</v>
      </c>
      <c r="E14" t="s">
        <v>83</v>
      </c>
      <c r="F14" t="s">
        <v>197</v>
      </c>
    </row>
    <row r="15" spans="1:6" x14ac:dyDescent="0.3">
      <c r="A15" t="s">
        <v>84</v>
      </c>
      <c r="B15" t="s">
        <v>85</v>
      </c>
      <c r="C15" t="s">
        <v>63</v>
      </c>
      <c r="D15">
        <v>13.2</v>
      </c>
      <c r="E15" t="s">
        <v>83</v>
      </c>
      <c r="F15" t="s">
        <v>197</v>
      </c>
    </row>
    <row r="16" spans="1:6" x14ac:dyDescent="0.3">
      <c r="A16" t="s">
        <v>86</v>
      </c>
      <c r="B16" t="s">
        <v>87</v>
      </c>
      <c r="C16" t="s">
        <v>76</v>
      </c>
      <c r="D16">
        <v>0.3728813559322034</v>
      </c>
      <c r="E16" t="s">
        <v>47</v>
      </c>
      <c r="F16" t="s">
        <v>197</v>
      </c>
    </row>
    <row r="17" spans="1:6" x14ac:dyDescent="0.3">
      <c r="A17" t="s">
        <v>88</v>
      </c>
      <c r="B17" t="s">
        <v>89</v>
      </c>
      <c r="C17" t="s">
        <v>63</v>
      </c>
      <c r="D17">
        <v>0.7</v>
      </c>
      <c r="E17" t="s">
        <v>83</v>
      </c>
      <c r="F17" t="s">
        <v>197</v>
      </c>
    </row>
    <row r="18" spans="1:6" x14ac:dyDescent="0.3">
      <c r="A18" t="s">
        <v>90</v>
      </c>
      <c r="B18" t="s">
        <v>91</v>
      </c>
      <c r="C18" t="s">
        <v>63</v>
      </c>
      <c r="D18">
        <v>450000</v>
      </c>
      <c r="E18" t="s">
        <v>92</v>
      </c>
      <c r="F18" t="s">
        <v>197</v>
      </c>
    </row>
    <row r="19" spans="1:6" x14ac:dyDescent="0.3">
      <c r="A19" t="s">
        <v>93</v>
      </c>
      <c r="B19" t="s">
        <v>289</v>
      </c>
      <c r="C19" t="s">
        <v>63</v>
      </c>
      <c r="D19">
        <v>0.45</v>
      </c>
      <c r="E19" t="s">
        <v>83</v>
      </c>
      <c r="F19" t="s">
        <v>197</v>
      </c>
    </row>
    <row r="20" spans="1:6" x14ac:dyDescent="0.3">
      <c r="A20" t="s">
        <v>94</v>
      </c>
      <c r="B20" t="s">
        <v>95</v>
      </c>
      <c r="C20" t="s">
        <v>76</v>
      </c>
      <c r="D20">
        <v>0.49078181491833128</v>
      </c>
      <c r="E20" t="s">
        <v>96</v>
      </c>
      <c r="F20" t="s">
        <v>197</v>
      </c>
    </row>
    <row r="21" spans="1:6" x14ac:dyDescent="0.3">
      <c r="A21" t="s">
        <v>97</v>
      </c>
      <c r="B21" t="s">
        <v>98</v>
      </c>
      <c r="C21" t="s">
        <v>76</v>
      </c>
      <c r="D21">
        <v>0.22085181671324908</v>
      </c>
      <c r="E21" t="s">
        <v>99</v>
      </c>
      <c r="F21" t="s">
        <v>197</v>
      </c>
    </row>
    <row r="22" spans="1:6" x14ac:dyDescent="0.3">
      <c r="A22" t="s">
        <v>178</v>
      </c>
      <c r="B22" t="s">
        <v>272</v>
      </c>
      <c r="C22" t="s">
        <v>179</v>
      </c>
      <c r="D22">
        <v>6.1609999999999996</v>
      </c>
      <c r="E22" t="s">
        <v>180</v>
      </c>
      <c r="F22" t="s">
        <v>197</v>
      </c>
    </row>
    <row r="23" spans="1:6" x14ac:dyDescent="0.3">
      <c r="A23" t="s">
        <v>278</v>
      </c>
      <c r="B23" t="s">
        <v>277</v>
      </c>
      <c r="C23" t="s">
        <v>63</v>
      </c>
      <c r="D23">
        <v>0.25</v>
      </c>
    </row>
    <row r="24" spans="1:6" x14ac:dyDescent="0.3">
      <c r="A24" t="s">
        <v>226</v>
      </c>
      <c r="B24" t="s">
        <v>227</v>
      </c>
      <c r="C24" t="s">
        <v>63</v>
      </c>
      <c r="D24">
        <v>0.05</v>
      </c>
      <c r="E24" t="s">
        <v>228</v>
      </c>
      <c r="F24" t="s">
        <v>229</v>
      </c>
    </row>
    <row r="25" spans="1:6" x14ac:dyDescent="0.3">
      <c r="A25" t="s">
        <v>230</v>
      </c>
      <c r="B25" t="s">
        <v>231</v>
      </c>
      <c r="C25" t="s">
        <v>76</v>
      </c>
      <c r="D25">
        <v>50</v>
      </c>
      <c r="E25" t="s">
        <v>232</v>
      </c>
      <c r="F25" t="s">
        <v>229</v>
      </c>
    </row>
    <row r="26" spans="1:6" x14ac:dyDescent="0.3">
      <c r="A26" t="s">
        <v>235</v>
      </c>
      <c r="B26" t="s">
        <v>233</v>
      </c>
      <c r="C26" t="s">
        <v>76</v>
      </c>
      <c r="D26">
        <v>80</v>
      </c>
      <c r="E26" t="s">
        <v>234</v>
      </c>
      <c r="F26" t="s">
        <v>229</v>
      </c>
    </row>
    <row r="27" spans="1:6" x14ac:dyDescent="0.3">
      <c r="A27" t="s">
        <v>236</v>
      </c>
      <c r="B27" t="s">
        <v>237</v>
      </c>
      <c r="C27" t="s">
        <v>63</v>
      </c>
      <c r="D27">
        <v>0.8</v>
      </c>
      <c r="E27" t="s">
        <v>238</v>
      </c>
      <c r="F27" t="s">
        <v>229</v>
      </c>
    </row>
    <row r="28" spans="1:6" x14ac:dyDescent="0.3">
      <c r="A28" t="s">
        <v>239</v>
      </c>
      <c r="B28" t="s">
        <v>240</v>
      </c>
      <c r="C28" t="s">
        <v>63</v>
      </c>
      <c r="D28">
        <v>5</v>
      </c>
      <c r="E28" t="s">
        <v>241</v>
      </c>
      <c r="F28" t="s">
        <v>229</v>
      </c>
    </row>
    <row r="29" spans="1:6" x14ac:dyDescent="0.3">
      <c r="A29" t="s">
        <v>242</v>
      </c>
      <c r="B29" t="s">
        <v>243</v>
      </c>
      <c r="C29" t="s">
        <v>63</v>
      </c>
      <c r="D29">
        <v>5.7295800000000003</v>
      </c>
      <c r="E29" t="s">
        <v>244</v>
      </c>
      <c r="F29" t="s">
        <v>229</v>
      </c>
    </row>
    <row r="30" spans="1:6" x14ac:dyDescent="0.3">
      <c r="A30" t="s">
        <v>245</v>
      </c>
      <c r="B30" t="s">
        <v>58</v>
      </c>
      <c r="C30" t="s">
        <v>46</v>
      </c>
      <c r="D30">
        <v>5</v>
      </c>
      <c r="E30" t="s">
        <v>246</v>
      </c>
      <c r="F30" t="s">
        <v>229</v>
      </c>
    </row>
    <row r="31" spans="1:6" x14ac:dyDescent="0.3">
      <c r="A31" t="s">
        <v>287</v>
      </c>
      <c r="B31" t="s">
        <v>288</v>
      </c>
      <c r="C31" t="s">
        <v>80</v>
      </c>
      <c r="D31">
        <v>0.11749999999999999</v>
      </c>
      <c r="E31" t="s">
        <v>290</v>
      </c>
      <c r="F31" t="s">
        <v>229</v>
      </c>
    </row>
    <row r="32" spans="1:6" x14ac:dyDescent="0.3">
      <c r="A32" t="s">
        <v>292</v>
      </c>
      <c r="B32" t="s">
        <v>293</v>
      </c>
      <c r="C32" t="s">
        <v>80</v>
      </c>
      <c r="D32">
        <v>0.22700000000000001</v>
      </c>
      <c r="E32" t="s">
        <v>291</v>
      </c>
      <c r="F32" t="s">
        <v>229</v>
      </c>
    </row>
    <row r="33" spans="1:6" x14ac:dyDescent="0.3">
      <c r="A33" t="s">
        <v>294</v>
      </c>
      <c r="B33" t="s">
        <v>296</v>
      </c>
      <c r="C33" t="s">
        <v>76</v>
      </c>
      <c r="D33">
        <v>1.2</v>
      </c>
      <c r="E33" t="s">
        <v>298</v>
      </c>
      <c r="F33" t="s">
        <v>229</v>
      </c>
    </row>
    <row r="34" spans="1:6" x14ac:dyDescent="0.3">
      <c r="A34" t="s">
        <v>295</v>
      </c>
      <c r="B34" t="s">
        <v>297</v>
      </c>
      <c r="C34" t="s">
        <v>76</v>
      </c>
      <c r="D34">
        <v>1.2</v>
      </c>
      <c r="E34" t="s">
        <v>299</v>
      </c>
      <c r="F34" t="s">
        <v>229</v>
      </c>
    </row>
    <row r="35" spans="1:6" x14ac:dyDescent="0.3">
      <c r="A35" t="s">
        <v>251</v>
      </c>
      <c r="B35" t="s">
        <v>252</v>
      </c>
      <c r="C35" t="s">
        <v>76</v>
      </c>
      <c r="D35">
        <v>0.254</v>
      </c>
      <c r="E35" t="s">
        <v>253</v>
      </c>
      <c r="F35" t="s">
        <v>254</v>
      </c>
    </row>
    <row r="36" spans="1:6" x14ac:dyDescent="0.3">
      <c r="A36" t="s">
        <v>257</v>
      </c>
      <c r="B36" t="s">
        <v>255</v>
      </c>
      <c r="C36" t="s">
        <v>76</v>
      </c>
      <c r="D36">
        <v>0.5</v>
      </c>
      <c r="E36" t="s">
        <v>256</v>
      </c>
      <c r="F36" t="s">
        <v>254</v>
      </c>
    </row>
    <row r="37" spans="1:6" x14ac:dyDescent="0.3">
      <c r="A37" t="s">
        <v>259</v>
      </c>
      <c r="B37" t="s">
        <v>258</v>
      </c>
      <c r="C37" t="s">
        <v>76</v>
      </c>
      <c r="D37">
        <v>2</v>
      </c>
      <c r="E37" t="s">
        <v>260</v>
      </c>
      <c r="F37" t="s">
        <v>254</v>
      </c>
    </row>
    <row r="38" spans="1:6" x14ac:dyDescent="0.3">
      <c r="A38" t="s">
        <v>210</v>
      </c>
      <c r="B38" t="s">
        <v>209</v>
      </c>
      <c r="C38" t="s">
        <v>76</v>
      </c>
      <c r="D38">
        <v>0.15</v>
      </c>
      <c r="F38" t="s">
        <v>211</v>
      </c>
    </row>
    <row r="39" spans="1:6" x14ac:dyDescent="0.3">
      <c r="A39" t="s">
        <v>214</v>
      </c>
      <c r="B39" t="s">
        <v>264</v>
      </c>
      <c r="C39" t="s">
        <v>80</v>
      </c>
      <c r="D39">
        <v>0.105</v>
      </c>
      <c r="E39" t="s">
        <v>265</v>
      </c>
      <c r="F39" t="s">
        <v>211</v>
      </c>
    </row>
    <row r="40" spans="1:6" x14ac:dyDescent="0.3">
      <c r="A40" t="s">
        <v>215</v>
      </c>
      <c r="B40" t="s">
        <v>304</v>
      </c>
      <c r="C40" t="s">
        <v>76</v>
      </c>
      <c r="D40">
        <v>0.7</v>
      </c>
      <c r="E40" t="s">
        <v>261</v>
      </c>
      <c r="F40" t="s">
        <v>211</v>
      </c>
    </row>
    <row r="41" spans="1:6" x14ac:dyDescent="0.3">
      <c r="A41" t="s">
        <v>249</v>
      </c>
      <c r="B41" t="s">
        <v>262</v>
      </c>
      <c r="C41" t="s">
        <v>76</v>
      </c>
      <c r="D41">
        <v>0.2</v>
      </c>
      <c r="E41" t="s">
        <v>261</v>
      </c>
      <c r="F41" t="s">
        <v>211</v>
      </c>
    </row>
    <row r="42" spans="1:6" x14ac:dyDescent="0.3">
      <c r="A42" t="s">
        <v>216</v>
      </c>
      <c r="B42" t="s">
        <v>263</v>
      </c>
      <c r="C42" t="s">
        <v>76</v>
      </c>
      <c r="D42">
        <v>0.15</v>
      </c>
      <c r="E42" t="s">
        <v>261</v>
      </c>
      <c r="F42" t="s">
        <v>211</v>
      </c>
    </row>
    <row r="43" spans="1:6" x14ac:dyDescent="0.3">
      <c r="A43" t="s">
        <v>217</v>
      </c>
      <c r="B43" t="s">
        <v>266</v>
      </c>
      <c r="C43" t="s">
        <v>76</v>
      </c>
      <c r="D43">
        <v>0.15</v>
      </c>
      <c r="E43" t="s">
        <v>261</v>
      </c>
      <c r="F43" t="s">
        <v>211</v>
      </c>
    </row>
    <row r="44" spans="1:6" x14ac:dyDescent="0.3">
      <c r="A44" t="s">
        <v>218</v>
      </c>
      <c r="B44" t="s">
        <v>267</v>
      </c>
      <c r="C44" t="s">
        <v>76</v>
      </c>
      <c r="D44">
        <v>0.15</v>
      </c>
      <c r="E44" t="s">
        <v>261</v>
      </c>
      <c r="F44" t="s">
        <v>211</v>
      </c>
    </row>
    <row r="45" spans="1:6" x14ac:dyDescent="0.3">
      <c r="A45" t="s">
        <v>219</v>
      </c>
      <c r="B45" t="s">
        <v>268</v>
      </c>
      <c r="C45" t="s">
        <v>76</v>
      </c>
      <c r="D45">
        <v>0.15</v>
      </c>
      <c r="E45" t="s">
        <v>261</v>
      </c>
      <c r="F45" t="s">
        <v>211</v>
      </c>
    </row>
    <row r="46" spans="1:6" x14ac:dyDescent="0.3">
      <c r="A46" t="s">
        <v>220</v>
      </c>
      <c r="B46" t="s">
        <v>269</v>
      </c>
      <c r="C46" t="s">
        <v>76</v>
      </c>
      <c r="D46">
        <v>0.15</v>
      </c>
      <c r="E46" t="s">
        <v>261</v>
      </c>
      <c r="F46" t="s">
        <v>211</v>
      </c>
    </row>
    <row r="47" spans="1:6" x14ac:dyDescent="0.3">
      <c r="A47" t="s">
        <v>300</v>
      </c>
      <c r="B47" t="s">
        <v>301</v>
      </c>
      <c r="C47" t="s">
        <v>76</v>
      </c>
      <c r="D47">
        <v>0.25</v>
      </c>
    </row>
    <row r="48" spans="1:6" x14ac:dyDescent="0.3">
      <c r="A48" t="s">
        <v>302</v>
      </c>
      <c r="B48" t="s">
        <v>303</v>
      </c>
      <c r="C48" t="s">
        <v>76</v>
      </c>
      <c r="D48">
        <v>0.25</v>
      </c>
    </row>
    <row r="49" spans="1:6" x14ac:dyDescent="0.3">
      <c r="A49" t="s">
        <v>305</v>
      </c>
      <c r="B49" t="s">
        <v>306</v>
      </c>
      <c r="C49" t="s">
        <v>76</v>
      </c>
      <c r="D49">
        <v>0.01</v>
      </c>
    </row>
    <row r="50" spans="1:6" x14ac:dyDescent="0.3">
      <c r="A50" t="s">
        <v>307</v>
      </c>
      <c r="B50" t="s">
        <v>308</v>
      </c>
      <c r="C50" t="s">
        <v>76</v>
      </c>
      <c r="D50">
        <v>0.2</v>
      </c>
    </row>
    <row r="51" spans="1:6" x14ac:dyDescent="0.3">
      <c r="A51" t="s">
        <v>309</v>
      </c>
      <c r="B51" t="s">
        <v>310</v>
      </c>
      <c r="C51" t="s">
        <v>76</v>
      </c>
      <c r="D51">
        <v>0.02</v>
      </c>
    </row>
    <row r="52" spans="1:6" x14ac:dyDescent="0.3">
      <c r="A52" t="s">
        <v>311</v>
      </c>
      <c r="B52" t="s">
        <v>312</v>
      </c>
      <c r="C52" t="s">
        <v>76</v>
      </c>
      <c r="D52">
        <v>0.02</v>
      </c>
    </row>
    <row r="53" spans="1:6" x14ac:dyDescent="0.3">
      <c r="A53" t="s">
        <v>313</v>
      </c>
      <c r="B53" t="s">
        <v>314</v>
      </c>
      <c r="C53" t="s">
        <v>76</v>
      </c>
      <c r="D53">
        <v>5.0000000000000001E-3</v>
      </c>
    </row>
    <row r="54" spans="1:6" x14ac:dyDescent="0.3">
      <c r="A54" t="s">
        <v>315</v>
      </c>
      <c r="B54" t="s">
        <v>316</v>
      </c>
      <c r="C54" t="s">
        <v>319</v>
      </c>
      <c r="D54">
        <v>7.5010000000000003</v>
      </c>
    </row>
    <row r="55" spans="1:6" x14ac:dyDescent="0.3">
      <c r="A55" t="s">
        <v>317</v>
      </c>
      <c r="B55" t="s">
        <v>318</v>
      </c>
      <c r="C55" t="s">
        <v>319</v>
      </c>
      <c r="D55">
        <v>6.53</v>
      </c>
    </row>
    <row r="56" spans="1:6" x14ac:dyDescent="0.3">
      <c r="A56" t="s">
        <v>320</v>
      </c>
      <c r="B56" t="s">
        <v>322</v>
      </c>
      <c r="C56" t="s">
        <v>76</v>
      </c>
      <c r="D56">
        <v>0.7</v>
      </c>
    </row>
    <row r="57" spans="1:6" x14ac:dyDescent="0.3">
      <c r="A57" t="s">
        <v>321</v>
      </c>
      <c r="B57" t="s">
        <v>323</v>
      </c>
      <c r="C57" t="s">
        <v>76</v>
      </c>
      <c r="D57">
        <v>0.02</v>
      </c>
    </row>
    <row r="58" spans="1:6" x14ac:dyDescent="0.3">
      <c r="A58" t="s">
        <v>325</v>
      </c>
      <c r="B58" t="s">
        <v>326</v>
      </c>
      <c r="C58" t="s">
        <v>319</v>
      </c>
      <c r="D58">
        <v>1250</v>
      </c>
      <c r="E58" t="s">
        <v>324</v>
      </c>
    </row>
    <row r="59" spans="1:6" x14ac:dyDescent="0.3">
      <c r="A59" t="s">
        <v>327</v>
      </c>
      <c r="B59" t="s">
        <v>328</v>
      </c>
      <c r="C59" t="s">
        <v>76</v>
      </c>
      <c r="D59">
        <v>0.15</v>
      </c>
    </row>
    <row r="60" spans="1:6" x14ac:dyDescent="0.3">
      <c r="A60" t="s">
        <v>189</v>
      </c>
      <c r="B60" t="s">
        <v>189</v>
      </c>
      <c r="C60" t="s">
        <v>63</v>
      </c>
      <c r="D60" t="s">
        <v>190</v>
      </c>
      <c r="E60" t="s">
        <v>212</v>
      </c>
      <c r="F60" t="s">
        <v>198</v>
      </c>
    </row>
    <row r="61" spans="1:6" x14ac:dyDescent="0.3">
      <c r="A61" t="s">
        <v>191</v>
      </c>
      <c r="B61" t="s">
        <v>191</v>
      </c>
      <c r="C61" t="s">
        <v>63</v>
      </c>
      <c r="D61" t="s">
        <v>193</v>
      </c>
      <c r="E61" t="s">
        <v>194</v>
      </c>
      <c r="F61" t="s">
        <v>198</v>
      </c>
    </row>
    <row r="62" spans="1:6" x14ac:dyDescent="0.3">
      <c r="A62" t="s">
        <v>195</v>
      </c>
      <c r="B62" t="s">
        <v>195</v>
      </c>
      <c r="C62" t="s">
        <v>63</v>
      </c>
      <c r="D62" t="s">
        <v>192</v>
      </c>
      <c r="E62" t="s">
        <v>194</v>
      </c>
      <c r="F62" t="s">
        <v>198</v>
      </c>
    </row>
    <row r="63" spans="1:6" x14ac:dyDescent="0.3">
      <c r="A63" t="s">
        <v>122</v>
      </c>
      <c r="B63" t="s">
        <v>123</v>
      </c>
      <c r="C63" t="s">
        <v>124</v>
      </c>
      <c r="D63" t="s">
        <v>125</v>
      </c>
      <c r="E63" t="s">
        <v>126</v>
      </c>
      <c r="F63" t="s">
        <v>199</v>
      </c>
    </row>
    <row r="64" spans="1:6" x14ac:dyDescent="0.3">
      <c r="A64" t="s">
        <v>148</v>
      </c>
      <c r="B64" t="s">
        <v>149</v>
      </c>
      <c r="C64" t="s">
        <v>76</v>
      </c>
      <c r="D64">
        <v>2.1335999999999999</v>
      </c>
      <c r="F64" t="s">
        <v>200</v>
      </c>
    </row>
    <row r="65" spans="1:6" x14ac:dyDescent="0.3">
      <c r="A65" t="s">
        <v>154</v>
      </c>
      <c r="B65" t="s">
        <v>155</v>
      </c>
      <c r="C65" t="s">
        <v>63</v>
      </c>
      <c r="D65">
        <v>2.1163282658337477</v>
      </c>
      <c r="F65" t="s">
        <v>200</v>
      </c>
    </row>
    <row r="66" spans="1:6" x14ac:dyDescent="0.3">
      <c r="A66" t="s">
        <v>156</v>
      </c>
      <c r="B66" t="s">
        <v>157</v>
      </c>
      <c r="C66" t="s">
        <v>46</v>
      </c>
      <c r="D66">
        <v>3.9837168574084179</v>
      </c>
      <c r="F66" t="s">
        <v>200</v>
      </c>
    </row>
    <row r="67" spans="1:6" x14ac:dyDescent="0.3">
      <c r="A67" t="s">
        <v>279</v>
      </c>
      <c r="B67" t="s">
        <v>281</v>
      </c>
      <c r="C67" t="s">
        <v>280</v>
      </c>
      <c r="D67">
        <v>11.870000000000001</v>
      </c>
      <c r="E67" t="s">
        <v>282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6E85-20E3-4CC9-B860-1C8BCE8AFB54}">
  <dimension ref="A1:AI17"/>
  <sheetViews>
    <sheetView topLeftCell="D1" zoomScaleNormal="100" workbookViewId="0">
      <selection activeCell="Y8" sqref="Y8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3.4414062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6.77734375" customWidth="1"/>
    <col min="24" max="24" width="33.33203125" customWidth="1"/>
    <col min="25" max="25" width="61.44140625" customWidth="1"/>
    <col min="26" max="26" width="19.88671875" customWidth="1"/>
  </cols>
  <sheetData>
    <row r="1" spans="1:35" ht="14.4" customHeight="1" x14ac:dyDescent="0.3">
      <c r="A1" s="28" t="s">
        <v>147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35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120</v>
      </c>
      <c r="Y2" s="24"/>
    </row>
    <row r="3" spans="1:35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12" t="s">
        <v>5</v>
      </c>
      <c r="V3" s="14"/>
      <c r="W3" s="14"/>
      <c r="X3" s="14"/>
      <c r="Y3" s="13"/>
    </row>
    <row r="4" spans="1:35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  <c r="AA4" t="s">
        <v>203</v>
      </c>
      <c r="AB4" t="s">
        <v>204</v>
      </c>
      <c r="AE4" t="s">
        <v>207</v>
      </c>
    </row>
    <row r="5" spans="1:3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279</v>
      </c>
      <c r="P5" t="s">
        <v>281</v>
      </c>
      <c r="Q5" t="s">
        <v>280</v>
      </c>
      <c r="R5">
        <f>SUM(Table2548586331327[Peak Power '[W']])</f>
        <v>11.870000000000001</v>
      </c>
      <c r="S5" t="s">
        <v>282</v>
      </c>
      <c r="U5">
        <v>1</v>
      </c>
      <c r="V5">
        <v>1</v>
      </c>
      <c r="W5" t="s">
        <v>160</v>
      </c>
      <c r="X5" t="s">
        <v>161</v>
      </c>
      <c r="Y5" t="s">
        <v>162</v>
      </c>
      <c r="Z5" t="s">
        <v>163</v>
      </c>
      <c r="AA5" t="s">
        <v>202</v>
      </c>
      <c r="AB5" s="19" t="s">
        <v>205</v>
      </c>
      <c r="AE5" s="6" t="s">
        <v>206</v>
      </c>
      <c r="AI5" s="19"/>
    </row>
    <row r="6" spans="1:35" x14ac:dyDescent="0.3">
      <c r="A6" s="1" t="s">
        <v>52</v>
      </c>
      <c r="B6">
        <f>0.023+0.051</f>
        <v>7.3999999999999996E-2</v>
      </c>
      <c r="D6" t="s">
        <v>52</v>
      </c>
      <c r="E6">
        <v>3</v>
      </c>
      <c r="G6" t="s">
        <v>52</v>
      </c>
      <c r="H6">
        <f>Table2548586331327[[#This Row],[Peak Power '[W']]]*2</f>
        <v>6</v>
      </c>
      <c r="J6" t="s">
        <v>52</v>
      </c>
      <c r="M6" t="s">
        <v>52</v>
      </c>
      <c r="N6" s="2">
        <v>450</v>
      </c>
      <c r="U6">
        <v>2</v>
      </c>
      <c r="V6">
        <v>1</v>
      </c>
      <c r="W6" t="s">
        <v>164</v>
      </c>
      <c r="X6" t="s">
        <v>165</v>
      </c>
      <c r="Y6" s="20" t="s">
        <v>166</v>
      </c>
      <c r="Z6" t="s">
        <v>221</v>
      </c>
      <c r="AA6" s="19" t="s">
        <v>208</v>
      </c>
    </row>
    <row r="7" spans="1:35" x14ac:dyDescent="0.3">
      <c r="A7" s="1" t="s">
        <v>57</v>
      </c>
      <c r="B7">
        <v>2.5000000000000001E-2</v>
      </c>
      <c r="D7" t="s">
        <v>57</v>
      </c>
      <c r="E7">
        <v>2.5000000000000001E-2</v>
      </c>
      <c r="G7" t="s">
        <v>57</v>
      </c>
      <c r="H7">
        <f>Table2548586331327[[#This Row],[Peak Power '[W']]]*2</f>
        <v>0.05</v>
      </c>
      <c r="J7" t="s">
        <v>57</v>
      </c>
      <c r="M7" t="s">
        <v>57</v>
      </c>
      <c r="N7" s="2">
        <v>56</v>
      </c>
      <c r="U7">
        <v>3</v>
      </c>
      <c r="V7">
        <v>1</v>
      </c>
      <c r="W7" t="s">
        <v>224</v>
      </c>
      <c r="X7" t="s">
        <v>167</v>
      </c>
      <c r="Y7" t="s">
        <v>225</v>
      </c>
      <c r="Z7" t="s">
        <v>247</v>
      </c>
    </row>
    <row r="8" spans="1:35" x14ac:dyDescent="0.3">
      <c r="A8" s="1" t="s">
        <v>60</v>
      </c>
      <c r="B8">
        <v>3.5999999999999997E-2</v>
      </c>
      <c r="D8" t="s">
        <v>60</v>
      </c>
      <c r="E8">
        <v>1</v>
      </c>
      <c r="G8" t="s">
        <v>60</v>
      </c>
      <c r="H8">
        <f>Table2548586331327[[#This Row],[Peak Power '[W']]]*2</f>
        <v>2</v>
      </c>
      <c r="J8" t="s">
        <v>60</v>
      </c>
      <c r="M8" t="s">
        <v>60</v>
      </c>
      <c r="N8" s="2">
        <v>73.64</v>
      </c>
      <c r="U8">
        <v>4</v>
      </c>
      <c r="V8">
        <v>1</v>
      </c>
      <c r="W8" t="s">
        <v>168</v>
      </c>
      <c r="X8" t="s">
        <v>169</v>
      </c>
      <c r="Y8" t="s">
        <v>170</v>
      </c>
      <c r="Z8" t="s">
        <v>223</v>
      </c>
      <c r="AA8" t="s">
        <v>222</v>
      </c>
    </row>
    <row r="9" spans="1:35" x14ac:dyDescent="0.3">
      <c r="A9" s="1" t="s">
        <v>65</v>
      </c>
      <c r="B9">
        <v>3.0000000000000001E-3</v>
      </c>
      <c r="D9" t="s">
        <v>65</v>
      </c>
      <c r="E9">
        <v>9.5000000000000001E-2</v>
      </c>
      <c r="G9" t="s">
        <v>65</v>
      </c>
      <c r="H9">
        <v>0.8</v>
      </c>
      <c r="J9" t="s">
        <v>65</v>
      </c>
      <c r="M9" t="s">
        <v>65</v>
      </c>
      <c r="N9" s="2">
        <v>24</v>
      </c>
      <c r="U9">
        <v>5</v>
      </c>
      <c r="V9">
        <v>1</v>
      </c>
      <c r="W9" t="s">
        <v>181</v>
      </c>
      <c r="X9" t="s">
        <v>188</v>
      </c>
      <c r="Y9" t="s">
        <v>250</v>
      </c>
    </row>
    <row r="10" spans="1:35" x14ac:dyDescent="0.3">
      <c r="A10" s="1" t="s">
        <v>68</v>
      </c>
      <c r="B10" s="4">
        <v>4.5999999999999999E-2</v>
      </c>
      <c r="C10" s="4"/>
      <c r="D10" t="s">
        <v>68</v>
      </c>
      <c r="E10" s="4">
        <v>3</v>
      </c>
      <c r="F10" s="4"/>
      <c r="G10" t="s">
        <v>68</v>
      </c>
      <c r="H10" s="4">
        <f>Table2548586331327[[#This Row],[Peak Power '[W']]]*2</f>
        <v>6</v>
      </c>
      <c r="I10" s="4"/>
      <c r="J10" t="s">
        <v>68</v>
      </c>
      <c r="K10" s="4"/>
      <c r="L10" s="4"/>
      <c r="M10" t="s">
        <v>68</v>
      </c>
      <c r="N10">
        <v>75</v>
      </c>
      <c r="U10">
        <v>6</v>
      </c>
      <c r="V10">
        <v>1</v>
      </c>
      <c r="W10" t="s">
        <v>182</v>
      </c>
      <c r="X10" t="s">
        <v>186</v>
      </c>
      <c r="Y10" t="s">
        <v>185</v>
      </c>
      <c r="Z10" t="s">
        <v>248</v>
      </c>
    </row>
    <row r="11" spans="1:35" x14ac:dyDescent="0.3">
      <c r="A11" s="1" t="s">
        <v>183</v>
      </c>
      <c r="B11">
        <v>0.05</v>
      </c>
      <c r="D11" t="s">
        <v>183</v>
      </c>
      <c r="E11" s="4">
        <v>3.5</v>
      </c>
      <c r="G11" t="s">
        <v>183</v>
      </c>
      <c r="H11" s="4">
        <f>Table2548586331327[[#This Row],[Peak Power '[W']]]*2</f>
        <v>7</v>
      </c>
      <c r="J11" t="s">
        <v>183</v>
      </c>
      <c r="M11" t="s">
        <v>183</v>
      </c>
      <c r="N11">
        <v>53</v>
      </c>
      <c r="U11">
        <v>7</v>
      </c>
      <c r="V11">
        <v>1</v>
      </c>
      <c r="W11" t="s">
        <v>275</v>
      </c>
      <c r="X11" t="s">
        <v>187</v>
      </c>
      <c r="Y11" t="s">
        <v>270</v>
      </c>
      <c r="Z11" t="s">
        <v>276</v>
      </c>
    </row>
    <row r="12" spans="1:35" x14ac:dyDescent="0.3">
      <c r="A12" s="1" t="s">
        <v>184</v>
      </c>
      <c r="B12">
        <v>4.0000000000000001E-3</v>
      </c>
      <c r="D12" t="s">
        <v>184</v>
      </c>
      <c r="E12" s="4">
        <v>1.25</v>
      </c>
      <c r="G12" t="s">
        <v>184</v>
      </c>
      <c r="H12" s="4">
        <f>Table2548586331327[[#This Row],[Peak Power '[W']]]*2</f>
        <v>2.5</v>
      </c>
      <c r="J12" t="s">
        <v>184</v>
      </c>
      <c r="M12" t="s">
        <v>184</v>
      </c>
      <c r="N12">
        <v>30</v>
      </c>
      <c r="U12">
        <v>8</v>
      </c>
      <c r="V12">
        <v>1</v>
      </c>
      <c r="W12" t="s">
        <v>283</v>
      </c>
      <c r="X12" t="s">
        <v>284</v>
      </c>
      <c r="Z12" t="s">
        <v>285</v>
      </c>
    </row>
    <row r="13" spans="1:35" x14ac:dyDescent="0.3">
      <c r="A13" t="s">
        <v>286</v>
      </c>
      <c r="B13">
        <v>0.1</v>
      </c>
      <c r="D13" t="s">
        <v>286</v>
      </c>
      <c r="E13">
        <v>0</v>
      </c>
      <c r="G13" t="s">
        <v>286</v>
      </c>
      <c r="H13">
        <f>Table2548586331327[[#This Row],[Peak Power '[W']]]*2</f>
        <v>0</v>
      </c>
      <c r="J13" t="s">
        <v>286</v>
      </c>
      <c r="M13" t="s">
        <v>286</v>
      </c>
      <c r="N13">
        <v>0</v>
      </c>
    </row>
    <row r="17" spans="1:14" x14ac:dyDescent="0.3">
      <c r="A17" t="s">
        <v>36</v>
      </c>
      <c r="B17">
        <f>SUM(Table1447576221226[Mass '[kg']])</f>
        <v>0.33799999999999997</v>
      </c>
      <c r="D17" t="s">
        <v>36</v>
      </c>
      <c r="E17">
        <f>SUM(Table2548586331327[Peak Power '[W']])</f>
        <v>11.870000000000001</v>
      </c>
      <c r="G17" t="s">
        <v>36</v>
      </c>
      <c r="H17">
        <f>SUM(Table5849596441428[Max. Energy '[Wh']])</f>
        <v>24.35</v>
      </c>
      <c r="J17" t="s">
        <v>36</v>
      </c>
      <c r="K17">
        <f>SUM(Table6950606551529[Max. Data '[Mb/s']])</f>
        <v>0</v>
      </c>
      <c r="M17" t="s">
        <v>36</v>
      </c>
      <c r="N17">
        <f>SUM(Table62334353651616661630[Price'[EUR']])</f>
        <v>761.64</v>
      </c>
    </row>
  </sheetData>
  <mergeCells count="10">
    <mergeCell ref="X1:Y1"/>
    <mergeCell ref="X2:Y2"/>
    <mergeCell ref="A3:N3"/>
    <mergeCell ref="O3:S3"/>
    <mergeCell ref="A1:W2"/>
    <mergeCell ref="A4:B4"/>
    <mergeCell ref="D4:E4"/>
    <mergeCell ref="G4:H4"/>
    <mergeCell ref="J4:K4"/>
    <mergeCell ref="M4:N4"/>
  </mergeCells>
  <hyperlinks>
    <hyperlink ref="AE5" r:id="rId1" display="https://diydrones.com/profiles/blogs/pixhawk-and-apm-power-consumption" xr:uid="{F29E2F58-142D-4475-8785-385220349056}"/>
    <hyperlink ref="Y6" r:id="rId2" location="tab-id-2" xr:uid="{92102BC8-CEAC-4D60-A992-E02B382E3406}"/>
  </hyperlinks>
  <pageMargins left="0.7" right="0.7" top="0.75" bottom="0.75" header="0.3" footer="0.3"/>
  <pageSetup paperSize="9" orientation="portrait" r:id="rId3"/>
  <legacyDrawing r:id="rId4"/>
  <tableParts count="7">
    <tablePart r:id="rId5"/>
    <tablePart r:id="rId6"/>
    <tablePart r:id="rId7"/>
    <tablePart r:id="rId8"/>
    <tablePart r:id="rId9"/>
    <tablePart r:id="rId10"/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9D4E-5E0F-465C-8857-F800D5ABAFC8}">
  <dimension ref="A1:Z10"/>
  <sheetViews>
    <sheetView tabSelected="1" workbookViewId="0">
      <selection activeCell="K13" sqref="K13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38.88671875" bestFit="1" customWidth="1"/>
  </cols>
  <sheetData>
    <row r="1" spans="1:26" ht="14.4" customHeight="1" x14ac:dyDescent="0.3">
      <c r="A1" s="28" t="s">
        <v>35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6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102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U5">
        <v>1</v>
      </c>
      <c r="V5">
        <v>1</v>
      </c>
      <c r="W5" t="s">
        <v>171</v>
      </c>
      <c r="X5" t="s">
        <v>172</v>
      </c>
      <c r="Y5" t="s">
        <v>173</v>
      </c>
      <c r="Z5" t="s">
        <v>174</v>
      </c>
    </row>
    <row r="6" spans="1:26" x14ac:dyDescent="0.3">
      <c r="A6" s="1" t="s">
        <v>52</v>
      </c>
      <c r="B6">
        <v>0.3</v>
      </c>
      <c r="D6" t="s">
        <v>52</v>
      </c>
      <c r="E6">
        <v>0</v>
      </c>
      <c r="G6" t="s">
        <v>52</v>
      </c>
      <c r="H6">
        <v>0</v>
      </c>
      <c r="J6" t="s">
        <v>52</v>
      </c>
      <c r="M6" t="s">
        <v>52</v>
      </c>
      <c r="N6" s="2"/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</sheetData>
  <mergeCells count="11">
    <mergeCell ref="X1:Y1"/>
    <mergeCell ref="X2:Y2"/>
    <mergeCell ref="A3:N3"/>
    <mergeCell ref="O3:S3"/>
    <mergeCell ref="U3:Y3"/>
    <mergeCell ref="A1:W2"/>
    <mergeCell ref="A4:B4"/>
    <mergeCell ref="D4:E4"/>
    <mergeCell ref="G4:H4"/>
    <mergeCell ref="J4:K4"/>
    <mergeCell ref="M4:N4"/>
  </mergeCells>
  <pageMargins left="0.7" right="0.7" top="0.75" bottom="0.75" header="0.3" footer="0.3"/>
  <pageSetup paperSize="0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32F9-1468-41D3-A65C-64495AF288FB}">
  <dimension ref="A1:Z52"/>
  <sheetViews>
    <sheetView workbookViewId="0">
      <selection activeCell="D28" sqref="D28"/>
    </sheetView>
  </sheetViews>
  <sheetFormatPr defaultColWidth="9.109375" defaultRowHeight="14.4" x14ac:dyDescent="0.3"/>
  <cols>
    <col min="1" max="1" width="15.88671875" bestFit="1" customWidth="1"/>
    <col min="2" max="2" width="11.21875" bestFit="1" customWidth="1"/>
    <col min="3" max="3" width="9.21875" customWidth="1"/>
    <col min="4" max="4" width="15.88671875" bestFit="1" customWidth="1"/>
    <col min="5" max="5" width="16.77734375" bestFit="1" customWidth="1"/>
    <col min="6" max="6" width="9.21875" customWidth="1"/>
    <col min="7" max="7" width="15.88671875" bestFit="1" customWidth="1"/>
    <col min="8" max="8" width="18.44140625" bestFit="1" customWidth="1"/>
    <col min="9" max="9" width="10.77734375" customWidth="1"/>
    <col min="10" max="10" width="15.88671875" bestFit="1" customWidth="1"/>
    <col min="11" max="11" width="18.21875" bestFit="1" customWidth="1"/>
    <col min="13" max="13" width="15.88671875" bestFit="1" customWidth="1"/>
    <col min="14" max="14" width="12.109375" bestFit="1" customWidth="1"/>
    <col min="19" max="19" width="18" customWidth="1"/>
    <col min="20" max="20" width="16.77734375" customWidth="1"/>
  </cols>
  <sheetData>
    <row r="1" spans="1:26" ht="14.4" customHeight="1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4" t="s">
        <v>1</v>
      </c>
      <c r="Y1" s="24"/>
    </row>
    <row r="2" spans="1:26" ht="14.4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4" t="s">
        <v>2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7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5" t="s">
        <v>6</v>
      </c>
      <c r="B4" s="26"/>
      <c r="D4" s="25" t="s">
        <v>7</v>
      </c>
      <c r="E4" s="26"/>
      <c r="G4" s="25" t="s">
        <v>8</v>
      </c>
      <c r="H4" s="26"/>
      <c r="J4" s="25" t="s">
        <v>9</v>
      </c>
      <c r="K4" s="26"/>
      <c r="M4" s="25" t="s">
        <v>10</v>
      </c>
      <c r="N4" s="26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s="2" t="s">
        <v>22</v>
      </c>
      <c r="D5" s="1" t="s">
        <v>21</v>
      </c>
      <c r="E5" s="2" t="s">
        <v>23</v>
      </c>
      <c r="G5" s="1" t="s">
        <v>21</v>
      </c>
      <c r="H5" s="2" t="s">
        <v>24</v>
      </c>
      <c r="J5" s="1" t="s">
        <v>21</v>
      </c>
      <c r="K5" s="2" t="s">
        <v>25</v>
      </c>
      <c r="M5" s="1" t="s">
        <v>21</v>
      </c>
      <c r="N5" s="2" t="s">
        <v>26</v>
      </c>
      <c r="O5" t="str">
        <f>Master_Design_Parameters!A2</f>
        <v>Cruise velocity</v>
      </c>
      <c r="P5" t="str">
        <f>Master_Design_Parameters!B2</f>
        <v>V_cruise</v>
      </c>
      <c r="Q5" t="str">
        <f>Master_Design_Parameters!C2</f>
        <v>m/s</v>
      </c>
      <c r="R5">
        <f>Master_Design_Parameters!D2</f>
        <v>15.1</v>
      </c>
      <c r="S5" t="str">
        <f>Master_Design_Parameters!E2</f>
        <v>based on desmos limits</v>
      </c>
      <c r="T5" t="str">
        <f>Master_Design_Parameters!F2</f>
        <v>AER</v>
      </c>
    </row>
    <row r="6" spans="1:26" x14ac:dyDescent="0.3">
      <c r="A6" s="1" t="s">
        <v>27</v>
      </c>
      <c r="B6" s="2">
        <f>SUM(Table14475762[Mass '[kg']])</f>
        <v>0</v>
      </c>
      <c r="D6" s="1" t="s">
        <v>27</v>
      </c>
      <c r="E6" s="2">
        <f>SUM(Table25485863[Peak Power '[W']])</f>
        <v>0</v>
      </c>
      <c r="G6" s="1" t="s">
        <v>27</v>
      </c>
      <c r="H6" s="2">
        <f>SUM(Table58495964[[#This Row],[Max. Energy '[Wh']]])</f>
        <v>0</v>
      </c>
      <c r="J6" s="1" t="s">
        <v>27</v>
      </c>
      <c r="K6" s="2">
        <f>SUM(Table69506065[Max. Data '[Mb/s']])</f>
        <v>0</v>
      </c>
      <c r="M6" s="1" t="s">
        <v>27</v>
      </c>
      <c r="N6" s="2">
        <f>SUM(Table623343536516166[Price'[EUR']])</f>
        <v>0</v>
      </c>
      <c r="O6" t="str">
        <f>Master_Design_Parameters!A3</f>
        <v>total mass</v>
      </c>
      <c r="P6" t="str">
        <f>Master_Design_Parameters!B3</f>
        <v>m_tot</v>
      </c>
      <c r="Q6" t="str">
        <f>Master_Design_Parameters!C3</f>
        <v>kg</v>
      </c>
      <c r="R6">
        <f>Master_Design_Parameters!D3</f>
        <v>7.68</v>
      </c>
      <c r="S6" t="str">
        <f>Master_Design_Parameters!E3</f>
        <v>1.2 * 6.4 (prelim)</v>
      </c>
      <c r="T6" t="str">
        <f>Master_Design_Parameters!F3</f>
        <v>AER</v>
      </c>
    </row>
    <row r="7" spans="1:26" x14ac:dyDescent="0.3">
      <c r="A7" s="1" t="s">
        <v>28</v>
      </c>
      <c r="B7" s="2">
        <f>SUM(Table144757622[Mass '[kg']])</f>
        <v>0</v>
      </c>
      <c r="D7" s="1" t="s">
        <v>28</v>
      </c>
      <c r="E7" s="2">
        <f>SUM(Table254858633[Peak Power '[W']])</f>
        <v>0</v>
      </c>
      <c r="G7" s="1" t="s">
        <v>28</v>
      </c>
      <c r="H7" s="2">
        <f>SUM(Table584959644[Max. Energy '[Wh']])</f>
        <v>0</v>
      </c>
      <c r="J7" s="1" t="s">
        <v>28</v>
      </c>
      <c r="K7" s="2">
        <f>SUM(Table695060655[Max. Data '[Mb/s']])</f>
        <v>0</v>
      </c>
      <c r="M7" s="1" t="s">
        <v>28</v>
      </c>
      <c r="N7" s="2">
        <f>SUM(Table6233435365161666[Price'[EUR']])</f>
        <v>0</v>
      </c>
      <c r="O7" t="str">
        <f>Master_Design_Parameters!A4</f>
        <v>ROC</v>
      </c>
      <c r="P7" t="str">
        <f>Master_Design_Parameters!B4</f>
        <v>ROC</v>
      </c>
      <c r="Q7" t="str">
        <f>Master_Design_Parameters!C4</f>
        <v>m/s</v>
      </c>
      <c r="R7">
        <f>Master_Design_Parameters!D4</f>
        <v>2.8</v>
      </c>
      <c r="S7" t="str">
        <f>Master_Design_Parameters!E4</f>
        <v>requirement</v>
      </c>
      <c r="T7" t="str">
        <f>Master_Design_Parameters!F4</f>
        <v>AER</v>
      </c>
      <c r="X7" t="s">
        <v>29</v>
      </c>
    </row>
    <row r="8" spans="1:26" x14ac:dyDescent="0.3">
      <c r="A8" s="1" t="s">
        <v>30</v>
      </c>
      <c r="B8" s="2">
        <f>SUM(Table1447576227[Mass '[kg']])</f>
        <v>0</v>
      </c>
      <c r="D8" s="1" t="s">
        <v>30</v>
      </c>
      <c r="E8" s="2">
        <f>SUM(Table2548586338[Peak Power '[W']])</f>
        <v>0</v>
      </c>
      <c r="G8" s="1" t="s">
        <v>30</v>
      </c>
      <c r="H8" s="2">
        <f>SUM(Table5849596449[Max. Energy '[Wh']])</f>
        <v>0</v>
      </c>
      <c r="J8" s="1" t="s">
        <v>30</v>
      </c>
      <c r="K8" s="2">
        <f>SUM(Table69506065510[Max. Data '[Mb/s']])</f>
        <v>0</v>
      </c>
      <c r="M8" s="1" t="s">
        <v>30</v>
      </c>
      <c r="N8" s="2">
        <f>SUM(Table623343536516166611[Price'[EUR']])</f>
        <v>0</v>
      </c>
      <c r="O8" t="str">
        <f>Master_Design_Parameters!A5</f>
        <v>l/dmax</v>
      </c>
      <c r="P8" t="str">
        <f>Master_Design_Parameters!B5</f>
        <v>ldmax</v>
      </c>
      <c r="Q8" t="str">
        <f>Master_Design_Parameters!C5</f>
        <v>-</v>
      </c>
      <c r="R8">
        <f>Master_Design_Parameters!D5</f>
        <v>90</v>
      </c>
      <c r="S8" t="str">
        <f>Master_Design_Parameters!E5</f>
        <v>For airfoil (from airfoil tools)</v>
      </c>
      <c r="T8" t="str">
        <f>Master_Design_Parameters!F5</f>
        <v>AER</v>
      </c>
      <c r="U8" t="s">
        <v>31</v>
      </c>
    </row>
    <row r="9" spans="1:26" x14ac:dyDescent="0.3">
      <c r="A9" s="1" t="s">
        <v>32</v>
      </c>
      <c r="B9" s="2">
        <f>SUM(Table14475762212[Mass '[kg']])</f>
        <v>0</v>
      </c>
      <c r="D9" s="1" t="s">
        <v>32</v>
      </c>
      <c r="E9" s="2">
        <f>SUM(Table25485863313[Peak Power '[W']])</f>
        <v>0</v>
      </c>
      <c r="G9" s="1" t="s">
        <v>32</v>
      </c>
      <c r="H9" s="2">
        <f>SUM(Table58495964414[Max. Energy '[Wh']])</f>
        <v>0</v>
      </c>
      <c r="J9" s="1" t="s">
        <v>32</v>
      </c>
      <c r="K9" s="2">
        <f>SUM(Table69506065515[Max. Data '[Mb/s']])</f>
        <v>0</v>
      </c>
      <c r="M9" s="1" t="s">
        <v>32</v>
      </c>
      <c r="N9" s="2">
        <f>SUM(Table623343536516166616[Price'[EUR']])</f>
        <v>0</v>
      </c>
      <c r="O9" t="str">
        <f>Master_Design_Parameters!A6</f>
        <v>l/dcruise</v>
      </c>
      <c r="P9" t="str">
        <f>Master_Design_Parameters!B6</f>
        <v>ldcruise</v>
      </c>
      <c r="Q9" t="str">
        <f>Master_Design_Parameters!C6</f>
        <v>-</v>
      </c>
      <c r="R9">
        <f>Master_Design_Parameters!D6</f>
        <v>83</v>
      </c>
      <c r="S9" t="str">
        <f>Master_Design_Parameters!E6</f>
        <v>For airfoil (from airfoil tools)</v>
      </c>
      <c r="T9" t="str">
        <f>Master_Design_Parameters!F6</f>
        <v>AER</v>
      </c>
    </row>
    <row r="10" spans="1:26" x14ac:dyDescent="0.3">
      <c r="A10" s="1" t="s">
        <v>33</v>
      </c>
      <c r="B10" s="2">
        <f>SUM(Table1447576221217[Mass '[kg']])</f>
        <v>0</v>
      </c>
      <c r="D10" s="1" t="s">
        <v>33</v>
      </c>
      <c r="E10" s="2">
        <f>SUM(Table2548586331318[Peak Power '[W']])</f>
        <v>0</v>
      </c>
      <c r="G10" s="1" t="s">
        <v>33</v>
      </c>
      <c r="H10" s="2">
        <f>SUM(Table5849596441419[Max. Energy '[Wh']])</f>
        <v>0</v>
      </c>
      <c r="J10" s="1" t="s">
        <v>33</v>
      </c>
      <c r="K10" s="2">
        <f>SUM(Table6950606551524[Max. Data '[Mb/s']])</f>
        <v>0</v>
      </c>
      <c r="M10" s="1" t="s">
        <v>33</v>
      </c>
      <c r="N10" s="2">
        <f>SUM(Table62334353651616661625[Price'[EUR']])</f>
        <v>0</v>
      </c>
      <c r="O10" t="str">
        <f>Master_Design_Parameters!A7</f>
        <v>clmax</v>
      </c>
      <c r="P10" t="str">
        <f>Master_Design_Parameters!B7</f>
        <v>C_lmax</v>
      </c>
      <c r="Q10" t="str">
        <f>Master_Design_Parameters!C7</f>
        <v>-</v>
      </c>
      <c r="R10">
        <f>Master_Design_Parameters!D7</f>
        <v>1.6</v>
      </c>
      <c r="S10" t="str">
        <f>Master_Design_Parameters!E7</f>
        <v>For airfoil (from airfoil tools)</v>
      </c>
      <c r="T10" t="str">
        <f>Master_Design_Parameters!F7</f>
        <v>AER</v>
      </c>
    </row>
    <row r="11" spans="1:26" x14ac:dyDescent="0.3">
      <c r="A11" s="1" t="s">
        <v>34</v>
      </c>
      <c r="B11" s="2">
        <f>SUM(Table14475762[Mass '[kg']])</f>
        <v>0</v>
      </c>
      <c r="D11" s="1" t="s">
        <v>34</v>
      </c>
      <c r="E11" s="2">
        <f>SUM(Table2548586331327[Peak Power '[W']])</f>
        <v>11.870000000000001</v>
      </c>
      <c r="G11" s="1" t="s">
        <v>34</v>
      </c>
      <c r="H11" s="2">
        <f>SUM(Table5849596441428[Max. Energy '[Wh']])</f>
        <v>24.35</v>
      </c>
      <c r="J11" s="1" t="s">
        <v>34</v>
      </c>
      <c r="K11" s="2">
        <f>SUM(Table6950606551529[Max. Data '[Mb/s']])</f>
        <v>0</v>
      </c>
      <c r="M11" s="1" t="s">
        <v>34</v>
      </c>
      <c r="N11" s="2">
        <f>SUM(Table62334353651616661630[Price'[EUR']])</f>
        <v>761.64</v>
      </c>
      <c r="O11" t="str">
        <f>Master_Design_Parameters!A8</f>
        <v>clcruise</v>
      </c>
      <c r="P11" t="str">
        <f>Master_Design_Parameters!B8</f>
        <v>C_lcruise</v>
      </c>
      <c r="Q11" t="str">
        <f>Master_Design_Parameters!C8</f>
        <v>-</v>
      </c>
      <c r="R11">
        <f>Master_Design_Parameters!D8</f>
        <v>0.92</v>
      </c>
      <c r="S11" t="str">
        <f>Master_Design_Parameters!E8</f>
        <v>For airfoil (from airfoil tools)</v>
      </c>
      <c r="T11" t="str">
        <f>Master_Design_Parameters!F8</f>
        <v>AER</v>
      </c>
    </row>
    <row r="12" spans="1:26" x14ac:dyDescent="0.3">
      <c r="A12" s="1" t="s">
        <v>35</v>
      </c>
      <c r="B12" s="2">
        <f>SUM(Table1447576221231[Mass '[kg']])</f>
        <v>0.3</v>
      </c>
      <c r="D12" s="1" t="s">
        <v>35</v>
      </c>
      <c r="E12" s="2">
        <f>SUM(Table2548586331332[Peak Power '[W']])</f>
        <v>0</v>
      </c>
      <c r="G12" s="1" t="s">
        <v>35</v>
      </c>
      <c r="H12" s="2">
        <f>SUM(Table5849596441433[Max. Energy '[Wh']])</f>
        <v>0</v>
      </c>
      <c r="J12" s="1" t="s">
        <v>35</v>
      </c>
      <c r="K12" s="2">
        <f>SUM(Table6950606551535[Max. Data '[Mb/s']])</f>
        <v>0</v>
      </c>
      <c r="M12" s="1" t="s">
        <v>35</v>
      </c>
      <c r="N12" s="2">
        <f>SUM(Table62334353651616661636[Price'[EUR']])</f>
        <v>0</v>
      </c>
      <c r="O12" t="str">
        <f>Master_Design_Parameters!A9</f>
        <v>cd0</v>
      </c>
      <c r="P12" t="str">
        <f>Master_Design_Parameters!B9</f>
        <v>cd0</v>
      </c>
      <c r="Q12" t="str">
        <f>Master_Design_Parameters!C9</f>
        <v>-</v>
      </c>
      <c r="R12">
        <f>Master_Design_Parameters!D9</f>
        <v>1.0999999999999999E-2</v>
      </c>
      <c r="S12" t="str">
        <f>Master_Design_Parameters!E9</f>
        <v>For airfoil (from airfoil tools)</v>
      </c>
      <c r="T12" t="str">
        <f>Master_Design_Parameters!F9</f>
        <v>AER</v>
      </c>
    </row>
    <row r="13" spans="1:26" x14ac:dyDescent="0.3">
      <c r="A13" s="1" t="s">
        <v>36</v>
      </c>
      <c r="B13" s="2">
        <v>7.5</v>
      </c>
      <c r="D13" s="1" t="s">
        <v>36</v>
      </c>
      <c r="E13" s="2">
        <f>SUM(E6:E12)</f>
        <v>11.870000000000001</v>
      </c>
      <c r="G13" s="1" t="s">
        <v>36</v>
      </c>
      <c r="H13" s="2">
        <f>SUM(H6:H12)</f>
        <v>24.35</v>
      </c>
      <c r="J13" s="1" t="s">
        <v>36</v>
      </c>
      <c r="K13" s="2">
        <f>SUM(K6:K12)</f>
        <v>0</v>
      </c>
      <c r="M13" s="1" t="s">
        <v>36</v>
      </c>
      <c r="N13" s="2">
        <f>SUM(N6:N12)</f>
        <v>761.64</v>
      </c>
      <c r="O13" t="str">
        <f>Master_Design_Parameters!A10</f>
        <v>cm at AC</v>
      </c>
      <c r="P13" t="str">
        <f>Master_Design_Parameters!B10</f>
        <v>Cm_ac</v>
      </c>
      <c r="Q13" t="str">
        <f>Master_Design_Parameters!C10</f>
        <v>-</v>
      </c>
      <c r="R13">
        <f>Master_Design_Parameters!D10</f>
        <v>-0.16</v>
      </c>
      <c r="S13" t="str">
        <f>Master_Design_Parameters!E10</f>
        <v>For airfoil (from airfoil tools)</v>
      </c>
      <c r="T13" t="str">
        <f>Master_Design_Parameters!F10</f>
        <v>AER</v>
      </c>
    </row>
    <row r="14" spans="1:26" x14ac:dyDescent="0.3">
      <c r="A14" s="3" t="s">
        <v>37</v>
      </c>
      <c r="B14" s="5">
        <v>15</v>
      </c>
      <c r="C14" s="4"/>
      <c r="D14" s="3" t="s">
        <v>37</v>
      </c>
      <c r="E14" s="5"/>
      <c r="F14" s="4"/>
      <c r="G14" s="3" t="s">
        <v>37</v>
      </c>
      <c r="H14" s="5"/>
      <c r="I14" s="4"/>
      <c r="J14" s="3" t="s">
        <v>37</v>
      </c>
      <c r="K14" s="5"/>
      <c r="L14" s="4"/>
      <c r="M14" s="3" t="s">
        <v>37</v>
      </c>
      <c r="N14" s="5">
        <v>30000</v>
      </c>
      <c r="O14" t="str">
        <f>Master_Design_Parameters!A11</f>
        <v>CD0</v>
      </c>
      <c r="P14" t="str">
        <f>Master_Design_Parameters!B11</f>
        <v>CD0</v>
      </c>
      <c r="Q14" t="str">
        <f>Master_Design_Parameters!C11</f>
        <v>-</v>
      </c>
      <c r="R14">
        <f>Master_Design_Parameters!D11</f>
        <v>1.5714285714285715E-2</v>
      </c>
      <c r="S14" t="str">
        <f>Master_Design_Parameters!E11</f>
        <v>airfoil cd0/0.7</v>
      </c>
      <c r="T14" t="str">
        <f>Master_Design_Parameters!F11</f>
        <v>AER</v>
      </c>
    </row>
    <row r="15" spans="1:26" x14ac:dyDescent="0.3">
      <c r="O15" t="str">
        <f>Master_Design_Parameters!A12</f>
        <v>wingspan</v>
      </c>
      <c r="P15" t="str">
        <f>Master_Design_Parameters!B12</f>
        <v>b</v>
      </c>
      <c r="Q15" t="str">
        <f>Master_Design_Parameters!C12</f>
        <v>m</v>
      </c>
      <c r="R15">
        <f>Master_Design_Parameters!D12</f>
        <v>2.95</v>
      </c>
      <c r="S15" t="str">
        <f>Master_Design_Parameters!E12</f>
        <v>subject to change - max A</v>
      </c>
      <c r="T15" t="str">
        <f>Master_Design_Parameters!F12</f>
        <v>AER</v>
      </c>
    </row>
    <row r="16" spans="1:26" x14ac:dyDescent="0.3">
      <c r="O16" t="str">
        <f>Master_Design_Parameters!A13</f>
        <v>Wing area</v>
      </c>
      <c r="P16" t="str">
        <f>Master_Design_Parameters!B13</f>
        <v>S</v>
      </c>
      <c r="Q16" t="str">
        <f>Master_Design_Parameters!C13</f>
        <v>m^2</v>
      </c>
      <c r="R16">
        <f>Master_Design_Parameters!D13</f>
        <v>1.1000000000000001</v>
      </c>
      <c r="S16" t="str">
        <f>Master_Design_Parameters!E13</f>
        <v>based on desmos limits</v>
      </c>
      <c r="T16" t="str">
        <f>Master_Design_Parameters!F13</f>
        <v>AER</v>
      </c>
    </row>
    <row r="17" spans="1:20" x14ac:dyDescent="0.3">
      <c r="O17" t="str">
        <f>Master_Design_Parameters!A14</f>
        <v>Aspect ratio</v>
      </c>
      <c r="P17" t="str">
        <f>Master_Design_Parameters!B14</f>
        <v>A</v>
      </c>
      <c r="Q17" t="str">
        <f>Master_Design_Parameters!C14</f>
        <v>-</v>
      </c>
      <c r="R17">
        <f>Master_Design_Parameters!D14</f>
        <v>7.9113636363636362</v>
      </c>
      <c r="S17" t="str">
        <f>Master_Design_Parameters!E14</f>
        <v>preliminary</v>
      </c>
      <c r="T17" t="str">
        <f>Master_Design_Parameters!F14</f>
        <v>AER</v>
      </c>
    </row>
    <row r="18" spans="1:20" x14ac:dyDescent="0.3">
      <c r="O18" t="str">
        <f>Master_Design_Parameters!A15</f>
        <v>L/Dcruise</v>
      </c>
      <c r="P18" t="str">
        <f>Master_Design_Parameters!B15</f>
        <v>LDcruise</v>
      </c>
      <c r="Q18" t="str">
        <f>Master_Design_Parameters!C15</f>
        <v>-</v>
      </c>
      <c r="R18">
        <f>Master_Design_Parameters!D15</f>
        <v>13.2</v>
      </c>
      <c r="S18" t="str">
        <f>Master_Design_Parameters!E15</f>
        <v>preliminary</v>
      </c>
      <c r="T18" t="str">
        <f>Master_Design_Parameters!F15</f>
        <v>AER</v>
      </c>
    </row>
    <row r="19" spans="1:20" x14ac:dyDescent="0.3">
      <c r="O19" t="str">
        <f>Master_Design_Parameters!A16</f>
        <v>chord length</v>
      </c>
      <c r="P19" t="str">
        <f>Master_Design_Parameters!B16</f>
        <v>MAC</v>
      </c>
      <c r="Q19" t="str">
        <f>Master_Design_Parameters!C16</f>
        <v>m</v>
      </c>
      <c r="R19">
        <f>Master_Design_Parameters!D16</f>
        <v>0.3728813559322034</v>
      </c>
      <c r="S19" t="str">
        <f>Master_Design_Parameters!E16</f>
        <v>based on desmos limits</v>
      </c>
      <c r="T19" t="str">
        <f>Master_Design_Parameters!F16</f>
        <v>AER</v>
      </c>
    </row>
    <row r="20" spans="1:20" x14ac:dyDescent="0.3">
      <c r="O20" t="str">
        <f>Master_Design_Parameters!A17</f>
        <v>oswald eff</v>
      </c>
      <c r="P20" t="str">
        <f>Master_Design_Parameters!B17</f>
        <v>e</v>
      </c>
      <c r="Q20" t="str">
        <f>Master_Design_Parameters!C17</f>
        <v>-</v>
      </c>
      <c r="R20">
        <f>Master_Design_Parameters!D17</f>
        <v>0.7</v>
      </c>
      <c r="S20" t="str">
        <f>Master_Design_Parameters!E17</f>
        <v>preliminary</v>
      </c>
      <c r="T20" t="str">
        <f>Master_Design_Parameters!F17</f>
        <v>AER</v>
      </c>
    </row>
    <row r="21" spans="1:20" x14ac:dyDescent="0.3">
      <c r="O21" t="str">
        <f>Master_Design_Parameters!A18</f>
        <v>Re at MAC</v>
      </c>
      <c r="P21" t="str">
        <f>Master_Design_Parameters!B18</f>
        <v>ReMAC</v>
      </c>
      <c r="Q21" t="str">
        <f>Master_Design_Parameters!C18</f>
        <v>-</v>
      </c>
      <c r="R21">
        <f>Master_Design_Parameters!D18</f>
        <v>450000</v>
      </c>
      <c r="S21" t="str">
        <f>Master_Design_Parameters!E18</f>
        <v>based on laminar limits from literature</v>
      </c>
      <c r="T21" t="str">
        <f>Master_Design_Parameters!F18</f>
        <v>AER</v>
      </c>
    </row>
    <row r="22" spans="1:20" x14ac:dyDescent="0.3">
      <c r="O22" t="str">
        <f>Master_Design_Parameters!A19</f>
        <v>taper ratio</v>
      </c>
      <c r="P22" t="str">
        <f>Master_Design_Parameters!B19</f>
        <v>lamda</v>
      </c>
      <c r="Q22" t="str">
        <f>Master_Design_Parameters!C19</f>
        <v>-</v>
      </c>
      <c r="R22">
        <f>Master_Design_Parameters!D19</f>
        <v>0.45</v>
      </c>
      <c r="S22" t="str">
        <f>Master_Design_Parameters!E19</f>
        <v>preliminary</v>
      </c>
      <c r="T22" t="str">
        <f>Master_Design_Parameters!F19</f>
        <v>AER</v>
      </c>
    </row>
    <row r="23" spans="1:20" x14ac:dyDescent="0.3">
      <c r="O23" t="str">
        <f>Master_Design_Parameters!A20</f>
        <v>root chord</v>
      </c>
      <c r="P23" t="str">
        <f>Master_Design_Parameters!B20</f>
        <v>c_r</v>
      </c>
      <c r="Q23" t="str">
        <f>Master_Design_Parameters!C20</f>
        <v>m</v>
      </c>
      <c r="R23">
        <f>Master_Design_Parameters!D20</f>
        <v>0.49078181491833128</v>
      </c>
      <c r="S23" t="str">
        <f>Master_Design_Parameters!E20</f>
        <v>based on taper and mac</v>
      </c>
      <c r="T23" t="str">
        <f>Master_Design_Parameters!F20</f>
        <v>AER</v>
      </c>
    </row>
    <row r="24" spans="1:20" x14ac:dyDescent="0.3">
      <c r="A24" s="21" t="s">
        <v>38</v>
      </c>
      <c r="B24" s="22"/>
      <c r="C24" s="22"/>
      <c r="O24" t="str">
        <f>Master_Design_Parameters!A21</f>
        <v>tip chord</v>
      </c>
      <c r="P24" t="str">
        <f>Master_Design_Parameters!B21</f>
        <v>c_t</v>
      </c>
      <c r="Q24" t="str">
        <f>Master_Design_Parameters!C21</f>
        <v>m</v>
      </c>
      <c r="R24">
        <f>Master_Design_Parameters!D21</f>
        <v>0.22085181671324908</v>
      </c>
      <c r="S24" t="str">
        <f>Master_Design_Parameters!E21</f>
        <v xml:space="preserve">based on taper and mac </v>
      </c>
      <c r="T24" t="str">
        <f>Master_Design_Parameters!F21</f>
        <v>AER</v>
      </c>
    </row>
    <row r="25" spans="1:20" x14ac:dyDescent="0.3">
      <c r="A25" s="1" t="s">
        <v>39</v>
      </c>
      <c r="B25" t="s">
        <v>13</v>
      </c>
      <c r="C25" s="2" t="s">
        <v>14</v>
      </c>
      <c r="O25" t="str">
        <f>Master_Design_Parameters!A22</f>
        <v>clalpha</v>
      </c>
      <c r="P25" t="str">
        <f>Master_Design_Parameters!B22</f>
        <v>C_l_alpha</v>
      </c>
      <c r="Q25" t="str">
        <f>Master_Design_Parameters!C22</f>
        <v>rad^-1</v>
      </c>
      <c r="R25">
        <f>Master_Design_Parameters!D22</f>
        <v>6.1609999999999996</v>
      </c>
      <c r="S25" t="str">
        <f>Master_Design_Parameters!E22</f>
        <v>Xfoil prediction at 200000 Re</v>
      </c>
      <c r="T25" t="str">
        <f>Master_Design_Parameters!F22</f>
        <v>AER</v>
      </c>
    </row>
    <row r="26" spans="1:20" x14ac:dyDescent="0.3">
      <c r="A26" s="1" t="s">
        <v>40</v>
      </c>
      <c r="B26" t="s">
        <v>41</v>
      </c>
      <c r="C26" s="2">
        <v>1.2250000000000001</v>
      </c>
      <c r="O26" t="str">
        <f>Master_Design_Parameters!A23</f>
        <v>x loc AC</v>
      </c>
      <c r="P26" t="str">
        <f>Master_Design_Parameters!B23</f>
        <v>x_bar_ac</v>
      </c>
      <c r="Q26" t="str">
        <f>Master_Design_Parameters!C23</f>
        <v>-</v>
      </c>
      <c r="R26">
        <f>Master_Design_Parameters!D23</f>
        <v>0.25</v>
      </c>
      <c r="S26">
        <f>Master_Design_Parameters!E23</f>
        <v>0</v>
      </c>
      <c r="T26">
        <f>Master_Design_Parameters!F23</f>
        <v>0</v>
      </c>
    </row>
    <row r="27" spans="1:20" x14ac:dyDescent="0.3">
      <c r="A27" s="1"/>
      <c r="C27" s="2"/>
      <c r="O27" t="str">
        <f>Master_Design_Parameters!A24</f>
        <v>Stability Margin</v>
      </c>
      <c r="P27" t="str">
        <f>Master_Design_Parameters!B24</f>
        <v>SM</v>
      </c>
      <c r="Q27" t="str">
        <f>Master_Design_Parameters!C24</f>
        <v>-</v>
      </c>
      <c r="R27">
        <f>Master_Design_Parameters!D24</f>
        <v>0.05</v>
      </c>
      <c r="S27" t="str">
        <f>Master_Design_Parameters!E24</f>
        <v>Stability margin applied</v>
      </c>
      <c r="T27" t="str">
        <f>Master_Design_Parameters!F24</f>
        <v>STB</v>
      </c>
    </row>
    <row r="28" spans="1:20" x14ac:dyDescent="0.3">
      <c r="A28" s="1"/>
      <c r="C28" s="2"/>
      <c r="O28" t="str">
        <f>Master_Design_Parameters!A25</f>
        <v>Turn radius</v>
      </c>
      <c r="P28" t="str">
        <f>Master_Design_Parameters!B25</f>
        <v>r</v>
      </c>
      <c r="Q28" t="str">
        <f>Master_Design_Parameters!C25</f>
        <v>m</v>
      </c>
      <c r="R28">
        <f>Master_Design_Parameters!D25</f>
        <v>50</v>
      </c>
      <c r="S28" t="str">
        <f>Master_Design_Parameters!E25</f>
        <v>Minimal turn radius, currently based on Zamboni flight pattern</v>
      </c>
      <c r="T28" t="str">
        <f>Master_Design_Parameters!F25</f>
        <v>STB</v>
      </c>
    </row>
    <row r="29" spans="1:20" x14ac:dyDescent="0.3">
      <c r="A29" s="1"/>
      <c r="C29" s="2"/>
      <c r="O29" t="str">
        <f>Master_Design_Parameters!A26</f>
        <v>Altitude change</v>
      </c>
      <c r="P29" t="str">
        <f>Master_Design_Parameters!B26</f>
        <v>delta_h</v>
      </c>
      <c r="Q29" t="str">
        <f>Master_Design_Parameters!C26</f>
        <v>m</v>
      </c>
      <c r="R29">
        <f>Master_Design_Parameters!D26</f>
        <v>80</v>
      </c>
      <c r="S29" t="str">
        <f>Master_Design_Parameters!E26</f>
        <v>alitude difference between start and end of climb</v>
      </c>
      <c r="T29" t="str">
        <f>Master_Design_Parameters!F26</f>
        <v>STB</v>
      </c>
    </row>
    <row r="30" spans="1:20" x14ac:dyDescent="0.3">
      <c r="A30" s="1"/>
      <c r="C30" s="2"/>
      <c r="O30" t="str">
        <f>Master_Design_Parameters!A27</f>
        <v>Htail taper ratio</v>
      </c>
      <c r="P30" t="str">
        <f>Master_Design_Parameters!B27</f>
        <v>lamda_h</v>
      </c>
      <c r="Q30" t="str">
        <f>Master_Design_Parameters!C27</f>
        <v>-</v>
      </c>
      <c r="R30">
        <f>Master_Design_Parameters!D27</f>
        <v>0.8</v>
      </c>
      <c r="S30" t="str">
        <f>Master_Design_Parameters!E27</f>
        <v>taper ratio of horizontal tail</v>
      </c>
      <c r="T30" t="str">
        <f>Master_Design_Parameters!F27</f>
        <v>STB</v>
      </c>
    </row>
    <row r="31" spans="1:20" x14ac:dyDescent="0.3">
      <c r="A31" s="1"/>
      <c r="C31" s="2"/>
      <c r="O31" t="str">
        <f>Master_Design_Parameters!A28</f>
        <v>Htail aspect ratio</v>
      </c>
      <c r="P31" t="str">
        <f>Master_Design_Parameters!B28</f>
        <v>A_h</v>
      </c>
      <c r="Q31" t="str">
        <f>Master_Design_Parameters!C28</f>
        <v>-</v>
      </c>
      <c r="R31">
        <f>Master_Design_Parameters!D28</f>
        <v>5</v>
      </c>
      <c r="S31" t="str">
        <f>Master_Design_Parameters!E28</f>
        <v>aspect ratio of horizontal tail</v>
      </c>
      <c r="T31" t="str">
        <f>Master_Design_Parameters!F28</f>
        <v>STB</v>
      </c>
    </row>
    <row r="32" spans="1:20" x14ac:dyDescent="0.3">
      <c r="A32" s="1"/>
      <c r="C32" s="2"/>
      <c r="O32" t="str">
        <f>Master_Design_Parameters!A29</f>
        <v>Cl htail slope</v>
      </c>
      <c r="P32" t="str">
        <f>Master_Design_Parameters!B29</f>
        <v>C_l_alpha_h</v>
      </c>
      <c r="Q32" t="str">
        <f>Master_Design_Parameters!C29</f>
        <v>-</v>
      </c>
      <c r="R32">
        <f>Master_Design_Parameters!D29</f>
        <v>5.7295800000000003</v>
      </c>
      <c r="S32" t="str">
        <f>Master_Design_Parameters!E29</f>
        <v>Cl_alpha of airfoil used on horizontal tail</v>
      </c>
      <c r="T32" t="str">
        <f>Master_Design_Parameters!F29</f>
        <v>STB</v>
      </c>
    </row>
    <row r="33" spans="1:20" x14ac:dyDescent="0.3">
      <c r="A33" s="1"/>
      <c r="O33" t="str">
        <f>Master_Design_Parameters!A67</f>
        <v>5V Power</v>
      </c>
      <c r="P33" t="str">
        <f>Master_Design_Parameters!B67</f>
        <v>Power_5V</v>
      </c>
      <c r="Q33" t="str">
        <f>Master_Design_Parameters!C67</f>
        <v>W</v>
      </c>
      <c r="R33">
        <f>Master_Design_Parameters!D67</f>
        <v>11.870000000000001</v>
      </c>
      <c r="S33" t="str">
        <f>Master_Design_Parameters!E67</f>
        <v>The power that the 5V regulator has to supply, used for the efficiency calculations of the swithcing converter</v>
      </c>
      <c r="T33">
        <f>Master_Design_Parameters!F67</f>
        <v>0</v>
      </c>
    </row>
    <row r="34" spans="1:20" x14ac:dyDescent="0.3">
      <c r="A34" s="3"/>
      <c r="B34" s="4"/>
      <c r="C34" s="5"/>
      <c r="O34">
        <f>Master_Design_Parameters!A68</f>
        <v>0</v>
      </c>
      <c r="P34">
        <f>Master_Design_Parameters!B68</f>
        <v>0</v>
      </c>
      <c r="Q34">
        <f>Master_Design_Parameters!C68</f>
        <v>0</v>
      </c>
      <c r="R34">
        <f>Master_Design_Parameters!D68</f>
        <v>0</v>
      </c>
      <c r="S34">
        <f>Master_Design_Parameters!E68</f>
        <v>0</v>
      </c>
      <c r="T34">
        <f>Master_Design_Parameters!F68</f>
        <v>0</v>
      </c>
    </row>
    <row r="35" spans="1:20" x14ac:dyDescent="0.3">
      <c r="O35">
        <f>Master_Design_Parameters!A69</f>
        <v>0</v>
      </c>
      <c r="P35">
        <f>Master_Design_Parameters!B69</f>
        <v>0</v>
      </c>
      <c r="Q35">
        <f>Master_Design_Parameters!C69</f>
        <v>0</v>
      </c>
      <c r="R35">
        <f>Master_Design_Parameters!D69</f>
        <v>0</v>
      </c>
      <c r="S35">
        <f>Master_Design_Parameters!E69</f>
        <v>0</v>
      </c>
      <c r="T35">
        <f>Master_Design_Parameters!F69</f>
        <v>0</v>
      </c>
    </row>
    <row r="36" spans="1:20" x14ac:dyDescent="0.3">
      <c r="O36">
        <f>Master_Design_Parameters!A70</f>
        <v>0</v>
      </c>
      <c r="P36">
        <f>Master_Design_Parameters!B70</f>
        <v>0</v>
      </c>
      <c r="Q36">
        <f>Master_Design_Parameters!C70</f>
        <v>0</v>
      </c>
      <c r="R36">
        <f>Master_Design_Parameters!D70</f>
        <v>0</v>
      </c>
      <c r="S36">
        <f>Master_Design_Parameters!E70</f>
        <v>0</v>
      </c>
      <c r="T36">
        <f>Master_Design_Parameters!F70</f>
        <v>0</v>
      </c>
    </row>
    <row r="37" spans="1:20" x14ac:dyDescent="0.3">
      <c r="O37">
        <f>Master_Design_Parameters!A71</f>
        <v>0</v>
      </c>
      <c r="P37">
        <f>Master_Design_Parameters!B71</f>
        <v>0</v>
      </c>
      <c r="Q37">
        <f>Master_Design_Parameters!C71</f>
        <v>0</v>
      </c>
      <c r="R37">
        <f>Master_Design_Parameters!D71</f>
        <v>0</v>
      </c>
      <c r="S37">
        <f>Master_Design_Parameters!E71</f>
        <v>0</v>
      </c>
      <c r="T37">
        <f>Master_Design_Parameters!F71</f>
        <v>0</v>
      </c>
    </row>
    <row r="38" spans="1:20" x14ac:dyDescent="0.3">
      <c r="O38">
        <f>Master_Design_Parameters!A72</f>
        <v>0</v>
      </c>
      <c r="P38">
        <f>Master_Design_Parameters!B72</f>
        <v>0</v>
      </c>
      <c r="Q38">
        <f>Master_Design_Parameters!C72</f>
        <v>0</v>
      </c>
      <c r="R38">
        <f>Master_Design_Parameters!D72</f>
        <v>0</v>
      </c>
      <c r="S38">
        <f>Master_Design_Parameters!E72</f>
        <v>0</v>
      </c>
      <c r="T38">
        <f>Master_Design_Parameters!F72</f>
        <v>0</v>
      </c>
    </row>
    <row r="39" spans="1:20" x14ac:dyDescent="0.3">
      <c r="O39">
        <f>Master_Design_Parameters!A73</f>
        <v>0</v>
      </c>
      <c r="P39">
        <f>Master_Design_Parameters!B73</f>
        <v>0</v>
      </c>
      <c r="Q39">
        <f>Master_Design_Parameters!C73</f>
        <v>0</v>
      </c>
      <c r="R39">
        <f>Master_Design_Parameters!D73</f>
        <v>0</v>
      </c>
      <c r="S39">
        <f>Master_Design_Parameters!E73</f>
        <v>0</v>
      </c>
      <c r="T39">
        <f>Master_Design_Parameters!F73</f>
        <v>0</v>
      </c>
    </row>
    <row r="40" spans="1:20" x14ac:dyDescent="0.3">
      <c r="O40">
        <f>Master_Design_Parameters!A74</f>
        <v>0</v>
      </c>
      <c r="P40">
        <f>Master_Design_Parameters!B74</f>
        <v>0</v>
      </c>
      <c r="Q40">
        <f>Master_Design_Parameters!C74</f>
        <v>0</v>
      </c>
      <c r="R40">
        <f>Master_Design_Parameters!D74</f>
        <v>0</v>
      </c>
      <c r="S40">
        <f>Master_Design_Parameters!E74</f>
        <v>0</v>
      </c>
      <c r="T40">
        <f>Master_Design_Parameters!F74</f>
        <v>0</v>
      </c>
    </row>
    <row r="41" spans="1:20" x14ac:dyDescent="0.3">
      <c r="O41">
        <f>Master_Design_Parameters!A75</f>
        <v>0</v>
      </c>
      <c r="P41">
        <f>Master_Design_Parameters!B75</f>
        <v>0</v>
      </c>
      <c r="Q41">
        <f>Master_Design_Parameters!C75</f>
        <v>0</v>
      </c>
      <c r="R41">
        <f>Master_Design_Parameters!D75</f>
        <v>0</v>
      </c>
      <c r="S41">
        <f>Master_Design_Parameters!E75</f>
        <v>0</v>
      </c>
      <c r="T41">
        <f>Master_Design_Parameters!F75</f>
        <v>0</v>
      </c>
    </row>
    <row r="42" spans="1:20" x14ac:dyDescent="0.3">
      <c r="O42">
        <f>Master_Design_Parameters!A76</f>
        <v>0</v>
      </c>
      <c r="P42">
        <f>Master_Design_Parameters!B76</f>
        <v>0</v>
      </c>
      <c r="Q42">
        <f>Master_Design_Parameters!C76</f>
        <v>0</v>
      </c>
      <c r="R42">
        <f>Master_Design_Parameters!D76</f>
        <v>0</v>
      </c>
      <c r="S42">
        <f>Master_Design_Parameters!E76</f>
        <v>0</v>
      </c>
      <c r="T42">
        <f>Master_Design_Parameters!F76</f>
        <v>0</v>
      </c>
    </row>
    <row r="43" spans="1:20" x14ac:dyDescent="0.3">
      <c r="O43">
        <f>Master_Design_Parameters!A77</f>
        <v>0</v>
      </c>
      <c r="P43">
        <f>Master_Design_Parameters!B77</f>
        <v>0</v>
      </c>
      <c r="Q43">
        <f>Master_Design_Parameters!C77</f>
        <v>0</v>
      </c>
      <c r="R43">
        <f>Master_Design_Parameters!D77</f>
        <v>0</v>
      </c>
      <c r="S43">
        <f>Master_Design_Parameters!E77</f>
        <v>0</v>
      </c>
      <c r="T43">
        <f>Master_Design_Parameters!F77</f>
        <v>0</v>
      </c>
    </row>
    <row r="44" spans="1:20" x14ac:dyDescent="0.3">
      <c r="O44">
        <f>Master_Design_Parameters!A78</f>
        <v>0</v>
      </c>
      <c r="P44">
        <f>Master_Design_Parameters!B78</f>
        <v>0</v>
      </c>
      <c r="Q44">
        <f>Master_Design_Parameters!C78</f>
        <v>0</v>
      </c>
      <c r="R44">
        <f>Master_Design_Parameters!D78</f>
        <v>0</v>
      </c>
      <c r="S44">
        <f>Master_Design_Parameters!E78</f>
        <v>0</v>
      </c>
      <c r="T44">
        <f>Master_Design_Parameters!F78</f>
        <v>0</v>
      </c>
    </row>
    <row r="45" spans="1:20" x14ac:dyDescent="0.3">
      <c r="O45">
        <f>Master_Design_Parameters!A79</f>
        <v>0</v>
      </c>
      <c r="P45">
        <f>Master_Design_Parameters!B79</f>
        <v>0</v>
      </c>
      <c r="Q45">
        <f>Master_Design_Parameters!C79</f>
        <v>0</v>
      </c>
      <c r="R45">
        <f>Master_Design_Parameters!D79</f>
        <v>0</v>
      </c>
      <c r="S45">
        <f>Master_Design_Parameters!E79</f>
        <v>0</v>
      </c>
      <c r="T45">
        <f>Master_Design_Parameters!F79</f>
        <v>0</v>
      </c>
    </row>
    <row r="46" spans="1:20" x14ac:dyDescent="0.3">
      <c r="O46">
        <f>Master_Design_Parameters!A80</f>
        <v>0</v>
      </c>
      <c r="P46">
        <f>Master_Design_Parameters!B80</f>
        <v>0</v>
      </c>
      <c r="Q46">
        <f>Master_Design_Parameters!C80</f>
        <v>0</v>
      </c>
      <c r="R46">
        <f>Master_Design_Parameters!D80</f>
        <v>0</v>
      </c>
      <c r="S46">
        <f>Master_Design_Parameters!E80</f>
        <v>0</v>
      </c>
      <c r="T46">
        <f>Master_Design_Parameters!F80</f>
        <v>0</v>
      </c>
    </row>
    <row r="47" spans="1:20" x14ac:dyDescent="0.3">
      <c r="O47">
        <f>Master_Design_Parameters!A81</f>
        <v>0</v>
      </c>
      <c r="P47">
        <f>Master_Design_Parameters!B81</f>
        <v>0</v>
      </c>
      <c r="Q47">
        <f>Master_Design_Parameters!C81</f>
        <v>0</v>
      </c>
      <c r="R47">
        <f>Master_Design_Parameters!D81</f>
        <v>0</v>
      </c>
      <c r="S47">
        <f>Master_Design_Parameters!E81</f>
        <v>0</v>
      </c>
      <c r="T47">
        <f>Master_Design_Parameters!F81</f>
        <v>0</v>
      </c>
    </row>
    <row r="48" spans="1:20" x14ac:dyDescent="0.3">
      <c r="O48">
        <f>Master_Design_Parameters!A82</f>
        <v>0</v>
      </c>
      <c r="P48">
        <f>Master_Design_Parameters!B82</f>
        <v>0</v>
      </c>
      <c r="Q48">
        <f>Master_Design_Parameters!C82</f>
        <v>0</v>
      </c>
      <c r="R48">
        <f>Master_Design_Parameters!D82</f>
        <v>0</v>
      </c>
      <c r="S48">
        <f>Master_Design_Parameters!E82</f>
        <v>0</v>
      </c>
      <c r="T48">
        <f>Master_Design_Parameters!F82</f>
        <v>0</v>
      </c>
    </row>
    <row r="49" spans="15:20" x14ac:dyDescent="0.3">
      <c r="O49">
        <f>Master_Design_Parameters!A83</f>
        <v>0</v>
      </c>
      <c r="P49">
        <f>Master_Design_Parameters!B83</f>
        <v>0</v>
      </c>
      <c r="Q49">
        <f>Master_Design_Parameters!C83</f>
        <v>0</v>
      </c>
      <c r="R49">
        <f>Master_Design_Parameters!D83</f>
        <v>0</v>
      </c>
      <c r="S49">
        <f>Master_Design_Parameters!E83</f>
        <v>0</v>
      </c>
      <c r="T49">
        <f>Master_Design_Parameters!F83</f>
        <v>0</v>
      </c>
    </row>
    <row r="50" spans="15:20" x14ac:dyDescent="0.3">
      <c r="O50">
        <f>Master_Design_Parameters!A84</f>
        <v>0</v>
      </c>
      <c r="P50">
        <f>Master_Design_Parameters!B84</f>
        <v>0</v>
      </c>
      <c r="Q50">
        <f>Master_Design_Parameters!C84</f>
        <v>0</v>
      </c>
      <c r="R50">
        <f>Master_Design_Parameters!D84</f>
        <v>0</v>
      </c>
      <c r="S50">
        <f>Master_Design_Parameters!E84</f>
        <v>0</v>
      </c>
      <c r="T50">
        <f>Master_Design_Parameters!F84</f>
        <v>0</v>
      </c>
    </row>
    <row r="51" spans="15:20" x14ac:dyDescent="0.3">
      <c r="O51">
        <f>Master_Design_Parameters!A85</f>
        <v>0</v>
      </c>
      <c r="P51">
        <f>Master_Design_Parameters!B85</f>
        <v>0</v>
      </c>
      <c r="Q51">
        <f>Master_Design_Parameters!C85</f>
        <v>0</v>
      </c>
      <c r="R51">
        <f>Master_Design_Parameters!D85</f>
        <v>0</v>
      </c>
      <c r="S51">
        <f>Master_Design_Parameters!E85</f>
        <v>0</v>
      </c>
      <c r="T51">
        <f>Master_Design_Parameters!F85</f>
        <v>0</v>
      </c>
    </row>
    <row r="52" spans="15:20" x14ac:dyDescent="0.3">
      <c r="O52">
        <f>Master_Design_Parameters!A86</f>
        <v>0</v>
      </c>
      <c r="P52">
        <f>Master_Design_Parameters!B86</f>
        <v>0</v>
      </c>
      <c r="Q52">
        <f>Master_Design_Parameters!C86</f>
        <v>0</v>
      </c>
      <c r="R52">
        <f>Master_Design_Parameters!D86</f>
        <v>0</v>
      </c>
      <c r="S52">
        <f>Master_Design_Parameters!E86</f>
        <v>0</v>
      </c>
      <c r="T52">
        <f>Master_Design_Parameters!F86</f>
        <v>0</v>
      </c>
    </row>
  </sheetData>
  <dataConsolidate/>
  <mergeCells count="12">
    <mergeCell ref="A24:C24"/>
    <mergeCell ref="A1:W2"/>
    <mergeCell ref="X1:Y1"/>
    <mergeCell ref="X2:Y2"/>
    <mergeCell ref="A4:B4"/>
    <mergeCell ref="D4:E4"/>
    <mergeCell ref="G4:H4"/>
    <mergeCell ref="J4:K4"/>
    <mergeCell ref="M4:N4"/>
    <mergeCell ref="A3:N3"/>
    <mergeCell ref="O3:S3"/>
    <mergeCell ref="U3:Y3"/>
  </mergeCells>
  <conditionalFormatting sqref="B13">
    <cfRule type="cellIs" dxfId="13" priority="27" operator="lessThan">
      <formula>$B$14</formula>
    </cfRule>
    <cfRule type="cellIs" dxfId="12" priority="28" operator="greaterThan">
      <formula>$B$14</formula>
    </cfRule>
  </conditionalFormatting>
  <conditionalFormatting sqref="N13">
    <cfRule type="cellIs" dxfId="11" priority="9" operator="lessThan">
      <formula>$N$14</formula>
    </cfRule>
    <cfRule type="cellIs" dxfId="10" priority="10" operator="greaterThan">
      <formula>$N$14</formula>
    </cfRule>
    <cfRule type="cellIs" dxfId="9" priority="11" operator="lessThan">
      <formula>$B$14</formula>
    </cfRule>
    <cfRule type="cellIs" dxfId="8" priority="12" operator="greaterThan">
      <formula>$B$14</formula>
    </cfRule>
  </conditionalFormatting>
  <conditionalFormatting sqref="E13">
    <cfRule type="cellIs" dxfId="7" priority="7" operator="lessThan">
      <formula>$E$14</formula>
    </cfRule>
    <cfRule type="cellIs" dxfId="6" priority="8" operator="greaterThan">
      <formula>$E$14</formula>
    </cfRule>
  </conditionalFormatting>
  <conditionalFormatting sqref="H13">
    <cfRule type="cellIs" dxfId="5" priority="5" operator="greaterThan">
      <formula>$H$14</formula>
    </cfRule>
    <cfRule type="cellIs" dxfId="4" priority="6" operator="lessThan">
      <formula>$H$14</formula>
    </cfRule>
  </conditionalFormatting>
  <conditionalFormatting sqref="K13">
    <cfRule type="cellIs" dxfId="3" priority="3" operator="greaterThan">
      <formula>$K$14</formula>
    </cfRule>
    <cfRule type="cellIs" dxfId="2" priority="4" operator="lessThan">
      <formula>$K$14</formula>
    </cfRule>
  </conditionalFormatting>
  <conditionalFormatting sqref="C33">
    <cfRule type="cellIs" dxfId="1" priority="1" operator="lessThan">
      <formula>$B$14</formula>
    </cfRule>
    <cfRule type="cellIs" dxfId="0" priority="2" operator="greaterThan">
      <formula>$B$14</formula>
    </cfRule>
  </conditionalFormatting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6105-0E03-4636-8862-EF1259B0E4E7}">
  <dimension ref="A1:Y26"/>
  <sheetViews>
    <sheetView topLeftCell="J4" workbookViewId="0">
      <selection activeCell="R5" sqref="R5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.109375" customWidth="1"/>
    <col min="16" max="16" width="12" bestFit="1" customWidth="1"/>
    <col min="17" max="17" width="16.21875" bestFit="1" customWidth="1"/>
    <col min="18" max="18" width="6.77734375" bestFit="1" customWidth="1"/>
    <col min="19" max="19" width="8" bestFit="1" customWidth="1"/>
    <col min="20" max="20" width="29.1093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5" ht="14.4" customHeight="1" x14ac:dyDescent="0.3">
      <c r="A1" s="28" t="s">
        <v>27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5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42</v>
      </c>
      <c r="Y2" s="24"/>
    </row>
    <row r="3" spans="1:25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7"/>
      <c r="T3" s="26"/>
      <c r="U3" s="25" t="s">
        <v>5</v>
      </c>
      <c r="V3" s="27"/>
      <c r="W3" s="27"/>
      <c r="X3" s="27"/>
      <c r="Y3" s="26"/>
    </row>
    <row r="4" spans="1:25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43</v>
      </c>
      <c r="V4" t="s">
        <v>18</v>
      </c>
      <c r="W4" t="s">
        <v>19</v>
      </c>
      <c r="X4" t="s">
        <v>20</v>
      </c>
      <c r="Y4" t="s">
        <v>15</v>
      </c>
    </row>
    <row r="5" spans="1:2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44</v>
      </c>
      <c r="P5" t="s">
        <v>45</v>
      </c>
      <c r="Q5" t="s">
        <v>46</v>
      </c>
      <c r="R5">
        <v>15.1</v>
      </c>
      <c r="S5" t="s">
        <v>47</v>
      </c>
      <c r="T5" t="s">
        <v>197</v>
      </c>
      <c r="U5">
        <v>1</v>
      </c>
      <c r="V5" t="s">
        <v>48</v>
      </c>
      <c r="W5" t="s">
        <v>49</v>
      </c>
      <c r="X5" s="6" t="s">
        <v>50</v>
      </c>
      <c r="Y5" t="s">
        <v>51</v>
      </c>
    </row>
    <row r="6" spans="1:25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53</v>
      </c>
      <c r="P6" t="s">
        <v>54</v>
      </c>
      <c r="Q6" t="s">
        <v>55</v>
      </c>
      <c r="R6">
        <f>6.4*1.2</f>
        <v>7.68</v>
      </c>
      <c r="S6" t="s">
        <v>56</v>
      </c>
      <c r="T6" t="s">
        <v>197</v>
      </c>
    </row>
    <row r="7" spans="1:25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58</v>
      </c>
      <c r="P7" t="s">
        <v>58</v>
      </c>
      <c r="Q7" t="s">
        <v>46</v>
      </c>
      <c r="R7">
        <v>2.8</v>
      </c>
      <c r="S7" t="s">
        <v>59</v>
      </c>
      <c r="T7" t="s">
        <v>197</v>
      </c>
    </row>
    <row r="8" spans="1:25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61</v>
      </c>
      <c r="P8" t="s">
        <v>62</v>
      </c>
      <c r="Q8" t="s">
        <v>63</v>
      </c>
      <c r="R8">
        <v>90</v>
      </c>
      <c r="S8" t="s">
        <v>64</v>
      </c>
      <c r="T8" t="s">
        <v>197</v>
      </c>
    </row>
    <row r="9" spans="1:25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66</v>
      </c>
      <c r="P9" t="s">
        <v>67</v>
      </c>
      <c r="Q9" t="s">
        <v>63</v>
      </c>
      <c r="R9">
        <v>83</v>
      </c>
      <c r="S9" t="s">
        <v>64</v>
      </c>
      <c r="T9" t="s">
        <v>197</v>
      </c>
    </row>
    <row r="10" spans="1:25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69</v>
      </c>
      <c r="P10" t="s">
        <v>274</v>
      </c>
      <c r="Q10" t="s">
        <v>63</v>
      </c>
      <c r="R10">
        <v>1.6</v>
      </c>
      <c r="S10" t="s">
        <v>64</v>
      </c>
      <c r="T10" t="s">
        <v>197</v>
      </c>
    </row>
    <row r="11" spans="1:25" x14ac:dyDescent="0.3">
      <c r="O11" t="s">
        <v>70</v>
      </c>
      <c r="P11" t="s">
        <v>273</v>
      </c>
      <c r="Q11" t="s">
        <v>63</v>
      </c>
      <c r="R11">
        <v>0.92</v>
      </c>
      <c r="S11" t="s">
        <v>64</v>
      </c>
      <c r="T11" t="s">
        <v>197</v>
      </c>
    </row>
    <row r="12" spans="1:25" x14ac:dyDescent="0.3">
      <c r="O12" t="s">
        <v>71</v>
      </c>
      <c r="P12" t="s">
        <v>71</v>
      </c>
      <c r="Q12" t="s">
        <v>63</v>
      </c>
      <c r="R12">
        <v>1.0999999999999999E-2</v>
      </c>
      <c r="S12" t="s">
        <v>64</v>
      </c>
      <c r="T12" t="s">
        <v>197</v>
      </c>
    </row>
    <row r="13" spans="1:25" x14ac:dyDescent="0.3">
      <c r="O13" t="s">
        <v>213</v>
      </c>
      <c r="P13" t="s">
        <v>271</v>
      </c>
      <c r="Q13" t="s">
        <v>63</v>
      </c>
      <c r="R13">
        <v>-0.16</v>
      </c>
      <c r="S13" t="s">
        <v>64</v>
      </c>
      <c r="T13" t="s">
        <v>197</v>
      </c>
    </row>
    <row r="14" spans="1:25" x14ac:dyDescent="0.3">
      <c r="O14" t="s">
        <v>72</v>
      </c>
      <c r="P14" t="s">
        <v>72</v>
      </c>
      <c r="Q14" t="s">
        <v>63</v>
      </c>
      <c r="R14">
        <f>R12/0.7</f>
        <v>1.5714285714285715E-2</v>
      </c>
      <c r="S14" t="s">
        <v>73</v>
      </c>
      <c r="T14" t="s">
        <v>197</v>
      </c>
    </row>
    <row r="15" spans="1:25" x14ac:dyDescent="0.3">
      <c r="O15" t="s">
        <v>74</v>
      </c>
      <c r="P15" t="s">
        <v>75</v>
      </c>
      <c r="Q15" t="s">
        <v>76</v>
      </c>
      <c r="R15">
        <v>2.95</v>
      </c>
      <c r="S15" t="s">
        <v>77</v>
      </c>
      <c r="T15" t="s">
        <v>197</v>
      </c>
    </row>
    <row r="16" spans="1:25" x14ac:dyDescent="0.3">
      <c r="O16" t="s">
        <v>78</v>
      </c>
      <c r="P16" t="s">
        <v>79</v>
      </c>
      <c r="Q16" t="s">
        <v>80</v>
      </c>
      <c r="R16">
        <v>1.1000000000000001</v>
      </c>
      <c r="S16" t="s">
        <v>47</v>
      </c>
      <c r="T16" t="s">
        <v>197</v>
      </c>
    </row>
    <row r="17" spans="15:20" x14ac:dyDescent="0.3">
      <c r="O17" t="s">
        <v>81</v>
      </c>
      <c r="P17" t="s">
        <v>82</v>
      </c>
      <c r="Q17" t="s">
        <v>63</v>
      </c>
      <c r="R17">
        <f>R15^2/R16</f>
        <v>7.9113636363636362</v>
      </c>
      <c r="S17" t="s">
        <v>83</v>
      </c>
      <c r="T17" t="s">
        <v>197</v>
      </c>
    </row>
    <row r="18" spans="15:20" x14ac:dyDescent="0.3">
      <c r="O18" t="s">
        <v>84</v>
      </c>
      <c r="P18" t="s">
        <v>85</v>
      </c>
      <c r="Q18" t="s">
        <v>63</v>
      </c>
      <c r="R18">
        <v>13.2</v>
      </c>
      <c r="S18" t="s">
        <v>83</v>
      </c>
      <c r="T18" t="s">
        <v>197</v>
      </c>
    </row>
    <row r="19" spans="15:20" x14ac:dyDescent="0.3">
      <c r="O19" t="s">
        <v>86</v>
      </c>
      <c r="P19" t="s">
        <v>87</v>
      </c>
      <c r="Q19" t="s">
        <v>76</v>
      </c>
      <c r="R19">
        <f>R16/R15</f>
        <v>0.3728813559322034</v>
      </c>
      <c r="S19" t="s">
        <v>47</v>
      </c>
      <c r="T19" t="s">
        <v>197</v>
      </c>
    </row>
    <row r="20" spans="15:20" x14ac:dyDescent="0.3">
      <c r="O20" t="s">
        <v>88</v>
      </c>
      <c r="P20" t="s">
        <v>89</v>
      </c>
      <c r="Q20" t="s">
        <v>63</v>
      </c>
      <c r="R20">
        <v>0.7</v>
      </c>
      <c r="S20" t="s">
        <v>83</v>
      </c>
      <c r="T20" t="s">
        <v>197</v>
      </c>
    </row>
    <row r="21" spans="15:20" x14ac:dyDescent="0.3">
      <c r="O21" t="s">
        <v>90</v>
      </c>
      <c r="P21" t="s">
        <v>91</v>
      </c>
      <c r="Q21" t="s">
        <v>63</v>
      </c>
      <c r="R21">
        <v>450000</v>
      </c>
      <c r="S21" t="s">
        <v>92</v>
      </c>
      <c r="T21" t="s">
        <v>197</v>
      </c>
    </row>
    <row r="22" spans="15:20" x14ac:dyDescent="0.3">
      <c r="O22" t="s">
        <v>93</v>
      </c>
      <c r="P22" t="s">
        <v>289</v>
      </c>
      <c r="Q22" t="s">
        <v>63</v>
      </c>
      <c r="R22">
        <v>0.45</v>
      </c>
      <c r="S22" t="s">
        <v>83</v>
      </c>
      <c r="T22" t="s">
        <v>197</v>
      </c>
    </row>
    <row r="23" spans="15:20" x14ac:dyDescent="0.3">
      <c r="O23" t="s">
        <v>94</v>
      </c>
      <c r="P23" t="s">
        <v>95</v>
      </c>
      <c r="Q23" t="s">
        <v>76</v>
      </c>
      <c r="R23">
        <f>R19*3/2*(1+R22)/(1+R22+R22^2)</f>
        <v>0.49078181491833128</v>
      </c>
      <c r="S23" t="s">
        <v>96</v>
      </c>
      <c r="T23" t="s">
        <v>197</v>
      </c>
    </row>
    <row r="24" spans="15:20" x14ac:dyDescent="0.3">
      <c r="O24" t="s">
        <v>97</v>
      </c>
      <c r="P24" t="s">
        <v>98</v>
      </c>
      <c r="Q24" t="s">
        <v>76</v>
      </c>
      <c r="R24">
        <f>R22*R23</f>
        <v>0.22085181671324908</v>
      </c>
      <c r="S24" t="s">
        <v>99</v>
      </c>
      <c r="T24" t="s">
        <v>197</v>
      </c>
    </row>
    <row r="25" spans="15:20" x14ac:dyDescent="0.3">
      <c r="O25" t="s">
        <v>178</v>
      </c>
      <c r="P25" t="s">
        <v>272</v>
      </c>
      <c r="Q25" t="s">
        <v>179</v>
      </c>
      <c r="R25">
        <v>6.1609999999999996</v>
      </c>
      <c r="S25" t="s">
        <v>180</v>
      </c>
      <c r="T25" t="s">
        <v>197</v>
      </c>
    </row>
    <row r="26" spans="15:20" x14ac:dyDescent="0.3">
      <c r="O26" t="s">
        <v>278</v>
      </c>
      <c r="P26" t="s">
        <v>277</v>
      </c>
      <c r="Q26" t="s">
        <v>63</v>
      </c>
      <c r="R26">
        <v>0.25</v>
      </c>
    </row>
  </sheetData>
  <mergeCells count="11">
    <mergeCell ref="A4:B4"/>
    <mergeCell ref="D4:E4"/>
    <mergeCell ref="G4:H4"/>
    <mergeCell ref="J4:K4"/>
    <mergeCell ref="M4:N4"/>
    <mergeCell ref="A1:W2"/>
    <mergeCell ref="X1:Y1"/>
    <mergeCell ref="X2:Y2"/>
    <mergeCell ref="A3:N3"/>
    <mergeCell ref="U3:Y3"/>
    <mergeCell ref="O3:T3"/>
  </mergeCells>
  <phoneticPr fontId="2" type="noConversion"/>
  <hyperlinks>
    <hyperlink ref="X5" r:id="rId1" location="polars" xr:uid="{7E81770E-F3FB-40ED-A499-44B9DF5B48F4}"/>
  </hyperlinks>
  <pageMargins left="0.7" right="0.7" top="0.75" bottom="0.75" header="0.3" footer="0.3"/>
  <pageSetup orientation="portrait" r:id="rId2"/>
  <legacyDrawing r:id="rId3"/>
  <tableParts count="7">
    <tablePart r:id="rId4"/>
    <tablePart r:id="rId5"/>
    <tablePart r:id="rId6"/>
    <tablePart r:id="rId7"/>
    <tablePart r:id="rId8"/>
    <tablePart r:id="rId9"/>
    <tablePart r:id="rId10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0EFA-D9FD-4F61-9781-234ABB11C7FE}">
  <dimension ref="A1:Y15"/>
  <sheetViews>
    <sheetView topLeftCell="J1" workbookViewId="0">
      <selection activeCell="Q24" sqref="Q24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5" ht="14.4" customHeight="1" x14ac:dyDescent="0.3">
      <c r="A1" s="28" t="s">
        <v>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5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100</v>
      </c>
      <c r="Y2" s="24"/>
    </row>
    <row r="3" spans="1:25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7"/>
      <c r="T3" s="26"/>
      <c r="U3" s="25" t="s">
        <v>5</v>
      </c>
      <c r="V3" s="27"/>
      <c r="W3" s="27"/>
      <c r="X3" s="27"/>
      <c r="Y3" s="26"/>
    </row>
    <row r="4" spans="1:25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19</v>
      </c>
      <c r="X4" t="s">
        <v>20</v>
      </c>
      <c r="Y4" t="s">
        <v>15</v>
      </c>
    </row>
    <row r="5" spans="1:2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226</v>
      </c>
      <c r="P5" t="s">
        <v>227</v>
      </c>
      <c r="Q5" t="s">
        <v>63</v>
      </c>
      <c r="R5">
        <v>0.05</v>
      </c>
      <c r="S5" t="s">
        <v>228</v>
      </c>
      <c r="T5" t="s">
        <v>229</v>
      </c>
    </row>
    <row r="6" spans="1:25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230</v>
      </c>
      <c r="P6" t="s">
        <v>231</v>
      </c>
      <c r="Q6" t="s">
        <v>76</v>
      </c>
      <c r="R6">
        <v>50</v>
      </c>
      <c r="S6" t="s">
        <v>232</v>
      </c>
      <c r="T6" t="s">
        <v>229</v>
      </c>
    </row>
    <row r="7" spans="1:25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235</v>
      </c>
      <c r="P7" t="s">
        <v>233</v>
      </c>
      <c r="Q7" t="s">
        <v>76</v>
      </c>
      <c r="R7">
        <v>80</v>
      </c>
      <c r="S7" t="s">
        <v>234</v>
      </c>
      <c r="T7" t="s">
        <v>229</v>
      </c>
    </row>
    <row r="8" spans="1:25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236</v>
      </c>
      <c r="P8" t="s">
        <v>237</v>
      </c>
      <c r="Q8" t="s">
        <v>63</v>
      </c>
      <c r="R8">
        <v>0.8</v>
      </c>
      <c r="S8" t="s">
        <v>238</v>
      </c>
      <c r="T8" t="s">
        <v>229</v>
      </c>
    </row>
    <row r="9" spans="1:25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239</v>
      </c>
      <c r="P9" t="s">
        <v>240</v>
      </c>
      <c r="Q9" t="s">
        <v>63</v>
      </c>
      <c r="R9">
        <v>5</v>
      </c>
      <c r="S9" t="s">
        <v>241</v>
      </c>
      <c r="T9" t="s">
        <v>229</v>
      </c>
    </row>
    <row r="10" spans="1:25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242</v>
      </c>
      <c r="P10" t="s">
        <v>243</v>
      </c>
      <c r="Q10" t="s">
        <v>63</v>
      </c>
      <c r="R10">
        <v>5.7295800000000003</v>
      </c>
      <c r="S10" t="s">
        <v>244</v>
      </c>
      <c r="T10" t="s">
        <v>229</v>
      </c>
    </row>
    <row r="11" spans="1:25" x14ac:dyDescent="0.3">
      <c r="O11" t="s">
        <v>245</v>
      </c>
      <c r="P11" t="s">
        <v>58</v>
      </c>
      <c r="Q11" t="s">
        <v>46</v>
      </c>
      <c r="R11">
        <v>5</v>
      </c>
      <c r="S11" t="s">
        <v>246</v>
      </c>
      <c r="T11" t="s">
        <v>229</v>
      </c>
    </row>
    <row r="12" spans="1:25" x14ac:dyDescent="0.3">
      <c r="O12" t="s">
        <v>287</v>
      </c>
      <c r="P12" t="s">
        <v>288</v>
      </c>
      <c r="Q12" t="s">
        <v>80</v>
      </c>
      <c r="R12">
        <v>0.11749999999999999</v>
      </c>
      <c r="S12" t="s">
        <v>290</v>
      </c>
      <c r="T12" t="s">
        <v>229</v>
      </c>
    </row>
    <row r="13" spans="1:25" x14ac:dyDescent="0.3">
      <c r="O13" t="s">
        <v>292</v>
      </c>
      <c r="P13" t="s">
        <v>293</v>
      </c>
      <c r="Q13" t="s">
        <v>80</v>
      </c>
      <c r="R13">
        <v>0.22700000000000001</v>
      </c>
      <c r="S13" t="s">
        <v>291</v>
      </c>
      <c r="T13" t="s">
        <v>229</v>
      </c>
    </row>
    <row r="14" spans="1:25" x14ac:dyDescent="0.3">
      <c r="O14" t="s">
        <v>294</v>
      </c>
      <c r="P14" t="s">
        <v>296</v>
      </c>
      <c r="Q14" t="s">
        <v>76</v>
      </c>
      <c r="R14">
        <v>1.2</v>
      </c>
      <c r="S14" t="s">
        <v>298</v>
      </c>
      <c r="T14" t="s">
        <v>229</v>
      </c>
    </row>
    <row r="15" spans="1:25" x14ac:dyDescent="0.3">
      <c r="O15" t="s">
        <v>295</v>
      </c>
      <c r="P15" t="s">
        <v>297</v>
      </c>
      <c r="Q15" t="s">
        <v>76</v>
      </c>
      <c r="R15">
        <v>1.2</v>
      </c>
      <c r="S15" t="s">
        <v>299</v>
      </c>
      <c r="T15" t="s">
        <v>229</v>
      </c>
    </row>
  </sheetData>
  <mergeCells count="11">
    <mergeCell ref="X1:Y1"/>
    <mergeCell ref="X2:Y2"/>
    <mergeCell ref="A3:N3"/>
    <mergeCell ref="U3:Y3"/>
    <mergeCell ref="A1:W2"/>
    <mergeCell ref="O3:T3"/>
    <mergeCell ref="A4:B4"/>
    <mergeCell ref="D4:E4"/>
    <mergeCell ref="G4:H4"/>
    <mergeCell ref="J4:K4"/>
    <mergeCell ref="M4:N4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6831-C305-4ADB-9EEC-86EEB9AA285C}">
  <dimension ref="A1:Z10"/>
  <sheetViews>
    <sheetView topLeftCell="K1" workbookViewId="0">
      <selection activeCell="Y12" sqref="Y12"/>
    </sheetView>
  </sheetViews>
  <sheetFormatPr defaultColWidth="9.109375" defaultRowHeight="14.4" x14ac:dyDescent="0.3"/>
  <cols>
    <col min="1" max="1" width="12.21875" style="7" bestFit="1" customWidth="1"/>
    <col min="2" max="2" width="11.21875" style="7" bestFit="1" customWidth="1"/>
    <col min="3" max="3" width="9.109375" style="7"/>
    <col min="4" max="4" width="12.21875" style="7" bestFit="1" customWidth="1"/>
    <col min="5" max="5" width="16.77734375" style="7" bestFit="1" customWidth="1"/>
    <col min="6" max="6" width="9.109375" style="7"/>
    <col min="7" max="7" width="12.21875" style="7" bestFit="1" customWidth="1"/>
    <col min="8" max="8" width="18.44140625" style="7" bestFit="1" customWidth="1"/>
    <col min="9" max="9" width="9.109375" style="7"/>
    <col min="10" max="10" width="12.21875" style="7" bestFit="1" customWidth="1"/>
    <col min="11" max="11" width="18.21875" style="7" bestFit="1" customWidth="1"/>
    <col min="12" max="12" width="9.109375" style="7"/>
    <col min="13" max="13" width="12.21875" style="7" bestFit="1" customWidth="1"/>
    <col min="14" max="14" width="12.109375" style="7" bestFit="1" customWidth="1"/>
    <col min="15" max="15" width="12" style="7" bestFit="1" customWidth="1"/>
    <col min="16" max="16" width="16.21875" style="7" bestFit="1" customWidth="1"/>
    <col min="17" max="17" width="6.77734375" style="7" bestFit="1" customWidth="1"/>
    <col min="18" max="18" width="8" style="7" bestFit="1" customWidth="1"/>
    <col min="19" max="19" width="12.21875" style="7" bestFit="1" customWidth="1"/>
    <col min="20" max="20" width="12.21875" style="7" customWidth="1"/>
    <col min="21" max="21" width="10.109375" style="7" bestFit="1" customWidth="1"/>
    <col min="22" max="22" width="14" style="7" bestFit="1" customWidth="1"/>
    <col min="23" max="23" width="10.5546875" style="7" bestFit="1" customWidth="1"/>
    <col min="24" max="24" width="24.44140625" style="7" bestFit="1" customWidth="1"/>
    <col min="25" max="25" width="26.109375" style="7" bestFit="1" customWidth="1"/>
    <col min="26" max="26" width="16.88671875" style="7" bestFit="1" customWidth="1"/>
    <col min="27" max="16384" width="9.109375" style="7"/>
  </cols>
  <sheetData>
    <row r="1" spans="1:26" ht="14.4" customHeight="1" x14ac:dyDescent="0.3">
      <c r="A1" s="37" t="s">
        <v>30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0" t="s">
        <v>1</v>
      </c>
      <c r="Y1" s="30"/>
    </row>
    <row r="2" spans="1:26" ht="14.4" customHeigh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0" t="s">
        <v>102</v>
      </c>
      <c r="Y2" s="30"/>
    </row>
    <row r="3" spans="1:26" x14ac:dyDescent="0.3">
      <c r="A3" s="31" t="s">
        <v>3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3"/>
      <c r="O3" s="31" t="s">
        <v>4</v>
      </c>
      <c r="P3" s="32"/>
      <c r="Q3" s="32"/>
      <c r="R3" s="32"/>
      <c r="S3" s="33"/>
      <c r="T3" s="15"/>
      <c r="U3" s="31" t="s">
        <v>5</v>
      </c>
      <c r="V3" s="32"/>
      <c r="W3" s="32"/>
      <c r="X3" s="32"/>
      <c r="Y3" s="33"/>
    </row>
    <row r="4" spans="1:26" ht="28.8" x14ac:dyDescent="0.3">
      <c r="A4" s="34" t="s">
        <v>6</v>
      </c>
      <c r="B4" s="35"/>
      <c r="D4" s="35" t="s">
        <v>7</v>
      </c>
      <c r="E4" s="35"/>
      <c r="G4" s="35" t="s">
        <v>8</v>
      </c>
      <c r="H4" s="35"/>
      <c r="J4" s="35" t="s">
        <v>9</v>
      </c>
      <c r="K4" s="35"/>
      <c r="M4" s="35" t="s">
        <v>10</v>
      </c>
      <c r="N4" s="36"/>
      <c r="O4" s="7" t="s">
        <v>11</v>
      </c>
      <c r="P4" s="7" t="s">
        <v>12</v>
      </c>
      <c r="Q4" s="7" t="s">
        <v>13</v>
      </c>
      <c r="R4" s="7" t="s">
        <v>14</v>
      </c>
      <c r="S4" s="7" t="s">
        <v>15</v>
      </c>
      <c r="T4" s="7" t="s">
        <v>196</v>
      </c>
      <c r="U4" s="7" t="s">
        <v>16</v>
      </c>
      <c r="V4" s="7" t="s">
        <v>101</v>
      </c>
      <c r="W4" s="7" t="s">
        <v>18</v>
      </c>
      <c r="X4" s="7" t="s">
        <v>19</v>
      </c>
      <c r="Y4" s="7" t="s">
        <v>20</v>
      </c>
      <c r="Z4" s="7" t="s">
        <v>15</v>
      </c>
    </row>
    <row r="5" spans="1:26" ht="28.8" x14ac:dyDescent="0.3">
      <c r="A5" s="8" t="s">
        <v>21</v>
      </c>
      <c r="B5" s="7" t="s">
        <v>22</v>
      </c>
      <c r="D5" s="7" t="s">
        <v>21</v>
      </c>
      <c r="E5" s="7" t="s">
        <v>23</v>
      </c>
      <c r="G5" s="7" t="s">
        <v>21</v>
      </c>
      <c r="H5" s="7" t="s">
        <v>24</v>
      </c>
      <c r="J5" s="7" t="s">
        <v>21</v>
      </c>
      <c r="K5" s="7" t="s">
        <v>25</v>
      </c>
      <c r="M5" s="7" t="s">
        <v>21</v>
      </c>
      <c r="N5" s="9" t="s">
        <v>26</v>
      </c>
      <c r="O5" s="7" t="s">
        <v>251</v>
      </c>
      <c r="P5" s="7" t="s">
        <v>252</v>
      </c>
      <c r="Q5" s="7" t="s">
        <v>76</v>
      </c>
      <c r="R5" s="7">
        <v>0.254</v>
      </c>
      <c r="S5" s="7" t="s">
        <v>253</v>
      </c>
      <c r="T5" s="7" t="s">
        <v>254</v>
      </c>
      <c r="U5" s="7">
        <v>1</v>
      </c>
      <c r="V5" s="7">
        <v>1</v>
      </c>
      <c r="W5" s="7" t="s">
        <v>103</v>
      </c>
      <c r="X5" s="7" t="s">
        <v>104</v>
      </c>
      <c r="Y5" s="7" t="s">
        <v>105</v>
      </c>
      <c r="Z5" s="7" t="s">
        <v>106</v>
      </c>
    </row>
    <row r="6" spans="1:26" ht="43.2" x14ac:dyDescent="0.3">
      <c r="A6" s="8" t="s">
        <v>52</v>
      </c>
      <c r="D6" s="7" t="s">
        <v>52</v>
      </c>
      <c r="G6" s="7" t="s">
        <v>52</v>
      </c>
      <c r="J6" s="7" t="s">
        <v>52</v>
      </c>
      <c r="M6" s="7" t="s">
        <v>52</v>
      </c>
      <c r="N6" s="9"/>
      <c r="O6" s="7" t="s">
        <v>257</v>
      </c>
      <c r="P6" s="7" t="s">
        <v>255</v>
      </c>
      <c r="Q6" s="7" t="s">
        <v>76</v>
      </c>
      <c r="R6" s="7">
        <v>0.5</v>
      </c>
      <c r="S6" s="7" t="s">
        <v>256</v>
      </c>
      <c r="T6" s="7" t="s">
        <v>254</v>
      </c>
      <c r="U6" s="7">
        <v>2</v>
      </c>
      <c r="V6" s="7">
        <v>1</v>
      </c>
      <c r="W6" s="7" t="s">
        <v>107</v>
      </c>
      <c r="X6" s="7" t="s">
        <v>108</v>
      </c>
    </row>
    <row r="7" spans="1:26" ht="28.8" x14ac:dyDescent="0.3">
      <c r="A7" s="8" t="s">
        <v>57</v>
      </c>
      <c r="D7" s="7" t="s">
        <v>57</v>
      </c>
      <c r="G7" s="7" t="s">
        <v>57</v>
      </c>
      <c r="J7" s="7" t="s">
        <v>57</v>
      </c>
      <c r="M7" s="7" t="s">
        <v>57</v>
      </c>
      <c r="N7" s="9"/>
      <c r="O7" s="7" t="s">
        <v>259</v>
      </c>
      <c r="P7" s="7" t="s">
        <v>258</v>
      </c>
      <c r="Q7" s="7" t="s">
        <v>76</v>
      </c>
      <c r="R7" s="7">
        <v>2</v>
      </c>
      <c r="S7" s="7" t="s">
        <v>260</v>
      </c>
      <c r="T7" s="7" t="s">
        <v>254</v>
      </c>
      <c r="U7" s="7">
        <v>3</v>
      </c>
      <c r="V7" s="7">
        <v>1</v>
      </c>
      <c r="W7" s="7" t="s">
        <v>109</v>
      </c>
      <c r="X7" s="7" t="s">
        <v>110</v>
      </c>
      <c r="Y7" s="7" t="s">
        <v>111</v>
      </c>
      <c r="Z7" s="7" t="s">
        <v>112</v>
      </c>
    </row>
    <row r="8" spans="1:26" x14ac:dyDescent="0.3">
      <c r="A8" s="8" t="s">
        <v>60</v>
      </c>
      <c r="D8" s="7" t="s">
        <v>60</v>
      </c>
      <c r="G8" s="7" t="s">
        <v>60</v>
      </c>
      <c r="J8" s="7" t="s">
        <v>60</v>
      </c>
      <c r="M8" s="7" t="s">
        <v>60</v>
      </c>
      <c r="N8" s="9"/>
    </row>
    <row r="9" spans="1:26" x14ac:dyDescent="0.3">
      <c r="A9" s="8" t="s">
        <v>65</v>
      </c>
      <c r="D9" s="7" t="s">
        <v>65</v>
      </c>
      <c r="G9" s="7" t="s">
        <v>65</v>
      </c>
      <c r="J9" s="7" t="s">
        <v>65</v>
      </c>
      <c r="M9" s="7" t="s">
        <v>65</v>
      </c>
      <c r="N9" s="9"/>
    </row>
    <row r="10" spans="1:26" x14ac:dyDescent="0.3">
      <c r="A10" s="8" t="s">
        <v>68</v>
      </c>
      <c r="B10" s="10"/>
      <c r="C10" s="10"/>
      <c r="D10" s="7" t="s">
        <v>68</v>
      </c>
      <c r="E10" s="10"/>
      <c r="F10" s="10"/>
      <c r="G10" s="7" t="s">
        <v>68</v>
      </c>
      <c r="H10" s="10"/>
      <c r="I10" s="10"/>
      <c r="J10" s="7" t="s">
        <v>68</v>
      </c>
      <c r="K10" s="10"/>
      <c r="L10" s="10"/>
      <c r="M10" s="7" t="s">
        <v>68</v>
      </c>
      <c r="N10" s="11"/>
    </row>
  </sheetData>
  <mergeCells count="11">
    <mergeCell ref="X1:Y1"/>
    <mergeCell ref="X2:Y2"/>
    <mergeCell ref="O3:S3"/>
    <mergeCell ref="U3:Y3"/>
    <mergeCell ref="A4:B4"/>
    <mergeCell ref="D4:E4"/>
    <mergeCell ref="G4:H4"/>
    <mergeCell ref="J4:K4"/>
    <mergeCell ref="M4:N4"/>
    <mergeCell ref="A3:N3"/>
    <mergeCell ref="A1:W2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8AB3-A223-493B-81E8-796C4A774A44}">
  <dimension ref="A1:Z50"/>
  <sheetViews>
    <sheetView topLeftCell="J16" workbookViewId="0">
      <selection activeCell="R35" sqref="R35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2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6" ht="14.4" customHeight="1" x14ac:dyDescent="0.3">
      <c r="A1" s="28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6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113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114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210</v>
      </c>
      <c r="P5" t="s">
        <v>209</v>
      </c>
      <c r="Q5" t="s">
        <v>76</v>
      </c>
      <c r="R5">
        <v>0.15</v>
      </c>
      <c r="T5" t="s">
        <v>211</v>
      </c>
    </row>
    <row r="6" spans="1:26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214</v>
      </c>
      <c r="P6" t="s">
        <v>264</v>
      </c>
      <c r="Q6" t="s">
        <v>80</v>
      </c>
      <c r="R6">
        <f>0.7*0.15</f>
        <v>0.105</v>
      </c>
      <c r="S6" t="s">
        <v>265</v>
      </c>
      <c r="T6" t="s">
        <v>211</v>
      </c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215</v>
      </c>
      <c r="P7" t="s">
        <v>304</v>
      </c>
      <c r="Q7" t="s">
        <v>76</v>
      </c>
      <c r="R7">
        <v>0.7</v>
      </c>
      <c r="S7" t="s">
        <v>261</v>
      </c>
      <c r="T7" t="s">
        <v>211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249</v>
      </c>
      <c r="P8" t="s">
        <v>262</v>
      </c>
      <c r="Q8" t="s">
        <v>76</v>
      </c>
      <c r="R8">
        <v>0.2</v>
      </c>
      <c r="S8" t="s">
        <v>261</v>
      </c>
      <c r="T8" t="s">
        <v>211</v>
      </c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216</v>
      </c>
      <c r="P9" t="s">
        <v>263</v>
      </c>
      <c r="Q9" t="s">
        <v>76</v>
      </c>
      <c r="R9">
        <v>0.15</v>
      </c>
      <c r="S9" t="s">
        <v>261</v>
      </c>
      <c r="T9" t="s">
        <v>211</v>
      </c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217</v>
      </c>
      <c r="P10" t="s">
        <v>266</v>
      </c>
      <c r="Q10" t="s">
        <v>76</v>
      </c>
      <c r="R10">
        <v>0.15</v>
      </c>
      <c r="S10" t="s">
        <v>261</v>
      </c>
      <c r="T10" t="s">
        <v>211</v>
      </c>
    </row>
    <row r="11" spans="1:26" x14ac:dyDescent="0.3">
      <c r="O11" t="s">
        <v>218</v>
      </c>
      <c r="P11" t="s">
        <v>267</v>
      </c>
      <c r="Q11" t="s">
        <v>76</v>
      </c>
      <c r="R11">
        <v>0.15</v>
      </c>
      <c r="S11" t="s">
        <v>261</v>
      </c>
      <c r="T11" t="s">
        <v>211</v>
      </c>
    </row>
    <row r="12" spans="1:26" x14ac:dyDescent="0.3">
      <c r="O12" t="s">
        <v>219</v>
      </c>
      <c r="P12" t="s">
        <v>268</v>
      </c>
      <c r="Q12" t="s">
        <v>76</v>
      </c>
      <c r="R12">
        <v>0.15</v>
      </c>
      <c r="S12" t="s">
        <v>261</v>
      </c>
      <c r="T12" t="s">
        <v>211</v>
      </c>
    </row>
    <row r="13" spans="1:26" x14ac:dyDescent="0.3">
      <c r="O13" t="s">
        <v>220</v>
      </c>
      <c r="P13" t="s">
        <v>269</v>
      </c>
      <c r="Q13" t="s">
        <v>76</v>
      </c>
      <c r="R13">
        <v>0.15</v>
      </c>
      <c r="S13" t="s">
        <v>261</v>
      </c>
      <c r="T13" t="s">
        <v>211</v>
      </c>
    </row>
    <row r="14" spans="1:26" x14ac:dyDescent="0.3">
      <c r="O14" t="s">
        <v>300</v>
      </c>
      <c r="P14" t="s">
        <v>301</v>
      </c>
      <c r="Q14" t="s">
        <v>76</v>
      </c>
      <c r="R14">
        <v>0.25</v>
      </c>
    </row>
    <row r="15" spans="1:26" x14ac:dyDescent="0.3">
      <c r="O15" t="s">
        <v>302</v>
      </c>
      <c r="P15" t="s">
        <v>303</v>
      </c>
      <c r="Q15" t="s">
        <v>76</v>
      </c>
      <c r="R15">
        <v>0.25</v>
      </c>
    </row>
    <row r="16" spans="1:26" x14ac:dyDescent="0.3">
      <c r="O16" t="s">
        <v>305</v>
      </c>
      <c r="P16" t="s">
        <v>306</v>
      </c>
      <c r="Q16" t="s">
        <v>76</v>
      </c>
      <c r="R16">
        <v>0.01</v>
      </c>
      <c r="T16" s="16"/>
    </row>
    <row r="17" spans="15:19" x14ac:dyDescent="0.3">
      <c r="O17" t="s">
        <v>307</v>
      </c>
      <c r="P17" t="s">
        <v>308</v>
      </c>
      <c r="Q17" t="s">
        <v>76</v>
      </c>
      <c r="R17">
        <v>0.2</v>
      </c>
    </row>
    <row r="18" spans="15:19" x14ac:dyDescent="0.3">
      <c r="O18" t="s">
        <v>309</v>
      </c>
      <c r="P18" t="s">
        <v>310</v>
      </c>
      <c r="Q18" t="s">
        <v>76</v>
      </c>
      <c r="R18">
        <v>0.02</v>
      </c>
    </row>
    <row r="19" spans="15:19" x14ac:dyDescent="0.3">
      <c r="O19" t="s">
        <v>311</v>
      </c>
      <c r="P19" t="s">
        <v>312</v>
      </c>
      <c r="Q19" t="s">
        <v>76</v>
      </c>
      <c r="R19">
        <v>0.02</v>
      </c>
    </row>
    <row r="20" spans="15:19" x14ac:dyDescent="0.3">
      <c r="O20" t="s">
        <v>313</v>
      </c>
      <c r="P20" t="s">
        <v>314</v>
      </c>
      <c r="Q20" t="s">
        <v>76</v>
      </c>
      <c r="R20">
        <v>5.0000000000000001E-3</v>
      </c>
    </row>
    <row r="21" spans="15:19" x14ac:dyDescent="0.3">
      <c r="O21" t="s">
        <v>315</v>
      </c>
      <c r="P21" t="s">
        <v>316</v>
      </c>
      <c r="Q21" t="s">
        <v>319</v>
      </c>
      <c r="R21">
        <v>7.5010000000000003</v>
      </c>
    </row>
    <row r="22" spans="15:19" x14ac:dyDescent="0.3">
      <c r="O22" t="s">
        <v>317</v>
      </c>
      <c r="P22" t="s">
        <v>318</v>
      </c>
      <c r="Q22" t="s">
        <v>319</v>
      </c>
      <c r="R22">
        <v>6.53</v>
      </c>
    </row>
    <row r="23" spans="15:19" x14ac:dyDescent="0.3">
      <c r="O23" t="s">
        <v>320</v>
      </c>
      <c r="P23" t="s">
        <v>322</v>
      </c>
      <c r="Q23" t="s">
        <v>76</v>
      </c>
      <c r="R23">
        <v>0.7</v>
      </c>
    </row>
    <row r="24" spans="15:19" x14ac:dyDescent="0.3">
      <c r="O24" t="s">
        <v>321</v>
      </c>
      <c r="P24" t="s">
        <v>323</v>
      </c>
      <c r="Q24" t="s">
        <v>76</v>
      </c>
      <c r="R24">
        <v>0.02</v>
      </c>
    </row>
    <row r="25" spans="15:19" x14ac:dyDescent="0.3">
      <c r="O25" t="s">
        <v>325</v>
      </c>
      <c r="P25" t="s">
        <v>326</v>
      </c>
      <c r="Q25" t="s">
        <v>319</v>
      </c>
      <c r="R25">
        <v>1250</v>
      </c>
      <c r="S25" t="s">
        <v>324</v>
      </c>
    </row>
    <row r="26" spans="15:19" x14ac:dyDescent="0.3">
      <c r="O26" t="s">
        <v>327</v>
      </c>
      <c r="P26" t="s">
        <v>328</v>
      </c>
      <c r="Q26" t="s">
        <v>76</v>
      </c>
      <c r="R26">
        <v>0.15</v>
      </c>
    </row>
    <row r="27" spans="15:19" x14ac:dyDescent="0.3">
      <c r="O27" t="s">
        <v>329</v>
      </c>
      <c r="P27" t="s">
        <v>337</v>
      </c>
      <c r="Q27" t="s">
        <v>76</v>
      </c>
      <c r="R27">
        <v>0.05</v>
      </c>
    </row>
    <row r="28" spans="15:19" x14ac:dyDescent="0.3">
      <c r="O28" t="s">
        <v>330</v>
      </c>
      <c r="P28" t="s">
        <v>338</v>
      </c>
      <c r="Q28" t="s">
        <v>76</v>
      </c>
      <c r="R28">
        <v>0.05</v>
      </c>
    </row>
    <row r="29" spans="15:19" x14ac:dyDescent="0.3">
      <c r="O29" t="s">
        <v>335</v>
      </c>
      <c r="P29" t="s">
        <v>339</v>
      </c>
      <c r="Q29" t="s">
        <v>76</v>
      </c>
      <c r="R29">
        <v>0.05</v>
      </c>
    </row>
    <row r="30" spans="15:19" x14ac:dyDescent="0.3">
      <c r="O30" t="s">
        <v>336</v>
      </c>
      <c r="P30" t="s">
        <v>340</v>
      </c>
      <c r="Q30" t="s">
        <v>76</v>
      </c>
      <c r="R30">
        <v>0.05</v>
      </c>
    </row>
    <row r="31" spans="15:19" x14ac:dyDescent="0.3">
      <c r="O31" t="s">
        <v>331</v>
      </c>
      <c r="P31" t="s">
        <v>341</v>
      </c>
      <c r="Q31" t="s">
        <v>76</v>
      </c>
      <c r="R31">
        <v>5.0000000000000001E-3</v>
      </c>
    </row>
    <row r="32" spans="15:19" x14ac:dyDescent="0.3">
      <c r="O32" t="s">
        <v>332</v>
      </c>
      <c r="P32" t="s">
        <v>342</v>
      </c>
      <c r="Q32" t="s">
        <v>76</v>
      </c>
      <c r="R32">
        <v>5.0000000000000001E-3</v>
      </c>
    </row>
    <row r="33" spans="15:20" x14ac:dyDescent="0.3">
      <c r="O33" t="s">
        <v>333</v>
      </c>
      <c r="P33" t="s">
        <v>343</v>
      </c>
      <c r="Q33" t="s">
        <v>76</v>
      </c>
      <c r="R33">
        <v>5.0000000000000001E-3</v>
      </c>
    </row>
    <row r="34" spans="15:20" x14ac:dyDescent="0.3">
      <c r="O34" t="s">
        <v>334</v>
      </c>
      <c r="P34" t="s">
        <v>344</v>
      </c>
      <c r="Q34" t="s">
        <v>76</v>
      </c>
      <c r="R34">
        <v>5.0000000000000001E-3</v>
      </c>
    </row>
    <row r="35" spans="15:20" x14ac:dyDescent="0.3">
      <c r="O35" t="s">
        <v>345</v>
      </c>
      <c r="P35" t="s">
        <v>346</v>
      </c>
      <c r="Q35" t="s">
        <v>55</v>
      </c>
      <c r="R35">
        <v>4</v>
      </c>
      <c r="S35" t="s">
        <v>347</v>
      </c>
      <c r="T35" t="s">
        <v>348</v>
      </c>
    </row>
    <row r="47" spans="15:20" x14ac:dyDescent="0.3">
      <c r="O47" s="25" t="s">
        <v>115</v>
      </c>
      <c r="P47" s="27"/>
      <c r="Q47" s="27"/>
      <c r="R47" s="27"/>
      <c r="S47" s="26"/>
    </row>
    <row r="48" spans="15:20" x14ac:dyDescent="0.3">
      <c r="O48" t="s">
        <v>11</v>
      </c>
      <c r="P48" t="s">
        <v>12</v>
      </c>
      <c r="Q48" t="s">
        <v>13</v>
      </c>
      <c r="R48" t="s">
        <v>14</v>
      </c>
      <c r="S48" t="s">
        <v>15</v>
      </c>
    </row>
    <row r="49" spans="15:15" x14ac:dyDescent="0.3">
      <c r="O49" t="s">
        <v>116</v>
      </c>
    </row>
    <row r="50" spans="15:15" x14ac:dyDescent="0.3">
      <c r="O50" t="s">
        <v>117</v>
      </c>
    </row>
  </sheetData>
  <mergeCells count="12">
    <mergeCell ref="O47:S47"/>
    <mergeCell ref="X1:Y1"/>
    <mergeCell ref="X2:Y2"/>
    <mergeCell ref="A3:N3"/>
    <mergeCell ref="O3:S3"/>
    <mergeCell ref="U3:Y3"/>
    <mergeCell ref="A1:W2"/>
    <mergeCell ref="A4:B4"/>
    <mergeCell ref="D4:E4"/>
    <mergeCell ref="G4:H4"/>
    <mergeCell ref="J4:K4"/>
    <mergeCell ref="M4:N4"/>
  </mergeCell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2BCB-5026-4566-9C09-8A20B02E1A72}">
  <dimension ref="A1:Z10"/>
  <sheetViews>
    <sheetView topLeftCell="K1" workbookViewId="0">
      <selection activeCell="Q7" sqref="Q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6.109375" bestFit="1" customWidth="1"/>
    <col min="16" max="16" width="16.21875" bestFit="1" customWidth="1"/>
    <col min="17" max="17" width="6.77734375" bestFit="1" customWidth="1"/>
    <col min="18" max="18" width="12" bestFit="1" customWidth="1"/>
    <col min="19" max="19" width="32.33203125" customWidth="1"/>
    <col min="20" max="20" width="16.1093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6" ht="14.4" customHeight="1" x14ac:dyDescent="0.3">
      <c r="A1" s="28" t="s">
        <v>33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6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118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ht="44.4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189</v>
      </c>
      <c r="P5" t="s">
        <v>189</v>
      </c>
      <c r="Q5" t="s">
        <v>63</v>
      </c>
      <c r="R5" t="s">
        <v>190</v>
      </c>
      <c r="S5" s="18" t="s">
        <v>201</v>
      </c>
      <c r="T5" s="18" t="s">
        <v>198</v>
      </c>
    </row>
    <row r="6" spans="1:26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191</v>
      </c>
      <c r="P6" t="s">
        <v>191</v>
      </c>
      <c r="Q6" t="s">
        <v>63</v>
      </c>
      <c r="R6" t="s">
        <v>193</v>
      </c>
      <c r="S6" t="s">
        <v>194</v>
      </c>
      <c r="T6" s="17" t="s">
        <v>198</v>
      </c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195</v>
      </c>
      <c r="P7" t="s">
        <v>195</v>
      </c>
      <c r="Q7" t="s">
        <v>63</v>
      </c>
      <c r="R7" t="s">
        <v>192</v>
      </c>
      <c r="S7" t="s">
        <v>194</v>
      </c>
      <c r="T7" s="17" t="s">
        <v>198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</sheetData>
  <mergeCells count="11">
    <mergeCell ref="X1:Y1"/>
    <mergeCell ref="X2:Y2"/>
    <mergeCell ref="A3:N3"/>
    <mergeCell ref="O3:S3"/>
    <mergeCell ref="U3:Y3"/>
    <mergeCell ref="A1:W2"/>
    <mergeCell ref="A4:B4"/>
    <mergeCell ref="D4:E4"/>
    <mergeCell ref="G4:H4"/>
    <mergeCell ref="J4:K4"/>
    <mergeCell ref="M4:N4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36A2-C19E-4B36-9C28-6720F04A82A2}">
  <dimension ref="A1:AA16"/>
  <sheetViews>
    <sheetView topLeftCell="Q1" workbookViewId="0">
      <selection activeCell="V7" sqref="V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5.4414062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6" customWidth="1"/>
    <col min="23" max="23" width="18.88671875" customWidth="1"/>
    <col min="24" max="24" width="21.109375" customWidth="1"/>
    <col min="25" max="25" width="49.109375" customWidth="1"/>
    <col min="26" max="26" width="64.109375" customWidth="1"/>
  </cols>
  <sheetData>
    <row r="1" spans="1:27" ht="14.4" customHeight="1" x14ac:dyDescent="0.3">
      <c r="A1" s="28" t="s">
        <v>119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7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120</v>
      </c>
      <c r="Y2" s="24"/>
    </row>
    <row r="3" spans="1:27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114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7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7" x14ac:dyDescent="0.3">
      <c r="A5" s="1" t="s">
        <v>121</v>
      </c>
      <c r="B5" t="s">
        <v>22</v>
      </c>
      <c r="D5" t="s">
        <v>121</v>
      </c>
      <c r="E5" t="s">
        <v>23</v>
      </c>
      <c r="G5" t="s">
        <v>121</v>
      </c>
      <c r="H5" t="s">
        <v>24</v>
      </c>
      <c r="J5" t="s">
        <v>121</v>
      </c>
      <c r="K5" t="s">
        <v>25</v>
      </c>
      <c r="M5" t="s">
        <v>121</v>
      </c>
      <c r="N5" s="2" t="s">
        <v>26</v>
      </c>
      <c r="O5" t="s">
        <v>122</v>
      </c>
      <c r="P5" t="s">
        <v>123</v>
      </c>
      <c r="Q5" t="s">
        <v>124</v>
      </c>
      <c r="R5" t="s">
        <v>125</v>
      </c>
      <c r="S5" t="s">
        <v>126</v>
      </c>
      <c r="T5" t="s">
        <v>199</v>
      </c>
      <c r="U5">
        <v>1</v>
      </c>
      <c r="V5">
        <v>1</v>
      </c>
      <c r="W5" t="s">
        <v>127</v>
      </c>
      <c r="X5" t="s">
        <v>128</v>
      </c>
      <c r="Y5" s="6" t="s">
        <v>129</v>
      </c>
      <c r="Z5" t="s">
        <v>130</v>
      </c>
      <c r="AA5" t="s">
        <v>125</v>
      </c>
    </row>
    <row r="6" spans="1:27" x14ac:dyDescent="0.3">
      <c r="A6" s="1" t="s">
        <v>52</v>
      </c>
      <c r="B6">
        <v>1.7749999999999999</v>
      </c>
      <c r="D6" t="s">
        <v>52</v>
      </c>
      <c r="E6">
        <v>0</v>
      </c>
      <c r="G6" t="s">
        <v>52</v>
      </c>
      <c r="H6">
        <f>Table254858633132740[[#This Row],[Peak Power '[W']]]*0.85</f>
        <v>0</v>
      </c>
      <c r="J6" t="s">
        <v>52</v>
      </c>
      <c r="K6">
        <v>0</v>
      </c>
      <c r="M6" t="s">
        <v>52</v>
      </c>
      <c r="N6" s="2">
        <v>137.28</v>
      </c>
      <c r="U6">
        <v>2</v>
      </c>
      <c r="V6">
        <v>3</v>
      </c>
      <c r="W6" t="s">
        <v>131</v>
      </c>
      <c r="X6" t="s">
        <v>132</v>
      </c>
      <c r="Y6" s="6" t="s">
        <v>133</v>
      </c>
      <c r="Z6" t="s">
        <v>134</v>
      </c>
    </row>
    <row r="7" spans="1:27" x14ac:dyDescent="0.3">
      <c r="A7" s="1" t="s">
        <v>57</v>
      </c>
      <c r="B7">
        <f>V6*0.024</f>
        <v>7.2000000000000008E-2</v>
      </c>
      <c r="D7" t="s">
        <v>57</v>
      </c>
      <c r="E7">
        <f>V6*30</f>
        <v>90</v>
      </c>
      <c r="G7" t="s">
        <v>57</v>
      </c>
      <c r="H7">
        <f>Table254858633132740[[#This Row],[Peak Power '[W']]]*0.85</f>
        <v>76.5</v>
      </c>
      <c r="J7" t="s">
        <v>57</v>
      </c>
      <c r="K7">
        <v>0</v>
      </c>
      <c r="M7" t="s">
        <v>57</v>
      </c>
      <c r="N7" s="2">
        <f>2148*0.9*V6</f>
        <v>5799.6</v>
      </c>
      <c r="U7">
        <v>3</v>
      </c>
      <c r="V7">
        <v>6</v>
      </c>
      <c r="W7" t="s">
        <v>135</v>
      </c>
      <c r="X7" t="s">
        <v>136</v>
      </c>
      <c r="Y7" s="6" t="s">
        <v>137</v>
      </c>
      <c r="Z7" t="s">
        <v>138</v>
      </c>
    </row>
    <row r="8" spans="1:27" x14ac:dyDescent="0.3">
      <c r="A8" s="1" t="s">
        <v>60</v>
      </c>
      <c r="B8">
        <f>V7*0.024</f>
        <v>0.14400000000000002</v>
      </c>
      <c r="D8" t="s">
        <v>60</v>
      </c>
      <c r="E8">
        <v>0</v>
      </c>
      <c r="G8" t="s">
        <v>60</v>
      </c>
      <c r="H8">
        <v>0</v>
      </c>
      <c r="J8" t="s">
        <v>60</v>
      </c>
      <c r="K8">
        <v>0</v>
      </c>
      <c r="M8" t="s">
        <v>60</v>
      </c>
      <c r="N8" s="2">
        <f>42.45*V7</f>
        <v>254.70000000000002</v>
      </c>
      <c r="U8">
        <v>4</v>
      </c>
      <c r="V8">
        <v>1</v>
      </c>
      <c r="W8" t="s">
        <v>139</v>
      </c>
      <c r="X8" t="s">
        <v>140</v>
      </c>
      <c r="Y8" s="6" t="s">
        <v>141</v>
      </c>
      <c r="Z8" t="s">
        <v>142</v>
      </c>
    </row>
    <row r="9" spans="1:27" x14ac:dyDescent="0.3">
      <c r="A9" s="1" t="s">
        <v>65</v>
      </c>
      <c r="B9">
        <v>5.8999999999999997E-2</v>
      </c>
      <c r="D9" t="s">
        <v>65</v>
      </c>
      <c r="E9">
        <v>0</v>
      </c>
      <c r="G9" t="s">
        <v>65</v>
      </c>
      <c r="H9">
        <f>Table254858633132740[[#This Row],[Peak Power '[W']]]*0.85</f>
        <v>0</v>
      </c>
      <c r="J9" t="s">
        <v>65</v>
      </c>
      <c r="K9">
        <v>0</v>
      </c>
      <c r="M9" t="s">
        <v>65</v>
      </c>
      <c r="N9">
        <v>48.07</v>
      </c>
      <c r="U9">
        <v>5</v>
      </c>
      <c r="V9">
        <v>1</v>
      </c>
      <c r="W9" t="s">
        <v>143</v>
      </c>
      <c r="X9" t="s">
        <v>144</v>
      </c>
      <c r="Y9" s="6" t="s">
        <v>145</v>
      </c>
      <c r="Z9" t="s">
        <v>146</v>
      </c>
    </row>
    <row r="10" spans="1:27" x14ac:dyDescent="0.3">
      <c r="A10" s="1" t="s">
        <v>68</v>
      </c>
      <c r="B10">
        <v>34.200000000000003</v>
      </c>
      <c r="D10" t="s">
        <v>68</v>
      </c>
      <c r="E10">
        <v>0</v>
      </c>
      <c r="G10" t="s">
        <v>68</v>
      </c>
      <c r="H10">
        <f>Table254858633132740[[#This Row],[Peak Power '[W']]]*0.85</f>
        <v>0</v>
      </c>
      <c r="J10" t="s">
        <v>68</v>
      </c>
      <c r="K10">
        <v>0</v>
      </c>
      <c r="M10" t="s">
        <v>68</v>
      </c>
      <c r="N10" s="2">
        <v>2.6549999999999998</v>
      </c>
    </row>
    <row r="12" spans="1:27" x14ac:dyDescent="0.3">
      <c r="A12" s="1"/>
      <c r="M12" s="1"/>
    </row>
    <row r="14" spans="1:27" x14ac:dyDescent="0.3">
      <c r="A14" s="1"/>
      <c r="D14" s="1"/>
      <c r="G14" s="1"/>
      <c r="J14" s="1"/>
      <c r="M14" s="1"/>
    </row>
    <row r="16" spans="1:27" x14ac:dyDescent="0.3">
      <c r="D16" s="1"/>
      <c r="G16" s="1"/>
      <c r="J16" s="1"/>
    </row>
  </sheetData>
  <mergeCells count="11">
    <mergeCell ref="A4:B4"/>
    <mergeCell ref="D4:E4"/>
    <mergeCell ref="G4:H4"/>
    <mergeCell ref="J4:K4"/>
    <mergeCell ref="M4:N4"/>
    <mergeCell ref="A1:W2"/>
    <mergeCell ref="X1:Y1"/>
    <mergeCell ref="X2:Y2"/>
    <mergeCell ref="A3:N3"/>
    <mergeCell ref="O3:S3"/>
    <mergeCell ref="U3:Y3"/>
  </mergeCells>
  <hyperlinks>
    <hyperlink ref="Y5" r:id="rId1" xr:uid="{C0ECF51A-21E2-46D4-BFDF-0FEB6B4D6207}"/>
    <hyperlink ref="Y6" r:id="rId2" xr:uid="{98652AAB-80D1-47D0-BECB-BC5915C245B9}"/>
    <hyperlink ref="Y7" r:id="rId3" xr:uid="{8E938A74-463C-4BB0-9556-90E283930EC1}"/>
    <hyperlink ref="Y8" r:id="rId4" xr:uid="{76C32965-1935-4336-8A2D-1185ECC73A60}"/>
    <hyperlink ref="Y9" r:id="rId5" xr:uid="{FC39C492-9A50-4F7F-9DFC-2DBE1B28907D}"/>
  </hyperlinks>
  <pageMargins left="0.7" right="0.7" top="0.75" bottom="0.75" header="0.3" footer="0.3"/>
  <tableParts count="7">
    <tablePart r:id="rId6"/>
    <tablePart r:id="rId7"/>
    <tablePart r:id="rId8"/>
    <tablePart r:id="rId9"/>
    <tablePart r:id="rId10"/>
    <tablePart r:id="rId11"/>
    <tablePart r:id="rId1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6010-BE3E-4036-BEEA-712E8F6E2207}">
  <dimension ref="A1:Z22"/>
  <sheetViews>
    <sheetView zoomScaleNormal="100" workbookViewId="0">
      <selection activeCell="J15" sqref="J15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22.10937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3.5546875" customWidth="1"/>
    <col min="24" max="24" width="24.5546875" customWidth="1"/>
    <col min="25" max="25" width="61.44140625" customWidth="1"/>
    <col min="26" max="26" width="19.88671875" customWidth="1"/>
  </cols>
  <sheetData>
    <row r="1" spans="1:26" ht="14.4" customHeight="1" x14ac:dyDescent="0.3">
      <c r="A1" s="28" t="s">
        <v>349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6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120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148</v>
      </c>
      <c r="P5" t="s">
        <v>149</v>
      </c>
      <c r="Q5" t="s">
        <v>76</v>
      </c>
      <c r="R5">
        <f t="shared" ref="R5" si="0">CONVERT(84, "in","m")</f>
        <v>2.1335999999999999</v>
      </c>
      <c r="T5" t="s">
        <v>200</v>
      </c>
      <c r="U5">
        <v>1</v>
      </c>
      <c r="V5">
        <v>1</v>
      </c>
      <c r="W5" t="s">
        <v>150</v>
      </c>
      <c r="X5" t="s">
        <v>151</v>
      </c>
      <c r="Y5" s="6" t="s">
        <v>152</v>
      </c>
      <c r="Z5" t="s">
        <v>153</v>
      </c>
    </row>
    <row r="6" spans="1:26" x14ac:dyDescent="0.3">
      <c r="A6" s="1" t="s">
        <v>52</v>
      </c>
      <c r="B6">
        <v>0.65</v>
      </c>
      <c r="D6" t="s">
        <v>52</v>
      </c>
      <c r="E6">
        <v>0</v>
      </c>
      <c r="G6" t="s">
        <v>52</v>
      </c>
      <c r="H6">
        <v>0</v>
      </c>
      <c r="J6" t="s">
        <v>52</v>
      </c>
      <c r="K6">
        <v>0</v>
      </c>
      <c r="M6" t="s">
        <v>52</v>
      </c>
      <c r="N6" s="2">
        <v>566.02</v>
      </c>
      <c r="O6" t="s">
        <v>154</v>
      </c>
      <c r="P6" t="s">
        <v>155</v>
      </c>
      <c r="Q6" t="s">
        <v>63</v>
      </c>
      <c r="R6">
        <f>10*9.80665/(0.5*1.225*4.6^2*PI()*(R5/2)^2)</f>
        <v>2.1163282658337477</v>
      </c>
      <c r="T6" t="s">
        <v>200</v>
      </c>
      <c r="U6">
        <v>2</v>
      </c>
      <c r="V6">
        <v>1</v>
      </c>
      <c r="W6" t="s">
        <v>175</v>
      </c>
      <c r="X6" t="s">
        <v>176</v>
      </c>
      <c r="Y6" s="6" t="s">
        <v>177</v>
      </c>
    </row>
    <row r="7" spans="1:26" x14ac:dyDescent="0.3">
      <c r="A7" s="1" t="s">
        <v>57</v>
      </c>
      <c r="B7">
        <v>8.9999999999999993E-3</v>
      </c>
      <c r="D7" t="s">
        <v>57</v>
      </c>
      <c r="E7">
        <v>0</v>
      </c>
      <c r="G7" t="s">
        <v>57</v>
      </c>
      <c r="H7">
        <v>0</v>
      </c>
      <c r="J7" t="s">
        <v>57</v>
      </c>
      <c r="K7">
        <v>0</v>
      </c>
      <c r="M7" t="s">
        <v>57</v>
      </c>
      <c r="N7" s="2">
        <v>14</v>
      </c>
      <c r="O7" t="s">
        <v>156</v>
      </c>
      <c r="P7" t="s">
        <v>157</v>
      </c>
      <c r="Q7" t="s">
        <v>46</v>
      </c>
      <c r="R7">
        <f>SQRT(R22*9.80665/(0.5*Master!C26*(R5/2)^2*PI()*R6))</f>
        <v>3.9837168574084179</v>
      </c>
      <c r="T7" t="s">
        <v>200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  <row r="20" spans="15:20" x14ac:dyDescent="0.3">
      <c r="O20" s="25" t="s">
        <v>115</v>
      </c>
      <c r="P20" s="27"/>
      <c r="Q20" s="27"/>
      <c r="R20" s="27"/>
      <c r="S20" s="26"/>
      <c r="T20" s="16"/>
    </row>
    <row r="21" spans="15:20" x14ac:dyDescent="0.3">
      <c r="O21" t="s">
        <v>11</v>
      </c>
      <c r="P21" t="s">
        <v>12</v>
      </c>
      <c r="Q21" t="s">
        <v>13</v>
      </c>
      <c r="R21" t="s">
        <v>14</v>
      </c>
      <c r="S21" t="s">
        <v>15</v>
      </c>
    </row>
    <row r="22" spans="15:20" x14ac:dyDescent="0.3">
      <c r="O22" t="s">
        <v>158</v>
      </c>
      <c r="P22" t="s">
        <v>159</v>
      </c>
      <c r="Q22" t="s">
        <v>55</v>
      </c>
      <c r="R22">
        <f>Master!B13</f>
        <v>7.5</v>
      </c>
      <c r="S22" t="s">
        <v>158</v>
      </c>
    </row>
  </sheetData>
  <mergeCells count="12">
    <mergeCell ref="O20:S20"/>
    <mergeCell ref="A4:B4"/>
    <mergeCell ref="D4:E4"/>
    <mergeCell ref="G4:H4"/>
    <mergeCell ref="J4:K4"/>
    <mergeCell ref="M4:N4"/>
    <mergeCell ref="A1:W2"/>
    <mergeCell ref="X1:Y1"/>
    <mergeCell ref="X2:Y2"/>
    <mergeCell ref="A3:N3"/>
    <mergeCell ref="O3:S3"/>
    <mergeCell ref="U3:Y3"/>
  </mergeCells>
  <hyperlinks>
    <hyperlink ref="Y5" r:id="rId1" xr:uid="{6B8187FD-8777-43AE-A3E9-8E4EAE890D04}"/>
    <hyperlink ref="Y6" r:id="rId2" xr:uid="{B168D0E5-E6F3-418C-815D-3F78CE9F1332}"/>
  </hyperlinks>
  <pageMargins left="0.7" right="0.7" top="0.75" bottom="0.75" header="0.3" footer="0.3"/>
  <pageSetup paperSize="9" orientation="portrait" r:id="rId3"/>
  <tableParts count="8"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s q m i d = " c b 3 7 b 8 b d - 6 d 8 7 - 4 6 9 1 - b 9 b 3 - 4 7 a a a 9 4 c f 3 a 2 "   x m l n s = " h t t p : / / s c h e m a s . m i c r o s o f t . c o m / D a t a M a s h u p " > A A A A A K g E A A B Q S w M E F A A C A A g A q Y n C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C p i c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Y n C V i q u V Q i g A Q A A Z g U A A B M A H A B G b 3 J t d W x h c y 9 T Z W N 0 a W 9 u M S 5 t I K I Y A C i g F A A A A A A A A A A A A A A A A A A A A A A A A A A A A M V U w W r b Q B C 9 G / w P i 3 K R w B j a a 8 k h V R I I J E V Y b n s I Q Y x W E 3 v x 7 o z Z X S U V x v / e U U R a 4 y R N E Z T q s m h G 7 8 3 b p 7 c b U E f D p M p h / f B p O p l O w h o 8 N u o G Q k R f n W M w K 6 o K 8 O B Q C k G d K o t x O l H y l N x 6 j V K 5 + K H R z v P W e 6 T 4 n f 2 m Z t 6 k 2 e 7 2 i 6 B O k 7 e 4 k r v 9 b c 4 U B X Q 3 G y h P k n w N t B I B y 2 6 L i X A v o b Y 4 X 3 q g c M / e 5 W x b R 3 0 z p E M r Z 1 c b w n Q 3 M L y j 5 b y o z t B z 0 x E 4 o 1 + T 8 D 5 B G a E 2 1 s S u 6 q G e 7 S i W w v O 2 t U G M H y n C t z q 2 H s f t o b A Q H I y D 8 i P 6 U c h r o M b Q q i o 7 C Y Q b R X H 2 I I a N / X E F d J a h O c T 2 0 H 0 2 U 7 t d 8 i u Y y U x F C Z g C 6 v b S S c r O 1 W y V I a W 5 w e P u V z L x u P Y N b P v i Q w m q k 5 H h s C 6 j n 4 O / Q M c P E v z P F m i j F v w Y f s e / R C t n t K + l R y d k p h D 0 W h F H d W 1 C n F + F C 7 e N X f r 0 M l D e Q N R r s f 1 K P A / p A j X 7 Z n 5 p 0 D Z P M k N a 9 f t P h I p a a / d Z l k 0 n h v 4 g 6 / C e O H n z d K v 0 Y 5 b 8 8 + v i L 1 0 b Z v 8 X s 3 4 C U E s B A i 0 A F A A C A A g A q Y n C V o u g g I 6 m A A A A 9 g A A A B I A A A A A A A A A A A A A A A A A A A A A A E N v b m Z p Z y 9 Q Y W N r Y W d l L n h t b F B L A Q I t A B Q A A g A I A K m J w l Y P y u m r p A A A A O k A A A A T A A A A A A A A A A A A A A A A A P I A A A B b Q 2 9 u d G V u d F 9 U e X B l c 1 0 u e G 1 s U E s B A i 0 A F A A C A A g A q Y n C V i q u V Q i g A Q A A Z g U A A B M A A A A A A A A A A A A A A A A A 4 w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g A A A A A A A A o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0 1 h c 3 R l c l 9 E Z X N p Z 2 5 f U G F y Y W 1 l d G V y c y I g L z 4 8 R W 5 0 c n k g V H l w Z T 0 i R m l s b G V k Q 2 9 t c G x l d G V S Z X N 1 b H R U b 1 d v c m t z a G V l d C I g V m F s d W U 9 I m w x I i A v P j x F b n R y e S B U e X B l P S J R d W V y e U l E I i B W Y W x 1 Z T 0 i c z V j O D V h Z m E 3 L W E 1 N z k t N G M x M C 0 4 Z G Z l L T U 0 Y W N i M 2 I 4 Y z F j N C I g L z 4 8 R W 5 0 c n k g V H l w Z T 0 i U m V j b 3 Z l c n l U Y X J n Z X R T a G V l d C I g V m F s d W U 9 I n N N Y X N 0 Z X J f R G V z a W d u X 1 B h c m F t Z X R l c n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Y t M D J U M T U 6 M T M 6 M T k u M z I 3 N D k 1 M F o i I C 8 + P E V u d H J 5 I F R 5 c G U 9 I k Z p b G x D b 3 V u d C I g V m F s d W U 9 I m w 2 N i I g L z 4 8 R W 5 0 c n k g V H l w Z T 0 i R m l s b E N v b H V t b l R 5 c G V z I i B W Y W x 1 Z T 0 i c 0 F B Q U F B Q U F B I i A v P j x F b n R y e S B U e X B l P S J B Z G R l Z F R v R G F 0 Y U 1 v Z G V s I i B W Y W x 1 Z T 0 i b D A i I C 8 + P E V u d H J 5 I F R 5 c G U 9 I k Z p b G x D b 2 x 1 b W 5 O Y W 1 l c y I g V m F s d W U 9 I n N b J n F 1 b 3 Q 7 U G F y Y W 1 l d G V y J n F 1 b 3 Q 7 L C Z x d W 9 0 O 1 N 5 b W J v b C B p b i B j b 2 R l J n F 1 b 3 Q 7 L C Z x d W 9 0 O 1 V u a X Q m c X V v d D s s J n F 1 b 3 Q 7 V m F s d W U m c X V v d D s s J n F 1 b 3 Q 7 Q 2 9 t b W V u d H M m c X V v d D s s J n F 1 b 3 Q 7 S W R l b n R p Z m l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9 E Z X N p Z 2 5 f U G F y Y W 1 l d G V y c y 9 B d X R v U m V t b 3 Z l Z E N v b H V t b n M x L n t Q Y X J h b W V 0 Z X I s M H 0 m c X V v d D s s J n F 1 b 3 Q 7 U 2 V j d G l v b j E v T W F z d G V y X 0 R l c 2 l n b l 9 Q Y X J h b W V 0 Z X J z L 0 F 1 d G 9 S Z W 1 v d m V k Q 2 9 s d W 1 u c z E u e 1 N 5 b W J v b C B p b i B j b 2 R l L D F 9 J n F 1 b 3 Q 7 L C Z x d W 9 0 O 1 N l Y 3 R p b 2 4 x L 0 1 h c 3 R l c l 9 E Z X N p Z 2 5 f U G F y Y W 1 l d G V y c y 9 B d X R v U m V t b 3 Z l Z E N v b H V t b n M x L n t V b m l 0 L D J 9 J n F 1 b 3 Q 7 L C Z x d W 9 0 O 1 N l Y 3 R p b 2 4 x L 0 1 h c 3 R l c l 9 E Z X N p Z 2 5 f U G F y Y W 1 l d G V y c y 9 B d X R v U m V t b 3 Z l Z E N v b H V t b n M x L n t W Y W x 1 Z S w z f S Z x d W 9 0 O y w m c X V v d D t T Z W N 0 a W 9 u M S 9 N Y X N 0 Z X J f R G V z a W d u X 1 B h c m F t Z X R l c n M v Q X V 0 b 1 J l b W 9 2 Z W R D b 2 x 1 b W 5 z M S 5 7 Q 2 9 t b W V u d H M s N H 0 m c X V v d D s s J n F 1 b 3 Q 7 U 2 V j d G l v b j E v T W F z d G V y X 0 R l c 2 l n b l 9 Q Y X J h b W V 0 Z X J z L 0 F 1 d G 9 S Z W 1 v d m V k Q 2 9 s d W 1 u c z E u e 0 l k Z W 5 0 a W Z p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F z d G V y X 0 R l c 2 l n b l 9 Q Y X J h b W V 0 Z X J z L 0 F 1 d G 9 S Z W 1 v d m V k Q 2 9 s d W 1 u c z E u e 1 B h c m F t Z X R l c i w w f S Z x d W 9 0 O y w m c X V v d D t T Z W N 0 a W 9 u M S 9 N Y X N 0 Z X J f R G V z a W d u X 1 B h c m F t Z X R l c n M v Q X V 0 b 1 J l b W 9 2 Z W R D b 2 x 1 b W 5 z M S 5 7 U 3 l t Y m 9 s I G l u I G N v Z G U s M X 0 m c X V v d D s s J n F 1 b 3 Q 7 U 2 V j d G l v b j E v T W F z d G V y X 0 R l c 2 l n b l 9 Q Y X J h b W V 0 Z X J z L 0 F 1 d G 9 S Z W 1 v d m V k Q 2 9 s d W 1 u c z E u e 1 V u a X Q s M n 0 m c X V v d D s s J n F 1 b 3 Q 7 U 2 V j d G l v b j E v T W F z d G V y X 0 R l c 2 l n b l 9 Q Y X J h b W V 0 Z X J z L 0 F 1 d G 9 S Z W 1 v d m V k Q 2 9 s d W 1 u c z E u e 1 Z h b H V l L D N 9 J n F 1 b 3 Q 7 L C Z x d W 9 0 O 1 N l Y 3 R p b 2 4 x L 0 1 h c 3 R l c l 9 E Z X N p Z 2 5 f U G F y Y W 1 l d G V y c y 9 B d X R v U m V t b 3 Z l Z E N v b H V t b n M x L n t D b 2 1 t Z W 5 0 c y w 0 f S Z x d W 9 0 O y w m c X V v d D t T Z W N 0 a W 9 u M S 9 N Y X N 0 Z X J f R G V z a W d u X 1 B h c m F t Z X R l c n M v Q X V 0 b 1 J l b W 9 2 Z W R D b 2 x 1 b W 5 z M S 5 7 S W R l b n R p Z m l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X 0 R l c 2 l n b l 9 Q Y X J h b W V 0 Z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x V D A 4 O j M 2 O j M 3 L j I y N j k 1 N j F a I i A v P j x F b n R y e S B U e X B l P S J G a W x s Q 2 9 s d W 1 u V H l w Z X M i I F Z h b H V l P S J z Q U F B Q U F B Q U E i I C 8 + P E V u d H J 5 I F R 5 c G U 9 I k Z p b G x D b 2 x 1 b W 5 O Y W 1 l c y I g V m F s d W U 9 I n N b J n F 1 b 3 Q 7 U G F y Y W 1 l d G V y J n F 1 b 3 Q 7 L C Z x d W 9 0 O 1 N 5 b W J v b C B p b i B j b 2 R l J n F 1 b 3 Q 7 L C Z x d W 9 0 O 1 V u a X Q m c X V v d D s s J n F 1 b 3 Q 7 V m F s d W U m c X V v d D s s J n F 1 b 3 Q 7 Q 2 9 t b W V u d H M m c X V v d D s s J n F 1 b 3 Q 7 S W R l b n R p Z m l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9 E Z X N p Z 2 5 f U G F y Y W 1 l d G V y c y A o M i k v Q X V 0 b 1 J l b W 9 2 Z W R D b 2 x 1 b W 5 z M S 5 7 U G F y Y W 1 l d G V y L D B 9 J n F 1 b 3 Q 7 L C Z x d W 9 0 O 1 N l Y 3 R p b 2 4 x L 0 1 h c 3 R l c l 9 E Z X N p Z 2 5 f U G F y Y W 1 l d G V y c y A o M i k v Q X V 0 b 1 J l b W 9 2 Z W R D b 2 x 1 b W 5 z M S 5 7 U 3 l t Y m 9 s I G l u I G N v Z G U s M X 0 m c X V v d D s s J n F 1 b 3 Q 7 U 2 V j d G l v b j E v T W F z d G V y X 0 R l c 2 l n b l 9 Q Y X J h b W V 0 Z X J z I C g y K S 9 B d X R v U m V t b 3 Z l Z E N v b H V t b n M x L n t V b m l 0 L D J 9 J n F 1 b 3 Q 7 L C Z x d W 9 0 O 1 N l Y 3 R p b 2 4 x L 0 1 h c 3 R l c l 9 E Z X N p Z 2 5 f U G F y Y W 1 l d G V y c y A o M i k v Q X V 0 b 1 J l b W 9 2 Z W R D b 2 x 1 b W 5 z M S 5 7 V m F s d W U s M 3 0 m c X V v d D s s J n F 1 b 3 Q 7 U 2 V j d G l v b j E v T W F z d G V y X 0 R l c 2 l n b l 9 Q Y X J h b W V 0 Z X J z I C g y K S 9 B d X R v U m V t b 3 Z l Z E N v b H V t b n M x L n t D b 2 1 t Z W 5 0 c y w 0 f S Z x d W 9 0 O y w m c X V v d D t T Z W N 0 a W 9 u M S 9 N Y X N 0 Z X J f R G V z a W d u X 1 B h c m F t Z X R l c n M g K D I p L 0 F 1 d G 9 S Z W 1 v d m V k Q 2 9 s d W 1 u c z E u e 0 l k Z W 5 0 a W Z p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F z d G V y X 0 R l c 2 l n b l 9 Q Y X J h b W V 0 Z X J z I C g y K S 9 B d X R v U m V t b 3 Z l Z E N v b H V t b n M x L n t Q Y X J h b W V 0 Z X I s M H 0 m c X V v d D s s J n F 1 b 3 Q 7 U 2 V j d G l v b j E v T W F z d G V y X 0 R l c 2 l n b l 9 Q Y X J h b W V 0 Z X J z I C g y K S 9 B d X R v U m V t b 3 Z l Z E N v b H V t b n M x L n t T e W 1 i b 2 w g a W 4 g Y 2 9 k Z S w x f S Z x d W 9 0 O y w m c X V v d D t T Z W N 0 a W 9 u M S 9 N Y X N 0 Z X J f R G V z a W d u X 1 B h c m F t Z X R l c n M g K D I p L 0 F 1 d G 9 S Z W 1 v d m V k Q 2 9 s d W 1 u c z E u e 1 V u a X Q s M n 0 m c X V v d D s s J n F 1 b 3 Q 7 U 2 V j d G l v b j E v T W F z d G V y X 0 R l c 2 l n b l 9 Q Y X J h b W V 0 Z X J z I C g y K S 9 B d X R v U m V t b 3 Z l Z E N v b H V t b n M x L n t W Y W x 1 Z S w z f S Z x d W 9 0 O y w m c X V v d D t T Z W N 0 a W 9 u M S 9 N Y X N 0 Z X J f R G V z a W d u X 1 B h c m F t Z X R l c n M g K D I p L 0 F 1 d G 9 S Z W 1 v d m V k Q 2 9 s d W 1 u c z E u e 0 N v b W 1 l b n R z L D R 9 J n F 1 b 3 Q 7 L C Z x d W 9 0 O 1 N l Y 3 R p b 2 4 x L 0 1 h c 3 R l c l 9 E Z X N p Z 2 5 f U G F y Y W 1 l d G V y c y A o M i k v Q X V 0 b 1 J l b W 9 2 Z W R D b 2 x 1 b W 5 z M S 5 7 S W R l b n R p Z m l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U y M C g y K S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0 A f R w n i + p P o 4 E T 8 w H Q / e 0 A A A A A A g A A A A A A E G Y A A A A B A A A g A A A A V s d U z 3 E 5 L K e A 1 C 2 t 2 o b 3 t t + 9 D C C s w Y O Y 2 p J A x x + G K D w A A A A A D o A A A A A C A A A g A A A A c O 5 d O 6 z 0 h 8 h q G / d F x B k W h S m F j a p q D H 4 k A x m G l B e n 1 L F Q A A A A 7 L n R X D E b V Z u 6 6 C s C A Y 5 Y m E f x 8 4 u a l i + + T P W W L H M H Z s O V W u 1 X V c C T i 8 U I S 0 l m J j u 4 E l j E e S v T t N w t b w b S D 2 + 2 k Y 6 8 m q n S 9 R y e K Q f F 7 R 7 W H U l A A A A A q h A i g E Y M A c 0 M l z e u K O Q W W V + t e 0 S S M e G D W L w Q B I o Q T u F 6 T j M j h s Q X v T G q h x 7 v V N n Y e 6 / 9 e J R L 2 L c y M l n n t L W r 5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4" ma:contentTypeDescription="Een nieuw document maken." ma:contentTypeScope="" ma:versionID="3e3dc132ee5d6d6db1116be115ee0e33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00bdab13eca8776aec77235f10d7ba0d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d628b1-3ff5-44a8-8bbd-a4c1c0714b6e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54C196C-4294-4403-AF62-A5D61C2A3D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62284F-8C79-4CB0-A0D0-5D0C77F5290E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04C27856-3209-47EC-BA58-2F46D6A4A9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17D95AD-0267-4FD7-B0B8-8A1DE9BA6EB4}">
  <ds:schemaRefs>
    <ds:schemaRef ds:uri="46afbdc8-40ba-417d-b3e9-facef3290d04"/>
    <ds:schemaRef ds:uri="http://schemas.microsoft.com/office/2006/documentManagement/types"/>
    <ds:schemaRef ds:uri="http://purl.org/dc/elements/1.1/"/>
    <ds:schemaRef ds:uri="http://purl.org/dc/terms/"/>
    <ds:schemaRef ds:uri="1f525c1f-400e-47f8-8a8b-5e89483b5ff6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Master_Design_Parameters</vt:lpstr>
      <vt:lpstr>Master</vt:lpstr>
      <vt:lpstr>Aerodynamics</vt:lpstr>
      <vt:lpstr>Stability &amp; Control</vt:lpstr>
      <vt:lpstr>Propulsion</vt:lpstr>
      <vt:lpstr>Structures</vt:lpstr>
      <vt:lpstr>Plasma</vt:lpstr>
      <vt:lpstr>Power</vt:lpstr>
      <vt:lpstr>Landing System</vt:lpstr>
      <vt:lpstr>Avionics</vt:lpstr>
      <vt:lpstr>Payload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Onno Schreurs</dc:creator>
  <cp:keywords/>
  <dc:description/>
  <cp:lastModifiedBy>john fet</cp:lastModifiedBy>
  <cp:revision/>
  <dcterms:created xsi:type="dcterms:W3CDTF">2023-05-25T08:37:34Z</dcterms:created>
  <dcterms:modified xsi:type="dcterms:W3CDTF">2023-06-05T14:29:26Z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