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PycharmProjects\SVV\B50\DSE-Group16\Design Parameters\"/>
    </mc:Choice>
  </mc:AlternateContent>
  <xr:revisionPtr revIDLastSave="0" documentId="8_{74CDC52E-9606-415D-A18D-52BC29DCB4EA}" xr6:coauthVersionLast="47" xr6:coauthVersionMax="47" xr10:uidLastSave="{00000000-0000-0000-0000-000000000000}"/>
  <bookViews>
    <workbookView xWindow="3036" yWindow="3036" windowWidth="17280" windowHeight="8880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H7" i="11" s="1"/>
  <c r="B8" i="11"/>
  <c r="B7" i="11"/>
  <c r="H9" i="11"/>
  <c r="H10" i="11"/>
  <c r="H6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<sst xmlns="http://schemas.openxmlformats.org/spreadsheetml/2006/main" count="1229" uniqueCount="291">
  <si>
    <t>Parameter</t>
  </si>
  <si>
    <t>Symbol in code</t>
  </si>
  <si>
    <t>Unit</t>
  </si>
  <si>
    <t>Value</t>
  </si>
  <si>
    <t>Comments</t>
  </si>
  <si>
    <t>Identifier</t>
  </si>
  <si>
    <t>Cruise velocity</t>
  </si>
  <si>
    <t>V_cruise</t>
  </si>
  <si>
    <t>m/s</t>
  </si>
  <si>
    <t>based on desmos limits</t>
  </si>
  <si>
    <t>AER</t>
  </si>
  <si>
    <t>total mass</t>
  </si>
  <si>
    <t>m_tot</t>
  </si>
  <si>
    <t>kg</t>
  </si>
  <si>
    <t>1.2 * 6.4 (prelim)</t>
  </si>
  <si>
    <t>ROC</t>
  </si>
  <si>
    <t>requirement</t>
  </si>
  <si>
    <t>l/dmax</t>
  </si>
  <si>
    <t>ldmax</t>
  </si>
  <si>
    <t>-</t>
  </si>
  <si>
    <t>For airfoil (from airfoil tools)</t>
  </si>
  <si>
    <t>l/dcruise</t>
  </si>
  <si>
    <t>ldcruise</t>
  </si>
  <si>
    <t>clmax</t>
  </si>
  <si>
    <t>C_lmax</t>
  </si>
  <si>
    <t>clcruise</t>
  </si>
  <si>
    <t>C_lcruise</t>
  </si>
  <si>
    <t>cd0</t>
  </si>
  <si>
    <t>cm at AC</t>
  </si>
  <si>
    <t>Cm_ac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</si>
  <si>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</si>
  <si>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</si>
  <si>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</si>
  <si>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</si>
  <si>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</si>
  <si>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</si>
  <si>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</si>
  <si>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</si>
  <si>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</si>
  <si>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</si>
  <si>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</si>
  <si>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</si>
  <si>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</si>
  <si>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</si>
  <si>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</si>
  <si>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</si>
  <si>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</si>
  <si>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</si>
  <si>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</si>
  <si>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</si>
  <si>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</si>
  <si>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</si>
  <si>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</si>
  <si>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</si>
  <si>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</si>
  <si>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</si>
  <si>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</si>
  <si>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</si>
  <si>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clalpha</t>
  </si>
  <si>
    <t>C_l_alpha</t>
  </si>
  <si>
    <t>rad^-1</t>
  </si>
  <si>
    <t>Xfoil prediction at 200000 Re</t>
  </si>
  <si>
    <t>x loc AC</t>
  </si>
  <si>
    <t>x_bar_ac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</si>
  <si>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</si>
  <si>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</si>
  <si>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</si>
  <si>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</si>
  <si>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</si>
  <si>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</si>
  <si>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</si>
  <si>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Altitude change</t>
  </si>
  <si>
    <t>delta_h</t>
  </si>
  <si>
    <t>alitude difference between start and end of climb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</si>
  <si>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</si>
  <si>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</si>
  <si>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</si>
  <si>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</si>
  <si>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</si>
  <si>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</si>
  <si>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</si>
  <si>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</si>
  <si>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</si>
  <si>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</si>
  <si>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</si>
  <si>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diameter prop</t>
  </si>
  <si>
    <t>D_p</t>
  </si>
  <si>
    <t>Diameter of propeller</t>
  </si>
  <si>
    <t>PROP</t>
  </si>
  <si>
    <t>distance of prop from cg or smth</t>
  </si>
  <si>
    <t>l_p</t>
  </si>
  <si>
    <t>Not final value just for checks!</t>
  </si>
  <si>
    <t>number of prop blades</t>
  </si>
  <si>
    <t>B_p</t>
  </si>
  <si>
    <t>Check @Archi</t>
  </si>
  <si>
    <t>fuselage diameter</t>
  </si>
  <si>
    <t>b_fus</t>
  </si>
  <si>
    <t>STR</t>
  </si>
  <si>
    <t>side area fuselage</t>
  </si>
  <si>
    <t>S_fs</t>
  </si>
  <si>
    <t>just based on rectangle, length times height</t>
  </si>
  <si>
    <t>length fuselage</t>
  </si>
  <si>
    <t>l_fus</t>
  </si>
  <si>
    <t>guessed, please check @jasper</t>
  </si>
  <si>
    <t>length cg-nose</t>
  </si>
  <si>
    <t>l_cg</t>
  </si>
  <si>
    <t>maximum height fuselage</t>
  </si>
  <si>
    <t>h_fmax</t>
  </si>
  <si>
    <t>1/4 length fuslage width</t>
  </si>
  <si>
    <t>b_f1</t>
  </si>
  <si>
    <t>3/4 length fuslage width</t>
  </si>
  <si>
    <t>b_f2</t>
  </si>
  <si>
    <t>1/4 length fuslage height</t>
  </si>
  <si>
    <t>h_f1</t>
  </si>
  <si>
    <t>3/4 length fuslage height</t>
  </si>
  <si>
    <t>h_f2</t>
  </si>
  <si>
    <t>Method</t>
  </si>
  <si>
    <t>Slotted airfoil</t>
  </si>
  <si>
    <t>Only actuation method which might provide decent ΔCl without relying on separation</t>
  </si>
  <si>
    <t>PLASMA</t>
  </si>
  <si>
    <t>Electrode material</t>
  </si>
  <si>
    <t>Cu</t>
  </si>
  <si>
    <t>Provides sufficient (~10hr) durability</t>
  </si>
  <si>
    <t>Dielectric material</t>
  </si>
  <si>
    <t>Al2O3</t>
  </si>
  <si>
    <t>Battery Capacity</t>
  </si>
  <si>
    <t>Batt_Cap</t>
  </si>
  <si>
    <t>Wh</t>
  </si>
  <si>
    <t>296Wh</t>
  </si>
  <si>
    <t>14.4*20</t>
  </si>
  <si>
    <t>POWER</t>
  </si>
  <si>
    <t>Prachute Diameter</t>
  </si>
  <si>
    <t>D_para</t>
  </si>
  <si>
    <t>LAND</t>
  </si>
  <si>
    <t>Parachute Drag Coefficient</t>
  </si>
  <si>
    <t>Cd_para</t>
  </si>
  <si>
    <t>Parachute Descent Rate</t>
  </si>
  <si>
    <t>V_para</t>
  </si>
  <si>
    <t>5V Power</t>
  </si>
  <si>
    <t>Power_5V</t>
  </si>
  <si>
    <t>W</t>
  </si>
  <si>
    <t>The power that the 5V regulator has to supply, used for the efficiency calculations of the swithcing converter</t>
  </si>
  <si>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</si>
  <si>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</si>
  <si>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</si>
  <si>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</si>
  <si>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</si>
  <si>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</si>
  <si>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</si>
  <si>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</si>
  <si>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</si>
  <si>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</si>
  <si>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</si>
  <si>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</si>
  <si>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</si>
  <si>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</si>
  <si>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</si>
  <si>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</si>
  <si>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</si>
  <si>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</si>
  <si>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</si>
  <si>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</si>
  <si>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</si>
  <si>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</si>
  <si>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</si>
  <si>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</si>
  <si>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</si>
  <si>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</si>
  <si>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</si>
  <si>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</si>
  <si>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</si>
  <si>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</si>
  <si>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</si>
  <si>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</si>
  <si>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</si>
  <si>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</si>
  <si>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</si>
  <si>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</si>
  <si>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</si>
  <si>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</si>
  <si>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</si>
  <si>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MH115</t>
  </si>
  <si>
    <t>Main wing airfoil</t>
  </si>
  <si>
    <t>http://airfoiltools.com/airfoil/details?airfoil=mh115-il#polars</t>
  </si>
  <si>
    <t>subjce to change</t>
  </si>
  <si>
    <t>Component 1</t>
  </si>
  <si>
    <t>Component 2</t>
  </si>
  <si>
    <t>Component 3</t>
  </si>
  <si>
    <t>Component 4</t>
  </si>
  <si>
    <t>Component 5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</si>
  <si>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</si>
  <si>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</si>
  <si>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</si>
  <si>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</si>
  <si>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</si>
  <si>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</si>
  <si>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</si>
  <si>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</si>
  <si>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</si>
  <si>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</si>
  <si>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</si>
  <si>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</si>
  <si>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</si>
  <si>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</si>
  <si>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</si>
  <si>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</si>
  <si>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</si>
  <si>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</si>
  <si>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</si>
  <si>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</si>
  <si>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Power</t>
  </si>
  <si>
    <t>AL</t>
  </si>
  <si>
    <t>Component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</si>
  <si>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</si>
  <si>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</si>
  <si>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</si>
  <si>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</si>
  <si>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</si>
  <si>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</si>
  <si>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</si>
  <si>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</si>
  <si>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</si>
  <si>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</si>
  <si>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</si>
  <si>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</si>
  <si>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</si>
  <si>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</si>
  <si>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</si>
  <si>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</si>
  <si>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</si>
  <si>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</si>
  <si>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</si>
  <si>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</si>
  <si>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</si>
  <si>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</si>
  <si>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</si>
  <si>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</si>
  <si>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</si>
  <si>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 xml:space="preserve"> 9G Servo</t>
  </si>
  <si>
    <t>Parachute Hatch Latch</t>
  </si>
  <si>
    <t>https://www.amazon.nl/Digital-Servo-Metal-Geschikt-Servo-arm/dp/B08NCZQ5MH</t>
  </si>
  <si>
    <t>Total Mass</t>
  </si>
  <si>
    <t>MTOW</t>
  </si>
  <si>
    <t>Option 2</t>
  </si>
  <si>
    <t>Option 3</t>
  </si>
  <si>
    <t>Pixhawk Power Consumption</t>
  </si>
  <si>
    <t>Pixhawk 6X</t>
  </si>
  <si>
    <t>Flight Controller</t>
  </si>
  <si>
    <t>https://holybro.com/products/pixhawk-6x?variant=42471703150781</t>
  </si>
  <si>
    <t>Commonly used FC</t>
  </si>
  <si>
    <t>http://www.mateksys.com/?page_id=3834</t>
  </si>
  <si>
    <t>https://navio2.hipi.io/</t>
  </si>
  <si>
    <t>Pixhawk (and APM) Power Consumption - Blogs - diydrones</t>
  </si>
  <si>
    <t>ASPD-4525</t>
  </si>
  <si>
    <t>Pitot Tube</t>
  </si>
  <si>
    <t>http://www.mateksys.com/?portfolio=aspd-4525#tab-id-2</t>
  </si>
  <si>
    <t>uses I2C, option 2 uses can butmore expensive</t>
  </si>
  <si>
    <t>https://www.3dxr.co.uk/sensors-c5/airspeed-pressure-c154/matek-systems-digital-airspeed-sensor-aspd-dlvr-new-l431-can-node-p5014</t>
  </si>
  <si>
    <t>DroneCAN M8N GPS</t>
  </si>
  <si>
    <t>GPS + Compass</t>
  </si>
  <si>
    <t>https://holybro.com/products/dronecan-m8n-gps</t>
  </si>
  <si>
    <t>CAN</t>
  </si>
  <si>
    <t>ELRS-R24-D</t>
  </si>
  <si>
    <t>Radio</t>
  </si>
  <si>
    <t>http://www.mateksys.com/?portfolio=elrs-r24</t>
  </si>
  <si>
    <t>UART Port, 900mhz or 2.4ghz, Bidirectional MAVLink telemetry is not supported which i dont really know what it means</t>
  </si>
  <si>
    <t>https://www.team-blacksheep.com/products/prod:crossfire_tx</t>
  </si>
  <si>
    <t>Rasberry Pi 4B</t>
  </si>
  <si>
    <t>LTE Communication &amp; Payload Interface</t>
  </si>
  <si>
    <t>https://www.raspberrypi.com/products/raspberry-pi-4-model-b/specifications/</t>
  </si>
  <si>
    <t>E3372h-153</t>
  </si>
  <si>
    <t>LTE Modem</t>
  </si>
  <si>
    <t>https://www.wimoodshop.nl/products/867/Huawei+E3372h-153+-+LTE+USB+-+4G+LTE+dongle</t>
  </si>
  <si>
    <t>USB @ Rpi</t>
  </si>
  <si>
    <t>Component 6</t>
  </si>
  <si>
    <t>Rasberry Pi Camera 3</t>
  </si>
  <si>
    <t>FPV Video Feed</t>
  </si>
  <si>
    <t>https://www.arducam.com/product/presalearducam-12mp-imx708-102-degree-wide-angle-fixed-focus-hdr-high-snr-camera-module-for-raspberry-pi/</t>
  </si>
  <si>
    <t>102 deg FOV, fixed Focus</t>
  </si>
  <si>
    <t>Component 7</t>
  </si>
  <si>
    <t>Avionics Wiring</t>
  </si>
  <si>
    <t>Connect Components</t>
  </si>
  <si>
    <t>To very roughly estimate the total weight</t>
  </si>
  <si>
    <t>Component 8</t>
  </si>
  <si>
    <t>Microphone</t>
  </si>
  <si>
    <t>To monitor noise</t>
  </si>
  <si>
    <t>SONIK S</t>
  </si>
  <si>
    <t>Number Subject to change, Has own battery</t>
  </si>
  <si>
    <t>Surface Htail</t>
  </si>
  <si>
    <t>S_h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</si>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</sst>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F67991B-2068-4B6D-8D92-D5BCBA41BB71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4DC6FF8D-748E-49D7-B490-4C26CEFFA856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53" tableType="queryTable" totalsRowShown="0">
  <autoFilter ref="A1:F53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4" totalsRowShown="0" tableBorderDxfId="108">
  <autoFilter ref="O4:T14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13" totalsRowShown="0" tableBorderDxfId="68">
  <autoFilter ref="O4:T13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17:S23" totalsRowShown="0" tableBorderDxfId="66">
  <autoFilter ref="O17:S23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F67991B-2068-4B6D-8D92-D5BCBA41BB71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F67991B-2068-4B6D-8D92-D5BCBA41BB71}" id="{E45C7BBC-CAE6-478E-99BC-90285F1F92FE}">
    <text>Very rough estimate, Pixhawk (and APM) Power Consumption - Blogs - diydrones</text>
  </threadedComment>
  <threadedComment ref="B7" dT="2023-06-01T12:47:17.34" personId="{4F67991B-2068-4B6D-8D92-D5BCBA41BB71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4DC6FF8D-748E-49D7-B490-4C26CEFFA856}" id="{430EC32A-E0ED-4EB6-8906-260BC1B720BC}">
    <text xml:space="preserve">Raspberry pi?
</text>
  </threadedComment>
  <threadedComment ref="B11" dT="2023-06-01T14:39:45.15" personId="{4F67991B-2068-4B6D-8D92-D5BCBA41BB71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F67991B-2068-4B6D-8D92-D5BCBA41BB71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F67991B-2068-4B6D-8D92-D5BCBA41BB71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F67991B-2068-4B6D-8D92-D5BCBA41BB71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F67991B-2068-4B6D-8D92-D5BCBA41BB71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53"/>
  <sheetViews>
    <sheetView tabSelected="1" topLeftCell="A13" workbookViewId="0">
      <selection activeCell="E48" sqref="E48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15.1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 t="s">
        <v>13</v>
      </c>
      <c r="D3">
        <v>7.68</v>
      </c>
      <c r="E3" t="s">
        <v>14</v>
      </c>
      <c r="F3" t="s">
        <v>10</v>
      </c>
    </row>
    <row r="4" spans="1:6" x14ac:dyDescent="0.3">
      <c r="A4" t="s">
        <v>15</v>
      </c>
      <c r="B4" t="s">
        <v>15</v>
      </c>
      <c r="C4" t="s">
        <v>8</v>
      </c>
      <c r="D4">
        <v>2.8</v>
      </c>
      <c r="E4" t="s">
        <v>16</v>
      </c>
      <c r="F4" t="s">
        <v>10</v>
      </c>
    </row>
    <row r="5" spans="1:6" x14ac:dyDescent="0.3">
      <c r="A5" t="s">
        <v>17</v>
      </c>
      <c r="B5" t="s">
        <v>18</v>
      </c>
      <c r="C5" t="s">
        <v>19</v>
      </c>
      <c r="D5">
        <v>90</v>
      </c>
      <c r="E5" t="s">
        <v>20</v>
      </c>
      <c r="F5" t="s">
        <v>10</v>
      </c>
    </row>
    <row r="6" spans="1:6" x14ac:dyDescent="0.3">
      <c r="A6" t="s">
        <v>21</v>
      </c>
      <c r="B6" t="s">
        <v>22</v>
      </c>
      <c r="C6" t="s">
        <v>19</v>
      </c>
      <c r="D6">
        <v>83</v>
      </c>
      <c r="E6" t="s">
        <v>20</v>
      </c>
      <c r="F6" t="s">
        <v>10</v>
      </c>
    </row>
    <row r="7" spans="1:6" x14ac:dyDescent="0.3">
      <c r="A7" t="s">
        <v>23</v>
      </c>
      <c r="B7" t="s">
        <v>24</v>
      </c>
      <c r="C7" t="s">
        <v>19</v>
      </c>
      <c r="D7">
        <v>1.6</v>
      </c>
      <c r="E7" t="s">
        <v>20</v>
      </c>
      <c r="F7" t="s">
        <v>10</v>
      </c>
    </row>
    <row r="8" spans="1:6" x14ac:dyDescent="0.3">
      <c r="A8" t="s">
        <v>25</v>
      </c>
      <c r="B8" t="s">
        <v>26</v>
      </c>
      <c r="C8" t="s">
        <v>19</v>
      </c>
      <c r="D8">
        <v>0.92</v>
      </c>
      <c r="E8" t="s">
        <v>20</v>
      </c>
      <c r="F8" t="s">
        <v>10</v>
      </c>
    </row>
    <row r="9" spans="1:6" x14ac:dyDescent="0.3">
      <c r="A9" t="s">
        <v>27</v>
      </c>
      <c r="B9" t="s">
        <v>27</v>
      </c>
      <c r="C9" t="s">
        <v>19</v>
      </c>
      <c r="D9">
        <v>1.0999999999999999E-2</v>
      </c>
      <c r="E9" t="s">
        <v>20</v>
      </c>
      <c r="F9" t="s">
        <v>10</v>
      </c>
    </row>
    <row r="10" spans="1:6" x14ac:dyDescent="0.3">
      <c r="A10" t="s">
        <v>28</v>
      </c>
      <c r="B10" t="s">
        <v>29</v>
      </c>
      <c r="C10" t="s">
        <v>19</v>
      </c>
      <c r="D10">
        <v>-0.16</v>
      </c>
      <c r="E10" t="s">
        <v>20</v>
      </c>
      <c r="F10" t="s">
        <v>10</v>
      </c>
    </row>
    <row r="11" spans="1:6" x14ac:dyDescent="0.3">
      <c r="A11" t="s">
        <v>30</v>
      </c>
      <c r="B11" t="s">
        <v>30</v>
      </c>
      <c r="C11" t="s">
        <v>19</v>
      </c>
      <c r="D11">
        <v>1.5714285714285715E-2</v>
      </c>
      <c r="E11" t="s">
        <v>31</v>
      </c>
      <c r="F11" t="s">
        <v>10</v>
      </c>
    </row>
    <row r="12" spans="1:6" x14ac:dyDescent="0.3">
      <c r="A12" t="s">
        <v>32</v>
      </c>
      <c r="B12" t="s">
        <v>33</v>
      </c>
      <c r="C12" t="s">
        <v>34</v>
      </c>
      <c r="D12">
        <v>2.95</v>
      </c>
      <c r="E12" t="s">
        <v>35</v>
      </c>
      <c r="F12" t="s">
        <v>10</v>
      </c>
    </row>
    <row r="13" spans="1:6" x14ac:dyDescent="0.3">
      <c r="A13" t="s">
        <v>36</v>
      </c>
      <c r="B13" t="s">
        <v>37</v>
      </c>
      <c r="C13" t="s">
        <v>38</v>
      </c>
      <c r="D13">
        <v>1.1000000000000001</v>
      </c>
      <c r="E13" t="s">
        <v>9</v>
      </c>
      <c r="F13" t="s">
        <v>10</v>
      </c>
    </row>
    <row r="14" spans="1:6" x14ac:dyDescent="0.3">
      <c r="A14" t="s">
        <v>39</v>
      </c>
      <c r="B14" t="s">
        <v>40</v>
      </c>
      <c r="C14" t="s">
        <v>19</v>
      </c>
      <c r="D14">
        <v>7.9113636363636362</v>
      </c>
      <c r="E14" t="s">
        <v>41</v>
      </c>
      <c r="F14" t="s">
        <v>10</v>
      </c>
    </row>
    <row r="15" spans="1:6" x14ac:dyDescent="0.3">
      <c r="A15" t="s">
        <v>42</v>
      </c>
      <c r="B15" t="s">
        <v>43</v>
      </c>
      <c r="C15" t="s">
        <v>19</v>
      </c>
      <c r="D15">
        <v>13.2</v>
      </c>
      <c r="E15" t="s">
        <v>41</v>
      </c>
      <c r="F15" t="s">
        <v>10</v>
      </c>
    </row>
    <row r="16" spans="1:6" x14ac:dyDescent="0.3">
      <c r="A16" t="s">
        <v>44</v>
      </c>
      <c r="B16" t="s">
        <v>45</v>
      </c>
      <c r="C16" t="s">
        <v>34</v>
      </c>
      <c r="D16">
        <v>0.3728813559322034</v>
      </c>
      <c r="E16" t="s">
        <v>9</v>
      </c>
      <c r="F16" t="s">
        <v>10</v>
      </c>
    </row>
    <row r="17" spans="1:6" x14ac:dyDescent="0.3">
      <c r="A17" t="s">
        <v>46</v>
      </c>
      <c r="B17" t="s">
        <v>47</v>
      </c>
      <c r="C17" t="s">
        <v>19</v>
      </c>
      <c r="D17">
        <v>0.7</v>
      </c>
      <c r="E17" t="s">
        <v>41</v>
      </c>
      <c r="F17" t="s">
        <v>10</v>
      </c>
    </row>
    <row r="18" spans="1:6" x14ac:dyDescent="0.3">
      <c r="A18" t="s">
        <v>48</v>
      </c>
      <c r="B18" t="s">
        <v>49</v>
      </c>
      <c r="C18" t="s">
        <v>19</v>
      </c>
      <c r="D18">
        <v>450000</v>
      </c>
      <c r="E18" t="s">
        <v>50</v>
      </c>
      <c r="F18" t="s">
        <v>10</v>
      </c>
    </row>
    <row r="19" spans="1:6" x14ac:dyDescent="0.3">
      <c r="A19" t="s">
        <v>51</v>
      </c>
      <c r="B19" t="s">
        <v>290</v>
      </c>
      <c r="C19" t="s">
        <v>19</v>
      </c>
      <c r="D19">
        <v>0.45</v>
      </c>
      <c r="E19" t="s">
        <v>41</v>
      </c>
      <c r="F19" t="s">
        <v>10</v>
      </c>
    </row>
    <row r="20" spans="1:6" x14ac:dyDescent="0.3">
      <c r="A20" t="s">
        <v>52</v>
      </c>
      <c r="B20" t="s">
        <v>53</v>
      </c>
      <c r="C20" t="s">
        <v>34</v>
      </c>
      <c r="D20">
        <v>0.49078181491833128</v>
      </c>
      <c r="E20" t="s">
        <v>54</v>
      </c>
      <c r="F20" t="s">
        <v>10</v>
      </c>
    </row>
    <row r="21" spans="1:6" x14ac:dyDescent="0.3">
      <c r="A21" t="s">
        <v>55</v>
      </c>
      <c r="B21" t="s">
        <v>56</v>
      </c>
      <c r="C21" t="s">
        <v>34</v>
      </c>
      <c r="D21">
        <v>0.22085181671324908</v>
      </c>
      <c r="E21" t="s">
        <v>57</v>
      </c>
      <c r="F21" t="s">
        <v>10</v>
      </c>
    </row>
    <row r="22" spans="1:6" x14ac:dyDescent="0.3">
      <c r="A22" t="s">
        <v>58</v>
      </c>
      <c r="B22" t="s">
        <v>59</v>
      </c>
      <c r="C22" t="s">
        <v>60</v>
      </c>
      <c r="D22">
        <v>6.1609999999999996</v>
      </c>
      <c r="E22" t="s">
        <v>61</v>
      </c>
      <c r="F22" t="s">
        <v>10</v>
      </c>
    </row>
    <row r="23" spans="1:6" x14ac:dyDescent="0.3">
      <c r="A23" t="s">
        <v>62</v>
      </c>
      <c r="B23" t="s">
        <v>63</v>
      </c>
      <c r="C23" t="s">
        <v>19</v>
      </c>
      <c r="D23">
        <v>0.25</v>
      </c>
    </row>
    <row r="24" spans="1:6" x14ac:dyDescent="0.3">
      <c r="A24" t="s">
        <v>64</v>
      </c>
      <c r="B24" t="s">
        <v>65</v>
      </c>
      <c r="C24" t="s">
        <v>19</v>
      </c>
      <c r="D24">
        <v>0.05</v>
      </c>
      <c r="E24" t="s">
        <v>66</v>
      </c>
      <c r="F24" t="s">
        <v>67</v>
      </c>
    </row>
    <row r="25" spans="1:6" x14ac:dyDescent="0.3">
      <c r="A25" t="s">
        <v>68</v>
      </c>
      <c r="B25" t="s">
        <v>69</v>
      </c>
      <c r="C25" t="s">
        <v>34</v>
      </c>
      <c r="D25">
        <v>50</v>
      </c>
      <c r="E25" t="s">
        <v>70</v>
      </c>
      <c r="F25" t="s">
        <v>67</v>
      </c>
    </row>
    <row r="26" spans="1:6" x14ac:dyDescent="0.3">
      <c r="A26" t="s">
        <v>71</v>
      </c>
      <c r="B26" t="s">
        <v>72</v>
      </c>
      <c r="C26" t="s">
        <v>34</v>
      </c>
      <c r="D26">
        <v>80</v>
      </c>
      <c r="E26" t="s">
        <v>73</v>
      </c>
      <c r="F26" t="s">
        <v>67</v>
      </c>
    </row>
    <row r="27" spans="1:6" x14ac:dyDescent="0.3">
      <c r="A27" t="s">
        <v>74</v>
      </c>
      <c r="B27" t="s">
        <v>75</v>
      </c>
      <c r="C27" t="s">
        <v>19</v>
      </c>
      <c r="D27">
        <v>0.8</v>
      </c>
      <c r="E27" t="s">
        <v>76</v>
      </c>
      <c r="F27" t="s">
        <v>67</v>
      </c>
    </row>
    <row r="28" spans="1:6" x14ac:dyDescent="0.3">
      <c r="A28" t="s">
        <v>77</v>
      </c>
      <c r="B28" t="s">
        <v>78</v>
      </c>
      <c r="C28" t="s">
        <v>19</v>
      </c>
      <c r="D28">
        <v>5</v>
      </c>
      <c r="E28" t="s">
        <v>79</v>
      </c>
      <c r="F28" t="s">
        <v>67</v>
      </c>
    </row>
    <row r="29" spans="1:6" x14ac:dyDescent="0.3">
      <c r="A29" t="s">
        <v>80</v>
      </c>
      <c r="B29" t="s">
        <v>81</v>
      </c>
      <c r="C29" t="s">
        <v>19</v>
      </c>
      <c r="D29">
        <v>5.7295800000000003</v>
      </c>
      <c r="E29" t="s">
        <v>82</v>
      </c>
      <c r="F29" t="s">
        <v>67</v>
      </c>
    </row>
    <row r="30" spans="1:6" x14ac:dyDescent="0.3">
      <c r="A30" t="s">
        <v>83</v>
      </c>
      <c r="B30" t="s">
        <v>15</v>
      </c>
      <c r="C30" t="s">
        <v>8</v>
      </c>
      <c r="D30">
        <v>5</v>
      </c>
      <c r="E30" t="s">
        <v>84</v>
      </c>
      <c r="F30" t="s">
        <v>67</v>
      </c>
    </row>
    <row r="31" spans="1:6" x14ac:dyDescent="0.3">
      <c r="A31" t="s">
        <v>288</v>
      </c>
      <c r="B31" t="s">
        <v>289</v>
      </c>
      <c r="C31" t="s">
        <v>38</v>
      </c>
      <c r="F31" t="s">
        <v>67</v>
      </c>
    </row>
    <row r="32" spans="1:6" x14ac:dyDescent="0.3">
      <c r="F32" t="s">
        <v>67</v>
      </c>
    </row>
    <row r="33" spans="1:6" x14ac:dyDescent="0.3">
      <c r="F33" t="s">
        <v>67</v>
      </c>
    </row>
    <row r="34" spans="1:6" x14ac:dyDescent="0.3">
      <c r="A34" t="s">
        <v>85</v>
      </c>
      <c r="B34" t="s">
        <v>86</v>
      </c>
      <c r="C34" t="s">
        <v>34</v>
      </c>
      <c r="D34">
        <v>0.254</v>
      </c>
      <c r="E34" t="s">
        <v>87</v>
      </c>
      <c r="F34" t="s">
        <v>88</v>
      </c>
    </row>
    <row r="35" spans="1:6" x14ac:dyDescent="0.3">
      <c r="A35" t="s">
        <v>89</v>
      </c>
      <c r="B35" t="s">
        <v>90</v>
      </c>
      <c r="C35" t="s">
        <v>34</v>
      </c>
      <c r="D35">
        <v>0.5</v>
      </c>
      <c r="E35" t="s">
        <v>91</v>
      </c>
      <c r="F35" t="s">
        <v>88</v>
      </c>
    </row>
    <row r="36" spans="1:6" x14ac:dyDescent="0.3">
      <c r="A36" t="s">
        <v>92</v>
      </c>
      <c r="B36" t="s">
        <v>93</v>
      </c>
      <c r="C36" t="s">
        <v>34</v>
      </c>
      <c r="D36">
        <v>2</v>
      </c>
      <c r="E36" t="s">
        <v>94</v>
      </c>
      <c r="F36" t="s">
        <v>88</v>
      </c>
    </row>
    <row r="37" spans="1:6" x14ac:dyDescent="0.3">
      <c r="A37" t="s">
        <v>95</v>
      </c>
      <c r="B37" t="s">
        <v>96</v>
      </c>
      <c r="C37" t="s">
        <v>34</v>
      </c>
      <c r="D37">
        <v>0.15</v>
      </c>
      <c r="F37" t="s">
        <v>97</v>
      </c>
    </row>
    <row r="38" spans="1:6" x14ac:dyDescent="0.3">
      <c r="A38" t="s">
        <v>98</v>
      </c>
      <c r="B38" t="s">
        <v>99</v>
      </c>
      <c r="C38" t="s">
        <v>38</v>
      </c>
      <c r="D38">
        <v>0.105</v>
      </c>
      <c r="E38" t="s">
        <v>100</v>
      </c>
      <c r="F38" t="s">
        <v>97</v>
      </c>
    </row>
    <row r="39" spans="1:6" x14ac:dyDescent="0.3">
      <c r="A39" t="s">
        <v>101</v>
      </c>
      <c r="B39" t="s">
        <v>102</v>
      </c>
      <c r="C39" t="s">
        <v>34</v>
      </c>
      <c r="D39">
        <v>0.7</v>
      </c>
      <c r="E39" t="s">
        <v>103</v>
      </c>
      <c r="F39" t="s">
        <v>97</v>
      </c>
    </row>
    <row r="40" spans="1:6" x14ac:dyDescent="0.3">
      <c r="A40" t="s">
        <v>104</v>
      </c>
      <c r="B40" t="s">
        <v>105</v>
      </c>
      <c r="C40" t="s">
        <v>34</v>
      </c>
      <c r="D40">
        <v>0.2</v>
      </c>
      <c r="E40" t="s">
        <v>103</v>
      </c>
      <c r="F40" t="s">
        <v>97</v>
      </c>
    </row>
    <row r="41" spans="1:6" x14ac:dyDescent="0.3">
      <c r="A41" t="s">
        <v>106</v>
      </c>
      <c r="B41" t="s">
        <v>107</v>
      </c>
      <c r="C41" t="s">
        <v>34</v>
      </c>
      <c r="D41">
        <v>0.15</v>
      </c>
      <c r="E41" t="s">
        <v>103</v>
      </c>
      <c r="F41" t="s">
        <v>97</v>
      </c>
    </row>
    <row r="42" spans="1:6" x14ac:dyDescent="0.3">
      <c r="A42" t="s">
        <v>108</v>
      </c>
      <c r="B42" t="s">
        <v>109</v>
      </c>
      <c r="C42" t="s">
        <v>34</v>
      </c>
      <c r="D42">
        <v>0.15</v>
      </c>
      <c r="E42" t="s">
        <v>103</v>
      </c>
      <c r="F42" t="s">
        <v>97</v>
      </c>
    </row>
    <row r="43" spans="1:6" x14ac:dyDescent="0.3">
      <c r="A43" t="s">
        <v>110</v>
      </c>
      <c r="B43" t="s">
        <v>111</v>
      </c>
      <c r="C43" t="s">
        <v>34</v>
      </c>
      <c r="D43">
        <v>0.15</v>
      </c>
      <c r="E43" t="s">
        <v>103</v>
      </c>
      <c r="F43" t="s">
        <v>97</v>
      </c>
    </row>
    <row r="44" spans="1:6" x14ac:dyDescent="0.3">
      <c r="A44" t="s">
        <v>112</v>
      </c>
      <c r="B44" t="s">
        <v>113</v>
      </c>
      <c r="C44" t="s">
        <v>34</v>
      </c>
      <c r="D44">
        <v>0.15</v>
      </c>
      <c r="E44" t="s">
        <v>103</v>
      </c>
      <c r="F44" t="s">
        <v>97</v>
      </c>
    </row>
    <row r="45" spans="1:6" x14ac:dyDescent="0.3">
      <c r="A45" t="s">
        <v>114</v>
      </c>
      <c r="B45" t="s">
        <v>115</v>
      </c>
      <c r="C45" t="s">
        <v>34</v>
      </c>
      <c r="D45">
        <v>0.15</v>
      </c>
      <c r="E45" t="s">
        <v>103</v>
      </c>
      <c r="F45" t="s">
        <v>97</v>
      </c>
    </row>
    <row r="46" spans="1:6" x14ac:dyDescent="0.3">
      <c r="A46" t="s">
        <v>116</v>
      </c>
      <c r="B46" t="s">
        <v>19</v>
      </c>
      <c r="C46" t="s">
        <v>19</v>
      </c>
      <c r="D46" t="s">
        <v>117</v>
      </c>
      <c r="E46" t="s">
        <v>118</v>
      </c>
      <c r="F46" t="s">
        <v>119</v>
      </c>
    </row>
    <row r="47" spans="1:6" x14ac:dyDescent="0.3">
      <c r="A47" t="s">
        <v>120</v>
      </c>
      <c r="B47" t="s">
        <v>19</v>
      </c>
      <c r="C47" t="s">
        <v>19</v>
      </c>
      <c r="D47" t="s">
        <v>121</v>
      </c>
      <c r="E47" t="s">
        <v>122</v>
      </c>
      <c r="F47" t="s">
        <v>119</v>
      </c>
    </row>
    <row r="48" spans="1:6" x14ac:dyDescent="0.3">
      <c r="A48" t="s">
        <v>123</v>
      </c>
      <c r="B48" t="s">
        <v>19</v>
      </c>
      <c r="C48" t="s">
        <v>19</v>
      </c>
      <c r="D48" t="s">
        <v>124</v>
      </c>
      <c r="E48" t="s">
        <v>122</v>
      </c>
      <c r="F48" t="s">
        <v>119</v>
      </c>
    </row>
    <row r="49" spans="1:6" x14ac:dyDescent="0.3">
      <c r="A49" t="s">
        <v>125</v>
      </c>
      <c r="B49" t="s">
        <v>126</v>
      </c>
      <c r="C49" t="s">
        <v>127</v>
      </c>
      <c r="D49" t="s">
        <v>128</v>
      </c>
      <c r="E49" t="s">
        <v>129</v>
      </c>
      <c r="F49" t="s">
        <v>130</v>
      </c>
    </row>
    <row r="50" spans="1:6" x14ac:dyDescent="0.3">
      <c r="A50" t="s">
        <v>131</v>
      </c>
      <c r="B50" t="s">
        <v>132</v>
      </c>
      <c r="C50" t="s">
        <v>34</v>
      </c>
      <c r="D50">
        <v>2.1335999999999999</v>
      </c>
      <c r="F50" t="s">
        <v>133</v>
      </c>
    </row>
    <row r="51" spans="1:6" x14ac:dyDescent="0.3">
      <c r="A51" t="s">
        <v>134</v>
      </c>
      <c r="B51" t="s">
        <v>135</v>
      </c>
      <c r="C51" t="s">
        <v>19</v>
      </c>
      <c r="D51">
        <v>2.1163282658337477</v>
      </c>
      <c r="F51" t="s">
        <v>133</v>
      </c>
    </row>
    <row r="52" spans="1:6" x14ac:dyDescent="0.3">
      <c r="A52" t="s">
        <v>136</v>
      </c>
      <c r="B52" t="s">
        <v>137</v>
      </c>
      <c r="C52" t="s">
        <v>8</v>
      </c>
      <c r="D52">
        <v>3.9837168574084179</v>
      </c>
      <c r="F52" t="s">
        <v>133</v>
      </c>
    </row>
    <row r="53" spans="1:6" x14ac:dyDescent="0.3">
      <c r="A53" t="s">
        <v>138</v>
      </c>
      <c r="B53" t="s">
        <v>139</v>
      </c>
      <c r="C53" t="s">
        <v>140</v>
      </c>
      <c r="D53">
        <v>11.870000000000001</v>
      </c>
      <c r="E53" t="s">
        <v>141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A2" zoomScaleNormal="100" workbookViewId="0">
      <selection activeCell="E29" sqref="E29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3.44140625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4" bestFit="1" customWidth="1"/>
    <col min="23" max="23" width="16.664062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7" t="s">
        <v>233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3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211</v>
      </c>
      <c r="Y2" s="22"/>
    </row>
    <row r="3" spans="1:35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35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  <c r="AA4" t="s">
        <v>243</v>
      </c>
      <c r="AB4" t="s">
        <v>244</v>
      </c>
      <c r="AE4" t="s">
        <v>245</v>
      </c>
    </row>
    <row r="5" spans="1:35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138</v>
      </c>
      <c r="P5" t="s">
        <v>139</v>
      </c>
      <c r="Q5" t="s">
        <v>140</v>
      </c>
      <c r="R5">
        <f>SUM(Table2548586331327[Peak Power '[W']])</f>
        <v>11.870000000000001</v>
      </c>
      <c r="S5" t="s">
        <v>141</v>
      </c>
      <c r="U5">
        <v>1</v>
      </c>
      <c r="V5">
        <v>1</v>
      </c>
      <c r="W5" t="s">
        <v>246</v>
      </c>
      <c r="X5" t="s">
        <v>247</v>
      </c>
      <c r="Y5" t="s">
        <v>248</v>
      </c>
      <c r="Z5" t="s">
        <v>249</v>
      </c>
      <c r="AA5" t="s">
        <v>250</v>
      </c>
      <c r="AB5" s="15" t="s">
        <v>251</v>
      </c>
      <c r="AE5" s="6" t="s">
        <v>252</v>
      </c>
      <c r="AI5" s="15"/>
    </row>
    <row r="6" spans="1:35" x14ac:dyDescent="0.3">
      <c r="A6" s="1" t="s">
        <v>185</v>
      </c>
      <c r="B6">
        <f>0.023+0.051</f>
        <v>7.3999999999999996E-2</v>
      </c>
      <c r="D6" t="s">
        <v>185</v>
      </c>
      <c r="E6">
        <v>3</v>
      </c>
      <c r="G6" t="s">
        <v>185</v>
      </c>
      <c r="H6">
        <f>Table2548586331327[[#This Row],[Peak Power '[W']]]*2</f>
        <v>6</v>
      </c>
      <c r="J6" t="s">
        <v>185</v>
      </c>
      <c r="M6" t="s">
        <v>185</v>
      </c>
      <c r="N6" s="2">
        <v>450</v>
      </c>
      <c r="U6">
        <v>2</v>
      </c>
      <c r="V6">
        <v>1</v>
      </c>
      <c r="W6" t="s">
        <v>253</v>
      </c>
      <c r="X6" t="s">
        <v>254</v>
      </c>
      <c r="Y6" s="18" t="s">
        <v>255</v>
      </c>
      <c r="Z6" t="s">
        <v>256</v>
      </c>
      <c r="AA6" s="15" t="s">
        <v>257</v>
      </c>
    </row>
    <row r="7" spans="1:35" x14ac:dyDescent="0.3">
      <c r="A7" s="1" t="s">
        <v>186</v>
      </c>
      <c r="B7">
        <v>2.5000000000000001E-2</v>
      </c>
      <c r="D7" t="s">
        <v>186</v>
      </c>
      <c r="E7">
        <v>2.5000000000000001E-2</v>
      </c>
      <c r="G7" t="s">
        <v>186</v>
      </c>
      <c r="H7">
        <f>Table2548586331327[[#This Row],[Peak Power '[W']]]*2</f>
        <v>0.05</v>
      </c>
      <c r="J7" t="s">
        <v>186</v>
      </c>
      <c r="M7" t="s">
        <v>186</v>
      </c>
      <c r="N7" s="2">
        <v>56</v>
      </c>
      <c r="U7">
        <v>3</v>
      </c>
      <c r="V7">
        <v>1</v>
      </c>
      <c r="W7" t="s">
        <v>258</v>
      </c>
      <c r="X7" t="s">
        <v>259</v>
      </c>
      <c r="Y7" t="s">
        <v>260</v>
      </c>
      <c r="Z7" t="s">
        <v>261</v>
      </c>
    </row>
    <row r="8" spans="1:35" x14ac:dyDescent="0.3">
      <c r="A8" s="1" t="s">
        <v>187</v>
      </c>
      <c r="B8">
        <v>3.5999999999999997E-2</v>
      </c>
      <c r="D8" t="s">
        <v>187</v>
      </c>
      <c r="E8">
        <v>1</v>
      </c>
      <c r="G8" t="s">
        <v>187</v>
      </c>
      <c r="H8">
        <f>Table2548586331327[[#This Row],[Peak Power '[W']]]*2</f>
        <v>2</v>
      </c>
      <c r="J8" t="s">
        <v>187</v>
      </c>
      <c r="M8" t="s">
        <v>187</v>
      </c>
      <c r="N8" s="2">
        <v>73.64</v>
      </c>
      <c r="U8">
        <v>4</v>
      </c>
      <c r="V8">
        <v>1</v>
      </c>
      <c r="W8" t="s">
        <v>262</v>
      </c>
      <c r="X8" t="s">
        <v>263</v>
      </c>
      <c r="Y8" t="s">
        <v>264</v>
      </c>
      <c r="Z8" t="s">
        <v>265</v>
      </c>
      <c r="AA8" t="s">
        <v>266</v>
      </c>
    </row>
    <row r="9" spans="1:35" x14ac:dyDescent="0.3">
      <c r="A9" s="1" t="s">
        <v>188</v>
      </c>
      <c r="B9">
        <v>3.0000000000000001E-3</v>
      </c>
      <c r="D9" t="s">
        <v>188</v>
      </c>
      <c r="E9">
        <v>9.5000000000000001E-2</v>
      </c>
      <c r="G9" t="s">
        <v>188</v>
      </c>
      <c r="H9">
        <v>0.8</v>
      </c>
      <c r="J9" t="s">
        <v>188</v>
      </c>
      <c r="M9" t="s">
        <v>188</v>
      </c>
      <c r="N9" s="2">
        <v>24</v>
      </c>
      <c r="U9">
        <v>5</v>
      </c>
      <c r="V9">
        <v>1</v>
      </c>
      <c r="W9" t="s">
        <v>267</v>
      </c>
      <c r="X9" t="s">
        <v>268</v>
      </c>
      <c r="Y9" t="s">
        <v>269</v>
      </c>
    </row>
    <row r="10" spans="1:35" x14ac:dyDescent="0.3">
      <c r="A10" s="1" t="s">
        <v>189</v>
      </c>
      <c r="B10" s="4">
        <v>4.5999999999999999E-2</v>
      </c>
      <c r="C10" s="4"/>
      <c r="D10" t="s">
        <v>189</v>
      </c>
      <c r="E10" s="4">
        <v>3</v>
      </c>
      <c r="F10" s="4"/>
      <c r="G10" t="s">
        <v>189</v>
      </c>
      <c r="H10" s="4">
        <f>Table2548586331327[[#This Row],[Peak Power '[W']]]*2</f>
        <v>6</v>
      </c>
      <c r="I10" s="4"/>
      <c r="J10" t="s">
        <v>189</v>
      </c>
      <c r="K10" s="4"/>
      <c r="L10" s="4"/>
      <c r="M10" t="s">
        <v>189</v>
      </c>
      <c r="N10">
        <v>75</v>
      </c>
      <c r="U10">
        <v>6</v>
      </c>
      <c r="V10">
        <v>1</v>
      </c>
      <c r="W10" t="s">
        <v>270</v>
      </c>
      <c r="X10" t="s">
        <v>271</v>
      </c>
      <c r="Y10" t="s">
        <v>272</v>
      </c>
      <c r="Z10" t="s">
        <v>273</v>
      </c>
    </row>
    <row r="11" spans="1:35" x14ac:dyDescent="0.3">
      <c r="A11" s="1" t="s">
        <v>274</v>
      </c>
      <c r="B11">
        <v>0.05</v>
      </c>
      <c r="D11" t="s">
        <v>274</v>
      </c>
      <c r="E11" s="4">
        <v>3.5</v>
      </c>
      <c r="G11" t="s">
        <v>274</v>
      </c>
      <c r="H11" s="4">
        <f>Table2548586331327[[#This Row],[Peak Power '[W']]]*2</f>
        <v>7</v>
      </c>
      <c r="J11" t="s">
        <v>274</v>
      </c>
      <c r="M11" t="s">
        <v>274</v>
      </c>
      <c r="N11">
        <v>53</v>
      </c>
      <c r="U11">
        <v>7</v>
      </c>
      <c r="V11">
        <v>1</v>
      </c>
      <c r="W11" t="s">
        <v>275</v>
      </c>
      <c r="X11" t="s">
        <v>276</v>
      </c>
      <c r="Y11" t="s">
        <v>277</v>
      </c>
      <c r="Z11" t="s">
        <v>278</v>
      </c>
    </row>
    <row r="12" spans="1:35" x14ac:dyDescent="0.3">
      <c r="A12" s="1" t="s">
        <v>279</v>
      </c>
      <c r="B12">
        <v>4.0000000000000001E-3</v>
      </c>
      <c r="D12" t="s">
        <v>279</v>
      </c>
      <c r="E12" s="4">
        <v>1.25</v>
      </c>
      <c r="G12" t="s">
        <v>279</v>
      </c>
      <c r="H12" s="4">
        <f>Table2548586331327[[#This Row],[Peak Power '[W']]]*2</f>
        <v>2.5</v>
      </c>
      <c r="J12" t="s">
        <v>279</v>
      </c>
      <c r="M12" t="s">
        <v>279</v>
      </c>
      <c r="N12">
        <v>30</v>
      </c>
      <c r="U12">
        <v>8</v>
      </c>
      <c r="V12">
        <v>1</v>
      </c>
      <c r="W12" t="s">
        <v>280</v>
      </c>
      <c r="X12" t="s">
        <v>281</v>
      </c>
      <c r="Z12" t="s">
        <v>282</v>
      </c>
    </row>
    <row r="13" spans="1:35" x14ac:dyDescent="0.3">
      <c r="A13" t="s">
        <v>283</v>
      </c>
      <c r="B13">
        <v>0.1</v>
      </c>
      <c r="D13" t="s">
        <v>283</v>
      </c>
      <c r="E13">
        <v>0</v>
      </c>
      <c r="G13" t="s">
        <v>283</v>
      </c>
      <c r="H13">
        <f>Table2548586331327[[#This Row],[Peak Power '[W']]]*2</f>
        <v>0</v>
      </c>
      <c r="J13" t="s">
        <v>283</v>
      </c>
      <c r="M13" t="s">
        <v>283</v>
      </c>
      <c r="N13">
        <v>0</v>
      </c>
    </row>
    <row r="17" spans="1:14" x14ac:dyDescent="0.3">
      <c r="A17" t="s">
        <v>173</v>
      </c>
      <c r="B17">
        <f>SUM(Table1447576221226[Mass '[kg']])</f>
        <v>0.33799999999999997</v>
      </c>
      <c r="D17" t="s">
        <v>173</v>
      </c>
      <c r="E17">
        <f>SUM(Table2548586331327[Peak Power '[W']])</f>
        <v>11.870000000000001</v>
      </c>
      <c r="G17" t="s">
        <v>173</v>
      </c>
      <c r="H17">
        <f>SUM(Table5849596441428[Max. Energy '[Wh']])</f>
        <v>24.35</v>
      </c>
      <c r="J17" t="s">
        <v>173</v>
      </c>
      <c r="K17">
        <f>SUM(Table6950606551529[Max. Data '[Mb/s']])</f>
        <v>0</v>
      </c>
      <c r="M17" t="s">
        <v>173</v>
      </c>
      <c r="N17">
        <f>SUM(Table62334353651616661630[Price'[EUR']])</f>
        <v>761.64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honeticPr fontId="2" type="noConversion"/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2" bestFit="1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192</v>
      </c>
      <c r="Y2" s="22"/>
    </row>
    <row r="3" spans="1:26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6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</row>
    <row r="5" spans="1:26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U5">
        <v>1</v>
      </c>
      <c r="V5">
        <v>1</v>
      </c>
      <c r="W5" t="s">
        <v>284</v>
      </c>
      <c r="X5" t="s">
        <v>285</v>
      </c>
      <c r="Y5" t="s">
        <v>286</v>
      </c>
      <c r="Z5" t="s">
        <v>287</v>
      </c>
    </row>
    <row r="6" spans="1:26" x14ac:dyDescent="0.3">
      <c r="A6" s="1" t="s">
        <v>185</v>
      </c>
      <c r="B6">
        <v>0.3</v>
      </c>
      <c r="D6" t="s">
        <v>185</v>
      </c>
      <c r="E6">
        <v>0</v>
      </c>
      <c r="G6" t="s">
        <v>185</v>
      </c>
      <c r="H6">
        <v>0</v>
      </c>
      <c r="J6" t="s">
        <v>185</v>
      </c>
      <c r="M6" t="s">
        <v>185</v>
      </c>
      <c r="N6" s="2"/>
    </row>
    <row r="7" spans="1:26" x14ac:dyDescent="0.3">
      <c r="A7" s="1" t="s">
        <v>186</v>
      </c>
      <c r="D7" t="s">
        <v>186</v>
      </c>
      <c r="G7" t="s">
        <v>186</v>
      </c>
      <c r="J7" t="s">
        <v>186</v>
      </c>
      <c r="M7" t="s">
        <v>186</v>
      </c>
      <c r="N7" s="2"/>
    </row>
    <row r="8" spans="1:26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</row>
    <row r="9" spans="1:26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</row>
    <row r="10" spans="1:26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H19" sqref="H19"/>
    </sheetView>
  </sheetViews>
  <sheetFormatPr defaultColWidth="9.109375" defaultRowHeight="14.4" x14ac:dyDescent="0.3"/>
  <cols>
    <col min="1" max="1" width="15.88671875" bestFit="1" customWidth="1"/>
    <col min="2" max="2" width="11.33203125" bestFit="1" customWidth="1"/>
    <col min="3" max="3" width="9.33203125" customWidth="1"/>
    <col min="4" max="4" width="15.88671875" bestFit="1" customWidth="1"/>
    <col min="5" max="5" width="16.6640625" bestFit="1" customWidth="1"/>
    <col min="6" max="6" width="9.33203125" customWidth="1"/>
    <col min="7" max="7" width="15.88671875" bestFit="1" customWidth="1"/>
    <col min="8" max="8" width="18.44140625" bestFit="1" customWidth="1"/>
    <col min="9" max="9" width="10.6640625" customWidth="1"/>
    <col min="10" max="10" width="15.88671875" bestFit="1" customWidth="1"/>
    <col min="11" max="11" width="18.33203125" bestFit="1" customWidth="1"/>
    <col min="13" max="13" width="15.88671875" bestFit="1" customWidth="1"/>
    <col min="14" max="14" width="12.109375" bestFit="1" customWidth="1"/>
    <col min="19" max="19" width="18" customWidth="1"/>
    <col min="20" max="20" width="16.6640625" customWidth="1"/>
  </cols>
  <sheetData>
    <row r="1" spans="1:26" ht="14.4" customHeight="1" x14ac:dyDescent="0.3">
      <c r="A1" s="21" t="s">
        <v>142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 t="s">
        <v>143</v>
      </c>
      <c r="Y1" s="22"/>
    </row>
    <row r="2" spans="1:26" ht="14.4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 t="s">
        <v>144</v>
      </c>
      <c r="Y2" s="22"/>
    </row>
    <row r="3" spans="1:26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5" t="s">
        <v>146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6" x14ac:dyDescent="0.3">
      <c r="A4" s="23" t="s">
        <v>148</v>
      </c>
      <c r="B4" s="24"/>
      <c r="D4" s="23" t="s">
        <v>149</v>
      </c>
      <c r="E4" s="24"/>
      <c r="G4" s="23" t="s">
        <v>150</v>
      </c>
      <c r="H4" s="24"/>
      <c r="J4" s="23" t="s">
        <v>151</v>
      </c>
      <c r="K4" s="24"/>
      <c r="M4" s="23" t="s">
        <v>152</v>
      </c>
      <c r="N4" s="24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154</v>
      </c>
      <c r="W4" t="s">
        <v>155</v>
      </c>
      <c r="X4" t="s">
        <v>156</v>
      </c>
      <c r="Y4" t="s">
        <v>157</v>
      </c>
      <c r="Z4" t="s">
        <v>4</v>
      </c>
    </row>
    <row r="5" spans="1:26" x14ac:dyDescent="0.3">
      <c r="A5" s="1" t="s">
        <v>158</v>
      </c>
      <c r="B5" s="2" t="s">
        <v>159</v>
      </c>
      <c r="D5" s="1" t="s">
        <v>158</v>
      </c>
      <c r="E5" s="2" t="s">
        <v>160</v>
      </c>
      <c r="G5" s="1" t="s">
        <v>158</v>
      </c>
      <c r="H5" s="2" t="s">
        <v>161</v>
      </c>
      <c r="J5" s="1" t="s">
        <v>158</v>
      </c>
      <c r="K5" s="2" t="s">
        <v>162</v>
      </c>
      <c r="M5" s="1" t="s">
        <v>158</v>
      </c>
      <c r="N5" s="2" t="s">
        <v>163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164</v>
      </c>
      <c r="B6" s="2">
        <f>SUM(Table14475762[Mass '[kg']])</f>
        <v>0</v>
      </c>
      <c r="D6" s="1" t="s">
        <v>164</v>
      </c>
      <c r="E6" s="2">
        <f>SUM(Table25485863[Peak Power '[W']])</f>
        <v>0</v>
      </c>
      <c r="G6" s="1" t="s">
        <v>164</v>
      </c>
      <c r="H6" s="2">
        <f>SUM(Table58495964[[#This Row],[Max. Energy '[Wh']]])</f>
        <v>0</v>
      </c>
      <c r="J6" s="1" t="s">
        <v>164</v>
      </c>
      <c r="K6" s="2">
        <f>SUM(Table69506065[Max. Data '[Mb/s']])</f>
        <v>0</v>
      </c>
      <c r="M6" s="1" t="s">
        <v>164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165</v>
      </c>
      <c r="B7" s="2">
        <f>SUM(Table144757622[Mass '[kg']])</f>
        <v>0</v>
      </c>
      <c r="D7" s="1" t="s">
        <v>165</v>
      </c>
      <c r="E7" s="2">
        <f>SUM(Table254858633[Peak Power '[W']])</f>
        <v>0</v>
      </c>
      <c r="G7" s="1" t="s">
        <v>165</v>
      </c>
      <c r="H7" s="2">
        <f>SUM(Table584959644[Max. Energy '[Wh']])</f>
        <v>0</v>
      </c>
      <c r="J7" s="1" t="s">
        <v>165</v>
      </c>
      <c r="K7" s="2">
        <f>SUM(Table695060655[Max. Data '[Mb/s']])</f>
        <v>0</v>
      </c>
      <c r="M7" s="1" t="s">
        <v>165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166</v>
      </c>
    </row>
    <row r="8" spans="1:26" x14ac:dyDescent="0.3">
      <c r="A8" s="1" t="s">
        <v>167</v>
      </c>
      <c r="B8" s="2">
        <f>SUM(Table1447576227[Mass '[kg']])</f>
        <v>0</v>
      </c>
      <c r="D8" s="1" t="s">
        <v>167</v>
      </c>
      <c r="E8" s="2">
        <f>SUM(Table2548586338[Peak Power '[W']])</f>
        <v>0</v>
      </c>
      <c r="G8" s="1" t="s">
        <v>167</v>
      </c>
      <c r="H8" s="2">
        <f>SUM(Table5849596449[Max. Energy '[Wh']])</f>
        <v>0</v>
      </c>
      <c r="J8" s="1" t="s">
        <v>167</v>
      </c>
      <c r="K8" s="2">
        <f>SUM(Table69506065510[Max. Data '[Mb/s']])</f>
        <v>0</v>
      </c>
      <c r="M8" s="1" t="s">
        <v>167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168</v>
      </c>
    </row>
    <row r="9" spans="1:26" x14ac:dyDescent="0.3">
      <c r="A9" s="1" t="s">
        <v>169</v>
      </c>
      <c r="B9" s="2">
        <f>SUM(Table14475762212[Mass '[kg']])</f>
        <v>0</v>
      </c>
      <c r="D9" s="1" t="s">
        <v>169</v>
      </c>
      <c r="E9" s="2">
        <f>SUM(Table25485863313[Peak Power '[W']])</f>
        <v>0</v>
      </c>
      <c r="G9" s="1" t="s">
        <v>169</v>
      </c>
      <c r="H9" s="2">
        <f>SUM(Table58495964414[Max. Energy '[Wh']])</f>
        <v>0</v>
      </c>
      <c r="J9" s="1" t="s">
        <v>169</v>
      </c>
      <c r="K9" s="2">
        <f>SUM(Table69506065515[Max. Data '[Mb/s']])</f>
        <v>0</v>
      </c>
      <c r="M9" s="1" t="s">
        <v>169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170</v>
      </c>
      <c r="B10" s="2">
        <f>SUM(Table1447576221217[Mass '[kg']])</f>
        <v>0</v>
      </c>
      <c r="D10" s="1" t="s">
        <v>170</v>
      </c>
      <c r="E10" s="2">
        <f>SUM(Table2548586331318[Peak Power '[W']])</f>
        <v>0</v>
      </c>
      <c r="G10" s="1" t="s">
        <v>170</v>
      </c>
      <c r="H10" s="2">
        <f>SUM(Table5849596441419[Max. Energy '[Wh']])</f>
        <v>0</v>
      </c>
      <c r="J10" s="1" t="s">
        <v>170</v>
      </c>
      <c r="K10" s="2">
        <f>SUM(Table6950606551524[Max. Data '[Mb/s']])</f>
        <v>0</v>
      </c>
      <c r="M10" s="1" t="s">
        <v>170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171</v>
      </c>
      <c r="B11" s="2">
        <f>SUM(Table14475762[Mass '[kg']])</f>
        <v>0</v>
      </c>
      <c r="D11" s="1" t="s">
        <v>171</v>
      </c>
      <c r="E11" s="2">
        <f>SUM(Table2548586331327[Peak Power '[W']])</f>
        <v>11.870000000000001</v>
      </c>
      <c r="G11" s="1" t="s">
        <v>171</v>
      </c>
      <c r="H11" s="2">
        <f>SUM(Table5849596441428[Max. Energy '[Wh']])</f>
        <v>24.35</v>
      </c>
      <c r="J11" s="1" t="s">
        <v>171</v>
      </c>
      <c r="K11" s="2">
        <f>SUM(Table6950606551529[Max. Data '[Mb/s']])</f>
        <v>0</v>
      </c>
      <c r="M11" s="1" t="s">
        <v>171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172</v>
      </c>
      <c r="B12" s="2">
        <f>SUM(Table1447576221231[Mass '[kg']])</f>
        <v>0.3</v>
      </c>
      <c r="D12" s="1" t="s">
        <v>172</v>
      </c>
      <c r="E12" s="2">
        <f>SUM(Table2548586331332[Peak Power '[W']])</f>
        <v>0</v>
      </c>
      <c r="G12" s="1" t="s">
        <v>172</v>
      </c>
      <c r="H12" s="2">
        <f>SUM(Table5849596441433[Max. Energy '[Wh']])</f>
        <v>0</v>
      </c>
      <c r="J12" s="1" t="s">
        <v>172</v>
      </c>
      <c r="K12" s="2">
        <f>SUM(Table6950606551535[Max. Data '[Mb/s']])</f>
        <v>0</v>
      </c>
      <c r="M12" s="1" t="s">
        <v>172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173</v>
      </c>
      <c r="B13" s="2">
        <v>7.5</v>
      </c>
      <c r="D13" s="1" t="s">
        <v>173</v>
      </c>
      <c r="E13" s="2">
        <f>SUM(E6:E12)</f>
        <v>11.870000000000001</v>
      </c>
      <c r="G13" s="1" t="s">
        <v>173</v>
      </c>
      <c r="H13" s="2">
        <f>SUM(H6:H12)</f>
        <v>24.35</v>
      </c>
      <c r="J13" s="1" t="s">
        <v>173</v>
      </c>
      <c r="K13" s="2">
        <f>SUM(K6:K12)</f>
        <v>0</v>
      </c>
      <c r="M13" s="1" t="s">
        <v>173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174</v>
      </c>
      <c r="B14" s="5">
        <v>15</v>
      </c>
      <c r="C14" s="4"/>
      <c r="D14" s="3" t="s">
        <v>174</v>
      </c>
      <c r="E14" s="5"/>
      <c r="F14" s="4"/>
      <c r="G14" s="3" t="s">
        <v>174</v>
      </c>
      <c r="H14" s="5"/>
      <c r="I14" s="4"/>
      <c r="J14" s="3" t="s">
        <v>174</v>
      </c>
      <c r="K14" s="5"/>
      <c r="L14" s="4"/>
      <c r="M14" s="3" t="s">
        <v>174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19" t="s">
        <v>175</v>
      </c>
      <c r="B24" s="20"/>
      <c r="C24" s="20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176</v>
      </c>
      <c r="B25" t="s">
        <v>2</v>
      </c>
      <c r="C25" s="2" t="s">
        <v>3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177</v>
      </c>
      <c r="B26" t="s">
        <v>178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Master_Design_Parameters!A53</f>
        <v>5V Power</v>
      </c>
      <c r="P33" t="str">
        <f>Master_Design_Parameters!B53</f>
        <v>Power_5V</v>
      </c>
      <c r="Q33" t="str">
        <f>Master_Design_Parameters!C53</f>
        <v>W</v>
      </c>
      <c r="R33">
        <f>Master_Design_Parameters!D53</f>
        <v>11.870000000000001</v>
      </c>
      <c r="S33" t="str">
        <f>Master_Design_Parameters!E53</f>
        <v>The power that the 5V regulator has to supply, used for the efficiency calculations of the swithcing converter</v>
      </c>
      <c r="T33">
        <f>Master_Design_Parameters!F53</f>
        <v>0</v>
      </c>
    </row>
    <row r="34" spans="1:20" x14ac:dyDescent="0.3">
      <c r="A34" s="3"/>
      <c r="B34" s="4"/>
      <c r="C34" s="5"/>
      <c r="O34">
        <f>Master_Design_Parameters!A54</f>
        <v>0</v>
      </c>
      <c r="P34">
        <f>Master_Design_Parameters!B54</f>
        <v>0</v>
      </c>
      <c r="Q34">
        <f>Master_Design_Parameters!C54</f>
        <v>0</v>
      </c>
      <c r="R34">
        <f>Master_Design_Parameters!D54</f>
        <v>0</v>
      </c>
      <c r="S34">
        <f>Master_Design_Parameters!E54</f>
        <v>0</v>
      </c>
      <c r="T34">
        <f>Master_Design_Parameters!F54</f>
        <v>0</v>
      </c>
    </row>
    <row r="35" spans="1:20" x14ac:dyDescent="0.3">
      <c r="O35">
        <f>Master_Design_Parameters!A55</f>
        <v>0</v>
      </c>
      <c r="P35">
        <f>Master_Design_Parameters!B55</f>
        <v>0</v>
      </c>
      <c r="Q35">
        <f>Master_Design_Parameters!C55</f>
        <v>0</v>
      </c>
      <c r="R35">
        <f>Master_Design_Parameters!D55</f>
        <v>0</v>
      </c>
      <c r="S35">
        <f>Master_Design_Parameters!E55</f>
        <v>0</v>
      </c>
      <c r="T35">
        <f>Master_Design_Parameters!F55</f>
        <v>0</v>
      </c>
    </row>
    <row r="36" spans="1:20" x14ac:dyDescent="0.3">
      <c r="O36">
        <f>Master_Design_Parameters!A56</f>
        <v>0</v>
      </c>
      <c r="P36">
        <f>Master_Design_Parameters!B56</f>
        <v>0</v>
      </c>
      <c r="Q36">
        <f>Master_Design_Parameters!C56</f>
        <v>0</v>
      </c>
      <c r="R36">
        <f>Master_Design_Parameters!D56</f>
        <v>0</v>
      </c>
      <c r="S36">
        <f>Master_Design_Parameters!E56</f>
        <v>0</v>
      </c>
      <c r="T36">
        <f>Master_Design_Parameters!F56</f>
        <v>0</v>
      </c>
    </row>
    <row r="37" spans="1:20" x14ac:dyDescent="0.3">
      <c r="O37">
        <f>Master_Design_Parameters!A57</f>
        <v>0</v>
      </c>
      <c r="P37">
        <f>Master_Design_Parameters!B57</f>
        <v>0</v>
      </c>
      <c r="Q37">
        <f>Master_Design_Parameters!C57</f>
        <v>0</v>
      </c>
      <c r="R37">
        <f>Master_Design_Parameters!D57</f>
        <v>0</v>
      </c>
      <c r="S37">
        <f>Master_Design_Parameters!E57</f>
        <v>0</v>
      </c>
      <c r="T37">
        <f>Master_Design_Parameters!F57</f>
        <v>0</v>
      </c>
    </row>
    <row r="38" spans="1:20" x14ac:dyDescent="0.3">
      <c r="O38">
        <f>Master_Design_Parameters!A58</f>
        <v>0</v>
      </c>
      <c r="P38">
        <f>Master_Design_Parameters!B58</f>
        <v>0</v>
      </c>
      <c r="Q38">
        <f>Master_Design_Parameters!C58</f>
        <v>0</v>
      </c>
      <c r="R38">
        <f>Master_Design_Parameters!D58</f>
        <v>0</v>
      </c>
      <c r="S38">
        <f>Master_Design_Parameters!E58</f>
        <v>0</v>
      </c>
      <c r="T38">
        <f>Master_Design_Parameters!F58</f>
        <v>0</v>
      </c>
    </row>
    <row r="39" spans="1:20" x14ac:dyDescent="0.3">
      <c r="O39">
        <f>Master_Design_Parameters!A59</f>
        <v>0</v>
      </c>
      <c r="P39">
        <f>Master_Design_Parameters!B59</f>
        <v>0</v>
      </c>
      <c r="Q39">
        <f>Master_Design_Parameters!C59</f>
        <v>0</v>
      </c>
      <c r="R39">
        <f>Master_Design_Parameters!D59</f>
        <v>0</v>
      </c>
      <c r="S39">
        <f>Master_Design_Parameters!E59</f>
        <v>0</v>
      </c>
      <c r="T39">
        <f>Master_Design_Parameters!F59</f>
        <v>0</v>
      </c>
    </row>
    <row r="40" spans="1:20" x14ac:dyDescent="0.3">
      <c r="O40">
        <f>Master_Design_Parameters!A60</f>
        <v>0</v>
      </c>
      <c r="P40">
        <f>Master_Design_Parameters!B60</f>
        <v>0</v>
      </c>
      <c r="Q40">
        <f>Master_Design_Parameters!C60</f>
        <v>0</v>
      </c>
      <c r="R40">
        <f>Master_Design_Parameters!D60</f>
        <v>0</v>
      </c>
      <c r="S40">
        <f>Master_Design_Parameters!E60</f>
        <v>0</v>
      </c>
      <c r="T40">
        <f>Master_Design_Parameters!F60</f>
        <v>0</v>
      </c>
    </row>
    <row r="41" spans="1:20" x14ac:dyDescent="0.3">
      <c r="O41">
        <f>Master_Design_Parameters!A61</f>
        <v>0</v>
      </c>
      <c r="P41">
        <f>Master_Design_Parameters!B61</f>
        <v>0</v>
      </c>
      <c r="Q41">
        <f>Master_Design_Parameters!C61</f>
        <v>0</v>
      </c>
      <c r="R41">
        <f>Master_Design_Parameters!D61</f>
        <v>0</v>
      </c>
      <c r="S41">
        <f>Master_Design_Parameters!E61</f>
        <v>0</v>
      </c>
      <c r="T41">
        <f>Master_Design_Parameters!F61</f>
        <v>0</v>
      </c>
    </row>
    <row r="42" spans="1:20" x14ac:dyDescent="0.3">
      <c r="O42">
        <f>Master_Design_Parameters!A62</f>
        <v>0</v>
      </c>
      <c r="P42">
        <f>Master_Design_Parameters!B62</f>
        <v>0</v>
      </c>
      <c r="Q42">
        <f>Master_Design_Parameters!C62</f>
        <v>0</v>
      </c>
      <c r="R42">
        <f>Master_Design_Parameters!D62</f>
        <v>0</v>
      </c>
      <c r="S42">
        <f>Master_Design_Parameters!E62</f>
        <v>0</v>
      </c>
      <c r="T42">
        <f>Master_Design_Parameters!F62</f>
        <v>0</v>
      </c>
    </row>
    <row r="43" spans="1:20" x14ac:dyDescent="0.3">
      <c r="O43">
        <f>Master_Design_Parameters!A63</f>
        <v>0</v>
      </c>
      <c r="P43">
        <f>Master_Design_Parameters!B63</f>
        <v>0</v>
      </c>
      <c r="Q43">
        <f>Master_Design_Parameters!C63</f>
        <v>0</v>
      </c>
      <c r="R43">
        <f>Master_Design_Parameters!D63</f>
        <v>0</v>
      </c>
      <c r="S43">
        <f>Master_Design_Parameters!E63</f>
        <v>0</v>
      </c>
      <c r="T43">
        <f>Master_Design_Parameters!F63</f>
        <v>0</v>
      </c>
    </row>
    <row r="44" spans="1:20" x14ac:dyDescent="0.3">
      <c r="O44">
        <f>Master_Design_Parameters!A64</f>
        <v>0</v>
      </c>
      <c r="P44">
        <f>Master_Design_Parameters!B64</f>
        <v>0</v>
      </c>
      <c r="Q44">
        <f>Master_Design_Parameters!C64</f>
        <v>0</v>
      </c>
      <c r="R44">
        <f>Master_Design_Parameters!D64</f>
        <v>0</v>
      </c>
      <c r="S44">
        <f>Master_Design_Parameters!E64</f>
        <v>0</v>
      </c>
      <c r="T44">
        <f>Master_Design_Parameters!F64</f>
        <v>0</v>
      </c>
    </row>
    <row r="45" spans="1:20" x14ac:dyDescent="0.3">
      <c r="O45">
        <f>Master_Design_Parameters!A65</f>
        <v>0</v>
      </c>
      <c r="P45">
        <f>Master_Design_Parameters!B65</f>
        <v>0</v>
      </c>
      <c r="Q45">
        <f>Master_Design_Parameters!C65</f>
        <v>0</v>
      </c>
      <c r="R45">
        <f>Master_Design_Parameters!D65</f>
        <v>0</v>
      </c>
      <c r="S45">
        <f>Master_Design_Parameters!E65</f>
        <v>0</v>
      </c>
      <c r="T45">
        <f>Master_Design_Parameters!F65</f>
        <v>0</v>
      </c>
    </row>
    <row r="46" spans="1:20" x14ac:dyDescent="0.3">
      <c r="O46">
        <f>Master_Design_Parameters!A66</f>
        <v>0</v>
      </c>
      <c r="P46">
        <f>Master_Design_Parameters!B66</f>
        <v>0</v>
      </c>
      <c r="Q46">
        <f>Master_Design_Parameters!C66</f>
        <v>0</v>
      </c>
      <c r="R46">
        <f>Master_Design_Parameters!D66</f>
        <v>0</v>
      </c>
      <c r="S46">
        <f>Master_Design_Parameters!E66</f>
        <v>0</v>
      </c>
      <c r="T46">
        <f>Master_Design_Parameters!F66</f>
        <v>0</v>
      </c>
    </row>
    <row r="47" spans="1:20" x14ac:dyDescent="0.3">
      <c r="O47">
        <f>Master_Design_Parameters!A67</f>
        <v>0</v>
      </c>
      <c r="P47">
        <f>Master_Design_Parameters!B67</f>
        <v>0</v>
      </c>
      <c r="Q47">
        <f>Master_Design_Parameters!C67</f>
        <v>0</v>
      </c>
      <c r="R47">
        <f>Master_Design_Parameters!D67</f>
        <v>0</v>
      </c>
      <c r="S47">
        <f>Master_Design_Parameters!E67</f>
        <v>0</v>
      </c>
      <c r="T47">
        <f>Master_Design_Parameters!F67</f>
        <v>0</v>
      </c>
    </row>
    <row r="48" spans="1:20" x14ac:dyDescent="0.3">
      <c r="O48">
        <f>Master_Design_Parameters!A68</f>
        <v>0</v>
      </c>
      <c r="P48">
        <f>Master_Design_Parameters!B68</f>
        <v>0</v>
      </c>
      <c r="Q48">
        <f>Master_Design_Parameters!C68</f>
        <v>0</v>
      </c>
      <c r="R48">
        <f>Master_Design_Parameters!D68</f>
        <v>0</v>
      </c>
      <c r="S48">
        <f>Master_Design_Parameters!E68</f>
        <v>0</v>
      </c>
      <c r="T48">
        <f>Master_Design_Parameters!F68</f>
        <v>0</v>
      </c>
    </row>
    <row r="49" spans="15:20" x14ac:dyDescent="0.3">
      <c r="O49">
        <f>Master_Design_Parameters!A69</f>
        <v>0</v>
      </c>
      <c r="P49">
        <f>Master_Design_Parameters!B69</f>
        <v>0</v>
      </c>
      <c r="Q49">
        <f>Master_Design_Parameters!C69</f>
        <v>0</v>
      </c>
      <c r="R49">
        <f>Master_Design_Parameters!D69</f>
        <v>0</v>
      </c>
      <c r="S49">
        <f>Master_Design_Parameters!E69</f>
        <v>0</v>
      </c>
      <c r="T49">
        <f>Master_Design_Parameters!F69</f>
        <v>0</v>
      </c>
    </row>
    <row r="50" spans="15:20" x14ac:dyDescent="0.3">
      <c r="O50">
        <f>Master_Design_Parameters!A70</f>
        <v>0</v>
      </c>
      <c r="P50">
        <f>Master_Design_Parameters!B70</f>
        <v>0</v>
      </c>
      <c r="Q50">
        <f>Master_Design_Parameters!C70</f>
        <v>0</v>
      </c>
      <c r="R50">
        <f>Master_Design_Parameters!D70</f>
        <v>0</v>
      </c>
      <c r="S50">
        <f>Master_Design_Parameters!E70</f>
        <v>0</v>
      </c>
      <c r="T50">
        <f>Master_Design_Parameters!F70</f>
        <v>0</v>
      </c>
    </row>
    <row r="51" spans="15:20" x14ac:dyDescent="0.3">
      <c r="O51">
        <f>Master_Design_Parameters!A71</f>
        <v>0</v>
      </c>
      <c r="P51">
        <f>Master_Design_Parameters!B71</f>
        <v>0</v>
      </c>
      <c r="Q51">
        <f>Master_Design_Parameters!C71</f>
        <v>0</v>
      </c>
      <c r="R51">
        <f>Master_Design_Parameters!D71</f>
        <v>0</v>
      </c>
      <c r="S51">
        <f>Master_Design_Parameters!E71</f>
        <v>0</v>
      </c>
      <c r="T51">
        <f>Master_Design_Parameters!F71</f>
        <v>0</v>
      </c>
    </row>
    <row r="52" spans="15:20" x14ac:dyDescent="0.3">
      <c r="O52">
        <f>Master_Design_Parameters!A72</f>
        <v>0</v>
      </c>
      <c r="P52">
        <f>Master_Design_Parameters!B72</f>
        <v>0</v>
      </c>
      <c r="Q52">
        <f>Master_Design_Parameters!C72</f>
        <v>0</v>
      </c>
      <c r="R52">
        <f>Master_Design_Parameters!D72</f>
        <v>0</v>
      </c>
      <c r="S52">
        <f>Master_Design_Parameters!E72</f>
        <v>0</v>
      </c>
      <c r="T52">
        <f>Master_Design_Parameters!F72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10" workbookViewId="0">
      <selection activeCell="P22" sqref="P22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2.109375" customWidth="1"/>
    <col min="16" max="16" width="12" bestFit="1" customWidth="1"/>
    <col min="17" max="17" width="16.33203125" bestFit="1" customWidth="1"/>
    <col min="18" max="18" width="6.664062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33203125" bestFit="1" customWidth="1"/>
  </cols>
  <sheetData>
    <row r="1" spans="1:25" ht="14.4" customHeight="1" x14ac:dyDescent="0.3">
      <c r="A1" s="27" t="s">
        <v>164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179</v>
      </c>
      <c r="Y2" s="22"/>
    </row>
    <row r="3" spans="1:25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5"/>
      <c r="T3" s="24"/>
      <c r="U3" s="23" t="s">
        <v>147</v>
      </c>
      <c r="V3" s="25"/>
      <c r="W3" s="25"/>
      <c r="X3" s="25"/>
      <c r="Y3" s="24"/>
    </row>
    <row r="4" spans="1:25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180</v>
      </c>
      <c r="V4" t="s">
        <v>155</v>
      </c>
      <c r="W4" t="s">
        <v>156</v>
      </c>
      <c r="X4" t="s">
        <v>157</v>
      </c>
      <c r="Y4" t="s">
        <v>4</v>
      </c>
    </row>
    <row r="5" spans="1:25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6</v>
      </c>
      <c r="P5" t="s">
        <v>7</v>
      </c>
      <c r="Q5" t="s">
        <v>8</v>
      </c>
      <c r="R5">
        <v>15.1</v>
      </c>
      <c r="S5" t="s">
        <v>9</v>
      </c>
      <c r="T5" t="s">
        <v>10</v>
      </c>
      <c r="U5">
        <v>1</v>
      </c>
      <c r="V5" t="s">
        <v>181</v>
      </c>
      <c r="W5" t="s">
        <v>182</v>
      </c>
      <c r="X5" s="6" t="s">
        <v>183</v>
      </c>
      <c r="Y5" t="s">
        <v>184</v>
      </c>
    </row>
    <row r="6" spans="1:25" x14ac:dyDescent="0.3">
      <c r="A6" s="1" t="s">
        <v>185</v>
      </c>
      <c r="D6" t="s">
        <v>185</v>
      </c>
      <c r="G6" t="s">
        <v>185</v>
      </c>
      <c r="J6" t="s">
        <v>185</v>
      </c>
      <c r="M6" t="s">
        <v>185</v>
      </c>
      <c r="N6" s="2"/>
      <c r="O6" t="s">
        <v>11</v>
      </c>
      <c r="P6" t="s">
        <v>12</v>
      </c>
      <c r="Q6" t="s">
        <v>13</v>
      </c>
      <c r="R6">
        <f>6.4*1.2</f>
        <v>7.68</v>
      </c>
      <c r="S6" t="s">
        <v>14</v>
      </c>
      <c r="T6" t="s">
        <v>10</v>
      </c>
    </row>
    <row r="7" spans="1:25" x14ac:dyDescent="0.3">
      <c r="A7" s="1" t="s">
        <v>186</v>
      </c>
      <c r="D7" t="s">
        <v>186</v>
      </c>
      <c r="G7" t="s">
        <v>186</v>
      </c>
      <c r="J7" t="s">
        <v>186</v>
      </c>
      <c r="M7" t="s">
        <v>186</v>
      </c>
      <c r="N7" s="2"/>
      <c r="O7" t="s">
        <v>15</v>
      </c>
      <c r="P7" t="s">
        <v>15</v>
      </c>
      <c r="Q7" t="s">
        <v>8</v>
      </c>
      <c r="R7">
        <v>2.8</v>
      </c>
      <c r="S7" t="s">
        <v>16</v>
      </c>
      <c r="T7" t="s">
        <v>10</v>
      </c>
    </row>
    <row r="8" spans="1:25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  <c r="O8" t="s">
        <v>17</v>
      </c>
      <c r="P8" t="s">
        <v>18</v>
      </c>
      <c r="Q8" t="s">
        <v>19</v>
      </c>
      <c r="R8">
        <v>90</v>
      </c>
      <c r="S8" t="s">
        <v>20</v>
      </c>
      <c r="T8" t="s">
        <v>10</v>
      </c>
    </row>
    <row r="9" spans="1:25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  <c r="O9" t="s">
        <v>21</v>
      </c>
      <c r="P9" t="s">
        <v>22</v>
      </c>
      <c r="Q9" t="s">
        <v>19</v>
      </c>
      <c r="R9">
        <v>83</v>
      </c>
      <c r="S9" t="s">
        <v>20</v>
      </c>
      <c r="T9" t="s">
        <v>10</v>
      </c>
    </row>
    <row r="10" spans="1:25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  <c r="O10" t="s">
        <v>23</v>
      </c>
      <c r="P10" t="s">
        <v>24</v>
      </c>
      <c r="Q10" t="s">
        <v>19</v>
      </c>
      <c r="R10">
        <v>1.6</v>
      </c>
      <c r="S10" t="s">
        <v>20</v>
      </c>
      <c r="T10" t="s">
        <v>10</v>
      </c>
    </row>
    <row r="11" spans="1:25" x14ac:dyDescent="0.3">
      <c r="O11" t="s">
        <v>25</v>
      </c>
      <c r="P11" t="s">
        <v>26</v>
      </c>
      <c r="Q11" t="s">
        <v>19</v>
      </c>
      <c r="R11">
        <v>0.92</v>
      </c>
      <c r="S11" t="s">
        <v>20</v>
      </c>
      <c r="T11" t="s">
        <v>10</v>
      </c>
    </row>
    <row r="12" spans="1:25" x14ac:dyDescent="0.3">
      <c r="O12" t="s">
        <v>27</v>
      </c>
      <c r="P12" t="s">
        <v>27</v>
      </c>
      <c r="Q12" t="s">
        <v>19</v>
      </c>
      <c r="R12">
        <v>1.0999999999999999E-2</v>
      </c>
      <c r="S12" t="s">
        <v>20</v>
      </c>
      <c r="T12" t="s">
        <v>10</v>
      </c>
    </row>
    <row r="13" spans="1:25" x14ac:dyDescent="0.3">
      <c r="O13" t="s">
        <v>28</v>
      </c>
      <c r="P13" t="s">
        <v>29</v>
      </c>
      <c r="Q13" t="s">
        <v>19</v>
      </c>
      <c r="R13">
        <v>-0.16</v>
      </c>
      <c r="S13" t="s">
        <v>20</v>
      </c>
      <c r="T13" t="s">
        <v>10</v>
      </c>
    </row>
    <row r="14" spans="1:25" x14ac:dyDescent="0.3">
      <c r="O14" t="s">
        <v>30</v>
      </c>
      <c r="P14" t="s">
        <v>30</v>
      </c>
      <c r="Q14" t="s">
        <v>19</v>
      </c>
      <c r="R14">
        <f>R12/0.7</f>
        <v>1.5714285714285715E-2</v>
      </c>
      <c r="S14" t="s">
        <v>31</v>
      </c>
      <c r="T14" t="s">
        <v>10</v>
      </c>
    </row>
    <row r="15" spans="1:25" x14ac:dyDescent="0.3">
      <c r="O15" t="s">
        <v>32</v>
      </c>
      <c r="P15" t="s">
        <v>33</v>
      </c>
      <c r="Q15" t="s">
        <v>34</v>
      </c>
      <c r="R15">
        <v>2.95</v>
      </c>
      <c r="S15" t="s">
        <v>35</v>
      </c>
      <c r="T15" t="s">
        <v>10</v>
      </c>
    </row>
    <row r="16" spans="1:25" x14ac:dyDescent="0.3">
      <c r="O16" t="s">
        <v>36</v>
      </c>
      <c r="P16" t="s">
        <v>37</v>
      </c>
      <c r="Q16" t="s">
        <v>38</v>
      </c>
      <c r="R16">
        <v>1.1000000000000001</v>
      </c>
      <c r="S16" t="s">
        <v>9</v>
      </c>
      <c r="T16" t="s">
        <v>10</v>
      </c>
    </row>
    <row r="17" spans="15:20" x14ac:dyDescent="0.3">
      <c r="O17" t="s">
        <v>39</v>
      </c>
      <c r="P17" t="s">
        <v>40</v>
      </c>
      <c r="Q17" t="s">
        <v>19</v>
      </c>
      <c r="R17">
        <f>R15^2/R16</f>
        <v>7.9113636363636362</v>
      </c>
      <c r="S17" t="s">
        <v>41</v>
      </c>
      <c r="T17" t="s">
        <v>10</v>
      </c>
    </row>
    <row r="18" spans="15:20" x14ac:dyDescent="0.3">
      <c r="O18" t="s">
        <v>42</v>
      </c>
      <c r="P18" t="s">
        <v>43</v>
      </c>
      <c r="Q18" t="s">
        <v>19</v>
      </c>
      <c r="R18">
        <v>13.2</v>
      </c>
      <c r="S18" t="s">
        <v>41</v>
      </c>
      <c r="T18" t="s">
        <v>10</v>
      </c>
    </row>
    <row r="19" spans="15:20" x14ac:dyDescent="0.3">
      <c r="O19" t="s">
        <v>44</v>
      </c>
      <c r="P19" t="s">
        <v>45</v>
      </c>
      <c r="Q19" t="s">
        <v>34</v>
      </c>
      <c r="R19">
        <f>R16/R15</f>
        <v>0.3728813559322034</v>
      </c>
      <c r="S19" t="s">
        <v>9</v>
      </c>
      <c r="T19" t="s">
        <v>10</v>
      </c>
    </row>
    <row r="20" spans="15:20" x14ac:dyDescent="0.3">
      <c r="O20" t="s">
        <v>46</v>
      </c>
      <c r="P20" t="s">
        <v>47</v>
      </c>
      <c r="Q20" t="s">
        <v>19</v>
      </c>
      <c r="R20">
        <v>0.7</v>
      </c>
      <c r="S20" t="s">
        <v>41</v>
      </c>
      <c r="T20" t="s">
        <v>10</v>
      </c>
    </row>
    <row r="21" spans="15:20" x14ac:dyDescent="0.3">
      <c r="O21" t="s">
        <v>48</v>
      </c>
      <c r="P21" t="s">
        <v>49</v>
      </c>
      <c r="Q21" t="s">
        <v>19</v>
      </c>
      <c r="R21">
        <v>450000</v>
      </c>
      <c r="S21" t="s">
        <v>50</v>
      </c>
      <c r="T21" t="s">
        <v>10</v>
      </c>
    </row>
    <row r="22" spans="15:20" x14ac:dyDescent="0.3">
      <c r="O22" t="s">
        <v>51</v>
      </c>
      <c r="P22" t="s">
        <v>290</v>
      </c>
      <c r="Q22" t="s">
        <v>19</v>
      </c>
      <c r="R22">
        <v>0.45</v>
      </c>
      <c r="S22" t="s">
        <v>41</v>
      </c>
      <c r="T22" t="s">
        <v>10</v>
      </c>
    </row>
    <row r="23" spans="15:20" x14ac:dyDescent="0.3">
      <c r="O23" t="s">
        <v>52</v>
      </c>
      <c r="P23" t="s">
        <v>53</v>
      </c>
      <c r="Q23" t="s">
        <v>34</v>
      </c>
      <c r="R23">
        <f>R19*3/2*(1+R22)/(1+R22+R22^2)</f>
        <v>0.49078181491833128</v>
      </c>
      <c r="S23" t="s">
        <v>54</v>
      </c>
      <c r="T23" t="s">
        <v>10</v>
      </c>
    </row>
    <row r="24" spans="15:20" x14ac:dyDescent="0.3">
      <c r="O24" t="s">
        <v>55</v>
      </c>
      <c r="P24" t="s">
        <v>56</v>
      </c>
      <c r="Q24" t="s">
        <v>34</v>
      </c>
      <c r="R24">
        <f>R22*R23</f>
        <v>0.22085181671324908</v>
      </c>
      <c r="S24" t="s">
        <v>57</v>
      </c>
      <c r="T24" t="s">
        <v>10</v>
      </c>
    </row>
    <row r="25" spans="15:20" x14ac:dyDescent="0.3">
      <c r="O25" t="s">
        <v>58</v>
      </c>
      <c r="P25" t="s">
        <v>59</v>
      </c>
      <c r="Q25" t="s">
        <v>60</v>
      </c>
      <c r="R25">
        <v>6.1609999999999996</v>
      </c>
      <c r="S25" t="s">
        <v>61</v>
      </c>
      <c r="T25" t="s">
        <v>10</v>
      </c>
    </row>
    <row r="26" spans="15:20" x14ac:dyDescent="0.3">
      <c r="O26" t="s">
        <v>62</v>
      </c>
      <c r="P26" t="s">
        <v>63</v>
      </c>
      <c r="Q26" t="s">
        <v>19</v>
      </c>
      <c r="R26">
        <v>0.25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4"/>
  <sheetViews>
    <sheetView topLeftCell="J1" workbookViewId="0">
      <selection activeCell="T11" sqref="T11:T14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2" bestFit="1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33203125" bestFit="1" customWidth="1"/>
  </cols>
  <sheetData>
    <row r="1" spans="1:25" ht="14.4" customHeight="1" x14ac:dyDescent="0.3">
      <c r="A1" s="27" t="s">
        <v>165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190</v>
      </c>
      <c r="Y2" s="22"/>
    </row>
    <row r="3" spans="1:25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5"/>
      <c r="T3" s="24"/>
      <c r="U3" s="23" t="s">
        <v>147</v>
      </c>
      <c r="V3" s="25"/>
      <c r="W3" s="25"/>
      <c r="X3" s="25"/>
      <c r="Y3" s="24"/>
    </row>
    <row r="4" spans="1:25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156</v>
      </c>
      <c r="X4" t="s">
        <v>157</v>
      </c>
      <c r="Y4" t="s">
        <v>4</v>
      </c>
    </row>
    <row r="5" spans="1:25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64</v>
      </c>
      <c r="P5" t="s">
        <v>65</v>
      </c>
      <c r="Q5" t="s">
        <v>19</v>
      </c>
      <c r="R5">
        <v>0.05</v>
      </c>
      <c r="S5" t="s">
        <v>66</v>
      </c>
      <c r="T5" t="s">
        <v>67</v>
      </c>
    </row>
    <row r="6" spans="1:25" x14ac:dyDescent="0.3">
      <c r="A6" s="1" t="s">
        <v>185</v>
      </c>
      <c r="D6" t="s">
        <v>185</v>
      </c>
      <c r="G6" t="s">
        <v>185</v>
      </c>
      <c r="J6" t="s">
        <v>185</v>
      </c>
      <c r="M6" t="s">
        <v>185</v>
      </c>
      <c r="N6" s="2"/>
      <c r="O6" t="s">
        <v>68</v>
      </c>
      <c r="P6" t="s">
        <v>69</v>
      </c>
      <c r="Q6" t="s">
        <v>34</v>
      </c>
      <c r="R6">
        <v>50</v>
      </c>
      <c r="S6" t="s">
        <v>70</v>
      </c>
      <c r="T6" t="s">
        <v>67</v>
      </c>
    </row>
    <row r="7" spans="1:25" x14ac:dyDescent="0.3">
      <c r="A7" s="1" t="s">
        <v>186</v>
      </c>
      <c r="D7" t="s">
        <v>186</v>
      </c>
      <c r="G7" t="s">
        <v>186</v>
      </c>
      <c r="J7" t="s">
        <v>186</v>
      </c>
      <c r="M7" t="s">
        <v>186</v>
      </c>
      <c r="N7" s="2"/>
      <c r="O7" t="s">
        <v>71</v>
      </c>
      <c r="P7" t="s">
        <v>72</v>
      </c>
      <c r="Q7" t="s">
        <v>34</v>
      </c>
      <c r="R7">
        <v>80</v>
      </c>
      <c r="S7" t="s">
        <v>73</v>
      </c>
      <c r="T7" t="s">
        <v>67</v>
      </c>
    </row>
    <row r="8" spans="1:25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  <c r="O8" t="s">
        <v>74</v>
      </c>
      <c r="P8" t="s">
        <v>75</v>
      </c>
      <c r="Q8" t="s">
        <v>19</v>
      </c>
      <c r="R8">
        <v>0.8</v>
      </c>
      <c r="S8" t="s">
        <v>76</v>
      </c>
      <c r="T8" t="s">
        <v>67</v>
      </c>
    </row>
    <row r="9" spans="1:25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  <c r="O9" t="s">
        <v>77</v>
      </c>
      <c r="P9" t="s">
        <v>78</v>
      </c>
      <c r="Q9" t="s">
        <v>19</v>
      </c>
      <c r="R9">
        <v>5</v>
      </c>
      <c r="S9" t="s">
        <v>79</v>
      </c>
      <c r="T9" t="s">
        <v>67</v>
      </c>
    </row>
    <row r="10" spans="1:25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  <c r="O10" t="s">
        <v>80</v>
      </c>
      <c r="P10" t="s">
        <v>81</v>
      </c>
      <c r="Q10" t="s">
        <v>19</v>
      </c>
      <c r="R10">
        <v>5.7295800000000003</v>
      </c>
      <c r="S10" t="s">
        <v>82</v>
      </c>
      <c r="T10" t="s">
        <v>67</v>
      </c>
    </row>
    <row r="11" spans="1:25" x14ac:dyDescent="0.3">
      <c r="O11" t="s">
        <v>83</v>
      </c>
      <c r="P11" t="s">
        <v>15</v>
      </c>
      <c r="Q11" t="s">
        <v>8</v>
      </c>
      <c r="R11">
        <v>5</v>
      </c>
      <c r="S11" t="s">
        <v>84</v>
      </c>
      <c r="T11" t="s">
        <v>67</v>
      </c>
    </row>
    <row r="12" spans="1:25" x14ac:dyDescent="0.3">
      <c r="O12" t="s">
        <v>288</v>
      </c>
      <c r="P12" t="s">
        <v>289</v>
      </c>
      <c r="Q12" t="s">
        <v>38</v>
      </c>
      <c r="T12" t="s">
        <v>67</v>
      </c>
    </row>
    <row r="13" spans="1:25" x14ac:dyDescent="0.3">
      <c r="T13" t="s">
        <v>67</v>
      </c>
    </row>
    <row r="14" spans="1:25" x14ac:dyDescent="0.3">
      <c r="T14" t="s">
        <v>67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33203125" style="7" bestFit="1" customWidth="1"/>
    <col min="2" max="2" width="11.33203125" style="7" bestFit="1" customWidth="1"/>
    <col min="3" max="3" width="9.109375" style="7"/>
    <col min="4" max="4" width="12.33203125" style="7" bestFit="1" customWidth="1"/>
    <col min="5" max="5" width="16.6640625" style="7" bestFit="1" customWidth="1"/>
    <col min="6" max="6" width="9.109375" style="7"/>
    <col min="7" max="7" width="12.33203125" style="7" bestFit="1" customWidth="1"/>
    <col min="8" max="8" width="18.44140625" style="7" bestFit="1" customWidth="1"/>
    <col min="9" max="9" width="9.109375" style="7"/>
    <col min="10" max="10" width="12.33203125" style="7" bestFit="1" customWidth="1"/>
    <col min="11" max="11" width="18.33203125" style="7" bestFit="1" customWidth="1"/>
    <col min="12" max="12" width="9.109375" style="7"/>
    <col min="13" max="13" width="12.33203125" style="7" bestFit="1" customWidth="1"/>
    <col min="14" max="14" width="12.109375" style="7" bestFit="1" customWidth="1"/>
    <col min="15" max="15" width="12" style="7" bestFit="1" customWidth="1"/>
    <col min="16" max="16" width="16.33203125" style="7" bestFit="1" customWidth="1"/>
    <col min="17" max="17" width="6.6640625" style="7" bestFit="1" customWidth="1"/>
    <col min="18" max="18" width="8" style="7" bestFit="1" customWidth="1"/>
    <col min="19" max="19" width="12.33203125" style="7" bestFit="1" customWidth="1"/>
    <col min="20" max="20" width="12.3320312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5" t="s">
        <v>167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8" t="s">
        <v>143</v>
      </c>
      <c r="Y1" s="28"/>
    </row>
    <row r="2" spans="1:26" ht="14.4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28" t="s">
        <v>192</v>
      </c>
      <c r="Y2" s="28"/>
    </row>
    <row r="3" spans="1:26" x14ac:dyDescent="0.3">
      <c r="A3" s="29" t="s">
        <v>145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29" t="s">
        <v>146</v>
      </c>
      <c r="P3" s="30"/>
      <c r="Q3" s="30"/>
      <c r="R3" s="30"/>
      <c r="S3" s="31"/>
      <c r="T3" s="13"/>
      <c r="U3" s="29" t="s">
        <v>147</v>
      </c>
      <c r="V3" s="30"/>
      <c r="W3" s="30"/>
      <c r="X3" s="30"/>
      <c r="Y3" s="31"/>
    </row>
    <row r="4" spans="1:26" ht="28.8" x14ac:dyDescent="0.3">
      <c r="A4" s="32" t="s">
        <v>148</v>
      </c>
      <c r="B4" s="33"/>
      <c r="D4" s="33" t="s">
        <v>149</v>
      </c>
      <c r="E4" s="33"/>
      <c r="G4" s="33" t="s">
        <v>150</v>
      </c>
      <c r="H4" s="33"/>
      <c r="J4" s="33" t="s">
        <v>151</v>
      </c>
      <c r="K4" s="33"/>
      <c r="M4" s="33" t="s">
        <v>152</v>
      </c>
      <c r="N4" s="34"/>
      <c r="O4" s="7" t="s">
        <v>0</v>
      </c>
      <c r="P4" s="7" t="s">
        <v>1</v>
      </c>
      <c r="Q4" s="7" t="s">
        <v>2</v>
      </c>
      <c r="R4" s="7" t="s">
        <v>3</v>
      </c>
      <c r="S4" s="7" t="s">
        <v>4</v>
      </c>
      <c r="T4" s="7" t="s">
        <v>5</v>
      </c>
      <c r="U4" s="7" t="s">
        <v>153</v>
      </c>
      <c r="V4" s="7" t="s">
        <v>191</v>
      </c>
      <c r="W4" s="7" t="s">
        <v>155</v>
      </c>
      <c r="X4" s="7" t="s">
        <v>156</v>
      </c>
      <c r="Y4" s="7" t="s">
        <v>157</v>
      </c>
      <c r="Z4" s="7" t="s">
        <v>4</v>
      </c>
    </row>
    <row r="5" spans="1:26" ht="28.8" x14ac:dyDescent="0.3">
      <c r="A5" s="8" t="s">
        <v>158</v>
      </c>
      <c r="B5" s="7" t="s">
        <v>159</v>
      </c>
      <c r="D5" s="7" t="s">
        <v>158</v>
      </c>
      <c r="E5" s="7" t="s">
        <v>160</v>
      </c>
      <c r="G5" s="7" t="s">
        <v>158</v>
      </c>
      <c r="H5" s="7" t="s">
        <v>161</v>
      </c>
      <c r="J5" s="7" t="s">
        <v>158</v>
      </c>
      <c r="K5" s="7" t="s">
        <v>162</v>
      </c>
      <c r="M5" s="7" t="s">
        <v>158</v>
      </c>
      <c r="N5" s="9" t="s">
        <v>163</v>
      </c>
      <c r="O5" s="7" t="s">
        <v>85</v>
      </c>
      <c r="P5" s="7" t="s">
        <v>86</v>
      </c>
      <c r="Q5" s="7" t="s">
        <v>34</v>
      </c>
      <c r="R5" s="7">
        <v>0.254</v>
      </c>
      <c r="S5" s="7" t="s">
        <v>87</v>
      </c>
      <c r="T5" s="7" t="s">
        <v>88</v>
      </c>
      <c r="U5" s="7">
        <v>1</v>
      </c>
      <c r="V5" s="7">
        <v>1</v>
      </c>
      <c r="W5" s="7" t="s">
        <v>193</v>
      </c>
      <c r="X5" s="7" t="s">
        <v>194</v>
      </c>
      <c r="Y5" s="7" t="s">
        <v>195</v>
      </c>
      <c r="Z5" s="7" t="s">
        <v>196</v>
      </c>
    </row>
    <row r="6" spans="1:26" ht="43.2" x14ac:dyDescent="0.3">
      <c r="A6" s="8" t="s">
        <v>185</v>
      </c>
      <c r="D6" s="7" t="s">
        <v>185</v>
      </c>
      <c r="G6" s="7" t="s">
        <v>185</v>
      </c>
      <c r="J6" s="7" t="s">
        <v>185</v>
      </c>
      <c r="M6" s="7" t="s">
        <v>185</v>
      </c>
      <c r="N6" s="9"/>
      <c r="O6" s="7" t="s">
        <v>89</v>
      </c>
      <c r="P6" s="7" t="s">
        <v>90</v>
      </c>
      <c r="Q6" s="7" t="s">
        <v>34</v>
      </c>
      <c r="R6" s="7">
        <v>0.5</v>
      </c>
      <c r="S6" s="7" t="s">
        <v>91</v>
      </c>
      <c r="T6" s="7" t="s">
        <v>88</v>
      </c>
      <c r="U6" s="7">
        <v>2</v>
      </c>
      <c r="V6" s="7">
        <v>1</v>
      </c>
      <c r="W6" s="7" t="s">
        <v>197</v>
      </c>
      <c r="X6" s="7" t="s">
        <v>198</v>
      </c>
    </row>
    <row r="7" spans="1:26" ht="28.8" x14ac:dyDescent="0.3">
      <c r="A7" s="8" t="s">
        <v>186</v>
      </c>
      <c r="D7" s="7" t="s">
        <v>186</v>
      </c>
      <c r="G7" s="7" t="s">
        <v>186</v>
      </c>
      <c r="J7" s="7" t="s">
        <v>186</v>
      </c>
      <c r="M7" s="7" t="s">
        <v>186</v>
      </c>
      <c r="N7" s="9"/>
      <c r="O7" s="7" t="s">
        <v>92</v>
      </c>
      <c r="P7" s="7" t="s">
        <v>93</v>
      </c>
      <c r="Q7" s="7" t="s">
        <v>34</v>
      </c>
      <c r="R7" s="7">
        <v>2</v>
      </c>
      <c r="S7" s="7" t="s">
        <v>94</v>
      </c>
      <c r="T7" s="7" t="s">
        <v>88</v>
      </c>
      <c r="U7" s="7">
        <v>3</v>
      </c>
      <c r="V7" s="7">
        <v>1</v>
      </c>
      <c r="W7" s="7" t="s">
        <v>199</v>
      </c>
      <c r="X7" s="7" t="s">
        <v>200</v>
      </c>
      <c r="Y7" s="7" t="s">
        <v>201</v>
      </c>
      <c r="Z7" s="7" t="s">
        <v>202</v>
      </c>
    </row>
    <row r="8" spans="1:26" x14ac:dyDescent="0.3">
      <c r="A8" s="8" t="s">
        <v>187</v>
      </c>
      <c r="D8" s="7" t="s">
        <v>187</v>
      </c>
      <c r="G8" s="7" t="s">
        <v>187</v>
      </c>
      <c r="J8" s="7" t="s">
        <v>187</v>
      </c>
      <c r="M8" s="7" t="s">
        <v>187</v>
      </c>
      <c r="N8" s="9"/>
    </row>
    <row r="9" spans="1:26" x14ac:dyDescent="0.3">
      <c r="A9" s="8" t="s">
        <v>188</v>
      </c>
      <c r="D9" s="7" t="s">
        <v>188</v>
      </c>
      <c r="G9" s="7" t="s">
        <v>188</v>
      </c>
      <c r="J9" s="7" t="s">
        <v>188</v>
      </c>
      <c r="M9" s="7" t="s">
        <v>188</v>
      </c>
      <c r="N9" s="9"/>
    </row>
    <row r="10" spans="1:26" x14ac:dyDescent="0.3">
      <c r="A10" s="8" t="s">
        <v>189</v>
      </c>
      <c r="B10" s="10"/>
      <c r="C10" s="10"/>
      <c r="D10" s="7" t="s">
        <v>189</v>
      </c>
      <c r="E10" s="10"/>
      <c r="F10" s="10"/>
      <c r="G10" s="7" t="s">
        <v>189</v>
      </c>
      <c r="H10" s="10"/>
      <c r="I10" s="10"/>
      <c r="J10" s="7" t="s">
        <v>189</v>
      </c>
      <c r="K10" s="10"/>
      <c r="L10" s="10"/>
      <c r="M10" s="7" t="s">
        <v>189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19"/>
  <sheetViews>
    <sheetView workbookViewId="0">
      <selection activeCell="U28" sqref="U28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21.33203125" bestFit="1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33203125" bestFit="1" customWidth="1"/>
  </cols>
  <sheetData>
    <row r="1" spans="1:26" ht="14.4" customHeight="1" x14ac:dyDescent="0.3">
      <c r="A1" s="27" t="s">
        <v>169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203</v>
      </c>
      <c r="Y2" s="22"/>
    </row>
    <row r="3" spans="1:26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204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6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</row>
    <row r="5" spans="1:26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95</v>
      </c>
      <c r="P5" t="s">
        <v>96</v>
      </c>
      <c r="Q5" t="s">
        <v>34</v>
      </c>
      <c r="R5">
        <v>0.15</v>
      </c>
      <c r="T5" t="s">
        <v>97</v>
      </c>
    </row>
    <row r="6" spans="1:26" x14ac:dyDescent="0.3">
      <c r="A6" s="1" t="s">
        <v>185</v>
      </c>
      <c r="D6" t="s">
        <v>185</v>
      </c>
      <c r="G6" t="s">
        <v>185</v>
      </c>
      <c r="J6" t="s">
        <v>185</v>
      </c>
      <c r="M6" t="s">
        <v>185</v>
      </c>
      <c r="N6" s="2"/>
      <c r="O6" t="s">
        <v>98</v>
      </c>
      <c r="P6" t="s">
        <v>99</v>
      </c>
      <c r="Q6" t="s">
        <v>38</v>
      </c>
      <c r="R6">
        <f>0.7*0.15</f>
        <v>0.105</v>
      </c>
      <c r="S6" t="s">
        <v>100</v>
      </c>
      <c r="T6" t="s">
        <v>97</v>
      </c>
    </row>
    <row r="7" spans="1:26" x14ac:dyDescent="0.3">
      <c r="A7" s="1" t="s">
        <v>186</v>
      </c>
      <c r="D7" t="s">
        <v>186</v>
      </c>
      <c r="G7" t="s">
        <v>186</v>
      </c>
      <c r="J7" t="s">
        <v>186</v>
      </c>
      <c r="M7" t="s">
        <v>186</v>
      </c>
      <c r="N7" s="2"/>
      <c r="O7" t="s">
        <v>101</v>
      </c>
      <c r="P7" t="s">
        <v>102</v>
      </c>
      <c r="Q7" t="s">
        <v>34</v>
      </c>
      <c r="R7">
        <v>0.7</v>
      </c>
      <c r="S7" t="s">
        <v>103</v>
      </c>
      <c r="T7" t="s">
        <v>97</v>
      </c>
    </row>
    <row r="8" spans="1:26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  <c r="O8" t="s">
        <v>104</v>
      </c>
      <c r="P8" t="s">
        <v>105</v>
      </c>
      <c r="Q8" t="s">
        <v>34</v>
      </c>
      <c r="R8">
        <v>0.2</v>
      </c>
      <c r="S8" t="s">
        <v>103</v>
      </c>
      <c r="T8" t="s">
        <v>97</v>
      </c>
    </row>
    <row r="9" spans="1:26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  <c r="O9" t="s">
        <v>106</v>
      </c>
      <c r="P9" t="s">
        <v>107</v>
      </c>
      <c r="Q9" t="s">
        <v>34</v>
      </c>
      <c r="R9">
        <v>0.15</v>
      </c>
      <c r="S9" t="s">
        <v>103</v>
      </c>
      <c r="T9" t="s">
        <v>97</v>
      </c>
    </row>
    <row r="10" spans="1:26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  <c r="O10" t="s">
        <v>108</v>
      </c>
      <c r="P10" t="s">
        <v>109</v>
      </c>
      <c r="Q10" t="s">
        <v>34</v>
      </c>
      <c r="R10">
        <v>0.15</v>
      </c>
      <c r="S10" t="s">
        <v>103</v>
      </c>
      <c r="T10" t="s">
        <v>97</v>
      </c>
    </row>
    <row r="11" spans="1:26" x14ac:dyDescent="0.3">
      <c r="O11" t="s">
        <v>110</v>
      </c>
      <c r="P11" t="s">
        <v>111</v>
      </c>
      <c r="Q11" t="s">
        <v>34</v>
      </c>
      <c r="R11">
        <v>0.15</v>
      </c>
      <c r="S11" t="s">
        <v>103</v>
      </c>
      <c r="T11" t="s">
        <v>97</v>
      </c>
    </row>
    <row r="12" spans="1:26" x14ac:dyDescent="0.3">
      <c r="O12" t="s">
        <v>112</v>
      </c>
      <c r="P12" t="s">
        <v>113</v>
      </c>
      <c r="Q12" t="s">
        <v>34</v>
      </c>
      <c r="R12">
        <v>0.15</v>
      </c>
      <c r="S12" t="s">
        <v>103</v>
      </c>
      <c r="T12" t="s">
        <v>97</v>
      </c>
    </row>
    <row r="13" spans="1:26" x14ac:dyDescent="0.3">
      <c r="O13" t="s">
        <v>114</v>
      </c>
      <c r="P13" t="s">
        <v>115</v>
      </c>
      <c r="Q13" t="s">
        <v>34</v>
      </c>
      <c r="R13">
        <v>0.15</v>
      </c>
      <c r="S13" t="s">
        <v>103</v>
      </c>
      <c r="T13" t="s">
        <v>97</v>
      </c>
    </row>
    <row r="16" spans="1:26" x14ac:dyDescent="0.3">
      <c r="O16" s="23" t="s">
        <v>205</v>
      </c>
      <c r="P16" s="25"/>
      <c r="Q16" s="25"/>
      <c r="R16" s="25"/>
      <c r="S16" s="24"/>
      <c r="T16" s="14"/>
    </row>
    <row r="17" spans="15:19" x14ac:dyDescent="0.3">
      <c r="O17" t="s">
        <v>0</v>
      </c>
      <c r="P17" t="s">
        <v>1</v>
      </c>
      <c r="Q17" t="s">
        <v>2</v>
      </c>
      <c r="R17" t="s">
        <v>3</v>
      </c>
      <c r="S17" t="s">
        <v>4</v>
      </c>
    </row>
    <row r="18" spans="15:19" x14ac:dyDescent="0.3">
      <c r="O18" t="s">
        <v>206</v>
      </c>
    </row>
    <row r="19" spans="15:19" x14ac:dyDescent="0.3">
      <c r="O19" t="s">
        <v>207</v>
      </c>
    </row>
  </sheetData>
  <mergeCells count="12">
    <mergeCell ref="O16:S16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workbookViewId="0">
      <selection activeCell="S13" sqref="S13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5.33203125" bestFit="1" customWidth="1"/>
    <col min="16" max="16" width="16.33203125" bestFit="1" customWidth="1"/>
    <col min="17" max="17" width="6.6640625" bestFit="1" customWidth="1"/>
    <col min="18" max="18" width="11.44140625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33203125" bestFit="1" customWidth="1"/>
  </cols>
  <sheetData>
    <row r="1" spans="1:26" ht="14.4" customHeight="1" x14ac:dyDescent="0.3">
      <c r="A1" s="27" t="s">
        <v>170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208</v>
      </c>
      <c r="Y2" s="22"/>
    </row>
    <row r="3" spans="1:26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6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</row>
    <row r="5" spans="1:26" ht="44.4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116</v>
      </c>
      <c r="P5" t="s">
        <v>19</v>
      </c>
      <c r="Q5" t="s">
        <v>19</v>
      </c>
      <c r="R5" t="s">
        <v>117</v>
      </c>
      <c r="S5" s="17" t="s">
        <v>209</v>
      </c>
      <c r="T5" s="17" t="s">
        <v>119</v>
      </c>
    </row>
    <row r="6" spans="1:26" x14ac:dyDescent="0.3">
      <c r="A6" s="1" t="s">
        <v>185</v>
      </c>
      <c r="D6" t="s">
        <v>185</v>
      </c>
      <c r="G6" t="s">
        <v>185</v>
      </c>
      <c r="J6" t="s">
        <v>185</v>
      </c>
      <c r="M6" t="s">
        <v>185</v>
      </c>
      <c r="N6" s="2"/>
      <c r="O6" t="s">
        <v>120</v>
      </c>
      <c r="P6" t="s">
        <v>19</v>
      </c>
      <c r="Q6" t="s">
        <v>19</v>
      </c>
      <c r="R6" t="s">
        <v>121</v>
      </c>
      <c r="S6" t="s">
        <v>122</v>
      </c>
      <c r="T6" s="16" t="s">
        <v>119</v>
      </c>
    </row>
    <row r="7" spans="1:26" x14ac:dyDescent="0.3">
      <c r="A7" s="1" t="s">
        <v>186</v>
      </c>
      <c r="D7" t="s">
        <v>186</v>
      </c>
      <c r="G7" t="s">
        <v>186</v>
      </c>
      <c r="J7" t="s">
        <v>186</v>
      </c>
      <c r="M7" t="s">
        <v>186</v>
      </c>
      <c r="N7" s="2"/>
      <c r="O7" t="s">
        <v>123</v>
      </c>
      <c r="P7" t="s">
        <v>19</v>
      </c>
      <c r="Q7" t="s">
        <v>19</v>
      </c>
      <c r="R7" t="s">
        <v>124</v>
      </c>
      <c r="S7" t="s">
        <v>122</v>
      </c>
      <c r="T7" s="16" t="s">
        <v>119</v>
      </c>
    </row>
    <row r="8" spans="1:26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</row>
    <row r="9" spans="1:26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</row>
    <row r="10" spans="1:26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15.44140625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7" t="s">
        <v>210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7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211</v>
      </c>
      <c r="Y2" s="22"/>
    </row>
    <row r="3" spans="1:27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204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7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</row>
    <row r="5" spans="1:27" x14ac:dyDescent="0.3">
      <c r="A5" s="1" t="s">
        <v>212</v>
      </c>
      <c r="B5" t="s">
        <v>159</v>
      </c>
      <c r="D5" t="s">
        <v>212</v>
      </c>
      <c r="E5" t="s">
        <v>160</v>
      </c>
      <c r="G5" t="s">
        <v>212</v>
      </c>
      <c r="H5" t="s">
        <v>161</v>
      </c>
      <c r="J5" t="s">
        <v>212</v>
      </c>
      <c r="K5" t="s">
        <v>162</v>
      </c>
      <c r="M5" t="s">
        <v>212</v>
      </c>
      <c r="N5" s="2" t="s">
        <v>163</v>
      </c>
      <c r="O5" t="s">
        <v>125</v>
      </c>
      <c r="P5" t="s">
        <v>126</v>
      </c>
      <c r="Q5" t="s">
        <v>127</v>
      </c>
      <c r="R5" t="s">
        <v>128</v>
      </c>
      <c r="S5" t="s">
        <v>129</v>
      </c>
      <c r="T5" t="s">
        <v>130</v>
      </c>
      <c r="U5">
        <v>1</v>
      </c>
      <c r="V5">
        <v>1</v>
      </c>
      <c r="W5" t="s">
        <v>213</v>
      </c>
      <c r="X5" t="s">
        <v>214</v>
      </c>
      <c r="Y5" s="6" t="s">
        <v>215</v>
      </c>
      <c r="Z5" t="s">
        <v>216</v>
      </c>
      <c r="AA5" t="s">
        <v>128</v>
      </c>
    </row>
    <row r="6" spans="1:27" x14ac:dyDescent="0.3">
      <c r="A6" s="1" t="s">
        <v>185</v>
      </c>
      <c r="B6">
        <v>1.7749999999999999</v>
      </c>
      <c r="D6" t="s">
        <v>185</v>
      </c>
      <c r="E6">
        <v>0</v>
      </c>
      <c r="G6" t="s">
        <v>185</v>
      </c>
      <c r="H6">
        <f>Table254858633132740[[#This Row],[Peak Power '[W']]]*0.85</f>
        <v>0</v>
      </c>
      <c r="J6" t="s">
        <v>185</v>
      </c>
      <c r="K6">
        <v>0</v>
      </c>
      <c r="M6" t="s">
        <v>185</v>
      </c>
      <c r="N6" s="2">
        <v>137.28</v>
      </c>
      <c r="U6">
        <v>2</v>
      </c>
      <c r="V6">
        <v>3</v>
      </c>
      <c r="W6" t="s">
        <v>217</v>
      </c>
      <c r="X6" t="s">
        <v>218</v>
      </c>
      <c r="Y6" s="6" t="s">
        <v>219</v>
      </c>
      <c r="Z6" t="s">
        <v>220</v>
      </c>
    </row>
    <row r="7" spans="1:27" x14ac:dyDescent="0.3">
      <c r="A7" s="1" t="s">
        <v>186</v>
      </c>
      <c r="B7">
        <f>V6*0.024</f>
        <v>7.2000000000000008E-2</v>
      </c>
      <c r="D7" t="s">
        <v>186</v>
      </c>
      <c r="E7">
        <f>V6*30</f>
        <v>90</v>
      </c>
      <c r="G7" t="s">
        <v>186</v>
      </c>
      <c r="H7">
        <f>Table254858633132740[[#This Row],[Peak Power '[W']]]*0.85</f>
        <v>76.5</v>
      </c>
      <c r="J7" t="s">
        <v>186</v>
      </c>
      <c r="K7">
        <v>0</v>
      </c>
      <c r="M7" t="s">
        <v>186</v>
      </c>
      <c r="N7" s="2">
        <f>2148*0.9*V6</f>
        <v>5799.6</v>
      </c>
      <c r="U7">
        <v>3</v>
      </c>
      <c r="V7">
        <v>6</v>
      </c>
      <c r="W7" t="s">
        <v>221</v>
      </c>
      <c r="X7" t="s">
        <v>222</v>
      </c>
      <c r="Y7" s="6" t="s">
        <v>223</v>
      </c>
      <c r="Z7" t="s">
        <v>224</v>
      </c>
    </row>
    <row r="8" spans="1:27" x14ac:dyDescent="0.3">
      <c r="A8" s="1" t="s">
        <v>187</v>
      </c>
      <c r="B8">
        <f>V7*0.024</f>
        <v>0.14400000000000002</v>
      </c>
      <c r="D8" t="s">
        <v>187</v>
      </c>
      <c r="E8">
        <v>0</v>
      </c>
      <c r="G8" t="s">
        <v>187</v>
      </c>
      <c r="H8">
        <v>0</v>
      </c>
      <c r="J8" t="s">
        <v>187</v>
      </c>
      <c r="K8">
        <v>0</v>
      </c>
      <c r="M8" t="s">
        <v>187</v>
      </c>
      <c r="N8" s="2">
        <f>42.45*V7</f>
        <v>254.70000000000002</v>
      </c>
      <c r="U8">
        <v>4</v>
      </c>
      <c r="V8">
        <v>1</v>
      </c>
      <c r="W8" t="s">
        <v>225</v>
      </c>
      <c r="X8" t="s">
        <v>226</v>
      </c>
      <c r="Y8" s="6" t="s">
        <v>227</v>
      </c>
      <c r="Z8" t="s">
        <v>228</v>
      </c>
    </row>
    <row r="9" spans="1:27" x14ac:dyDescent="0.3">
      <c r="A9" s="1" t="s">
        <v>188</v>
      </c>
      <c r="B9">
        <v>5.8999999999999997E-2</v>
      </c>
      <c r="D9" t="s">
        <v>188</v>
      </c>
      <c r="E9">
        <v>0</v>
      </c>
      <c r="G9" t="s">
        <v>188</v>
      </c>
      <c r="H9">
        <f>Table254858633132740[[#This Row],[Peak Power '[W']]]*0.85</f>
        <v>0</v>
      </c>
      <c r="J9" t="s">
        <v>188</v>
      </c>
      <c r="K9">
        <v>0</v>
      </c>
      <c r="M9" t="s">
        <v>188</v>
      </c>
      <c r="N9">
        <v>48.07</v>
      </c>
      <c r="U9">
        <v>5</v>
      </c>
      <c r="V9">
        <v>1</v>
      </c>
      <c r="W9" t="s">
        <v>229</v>
      </c>
      <c r="X9" t="s">
        <v>230</v>
      </c>
      <c r="Y9" s="6" t="s">
        <v>231</v>
      </c>
      <c r="Z9" t="s">
        <v>232</v>
      </c>
    </row>
    <row r="10" spans="1:27" x14ac:dyDescent="0.3">
      <c r="A10" s="1" t="s">
        <v>189</v>
      </c>
      <c r="B10">
        <v>34.200000000000003</v>
      </c>
      <c r="D10" t="s">
        <v>189</v>
      </c>
      <c r="E10">
        <v>0</v>
      </c>
      <c r="G10" t="s">
        <v>189</v>
      </c>
      <c r="H10">
        <f>Table254858633132740[[#This Row],[Peak Power '[W']]]*0.85</f>
        <v>0</v>
      </c>
      <c r="J10" t="s">
        <v>189</v>
      </c>
      <c r="K10">
        <v>0</v>
      </c>
      <c r="M10" t="s">
        <v>189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topLeftCell="L1" zoomScaleNormal="100" workbookViewId="0">
      <selection activeCell="Y6" sqref="Y6"/>
    </sheetView>
  </sheetViews>
  <sheetFormatPr defaultColWidth="9.109375" defaultRowHeight="14.4" x14ac:dyDescent="0.3"/>
  <cols>
    <col min="1" max="1" width="12.33203125" bestFit="1" customWidth="1"/>
    <col min="2" max="2" width="11.33203125" bestFit="1" customWidth="1"/>
    <col min="4" max="4" width="12.33203125" bestFit="1" customWidth="1"/>
    <col min="5" max="5" width="16.6640625" bestFit="1" customWidth="1"/>
    <col min="7" max="7" width="12.33203125" bestFit="1" customWidth="1"/>
    <col min="8" max="8" width="18.44140625" bestFit="1" customWidth="1"/>
    <col min="10" max="10" width="12.33203125" bestFit="1" customWidth="1"/>
    <col min="11" max="11" width="18.33203125" bestFit="1" customWidth="1"/>
    <col min="13" max="13" width="12.33203125" bestFit="1" customWidth="1"/>
    <col min="14" max="14" width="12.109375" bestFit="1" customWidth="1"/>
    <col min="15" max="15" width="22.109375" customWidth="1"/>
    <col min="16" max="16" width="16.33203125" bestFit="1" customWidth="1"/>
    <col min="17" max="17" width="6.6640625" bestFit="1" customWidth="1"/>
    <col min="18" max="18" width="8" bestFit="1" customWidth="1"/>
    <col min="19" max="19" width="12.33203125" bestFit="1" customWidth="1"/>
    <col min="20" max="20" width="12.3320312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7" t="s">
        <v>233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143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211</v>
      </c>
      <c r="Y2" s="22"/>
    </row>
    <row r="3" spans="1:26" x14ac:dyDescent="0.3">
      <c r="A3" s="23" t="s">
        <v>145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146</v>
      </c>
      <c r="P3" s="25"/>
      <c r="Q3" s="25"/>
      <c r="R3" s="25"/>
      <c r="S3" s="24"/>
      <c r="T3" s="12"/>
      <c r="U3" s="23" t="s">
        <v>147</v>
      </c>
      <c r="V3" s="25"/>
      <c r="W3" s="25"/>
      <c r="X3" s="25"/>
      <c r="Y3" s="24"/>
    </row>
    <row r="4" spans="1:26" x14ac:dyDescent="0.3">
      <c r="A4" s="19" t="s">
        <v>148</v>
      </c>
      <c r="B4" s="20"/>
      <c r="D4" s="20" t="s">
        <v>149</v>
      </c>
      <c r="E4" s="20"/>
      <c r="G4" s="20" t="s">
        <v>150</v>
      </c>
      <c r="H4" s="20"/>
      <c r="J4" s="20" t="s">
        <v>151</v>
      </c>
      <c r="K4" s="20"/>
      <c r="M4" s="20" t="s">
        <v>152</v>
      </c>
      <c r="N4" s="26"/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153</v>
      </c>
      <c r="V4" t="s">
        <v>191</v>
      </c>
      <c r="W4" t="s">
        <v>155</v>
      </c>
      <c r="X4" t="s">
        <v>156</v>
      </c>
      <c r="Y4" t="s">
        <v>157</v>
      </c>
      <c r="Z4" t="s">
        <v>4</v>
      </c>
    </row>
    <row r="5" spans="1:26" x14ac:dyDescent="0.3">
      <c r="A5" s="1" t="s">
        <v>158</v>
      </c>
      <c r="B5" t="s">
        <v>159</v>
      </c>
      <c r="D5" t="s">
        <v>158</v>
      </c>
      <c r="E5" t="s">
        <v>160</v>
      </c>
      <c r="G5" t="s">
        <v>158</v>
      </c>
      <c r="H5" t="s">
        <v>161</v>
      </c>
      <c r="J5" t="s">
        <v>158</v>
      </c>
      <c r="K5" t="s">
        <v>162</v>
      </c>
      <c r="M5" t="s">
        <v>158</v>
      </c>
      <c r="N5" s="2" t="s">
        <v>163</v>
      </c>
      <c r="O5" t="s">
        <v>131</v>
      </c>
      <c r="P5" t="s">
        <v>132</v>
      </c>
      <c r="Q5" t="s">
        <v>34</v>
      </c>
      <c r="R5">
        <f t="shared" ref="R5" si="0">CONVERT(84, "in","m")</f>
        <v>2.1335999999999999</v>
      </c>
      <c r="T5" t="s">
        <v>133</v>
      </c>
      <c r="U5">
        <v>1</v>
      </c>
      <c r="V5">
        <v>1</v>
      </c>
      <c r="W5" t="s">
        <v>234</v>
      </c>
      <c r="X5" t="s">
        <v>235</v>
      </c>
      <c r="Y5" s="6" t="s">
        <v>236</v>
      </c>
      <c r="Z5" t="s">
        <v>237</v>
      </c>
    </row>
    <row r="6" spans="1:26" x14ac:dyDescent="0.3">
      <c r="A6" s="1" t="s">
        <v>185</v>
      </c>
      <c r="B6">
        <v>0.65</v>
      </c>
      <c r="D6" t="s">
        <v>185</v>
      </c>
      <c r="E6">
        <v>0</v>
      </c>
      <c r="G6" t="s">
        <v>185</v>
      </c>
      <c r="H6">
        <v>0</v>
      </c>
      <c r="J6" t="s">
        <v>185</v>
      </c>
      <c r="K6">
        <v>0</v>
      </c>
      <c r="M6" t="s">
        <v>185</v>
      </c>
      <c r="N6" s="2">
        <v>566.02</v>
      </c>
      <c r="O6" t="s">
        <v>134</v>
      </c>
      <c r="P6" t="s">
        <v>135</v>
      </c>
      <c r="Q6" t="s">
        <v>19</v>
      </c>
      <c r="R6">
        <f>10*9.80665/(0.5*1.225*4.6^2*PI()*(R5/2)^2)</f>
        <v>2.1163282658337477</v>
      </c>
      <c r="T6" t="s">
        <v>133</v>
      </c>
      <c r="U6">
        <v>2</v>
      </c>
      <c r="V6">
        <v>1</v>
      </c>
      <c r="W6" t="s">
        <v>238</v>
      </c>
      <c r="X6" t="s">
        <v>239</v>
      </c>
      <c r="Y6" s="6" t="s">
        <v>240</v>
      </c>
    </row>
    <row r="7" spans="1:26" x14ac:dyDescent="0.3">
      <c r="A7" s="1" t="s">
        <v>186</v>
      </c>
      <c r="B7">
        <v>8.9999999999999993E-3</v>
      </c>
      <c r="D7" t="s">
        <v>186</v>
      </c>
      <c r="E7">
        <v>0</v>
      </c>
      <c r="G7" t="s">
        <v>186</v>
      </c>
      <c r="H7">
        <v>0</v>
      </c>
      <c r="J7" t="s">
        <v>186</v>
      </c>
      <c r="K7">
        <v>0</v>
      </c>
      <c r="M7" t="s">
        <v>186</v>
      </c>
      <c r="N7" s="2">
        <v>14</v>
      </c>
      <c r="O7" t="s">
        <v>136</v>
      </c>
      <c r="P7" t="s">
        <v>137</v>
      </c>
      <c r="Q7" t="s">
        <v>8</v>
      </c>
      <c r="R7">
        <f>SQRT(R22*9.80665/(0.5*Master!C26*(R5/2)^2*PI()*R6))</f>
        <v>3.9837168574084179</v>
      </c>
      <c r="T7" t="s">
        <v>133</v>
      </c>
    </row>
    <row r="8" spans="1:26" x14ac:dyDescent="0.3">
      <c r="A8" s="1" t="s">
        <v>187</v>
      </c>
      <c r="D8" t="s">
        <v>187</v>
      </c>
      <c r="G8" t="s">
        <v>187</v>
      </c>
      <c r="J8" t="s">
        <v>187</v>
      </c>
      <c r="M8" t="s">
        <v>187</v>
      </c>
      <c r="N8" s="2"/>
    </row>
    <row r="9" spans="1:26" x14ac:dyDescent="0.3">
      <c r="A9" s="1" t="s">
        <v>188</v>
      </c>
      <c r="D9" t="s">
        <v>188</v>
      </c>
      <c r="G9" t="s">
        <v>188</v>
      </c>
      <c r="J9" t="s">
        <v>188</v>
      </c>
      <c r="M9" t="s">
        <v>188</v>
      </c>
      <c r="N9" s="2"/>
    </row>
    <row r="10" spans="1:26" x14ac:dyDescent="0.3">
      <c r="A10" s="1" t="s">
        <v>189</v>
      </c>
      <c r="B10" s="4"/>
      <c r="C10" s="4"/>
      <c r="D10" t="s">
        <v>189</v>
      </c>
      <c r="E10" s="4"/>
      <c r="F10" s="4"/>
      <c r="G10" t="s">
        <v>189</v>
      </c>
      <c r="H10" s="4"/>
      <c r="I10" s="4"/>
      <c r="J10" t="s">
        <v>189</v>
      </c>
      <c r="K10" s="4"/>
      <c r="L10" s="4"/>
      <c r="M10" t="s">
        <v>189</v>
      </c>
      <c r="N10" s="5"/>
    </row>
    <row r="20" spans="15:20" x14ac:dyDescent="0.3">
      <c r="O20" s="23" t="s">
        <v>205</v>
      </c>
      <c r="P20" s="25"/>
      <c r="Q20" s="25"/>
      <c r="R20" s="25"/>
      <c r="S20" s="24"/>
      <c r="T20" s="14"/>
    </row>
    <row r="21" spans="15:20" x14ac:dyDescent="0.3">
      <c r="O21" t="s">
        <v>0</v>
      </c>
      <c r="P21" t="s">
        <v>1</v>
      </c>
      <c r="Q21" t="s">
        <v>2</v>
      </c>
      <c r="R21" t="s">
        <v>3</v>
      </c>
      <c r="S21" t="s">
        <v>4</v>
      </c>
    </row>
    <row r="22" spans="15:20" x14ac:dyDescent="0.3">
      <c r="O22" t="s">
        <v>241</v>
      </c>
      <c r="P22" t="s">
        <v>242</v>
      </c>
      <c r="Q22" t="s">
        <v>13</v>
      </c>
      <c r="R22">
        <f>Master!B13</f>
        <v>7.5</v>
      </c>
      <c r="S22" t="s">
        <v>241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w U 3 C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D B T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U 3 C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w U 3 C V o u g g I 6 m A A A A 9 g A A A B I A A A A A A A A A A A A A A A A A A A A A A E N v b m Z p Z y 9 Q Y W N r Y W d l L n h t b F B L A Q I t A B Q A A g A I A M F N w l Y P y u m r p A A A A O k A A A A T A A A A A A A A A A A A A A A A A P I A A A B b Q 2 9 u d G V u d F 9 U e X B l c 1 0 u e G 1 s U E s B A i 0 A F A A C A A g A w U 3 C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R m l s b E x h c 3 R V c G R h d G V k I i B W Y W x 1 Z T 0 i Z D I w M j M t M D Y t M D J U M D c 6 N D Y 6 M D M u N D g z N j A 4 O F o i I C 8 + P E V u d H J 5 I F R 5 c G U 9 I l J l Y 2 9 2 Z X J 5 V G F y Z 2 V 0 U 2 h l Z X Q i I F Z h b H V l P S J z T W F z d G V y X 0 R l c 2 l n b l 9 Q Y X J h b W V 0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Y X J h b W V 0 Z X I m c X V v d D s s J n F 1 b 3 Q 7 U 3 l t Y m 9 s I G l u I G N v Z G U m c X V v d D s s J n F 1 b 3 Q 7 V W 5 p d C Z x d W 9 0 O y w m c X V v d D t W Y W x 1 Z S Z x d W 9 0 O y w m c X V v d D t D b 2 1 t Z W 5 0 c y Z x d W 9 0 O y w m c X V v d D t J Z G V u d G l m a W V y J n F 1 b 3 Q 7 X S I g L z 4 8 R W 5 0 c n k g V H l w Z T 0 i R m l s b E N v d W 5 0 I i B W Y W x 1 Z T 0 i b D U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o 7 U J s p u 5 C j + z m 0 j m v c F o A A A A A A g A A A A A A E G Y A A A A B A A A g A A A A M m l Y / + I O 7 a p K z z s 7 Y 6 Q C a J v / 8 j c x R E U G T U 7 1 F + d r c x A A A A A A D o A A A A A C A A A g A A A A 4 R 7 E p i 5 6 v o q f R X K X n p z 3 v L i h Z 2 f N l p E T T E 7 0 i 1 4 d F I V Q A A A A W c s 3 O H s v S 3 G l 3 q h h o E Y 7 1 C 4 t Z g f / f 6 k 0 i S p + X I p I o s W 2 O 0 H U x s x r I g Z y 4 o J G G 9 G 7 G u U 1 4 H G R C 0 w z o k 0 L v 0 J / Q B h g O f T c v u F h h i n b w D L S D E 5 A A A A A 2 E b 2 C O M s f r h Z + J h s i m c F c 0 2 X l E 8 X u + z 9 7 H s Q x 5 F X 5 k Q N I l E y f 3 X Z d 9 v / 8 C I 6 g P T A 0 z c J D T W m b H s X D 6 l u 1 h I q C g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D95AD-0267-4FD7-B0B8-8A1DE9BA6EB4}">
  <ds:schemaRefs>
    <ds:schemaRef ds:uri="http://schemas.microsoft.com/office/2006/metadata/properties"/>
    <ds:schemaRef ds:uri="46afbdc8-40ba-417d-b3e9-facef3290d04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1f525c1f-400e-47f8-8a8b-5e89483b5ff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Bruninx</dc:creator>
  <cp:keywords/>
  <dc:description/>
  <cp:lastModifiedBy>Louis Bruninx</cp:lastModifiedBy>
  <cp:revision/>
  <dcterms:created xsi:type="dcterms:W3CDTF">2023-05-25T08:37:34Z</dcterms:created>
  <dcterms:modified xsi:type="dcterms:W3CDTF">2023-06-02T07:46:30Z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