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r\OneDrive\Desktop\DSE\DSE-Group16\Preliminary Design\"/>
    </mc:Choice>
  </mc:AlternateContent>
  <xr:revisionPtr revIDLastSave="0" documentId="13_ncr:1_{AD1D9663-9F27-4A7C-83C9-65EE2B9C3EBC}" xr6:coauthVersionLast="47" xr6:coauthVersionMax="47" xr10:uidLastSave="{00000000-0000-0000-0000-000000000000}"/>
  <bookViews>
    <workbookView xWindow="-120" yWindow="-120" windowWidth="24240" windowHeight="14520" activeTab="2" xr2:uid="{00000000-000D-0000-FFFF-FFFF00000000}"/>
  </bookViews>
  <sheets>
    <sheet name="Sheet1" sheetId="1" r:id="rId1"/>
    <sheet name="Class_1_New" sheetId="2" r:id="rId2"/>
    <sheet name="Class_1_Newer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4" i="1" s="1"/>
  <c r="B15" i="1" s="1"/>
  <c r="B4" i="1"/>
  <c r="B7" i="1"/>
  <c r="Z5" i="1" s="1"/>
  <c r="V13" i="1" s="1"/>
  <c r="B14" i="2" l="1"/>
  <c r="B15" i="2" s="1"/>
  <c r="B16" i="2" s="1"/>
  <c r="B17" i="2" s="1"/>
  <c r="B12" i="2"/>
  <c r="B18" i="2" s="1"/>
  <c r="P4" i="1"/>
  <c r="X4" i="1"/>
  <c r="X5" i="1" s="1"/>
  <c r="X6" i="1" s="1"/>
  <c r="B9" i="1"/>
  <c r="B8" i="1"/>
  <c r="P13" i="1" s="1"/>
  <c r="B26" i="1"/>
  <c r="D19" i="1"/>
  <c r="Z6" i="1"/>
  <c r="Z7" i="1" s="1"/>
  <c r="X7" i="1"/>
  <c r="B11" i="1"/>
  <c r="B13" i="1" s="1"/>
  <c r="B13" i="2" l="1"/>
  <c r="B11" i="2"/>
  <c r="P7" i="1"/>
  <c r="P11" i="1" s="1"/>
  <c r="P10" i="1"/>
  <c r="P12" i="1" s="1"/>
</calcChain>
</file>

<file path=xl/sharedStrings.xml><?xml version="1.0" encoding="utf-8"?>
<sst xmlns="http://schemas.openxmlformats.org/spreadsheetml/2006/main" count="140" uniqueCount="116">
  <si>
    <t>Endurance</t>
  </si>
  <si>
    <t>Payload capacity</t>
  </si>
  <si>
    <t>Range</t>
  </si>
  <si>
    <t>Velocity</t>
  </si>
  <si>
    <t>Altitude</t>
  </si>
  <si>
    <t>Design gross weight</t>
  </si>
  <si>
    <t>Power loading</t>
  </si>
  <si>
    <t>AR</t>
  </si>
  <si>
    <t>T/W</t>
  </si>
  <si>
    <t>Cl</t>
  </si>
  <si>
    <t>Cd</t>
  </si>
  <si>
    <t>V-n diagram</t>
  </si>
  <si>
    <t xml:space="preserve">Engine </t>
  </si>
  <si>
    <t>hr</t>
  </si>
  <si>
    <t>KG</t>
  </si>
  <si>
    <t>km</t>
  </si>
  <si>
    <t>m/s</t>
  </si>
  <si>
    <t>m</t>
  </si>
  <si>
    <t>kg</t>
  </si>
  <si>
    <t>MTOW/Payload</t>
  </si>
  <si>
    <t>Wing Area</t>
  </si>
  <si>
    <t>m^2</t>
  </si>
  <si>
    <t>Wing Span</t>
  </si>
  <si>
    <t>MAC</t>
  </si>
  <si>
    <t>Stat relationship</t>
  </si>
  <si>
    <t>https://www.researchgate.net/publication/349345669_Digitalization_with_the_Use_of_Unmanned_Aerial_Vehicle_UAV_in_Agriculture</t>
  </si>
  <si>
    <t>Power Efficiency</t>
  </si>
  <si>
    <t>Cl,cruise</t>
  </si>
  <si>
    <t>N/m^2</t>
  </si>
  <si>
    <t>Wing loading (Cruise)</t>
  </si>
  <si>
    <t xml:space="preserve">http://airfoiltools.com/airfoil/details?airfoil=naca23018-il#polars </t>
  </si>
  <si>
    <t>Max load factor</t>
  </si>
  <si>
    <t>Max wing loading</t>
  </si>
  <si>
    <t>Power Sizing</t>
  </si>
  <si>
    <t>Energy Density</t>
  </si>
  <si>
    <t>Power Loading</t>
  </si>
  <si>
    <t>Wh/kg</t>
  </si>
  <si>
    <t>NACA23018</t>
  </si>
  <si>
    <t>Battery Eff</t>
  </si>
  <si>
    <t>Converter Eff</t>
  </si>
  <si>
    <t>Inverter Eff</t>
  </si>
  <si>
    <t>Propeller Eff</t>
  </si>
  <si>
    <t>Motor Eff</t>
  </si>
  <si>
    <t>Fuselage/Empenage</t>
  </si>
  <si>
    <t>a</t>
  </si>
  <si>
    <t>C</t>
  </si>
  <si>
    <t>l_f</t>
  </si>
  <si>
    <t>c_HT</t>
  </si>
  <si>
    <t>c_VT</t>
  </si>
  <si>
    <t>.</t>
  </si>
  <si>
    <t>l_VT</t>
  </si>
  <si>
    <t>l_HT</t>
  </si>
  <si>
    <t>S_VT</t>
  </si>
  <si>
    <t>S_HT</t>
  </si>
  <si>
    <t>recycling composites</t>
  </si>
  <si>
    <t xml:space="preserve"> https://www.compositesworld.com/articles/recycling-end-of-life-composite-parts-new-methods-markets</t>
  </si>
  <si>
    <t>hp</t>
  </si>
  <si>
    <t>Thrust</t>
  </si>
  <si>
    <t>MTOW</t>
  </si>
  <si>
    <t>W</t>
  </si>
  <si>
    <t>P_req</t>
  </si>
  <si>
    <t>E_req</t>
  </si>
  <si>
    <t>m_batt</t>
  </si>
  <si>
    <t>Wh</t>
  </si>
  <si>
    <t>Max total mass</t>
  </si>
  <si>
    <t>Wing</t>
  </si>
  <si>
    <t>W_wing</t>
  </si>
  <si>
    <t>page 80</t>
  </si>
  <si>
    <t>OEW</t>
  </si>
  <si>
    <t>page 110</t>
  </si>
  <si>
    <t>g</t>
  </si>
  <si>
    <t>Wing mass</t>
  </si>
  <si>
    <t>Assuming foam</t>
  </si>
  <si>
    <t>Wing Area[m2]</t>
  </si>
  <si>
    <t>MAC[m]</t>
  </si>
  <si>
    <t>P_req[W]</t>
  </si>
  <si>
    <t>Total Energy[Wh]</t>
  </si>
  <si>
    <t>Total Energy with eff[Wh]</t>
  </si>
  <si>
    <t>Iteration 1</t>
  </si>
  <si>
    <t>Wing loading [kg/m2]</t>
  </si>
  <si>
    <t>payload</t>
  </si>
  <si>
    <t>V</t>
  </si>
  <si>
    <t>T</t>
  </si>
  <si>
    <t>b</t>
  </si>
  <si>
    <t>cl_cruise</t>
  </si>
  <si>
    <t>cd_cruise</t>
  </si>
  <si>
    <t>e_density</t>
  </si>
  <si>
    <t>tot_eff</t>
  </si>
  <si>
    <t>tot_mass</t>
  </si>
  <si>
    <t>mass of Battery[kg]</t>
  </si>
  <si>
    <t>Avionics</t>
  </si>
  <si>
    <t>Plasma_Actuators</t>
  </si>
  <si>
    <t>Fuselage</t>
  </si>
  <si>
    <t>Wing_Mass</t>
  </si>
  <si>
    <t>Propulsion</t>
  </si>
  <si>
    <t>Empanage</t>
  </si>
  <si>
    <t>variable</t>
  </si>
  <si>
    <t>mPAY</t>
  </si>
  <si>
    <t>mAVC</t>
  </si>
  <si>
    <t>mPCS</t>
  </si>
  <si>
    <t>E</t>
  </si>
  <si>
    <t>taper</t>
  </si>
  <si>
    <t>cd0</t>
  </si>
  <si>
    <t>Uden</t>
  </si>
  <si>
    <t>EffProp</t>
  </si>
  <si>
    <t>EffBat</t>
  </si>
  <si>
    <t>mTOT</t>
  </si>
  <si>
    <t>rho</t>
  </si>
  <si>
    <t>variables</t>
  </si>
  <si>
    <t>Values</t>
  </si>
  <si>
    <t>Units</t>
  </si>
  <si>
    <t>-</t>
  </si>
  <si>
    <t>h</t>
  </si>
  <si>
    <t xml:space="preserve">m </t>
  </si>
  <si>
    <t>kg/m3</t>
  </si>
  <si>
    <t>m/s2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</si>
</sst>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3" fillId="4" borderId="0" xfId="0" applyFont="1" applyFill="1"/>
    <xf numFmtId="0" fontId="2" fillId="0" borderId="0" xfId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0" fillId="5" borderId="0" xfId="0" applyFill="1"/>
    <xf numFmtId="0" fontId="3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241301</xdr:colOff>
      <xdr:row>0</xdr:row>
      <xdr:rowOff>45720</xdr:rowOff>
    </xdr:from>
    <xdr:to>
      <xdr:col>20</xdr:col>
      <xdr:colOff>498963</xdr:colOff>
      <xdr:row>9</xdr:row>
      <xdr:rowOff>3809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72D3C2-30D5-B663-F2A7-17D38B580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66551" y="45720"/>
          <a:ext cx="2697332" cy="1630679"/>
        </a:xfrm>
        <a:prstGeom prst="rect">
          <a:avLst/>
        </a:prstGeom>
      </xdr:spPr>
    </xdr:pic>
    <xdr:clientData/>
  </xdr:twoCellAnchor>
  <xdr:twoCellAnchor editAs="oneCell">
    <xdr:from>
      <xdr:col>22</xdr:col>
      <xdr:colOff>24131</xdr:colOff>
      <xdr:row>7</xdr:row>
      <xdr:rowOff>73660</xdr:rowOff>
    </xdr:from>
    <xdr:to>
      <xdr:col>27</xdr:col>
      <xdr:colOff>491491</xdr:colOff>
      <xdr:row>16</xdr:row>
      <xdr:rowOff>94181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802484-26F2-DD9B-234B-457D0E232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1271" y="1353820"/>
          <a:ext cx="3728720" cy="1666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irfoiltools.com/airfoil/details?airfoil=naca23018-il" TargetMode="External"/><Relationship Id="rId1" Type="http://schemas.openxmlformats.org/officeDocument/2006/relationships/hyperlink" Target="https://www.researchgate.net/publication/349345669_Digitalization_with_the_Use_of_Unmanned_Aerial_Vehicle_UAV_in_Agricultur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zoomScale="102" workbookViewId="0">
      <selection activeCell="B19" sqref="B19"/>
    </sheetView>
  </sheetViews>
  <sheetFormatPr defaultRowHeight="15" x14ac:dyDescent="0.25"/>
  <cols>
    <col min="1" max="1" width="19.140625" bestFit="1" customWidth="1"/>
    <col min="2" max="2" width="12" bestFit="1" customWidth="1"/>
    <col min="4" max="4" width="8" customWidth="1"/>
    <col min="7" max="7" width="10.42578125" bestFit="1" customWidth="1"/>
    <col min="8" max="8" width="16.7109375" bestFit="1" customWidth="1"/>
    <col min="11" max="11" width="13.42578125" bestFit="1" customWidth="1"/>
    <col min="24" max="24" width="12" bestFit="1" customWidth="1"/>
  </cols>
  <sheetData>
    <row r="1" spans="1:27" x14ac:dyDescent="0.25">
      <c r="A1" s="1" t="s">
        <v>0</v>
      </c>
      <c r="B1">
        <v>2</v>
      </c>
      <c r="C1" t="s">
        <v>13</v>
      </c>
      <c r="G1" s="3" t="s">
        <v>54</v>
      </c>
      <c r="K1" s="3" t="s">
        <v>33</v>
      </c>
      <c r="O1" t="s">
        <v>43</v>
      </c>
      <c r="W1" t="s">
        <v>57</v>
      </c>
      <c r="Z1" t="s">
        <v>65</v>
      </c>
    </row>
    <row r="2" spans="1:27" x14ac:dyDescent="0.25">
      <c r="A2" s="1" t="s">
        <v>19</v>
      </c>
      <c r="B2">
        <v>6.5549999999999997</v>
      </c>
      <c r="G2" t="s">
        <v>55</v>
      </c>
      <c r="K2" t="s">
        <v>34</v>
      </c>
      <c r="L2">
        <v>170</v>
      </c>
      <c r="M2" t="s">
        <v>36</v>
      </c>
      <c r="O2" t="s">
        <v>44</v>
      </c>
      <c r="P2">
        <v>0.71</v>
      </c>
      <c r="W2" t="s">
        <v>44</v>
      </c>
      <c r="X2">
        <v>4.2999999999999997E-2</v>
      </c>
    </row>
    <row r="3" spans="1:27" x14ac:dyDescent="0.25">
      <c r="A3" s="1" t="s">
        <v>1</v>
      </c>
      <c r="B3">
        <v>1</v>
      </c>
      <c r="C3" t="s">
        <v>14</v>
      </c>
      <c r="K3" t="s">
        <v>38</v>
      </c>
      <c r="L3">
        <v>0.6</v>
      </c>
      <c r="O3" t="s">
        <v>45</v>
      </c>
      <c r="P3">
        <v>0.48</v>
      </c>
      <c r="W3" t="s">
        <v>45</v>
      </c>
      <c r="X3">
        <v>0</v>
      </c>
    </row>
    <row r="4" spans="1:27" x14ac:dyDescent="0.25">
      <c r="A4" s="2" t="s">
        <v>2</v>
      </c>
      <c r="B4">
        <f>(B1*3600*B5)/1000</f>
        <v>86.4</v>
      </c>
      <c r="C4" t="s">
        <v>15</v>
      </c>
      <c r="K4" t="s">
        <v>39</v>
      </c>
      <c r="O4" t="s">
        <v>46</v>
      </c>
      <c r="P4">
        <f>P2*B7^P3</f>
        <v>1.7507060913261361</v>
      </c>
      <c r="W4" t="s">
        <v>60</v>
      </c>
      <c r="X4">
        <f>B7*2.205*X2</f>
        <v>0.62151232499999998</v>
      </c>
      <c r="Y4" t="s">
        <v>56</v>
      </c>
    </row>
    <row r="5" spans="1:27" x14ac:dyDescent="0.25">
      <c r="A5" s="2" t="s">
        <v>3</v>
      </c>
      <c r="B5">
        <v>12</v>
      </c>
      <c r="C5" t="s">
        <v>16</v>
      </c>
      <c r="K5" t="s">
        <v>40</v>
      </c>
      <c r="O5" t="s">
        <v>48</v>
      </c>
      <c r="P5">
        <v>0.02</v>
      </c>
      <c r="W5" t="s">
        <v>60</v>
      </c>
      <c r="X5">
        <f>X4*735.5</f>
        <v>457.12231503749996</v>
      </c>
      <c r="Y5" t="s">
        <v>59</v>
      </c>
      <c r="Z5">
        <f>B5*B7*9.81/(B16/B19)</f>
        <v>52.612813636363626</v>
      </c>
    </row>
    <row r="6" spans="1:27" x14ac:dyDescent="0.25">
      <c r="A6" s="1" t="s">
        <v>4</v>
      </c>
      <c r="B6">
        <v>120</v>
      </c>
      <c r="C6" t="s">
        <v>17</v>
      </c>
      <c r="K6" t="s">
        <v>41</v>
      </c>
      <c r="O6" t="s">
        <v>47</v>
      </c>
      <c r="P6">
        <v>0.5</v>
      </c>
      <c r="W6" t="s">
        <v>61</v>
      </c>
      <c r="X6">
        <f>X5*B1</f>
        <v>914.24463007499992</v>
      </c>
      <c r="Y6" t="s">
        <v>63</v>
      </c>
      <c r="Z6">
        <f>Z5*B1</f>
        <v>105.22562727272725</v>
      </c>
    </row>
    <row r="7" spans="1:27" x14ac:dyDescent="0.25">
      <c r="A7" s="4" t="s">
        <v>64</v>
      </c>
      <c r="B7">
        <f>B2*B3</f>
        <v>6.5549999999999997</v>
      </c>
      <c r="C7" t="s">
        <v>18</v>
      </c>
      <c r="D7" t="s">
        <v>24</v>
      </c>
      <c r="K7" t="s">
        <v>42</v>
      </c>
      <c r="O7" t="s">
        <v>50</v>
      </c>
      <c r="P7">
        <f>0.65*P4</f>
        <v>1.1379589593619885</v>
      </c>
      <c r="W7" t="s">
        <v>62</v>
      </c>
      <c r="X7">
        <f>X6/L2/L3</f>
        <v>8.9631826477941168</v>
      </c>
      <c r="Y7" t="s">
        <v>18</v>
      </c>
      <c r="Z7">
        <f>Z6/L2/L3</f>
        <v>1.0316237967914437</v>
      </c>
      <c r="AA7" t="s">
        <v>18</v>
      </c>
    </row>
    <row r="8" spans="1:27" x14ac:dyDescent="0.25">
      <c r="A8" s="4" t="s">
        <v>58</v>
      </c>
      <c r="B8">
        <f>B7*9.81</f>
        <v>64.304550000000006</v>
      </c>
    </row>
    <row r="9" spans="1:27" x14ac:dyDescent="0.25">
      <c r="A9" s="4" t="s">
        <v>68</v>
      </c>
      <c r="B9">
        <f>(B7-B3)*9.81</f>
        <v>54.494549999999997</v>
      </c>
    </row>
    <row r="10" spans="1:27" x14ac:dyDescent="0.25">
      <c r="A10" t="s">
        <v>5</v>
      </c>
      <c r="O10" t="s">
        <v>51</v>
      </c>
      <c r="P10">
        <f>0.65*P4</f>
        <v>1.1379589593619885</v>
      </c>
      <c r="R10" t="s">
        <v>69</v>
      </c>
    </row>
    <row r="11" spans="1:27" x14ac:dyDescent="0.25">
      <c r="A11" t="s">
        <v>29</v>
      </c>
      <c r="B11">
        <f>B7*9.81/B22</f>
        <v>97.02000000000001</v>
      </c>
      <c r="C11" t="s">
        <v>28</v>
      </c>
      <c r="D11" s="5" t="s">
        <v>25</v>
      </c>
      <c r="E11" t="s">
        <v>49</v>
      </c>
      <c r="O11" t="s">
        <v>52</v>
      </c>
      <c r="P11">
        <f>P5*B23*B22/P7</f>
        <v>2.7957289976759264E-2</v>
      </c>
    </row>
    <row r="12" spans="1:27" x14ac:dyDescent="0.25">
      <c r="A12" t="s">
        <v>31</v>
      </c>
      <c r="B12">
        <v>3.75</v>
      </c>
      <c r="O12" t="s">
        <v>53</v>
      </c>
      <c r="P12">
        <f>P6*B24*B24/P10</f>
        <v>3.3510567888481391E-2</v>
      </c>
    </row>
    <row r="13" spans="1:27" x14ac:dyDescent="0.25">
      <c r="A13" t="s">
        <v>32</v>
      </c>
      <c r="B13">
        <f>B11*B12</f>
        <v>363.82500000000005</v>
      </c>
      <c r="K13" t="s">
        <v>35</v>
      </c>
      <c r="O13" t="s">
        <v>66</v>
      </c>
      <c r="P13">
        <f>B8*0.15</f>
        <v>9.6456825000000013</v>
      </c>
      <c r="V13">
        <f>Z5/12</f>
        <v>4.3844011363636355</v>
      </c>
    </row>
    <row r="14" spans="1:27" x14ac:dyDescent="0.25">
      <c r="A14" t="s">
        <v>6</v>
      </c>
    </row>
    <row r="15" spans="1:27" x14ac:dyDescent="0.25">
      <c r="A15" t="s">
        <v>7</v>
      </c>
      <c r="B15">
        <f>B23/B24</f>
        <v>8.6904456994100716</v>
      </c>
    </row>
    <row r="16" spans="1:27" x14ac:dyDescent="0.25">
      <c r="A16" t="s">
        <v>27</v>
      </c>
      <c r="B16">
        <v>1.1000000000000001</v>
      </c>
      <c r="C16" t="s">
        <v>37</v>
      </c>
      <c r="D16" s="5" t="s">
        <v>30</v>
      </c>
      <c r="E16" t="s">
        <v>49</v>
      </c>
    </row>
    <row r="17" spans="1:23" x14ac:dyDescent="0.25">
      <c r="A17" t="s">
        <v>8</v>
      </c>
    </row>
    <row r="18" spans="1:23" x14ac:dyDescent="0.25">
      <c r="A18" t="s">
        <v>9</v>
      </c>
      <c r="W18" t="s">
        <v>67</v>
      </c>
    </row>
    <row r="19" spans="1:23" x14ac:dyDescent="0.25">
      <c r="A19" t="s">
        <v>10</v>
      </c>
      <c r="B19">
        <v>7.4999999999999997E-2</v>
      </c>
      <c r="D19">
        <f>B16/B19</f>
        <v>14.666666666666668</v>
      </c>
    </row>
    <row r="20" spans="1:23" x14ac:dyDescent="0.25">
      <c r="A20" t="s">
        <v>11</v>
      </c>
    </row>
    <row r="21" spans="1:23" x14ac:dyDescent="0.25">
      <c r="A21" t="s">
        <v>12</v>
      </c>
    </row>
    <row r="22" spans="1:23" x14ac:dyDescent="0.25">
      <c r="A22" t="s">
        <v>20</v>
      </c>
      <c r="B22">
        <f>B2*9.81/(0.5*1.225*B5^2*B16)</f>
        <v>0.66279684601113176</v>
      </c>
      <c r="C22" t="s">
        <v>21</v>
      </c>
    </row>
    <row r="23" spans="1:23" x14ac:dyDescent="0.25">
      <c r="A23" t="s">
        <v>22</v>
      </c>
      <c r="B23">
        <v>2.4</v>
      </c>
      <c r="C23" t="s">
        <v>17</v>
      </c>
      <c r="D23" t="s">
        <v>24</v>
      </c>
    </row>
    <row r="24" spans="1:23" x14ac:dyDescent="0.25">
      <c r="A24" t="s">
        <v>23</v>
      </c>
      <c r="B24">
        <f>B22/B23</f>
        <v>0.27616535250463825</v>
      </c>
      <c r="C24" t="s">
        <v>17</v>
      </c>
    </row>
    <row r="25" spans="1:23" x14ac:dyDescent="0.25">
      <c r="A25" t="s">
        <v>26</v>
      </c>
      <c r="B25">
        <v>0.6</v>
      </c>
    </row>
    <row r="26" spans="1:23" x14ac:dyDescent="0.25">
      <c r="A26" t="s">
        <v>71</v>
      </c>
      <c r="B26">
        <f>B22*100*10</f>
        <v>662.79684601113172</v>
      </c>
      <c r="C26" t="s">
        <v>70</v>
      </c>
      <c r="D26" t="s">
        <v>72</v>
      </c>
    </row>
  </sheetData>
  <hyperlinks>
    <hyperlink ref="D11" r:id="rId1" xr:uid="{AC9D07AA-ECB2-48B4-8817-9A6FF715FB0A}"/>
    <hyperlink ref="D16" r:id="rId2" location="polars " xr:uid="{F6709058-AFF2-45D1-926B-041DC2E6C4DD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15B4-BD30-49C6-A198-1B084417476D}">
  <dimension ref="A1:C24"/>
  <sheetViews>
    <sheetView workbookViewId="0">
      <selection activeCell="A2" sqref="A2:B24"/>
    </sheetView>
  </sheetViews>
  <sheetFormatPr defaultRowHeight="15" x14ac:dyDescent="0.25"/>
  <cols>
    <col min="1" max="1" width="26.28515625" bestFit="1" customWidth="1"/>
    <col min="2" max="2" width="34.42578125" customWidth="1"/>
    <col min="3" max="3" width="18.28515625" bestFit="1" customWidth="1"/>
  </cols>
  <sheetData>
    <row r="1" spans="1:3" x14ac:dyDescent="0.25">
      <c r="A1" t="s">
        <v>96</v>
      </c>
      <c r="B1" t="s">
        <v>78</v>
      </c>
    </row>
    <row r="2" spans="1:3" x14ac:dyDescent="0.25">
      <c r="A2" s="9" t="s">
        <v>80</v>
      </c>
      <c r="B2">
        <v>1000</v>
      </c>
    </row>
    <row r="3" spans="1:3" x14ac:dyDescent="0.25">
      <c r="A3" s="9" t="s">
        <v>81</v>
      </c>
      <c r="B3">
        <v>12</v>
      </c>
    </row>
    <row r="4" spans="1:3" x14ac:dyDescent="0.25">
      <c r="A4" s="9" t="s">
        <v>82</v>
      </c>
      <c r="B4">
        <v>120</v>
      </c>
    </row>
    <row r="5" spans="1:3" x14ac:dyDescent="0.25">
      <c r="A5" s="9" t="s">
        <v>83</v>
      </c>
      <c r="B5">
        <v>2.4</v>
      </c>
    </row>
    <row r="6" spans="1:3" x14ac:dyDescent="0.25">
      <c r="A6" s="9" t="s">
        <v>84</v>
      </c>
      <c r="B6">
        <v>1.1000000000000001</v>
      </c>
    </row>
    <row r="7" spans="1:3" x14ac:dyDescent="0.25">
      <c r="A7" s="9" t="s">
        <v>85</v>
      </c>
      <c r="B7">
        <v>0.1152</v>
      </c>
    </row>
    <row r="8" spans="1:3" x14ac:dyDescent="0.25">
      <c r="A8" s="9" t="s">
        <v>86</v>
      </c>
      <c r="B8">
        <v>170</v>
      </c>
    </row>
    <row r="9" spans="1:3" x14ac:dyDescent="0.25">
      <c r="A9" s="9" t="s">
        <v>87</v>
      </c>
      <c r="B9">
        <v>0.6</v>
      </c>
    </row>
    <row r="10" spans="1:3" ht="15.75" thickBot="1" x14ac:dyDescent="0.3">
      <c r="A10" s="10" t="s">
        <v>88</v>
      </c>
      <c r="B10">
        <v>6555</v>
      </c>
    </row>
    <row r="11" spans="1:3" ht="15.75" thickBot="1" x14ac:dyDescent="0.3">
      <c r="A11" s="7" t="s">
        <v>79</v>
      </c>
      <c r="B11">
        <f>B10*9.81/1000/B12</f>
        <v>97.020000000000024</v>
      </c>
      <c r="C11" s="6"/>
    </row>
    <row r="12" spans="1:3" ht="15.75" thickBot="1" x14ac:dyDescent="0.3">
      <c r="A12" s="7" t="s">
        <v>73</v>
      </c>
      <c r="B12">
        <f>B10*9.81/1000/B6/0.5/1.225/B3^2</f>
        <v>0.66279684601113165</v>
      </c>
      <c r="C12" s="6"/>
    </row>
    <row r="13" spans="1:3" x14ac:dyDescent="0.25">
      <c r="A13" s="8" t="s">
        <v>74</v>
      </c>
      <c r="B13">
        <f>B12/B5</f>
        <v>0.2761653525046382</v>
      </c>
      <c r="C13" s="6"/>
    </row>
    <row r="14" spans="1:3" x14ac:dyDescent="0.25">
      <c r="A14" s="8" t="s">
        <v>75</v>
      </c>
      <c r="B14">
        <f>B3*B7/B6*B10*9.81/1000</f>
        <v>80.813281745454546</v>
      </c>
      <c r="C14" s="6"/>
    </row>
    <row r="15" spans="1:3" x14ac:dyDescent="0.25">
      <c r="A15" s="8" t="s">
        <v>76</v>
      </c>
      <c r="B15">
        <f>B14*B4/60</f>
        <v>161.62656349090909</v>
      </c>
      <c r="C15" s="6"/>
    </row>
    <row r="16" spans="1:3" x14ac:dyDescent="0.25">
      <c r="A16" s="8" t="s">
        <v>77</v>
      </c>
      <c r="B16">
        <f>B15/B9</f>
        <v>269.37760581818185</v>
      </c>
      <c r="C16" s="6"/>
    </row>
    <row r="17" spans="1:3" x14ac:dyDescent="0.25">
      <c r="A17" s="8" t="s">
        <v>89</v>
      </c>
      <c r="B17">
        <f>B16/B8</f>
        <v>1.5845741518716578</v>
      </c>
      <c r="C17" s="6"/>
    </row>
    <row r="18" spans="1:3" x14ac:dyDescent="0.25">
      <c r="A18" s="8" t="s">
        <v>7</v>
      </c>
      <c r="B18">
        <f>B5^2/B12</f>
        <v>8.6904456994100734</v>
      </c>
      <c r="C18" s="6"/>
    </row>
    <row r="19" spans="1:3" x14ac:dyDescent="0.25">
      <c r="A19" s="8" t="s">
        <v>90</v>
      </c>
      <c r="B19">
        <v>655</v>
      </c>
    </row>
    <row r="20" spans="1:3" x14ac:dyDescent="0.25">
      <c r="A20" s="8" t="s">
        <v>91</v>
      </c>
      <c r="B20">
        <v>588</v>
      </c>
    </row>
    <row r="21" spans="1:3" x14ac:dyDescent="0.25">
      <c r="A21" s="8" t="s">
        <v>92</v>
      </c>
      <c r="B21">
        <v>200</v>
      </c>
    </row>
    <row r="22" spans="1:3" x14ac:dyDescent="0.25">
      <c r="A22" s="8" t="s">
        <v>93</v>
      </c>
      <c r="B22">
        <v>62.78</v>
      </c>
    </row>
    <row r="23" spans="1:3" x14ac:dyDescent="0.25">
      <c r="A23" s="8" t="s">
        <v>94</v>
      </c>
      <c r="B23">
        <v>30</v>
      </c>
    </row>
    <row r="24" spans="1:3" x14ac:dyDescent="0.25">
      <c r="A24" s="8" t="s">
        <v>95</v>
      </c>
      <c r="B24">
        <v>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99F97-9D9A-466A-92E5-3372F2CBAC95}">
  <dimension ref="A1:F25"/>
  <sheetViews>
    <sheetView tabSelected="1"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1:6" x14ac:dyDescent="0.25">
      <c r="A1" t="s">
        <v>108</v>
      </c>
      <c r="B1" t="s">
        <v>109</v>
      </c>
      <c r="C1" t="s">
        <v>110</v>
      </c>
    </row>
    <row r="2" spans="1:6" x14ac:dyDescent="0.25">
      <c r="A2" t="s">
        <v>106</v>
      </c>
      <c r="B2">
        <v>6.55</v>
      </c>
      <c r="C2" t="s">
        <v>18</v>
      </c>
    </row>
    <row r="3" spans="1:6" x14ac:dyDescent="0.25">
      <c r="A3" t="s">
        <v>97</v>
      </c>
      <c r="B3">
        <v>1</v>
      </c>
      <c r="C3" t="s">
        <v>18</v>
      </c>
    </row>
    <row r="4" spans="1:6" x14ac:dyDescent="0.25">
      <c r="A4" t="s">
        <v>98</v>
      </c>
      <c r="B4">
        <v>0.65500000000000003</v>
      </c>
      <c r="C4" t="s">
        <v>18</v>
      </c>
    </row>
    <row r="5" spans="1:6" x14ac:dyDescent="0.25">
      <c r="A5" t="s">
        <v>99</v>
      </c>
      <c r="B5">
        <v>0.58799999999999997</v>
      </c>
      <c r="C5" t="s">
        <v>18</v>
      </c>
    </row>
    <row r="6" spans="1:6" x14ac:dyDescent="0.25">
      <c r="A6" t="s">
        <v>84</v>
      </c>
      <c r="B6">
        <v>1.1000000000000001</v>
      </c>
      <c r="C6" t="s">
        <v>111</v>
      </c>
    </row>
    <row r="7" spans="1:6" x14ac:dyDescent="0.25">
      <c r="A7" t="s">
        <v>81</v>
      </c>
      <c r="B7">
        <v>12</v>
      </c>
      <c r="C7" t="s">
        <v>16</v>
      </c>
    </row>
    <row r="8" spans="1:6" x14ac:dyDescent="0.25">
      <c r="A8" t="s">
        <v>100</v>
      </c>
      <c r="B8">
        <v>2</v>
      </c>
      <c r="C8" t="s">
        <v>112</v>
      </c>
    </row>
    <row r="9" spans="1:6" x14ac:dyDescent="0.25">
      <c r="A9" t="s">
        <v>83</v>
      </c>
      <c r="B9">
        <v>2.4</v>
      </c>
      <c r="C9" t="s">
        <v>113</v>
      </c>
    </row>
    <row r="10" spans="1:6" x14ac:dyDescent="0.25">
      <c r="A10" t="s">
        <v>101</v>
      </c>
      <c r="B10">
        <v>0.45</v>
      </c>
      <c r="C10" t="s">
        <v>111</v>
      </c>
    </row>
    <row r="11" spans="1:6" x14ac:dyDescent="0.25">
      <c r="A11" t="s">
        <v>102</v>
      </c>
      <c r="B11">
        <v>1.95E-2</v>
      </c>
      <c r="C11" t="s">
        <v>111</v>
      </c>
    </row>
    <row r="12" spans="1:6" x14ac:dyDescent="0.25">
      <c r="A12" t="s">
        <v>103</v>
      </c>
      <c r="B12">
        <v>170</v>
      </c>
      <c r="C12" t="s">
        <v>36</v>
      </c>
    </row>
    <row r="13" spans="1:6" x14ac:dyDescent="0.25">
      <c r="A13" t="s">
        <v>105</v>
      </c>
      <c r="B13">
        <v>0.8</v>
      </c>
      <c r="C13" t="s">
        <v>111</v>
      </c>
    </row>
    <row r="14" spans="1:6" x14ac:dyDescent="0.25">
      <c r="A14" t="s">
        <v>104</v>
      </c>
      <c r="B14">
        <v>0.8</v>
      </c>
      <c r="C14" t="s">
        <v>111</v>
      </c>
    </row>
    <row r="15" spans="1:6" x14ac:dyDescent="0.25">
      <c r="A15" t="s">
        <v>107</v>
      </c>
      <c r="B15">
        <v>1.2250000000000001</v>
      </c>
      <c r="C15" t="s">
        <v>114</v>
      </c>
      <c r="F15" s="8"/>
    </row>
    <row r="16" spans="1:6" x14ac:dyDescent="0.25">
      <c r="A16" t="s">
        <v>70</v>
      </c>
      <c r="B16">
        <v>9.8066499999999994</v>
      </c>
      <c r="C16" t="s">
        <v>115</v>
      </c>
      <c r="F16" s="8"/>
    </row>
    <row r="17" spans="6:6" x14ac:dyDescent="0.25">
      <c r="F17" s="8"/>
    </row>
    <row r="18" spans="6:6" x14ac:dyDescent="0.25">
      <c r="F18" s="8"/>
    </row>
    <row r="19" spans="6:6" x14ac:dyDescent="0.25">
      <c r="F19" s="8"/>
    </row>
    <row r="20" spans="6:6" x14ac:dyDescent="0.25">
      <c r="F20" s="8"/>
    </row>
    <row r="21" spans="6:6" x14ac:dyDescent="0.25">
      <c r="F21" s="8"/>
    </row>
    <row r="22" spans="6:6" x14ac:dyDescent="0.25">
      <c r="F22" s="8"/>
    </row>
    <row r="23" spans="6:6" x14ac:dyDescent="0.25">
      <c r="F23" s="8"/>
    </row>
    <row r="24" spans="6:6" x14ac:dyDescent="0.25">
      <c r="F24" s="8"/>
    </row>
    <row r="25" spans="6:6" x14ac:dyDescent="0.25">
      <c r="F25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3" ma:contentTypeDescription="Een nieuw document maken." ma:contentTypeScope="" ma:versionID="51497b57ec2acbc1c79a151b8127cce6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e39b47c12fb678d8dc5f180187a6617a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d628b1-3ff5-44a8-8bbd-a4c1c0714b6e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9B072D-86E3-4A96-9AC4-295CB7F542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4A0643-B027-4F88-A169-B5925B67F8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C0E709-943E-4B79-A9CE-4F36B1B41FC3}">
  <ds:schemaRefs>
    <ds:schemaRef ds:uri="http://schemas.microsoft.com/office/2006/metadata/properties"/>
    <ds:schemaRef ds:uri="1f525c1f-400e-47f8-8a8b-5e89483b5ff6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46afbdc8-40ba-417d-b3e9-facef3290d0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Class_1_New</vt:lpstr>
      <vt:lpstr>Class_1_Newer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Mick Resink</cp:lastModifiedBy>
  <cp:revision/>
  <dcterms:created xsi:type="dcterms:W3CDTF">2023-05-22T07:17:34Z</dcterms:created>
  <dcterms:modified xsi:type="dcterms:W3CDTF">2023-05-24T08:07:10Z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