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ksandrplukci/Desktop/Лабы/1.3.3/"/>
    </mc:Choice>
  </mc:AlternateContent>
  <xr:revisionPtr revIDLastSave="0" documentId="13_ncr:1_{90B10DE6-D992-314C-98A8-306CDD8FB3DA}" xr6:coauthVersionLast="36" xr6:coauthVersionMax="36" xr10:uidLastSave="{00000000-0000-0000-0000-000000000000}"/>
  <bookViews>
    <workbookView xWindow="0" yWindow="460" windowWidth="28800" windowHeight="15940" xr2:uid="{F78263A7-F96D-5240-B1E4-9E427171D935}"/>
  </bookViews>
  <sheets>
    <sheet name="Лист1" sheetId="1" r:id="rId1"/>
  </sheets>
  <definedNames>
    <definedName name="_xlchart.v1.0" hidden="1">Лист1!$AH$4:$AH$9</definedName>
    <definedName name="_xlchart.v1.1" hidden="1">Лист1!$AI$4:$AI$9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7" i="1" l="1"/>
  <c r="AL4" i="1"/>
  <c r="AK4" i="1"/>
  <c r="AG4" i="1"/>
  <c r="AG5" i="1"/>
  <c r="AG6" i="1"/>
  <c r="AG7" i="1"/>
  <c r="AG8" i="1"/>
  <c r="AG9" i="1"/>
  <c r="AF9" i="1"/>
  <c r="AF8" i="1"/>
  <c r="AF7" i="1"/>
  <c r="AF6" i="1"/>
  <c r="AF5" i="1"/>
  <c r="AF4" i="1"/>
  <c r="Z8" i="1"/>
  <c r="Z9" i="1"/>
  <c r="Z10" i="1"/>
  <c r="Z5" i="1"/>
  <c r="Z6" i="1"/>
  <c r="Z4" i="1"/>
  <c r="S12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4" i="1"/>
  <c r="U16" i="1"/>
  <c r="U20" i="1"/>
  <c r="U19" i="1"/>
  <c r="U18" i="1"/>
  <c r="U17" i="1"/>
  <c r="U15" i="1"/>
  <c r="U14" i="1"/>
  <c r="U13" i="1"/>
  <c r="U12" i="1"/>
  <c r="U11" i="1"/>
  <c r="U10" i="1"/>
  <c r="U9" i="1"/>
  <c r="U8" i="1"/>
  <c r="U7" i="1"/>
  <c r="U6" i="1"/>
  <c r="U5" i="1"/>
  <c r="U4" i="1"/>
  <c r="R4" i="1"/>
  <c r="AE6" i="1" s="1"/>
  <c r="AI6" i="1" s="1"/>
  <c r="Q4" i="1"/>
  <c r="AE8" i="1" s="1"/>
  <c r="AI8" i="1" s="1"/>
  <c r="AE5" i="1" l="1"/>
  <c r="AI5" i="1" s="1"/>
  <c r="R12" i="1"/>
  <c r="AH6" i="1" s="1"/>
  <c r="AE4" i="1"/>
  <c r="AI4" i="1" s="1"/>
  <c r="AE7" i="1"/>
  <c r="AI7" i="1" s="1"/>
  <c r="AH8" i="1"/>
  <c r="AE9" i="1"/>
  <c r="AI9" i="1" s="1"/>
  <c r="AH7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4" i="1"/>
  <c r="L26" i="1"/>
  <c r="L27" i="1"/>
  <c r="L28" i="1"/>
  <c r="L29" i="1"/>
  <c r="L30" i="1"/>
  <c r="L31" i="1"/>
  <c r="L25" i="1"/>
  <c r="L19" i="1"/>
  <c r="L20" i="1"/>
  <c r="L21" i="1"/>
  <c r="L22" i="1"/>
  <c r="L23" i="1"/>
  <c r="L24" i="1"/>
  <c r="L18" i="1"/>
  <c r="L17" i="1"/>
  <c r="L12" i="1"/>
  <c r="L13" i="1"/>
  <c r="L14" i="1"/>
  <c r="L15" i="1"/>
  <c r="L16" i="1"/>
  <c r="L11" i="1"/>
  <c r="L10" i="1"/>
  <c r="L5" i="1"/>
  <c r="L6" i="1"/>
  <c r="L7" i="1"/>
  <c r="L8" i="1"/>
  <c r="L9" i="1"/>
  <c r="L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AH9" i="1" l="1"/>
  <c r="AH5" i="1"/>
  <c r="AH4" i="1"/>
  <c r="R15" i="1"/>
  <c r="F33" i="1"/>
  <c r="F34" i="1"/>
  <c r="F35" i="1"/>
  <c r="F36" i="1"/>
  <c r="F37" i="1"/>
  <c r="F38" i="1"/>
  <c r="F32" i="1"/>
  <c r="F26" i="1"/>
  <c r="F27" i="1"/>
  <c r="F28" i="1"/>
  <c r="F29" i="1"/>
  <c r="F30" i="1"/>
  <c r="F31" i="1"/>
  <c r="F25" i="1"/>
  <c r="F19" i="1"/>
  <c r="F20" i="1"/>
  <c r="F21" i="1"/>
  <c r="F22" i="1"/>
  <c r="F23" i="1"/>
  <c r="F24" i="1"/>
  <c r="F18" i="1"/>
  <c r="F12" i="1"/>
  <c r="F13" i="1"/>
  <c r="F14" i="1"/>
  <c r="F15" i="1"/>
  <c r="F16" i="1"/>
  <c r="F17" i="1"/>
  <c r="F11" i="1"/>
  <c r="F5" i="1"/>
  <c r="F6" i="1"/>
  <c r="F7" i="1"/>
  <c r="F8" i="1"/>
  <c r="F9" i="1"/>
  <c r="F10" i="1"/>
  <c r="F4" i="1"/>
  <c r="B4" i="1"/>
  <c r="A4" i="1"/>
  <c r="O5" i="1" l="1"/>
  <c r="O9" i="1"/>
  <c r="O13" i="1"/>
  <c r="O17" i="1"/>
  <c r="O21" i="1"/>
  <c r="O25" i="1"/>
  <c r="O29" i="1"/>
  <c r="O11" i="1"/>
  <c r="O15" i="1"/>
  <c r="O19" i="1"/>
  <c r="O23" i="1"/>
  <c r="O27" i="1"/>
  <c r="O31" i="1"/>
  <c r="O8" i="1"/>
  <c r="O12" i="1"/>
  <c r="O16" i="1"/>
  <c r="O20" i="1"/>
  <c r="O24" i="1"/>
  <c r="O28" i="1"/>
  <c r="O4" i="1"/>
  <c r="O6" i="1"/>
  <c r="O10" i="1"/>
  <c r="O14" i="1"/>
  <c r="O18" i="1"/>
  <c r="O22" i="1"/>
  <c r="O26" i="1"/>
  <c r="O30" i="1"/>
  <c r="O7" i="1"/>
  <c r="I4" i="1"/>
  <c r="I8" i="1"/>
  <c r="I12" i="1"/>
  <c r="I16" i="1"/>
  <c r="I20" i="1"/>
  <c r="I25" i="1"/>
  <c r="I29" i="1"/>
  <c r="I33" i="1"/>
  <c r="I37" i="1"/>
  <c r="I5" i="1"/>
  <c r="I9" i="1"/>
  <c r="I13" i="1"/>
  <c r="I17" i="1"/>
  <c r="I21" i="1"/>
  <c r="I26" i="1"/>
  <c r="I30" i="1"/>
  <c r="I34" i="1"/>
  <c r="I38" i="1"/>
  <c r="I6" i="1"/>
  <c r="I10" i="1"/>
  <c r="I14" i="1"/>
  <c r="I18" i="1"/>
  <c r="I22" i="1"/>
  <c r="I27" i="1"/>
  <c r="I31" i="1"/>
  <c r="I35" i="1"/>
  <c r="I7" i="1"/>
  <c r="I11" i="1"/>
  <c r="I15" i="1"/>
  <c r="I19" i="1"/>
  <c r="I23" i="1"/>
  <c r="I28" i="1"/>
  <c r="I32" i="1"/>
  <c r="I36" i="1"/>
  <c r="I24" i="1"/>
</calcChain>
</file>

<file path=xl/sharedStrings.xml><?xml version="1.0" encoding="utf-8"?>
<sst xmlns="http://schemas.openxmlformats.org/spreadsheetml/2006/main" count="30" uniqueCount="16">
  <si>
    <t>r_1, м</t>
  </si>
  <si>
    <t>r_2, м</t>
  </si>
  <si>
    <t>Q, л/с</t>
  </si>
  <si>
    <t>l, м</t>
  </si>
  <si>
    <t>ΔP, мм. сп. ст</t>
  </si>
  <si>
    <t>ΔP, Па</t>
  </si>
  <si>
    <t>???</t>
  </si>
  <si>
    <t>ΔP, мм</t>
  </si>
  <si>
    <t>η, Па*с</t>
  </si>
  <si>
    <t>σ_η/η, %</t>
  </si>
  <si>
    <t>Re_переход</t>
  </si>
  <si>
    <t>r, мм</t>
  </si>
  <si>
    <t>ln[8lηQ/π(P_1 - P_2)]</t>
  </si>
  <si>
    <t>ln[r]</t>
  </si>
  <si>
    <t>n</t>
  </si>
  <si>
    <t>σ_n/n,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</si>
</sst>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" x14ac:knownFonts="1"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 applyFill="1" applyBorder="1"/>
    <xf numFmtId="2" fontId="0" fillId="0" borderId="0" xfId="0" applyNumberFormat="1"/>
    <xf numFmtId="164" fontId="0" fillId="0" borderId="0" xfId="0" applyNumberFormat="1"/>
    <xf numFmtId="164" fontId="0" fillId="0" borderId="2" xfId="0" applyNumberFormat="1" applyBorder="1"/>
    <xf numFmtId="164" fontId="0" fillId="0" borderId="1" xfId="0" applyNumberFormat="1" applyBorder="1"/>
    <xf numFmtId="164" fontId="0" fillId="0" borderId="0" xfId="0" applyNumberFormat="1" applyFill="1" applyBorder="1"/>
    <xf numFmtId="0" fontId="0" fillId="0" borderId="1" xfId="0" applyFill="1" applyBorder="1"/>
    <xf numFmtId="164" fontId="0" fillId="0" borderId="1" xfId="0" applyNumberFormat="1" applyFill="1" applyBorder="1"/>
    <xf numFmtId="0" fontId="0" fillId="2" borderId="0" xfId="0" applyFill="1"/>
    <xf numFmtId="10" fontId="0" fillId="0" borderId="0" xfId="0" applyNumberFormat="1"/>
    <xf numFmtId="11" fontId="0" fillId="0" borderId="0" xfId="0" applyNumberForma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Δ</a:t>
            </a:r>
            <a:r>
              <a:rPr lang="en-US"/>
              <a:t>P(Q)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P(Q)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.0000000000000002E-2"/>
            <c:dispRSqr val="1"/>
            <c:dispEq val="1"/>
            <c:trendlineLbl>
              <c:layout>
                <c:manualLayout>
                  <c:x val="-0.19360169673447308"/>
                  <c:y val="4.21517737112129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Лист1!$U$4:$U$14</c:f>
              <c:numCache>
                <c:formatCode>0.0000</c:formatCode>
                <c:ptCount val="11"/>
                <c:pt idx="0">
                  <c:v>2.666666666666667E-3</c:v>
                </c:pt>
                <c:pt idx="1">
                  <c:v>7.1428571428571435E-3</c:v>
                </c:pt>
                <c:pt idx="2">
                  <c:v>1.1764705882352941E-2</c:v>
                </c:pt>
                <c:pt idx="3">
                  <c:v>1.7391304347826087E-2</c:v>
                </c:pt>
                <c:pt idx="4">
                  <c:v>2.3529411764705882E-2</c:v>
                </c:pt>
                <c:pt idx="5">
                  <c:v>3.3333333333333333E-2</c:v>
                </c:pt>
                <c:pt idx="6">
                  <c:v>4.5454545454545456E-2</c:v>
                </c:pt>
                <c:pt idx="7">
                  <c:v>5.7142857142857141E-2</c:v>
                </c:pt>
                <c:pt idx="8">
                  <c:v>6.8965517241379309E-2</c:v>
                </c:pt>
                <c:pt idx="9">
                  <c:v>8.5714285714285715E-2</c:v>
                </c:pt>
                <c:pt idx="10">
                  <c:v>9.0909090909090912E-2</c:v>
                </c:pt>
              </c:numCache>
            </c:numRef>
          </c:xVal>
          <c:yVal>
            <c:numRef>
              <c:f>Лист1!$V$4:$V$14</c:f>
              <c:numCache>
                <c:formatCode>0.0</c:formatCode>
                <c:ptCount val="11"/>
                <c:pt idx="0">
                  <c:v>5.886000000000001</c:v>
                </c:pt>
                <c:pt idx="1">
                  <c:v>11.772000000000002</c:v>
                </c:pt>
                <c:pt idx="2">
                  <c:v>19.62</c:v>
                </c:pt>
                <c:pt idx="3">
                  <c:v>29.430000000000003</c:v>
                </c:pt>
                <c:pt idx="4">
                  <c:v>39.24</c:v>
                </c:pt>
                <c:pt idx="5">
                  <c:v>54.936000000000007</c:v>
                </c:pt>
                <c:pt idx="6">
                  <c:v>70.632000000000005</c:v>
                </c:pt>
                <c:pt idx="7">
                  <c:v>90.25200000000001</c:v>
                </c:pt>
                <c:pt idx="8">
                  <c:v>109.87200000000001</c:v>
                </c:pt>
                <c:pt idx="9">
                  <c:v>135.37800000000001</c:v>
                </c:pt>
                <c:pt idx="10">
                  <c:v>149.11200000000002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9C-7840-9A05-5D16346A4955}"/>
            </c:ext>
          </c:extLst>
        </c:ser>
        <c:ser>
          <c:idx val="1"/>
          <c:order val="1"/>
          <c:tx>
            <c:v>P(Q)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1.0000000000000002E-2"/>
            <c:backward val="1.0000000000000002E-2"/>
            <c:dispRSqr val="1"/>
            <c:dispEq val="1"/>
            <c:trendlineLbl>
              <c:layout>
                <c:manualLayout>
                  <c:x val="-7.4336204157686395E-2"/>
                  <c:y val="2.282915855030316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Лист1!$U$15:$U$20</c:f>
              <c:numCache>
                <c:formatCode>0.0000</c:formatCode>
                <c:ptCount val="6"/>
                <c:pt idx="0">
                  <c:v>0.1</c:v>
                </c:pt>
                <c:pt idx="1">
                  <c:v>0.1038961038961039</c:v>
                </c:pt>
                <c:pt idx="2">
                  <c:v>0.10869565217391304</c:v>
                </c:pt>
                <c:pt idx="3">
                  <c:v>0.11363636363636363</c:v>
                </c:pt>
                <c:pt idx="4">
                  <c:v>0.11904761904761904</c:v>
                </c:pt>
                <c:pt idx="5">
                  <c:v>0.125</c:v>
                </c:pt>
              </c:numCache>
            </c:numRef>
          </c:xVal>
          <c:yVal>
            <c:numRef>
              <c:f>Лист1!$V$15:$V$20</c:f>
              <c:numCache>
                <c:formatCode>0.0</c:formatCode>
                <c:ptCount val="6"/>
                <c:pt idx="0">
                  <c:v>180.50400000000002</c:v>
                </c:pt>
                <c:pt idx="1">
                  <c:v>207.97200000000001</c:v>
                </c:pt>
                <c:pt idx="2">
                  <c:v>233.47800000000001</c:v>
                </c:pt>
                <c:pt idx="3">
                  <c:v>280.56600000000003</c:v>
                </c:pt>
                <c:pt idx="4">
                  <c:v>311.95800000000003</c:v>
                </c:pt>
                <c:pt idx="5">
                  <c:v>361.00800000000004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9C-7840-9A05-5D16346A4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298671"/>
        <c:axId val="1593266383"/>
      </c:scatterChart>
      <c:valAx>
        <c:axId val="1593298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Q,</a:t>
                </a:r>
                <a:r>
                  <a:rPr lang="en-US" baseline="0"/>
                  <a:t> </a:t>
                </a:r>
                <a:r>
                  <a:rPr lang="ru-RU" baseline="0"/>
                  <a:t>л/с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3266383"/>
        <c:crosses val="autoZero"/>
        <c:crossBetween val="midCat"/>
      </c:valAx>
      <c:valAx>
        <c:axId val="159326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ΔP,</a:t>
                </a:r>
                <a:r>
                  <a:rPr lang="en-US" baseline="0"/>
                  <a:t> </a:t>
                </a:r>
                <a:r>
                  <a:rPr lang="ru-RU" baseline="0"/>
                  <a:t>Па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3298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ΔP(l)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Лист1!$X$7:$X$10</c:f>
              <c:numCache>
                <c:formatCode>General</c:formatCode>
                <c:ptCount val="4"/>
                <c:pt idx="0">
                  <c:v>1.3140000000000001</c:v>
                </c:pt>
                <c:pt idx="1">
                  <c:v>1.2</c:v>
                </c:pt>
                <c:pt idx="2">
                  <c:v>0.9</c:v>
                </c:pt>
                <c:pt idx="3">
                  <c:v>0.5</c:v>
                </c:pt>
              </c:numCache>
            </c:numRef>
          </c:xVal>
          <c:yVal>
            <c:numRef>
              <c:f>Лист1!$Z$7:$Z$10</c:f>
              <c:numCache>
                <c:formatCode>0.00</c:formatCode>
                <c:ptCount val="4"/>
                <c:pt idx="0">
                  <c:v>151.07400000000001</c:v>
                </c:pt>
                <c:pt idx="1">
                  <c:v>121.64400000000001</c:v>
                </c:pt>
                <c:pt idx="2">
                  <c:v>92.214000000000013</c:v>
                </c:pt>
                <c:pt idx="3">
                  <c:v>51.012000000000008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32-E34D-88FF-C6B974DA797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0.1"/>
            <c:backward val="0.1"/>
            <c:dispRSqr val="1"/>
            <c:dispEq val="1"/>
            <c:trendlineLbl>
              <c:layout>
                <c:manualLayout>
                  <c:x val="-0.1799353974926737"/>
                  <c:y val="-1.13657557511193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Лист1!$X$8:$X$10</c:f>
              <c:numCache>
                <c:formatCode>General</c:formatCode>
                <c:ptCount val="3"/>
                <c:pt idx="0">
                  <c:v>1.2</c:v>
                </c:pt>
                <c:pt idx="1">
                  <c:v>0.9</c:v>
                </c:pt>
                <c:pt idx="2">
                  <c:v>0.5</c:v>
                </c:pt>
              </c:numCache>
            </c:numRef>
          </c:xVal>
          <c:yVal>
            <c:numRef>
              <c:f>Лист1!$Z$8:$Z$10</c:f>
              <c:numCache>
                <c:formatCode>0.00</c:formatCode>
                <c:ptCount val="3"/>
                <c:pt idx="0">
                  <c:v>121.64400000000001</c:v>
                </c:pt>
                <c:pt idx="1">
                  <c:v>92.214000000000013</c:v>
                </c:pt>
                <c:pt idx="2">
                  <c:v>51.012000000000008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32-E34D-88FF-C6B974DA7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353071"/>
        <c:axId val="1638198751"/>
      </c:scatterChart>
      <c:valAx>
        <c:axId val="1638353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l, </a:t>
                </a:r>
                <a:r>
                  <a:rPr lang="ru-RU"/>
                  <a:t>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8198751"/>
        <c:crosses val="autoZero"/>
        <c:crossBetween val="midCat"/>
      </c:valAx>
      <c:valAx>
        <c:axId val="163819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ΔP,</a:t>
                </a:r>
                <a:r>
                  <a:rPr lang="en-US" baseline="0"/>
                  <a:t> </a:t>
                </a:r>
                <a:r>
                  <a:rPr lang="ru-RU" baseline="0"/>
                  <a:t>Па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8353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ln[8l</a:t>
            </a:r>
            <a:r>
              <a:rPr lang="el-GR"/>
              <a:t>η</a:t>
            </a:r>
            <a:r>
              <a:rPr lang="en-US"/>
              <a:t>Q/</a:t>
            </a:r>
            <a:r>
              <a:rPr lang="el-GR"/>
              <a:t>π</a:t>
            </a:r>
            <a:r>
              <a:rPr lang="en-US"/>
              <a:t>ΔP](ln[r])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281306645439111"/>
                  <c:y val="1.59848947452996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Лист1!$AI$4:$AI$9</c:f>
              <c:numCache>
                <c:formatCode>General</c:formatCode>
                <c:ptCount val="6"/>
                <c:pt idx="0">
                  <c:v>-6.227186880629052</c:v>
                </c:pt>
                <c:pt idx="1">
                  <c:v>-6.227186880629052</c:v>
                </c:pt>
                <c:pt idx="2">
                  <c:v>-6.227186880629052</c:v>
                </c:pt>
                <c:pt idx="3">
                  <c:v>-5.8344607982983172</c:v>
                </c:pt>
                <c:pt idx="4">
                  <c:v>-5.8344607982983172</c:v>
                </c:pt>
                <c:pt idx="5">
                  <c:v>-5.8344607982983172</c:v>
                </c:pt>
              </c:numCache>
            </c:numRef>
          </c:xVal>
          <c:yVal>
            <c:numRef>
              <c:f>Лист1!$AH$4:$AH$9</c:f>
              <c:numCache>
                <c:formatCode>General</c:formatCode>
                <c:ptCount val="6"/>
                <c:pt idx="0">
                  <c:v>-17.963390357824164</c:v>
                </c:pt>
                <c:pt idx="1">
                  <c:v>-17.978657829954951</c:v>
                </c:pt>
                <c:pt idx="2">
                  <c:v>-17.947886171288197</c:v>
                </c:pt>
                <c:pt idx="3">
                  <c:v>-16.186898360726897</c:v>
                </c:pt>
                <c:pt idx="4">
                  <c:v>-16.29724641789576</c:v>
                </c:pt>
                <c:pt idx="5" formatCode="0.00">
                  <c:v>-16.39169277337291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78-F24D-AFF6-17F79E7AA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654927"/>
        <c:axId val="1637925455"/>
      </c:scatterChart>
      <c:valAx>
        <c:axId val="1644654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</a:t>
                </a:r>
                <a:r>
                  <a:rPr lang="en-US" sz="1000" b="0" i="0" u="none" strike="noStrike" baseline="0">
                    <a:effectLst/>
                  </a:rPr>
                  <a:t>n[r]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7925455"/>
        <c:crosses val="autoZero"/>
        <c:crossBetween val="midCat"/>
      </c:valAx>
      <c:valAx>
        <c:axId val="163792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ln[8l</a:t>
                </a:r>
                <a:r>
                  <a:rPr lang="el-GR" sz="1000" b="0" i="0" u="none" strike="noStrike" baseline="0">
                    <a:effectLst/>
                  </a:rPr>
                  <a:t>η</a:t>
                </a:r>
                <a:r>
                  <a:rPr lang="en-US" sz="1000" b="0" i="0" u="none" strike="noStrike" baseline="0">
                    <a:effectLst/>
                  </a:rPr>
                  <a:t>Q/</a:t>
                </a:r>
                <a:r>
                  <a:rPr lang="el-GR" sz="1000" b="0" i="0" u="none" strike="noStrike" baseline="0">
                    <a:effectLst/>
                  </a:rPr>
                  <a:t>πΔ</a:t>
                </a:r>
                <a:r>
                  <a:rPr lang="en-US" sz="1000" b="0" i="0" u="none" strike="noStrike" baseline="0">
                    <a:effectLst/>
                  </a:rPr>
                  <a:t>P]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4654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44450</xdr:colOff>
      <xdr:row>22</xdr:row>
      <xdr:rowOff>88900</xdr:rowOff>
    </xdr:from>
    <xdr:to>
      <xdr:col>23</xdr:col>
      <xdr:colOff>88900</xdr:colOff>
      <xdr:row>40</xdr:row>
      <xdr:rowOff>50800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7625BCD-C5EC-5444-B07F-2F366C500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812800</xdr:colOff>
      <xdr:row>11</xdr:row>
      <xdr:rowOff>152400</xdr:rowOff>
    </xdr:from>
    <xdr:to>
      <xdr:col>29</xdr:col>
      <xdr:colOff>304800</xdr:colOff>
      <xdr:row>27</xdr:row>
      <xdr:rowOff>25400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8D18FD49-BDB3-AF49-A105-2660556CB9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228600</xdr:colOff>
      <xdr:row>10</xdr:row>
      <xdr:rowOff>76200</xdr:rowOff>
    </xdr:from>
    <xdr:to>
      <xdr:col>37</xdr:col>
      <xdr:colOff>381000</xdr:colOff>
      <xdr:row>27</xdr:row>
      <xdr:rowOff>114300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CA727DD9-DF84-ED40-AF10-DB637B283A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06792-C473-604C-8358-6921C2D9812A}">
  <dimension ref="A2:AL45"/>
  <sheetViews>
    <sheetView tabSelected="1" topLeftCell="T1" workbookViewId="0">
      <selection activeCell="AD9" sqref="AD9"/>
    </sheetView>
  </sheetViews>
  <sheetFormatPr baseColWidth="10" defaultRowHeight="16" x14ac:dyDescent="0.2"/>
  <cols>
    <col min="6" max="6" width="10.83203125" style="7"/>
    <col min="9" max="9" width="12.1640625" bestFit="1" customWidth="1"/>
    <col min="15" max="15" width="12.1640625" bestFit="1" customWidth="1"/>
    <col min="16" max="16" width="10.83203125" style="13"/>
    <col min="18" max="18" width="12.1640625" bestFit="1" customWidth="1"/>
    <col min="25" max="25" width="12.1640625" bestFit="1" customWidth="1"/>
  </cols>
  <sheetData>
    <row r="2" spans="1:38" ht="17" thickBot="1" x14ac:dyDescent="0.25"/>
    <row r="3" spans="1:38" ht="17" thickBot="1" x14ac:dyDescent="0.25">
      <c r="A3" t="s">
        <v>0</v>
      </c>
      <c r="B3" t="s">
        <v>1</v>
      </c>
      <c r="E3" s="2" t="s">
        <v>4</v>
      </c>
      <c r="F3" s="8" t="s">
        <v>2</v>
      </c>
      <c r="G3" s="2" t="s">
        <v>3</v>
      </c>
      <c r="H3" s="3" t="s">
        <v>5</v>
      </c>
      <c r="I3" s="5"/>
      <c r="K3" s="2" t="s">
        <v>4</v>
      </c>
      <c r="L3" s="8" t="s">
        <v>2</v>
      </c>
      <c r="M3" s="2" t="s">
        <v>3</v>
      </c>
      <c r="N3" s="3" t="s">
        <v>5</v>
      </c>
      <c r="Q3" t="s">
        <v>0</v>
      </c>
      <c r="R3" t="s">
        <v>1</v>
      </c>
      <c r="T3" t="s">
        <v>7</v>
      </c>
      <c r="U3" t="s">
        <v>2</v>
      </c>
      <c r="V3" t="s">
        <v>5</v>
      </c>
      <c r="X3" t="s">
        <v>3</v>
      </c>
      <c r="Y3" t="s">
        <v>7</v>
      </c>
      <c r="Z3" t="s">
        <v>5</v>
      </c>
      <c r="AC3" t="s">
        <v>7</v>
      </c>
      <c r="AE3" t="s">
        <v>11</v>
      </c>
      <c r="AF3" t="s">
        <v>2</v>
      </c>
      <c r="AG3" t="s">
        <v>5</v>
      </c>
      <c r="AH3" t="s">
        <v>12</v>
      </c>
      <c r="AI3" t="s">
        <v>13</v>
      </c>
      <c r="AK3" t="s">
        <v>14</v>
      </c>
      <c r="AL3" t="s">
        <v>15</v>
      </c>
    </row>
    <row r="4" spans="1:38" x14ac:dyDescent="0.2">
      <c r="A4">
        <f>5.85/2*10^-3</f>
        <v>2.9250000000000001E-3</v>
      </c>
      <c r="B4">
        <f>3.95/2*10^-3</f>
        <v>1.9750000000000002E-3</v>
      </c>
      <c r="C4">
        <v>45</v>
      </c>
      <c r="E4">
        <v>18</v>
      </c>
      <c r="F4" s="7">
        <f>5/45</f>
        <v>0.1111111111111111</v>
      </c>
      <c r="G4">
        <v>0.5</v>
      </c>
      <c r="H4" s="6">
        <f t="shared" ref="H4:H38" si="0">0.2*9.81*E4</f>
        <v>35.316000000000003</v>
      </c>
      <c r="I4">
        <f>3.14*$A$4^4*H4/8/G4/F4*1000</f>
        <v>1.8263632343928262E-5</v>
      </c>
      <c r="K4">
        <v>31</v>
      </c>
      <c r="L4">
        <f>5/130</f>
        <v>3.8461538461538464E-2</v>
      </c>
      <c r="M4">
        <v>0.5</v>
      </c>
      <c r="N4" s="6">
        <f>0.2*9.81*K4</f>
        <v>60.822000000000003</v>
      </c>
      <c r="O4">
        <f>3.14*$B$4^4*N4/8/M4/L4*1000</f>
        <v>1.8887396672085404E-5</v>
      </c>
      <c r="Q4">
        <f>5.85/2*10^-3</f>
        <v>2.9250000000000001E-3</v>
      </c>
      <c r="R4">
        <f>3.95/2*10^-3</f>
        <v>1.9750000000000002E-3</v>
      </c>
      <c r="T4">
        <v>3</v>
      </c>
      <c r="U4" s="17">
        <f>2/10/75</f>
        <v>2.666666666666667E-3</v>
      </c>
      <c r="V4" s="18">
        <f>0.2*9.81*T4</f>
        <v>5.886000000000001</v>
      </c>
      <c r="X4">
        <v>0.114</v>
      </c>
      <c r="Y4">
        <v>15</v>
      </c>
      <c r="Z4" s="6">
        <f t="shared" ref="Z4:Z10" si="1">0.2*9.81*Y4</f>
        <v>29.430000000000003</v>
      </c>
      <c r="AC4">
        <v>26</v>
      </c>
      <c r="AE4">
        <f>$R$4</f>
        <v>1.9750000000000002E-3</v>
      </c>
      <c r="AF4" s="7">
        <f>5/150</f>
        <v>3.3333333333333333E-2</v>
      </c>
      <c r="AG4" s="6">
        <f t="shared" ref="AG4:AG9" si="2">0.2*9.81*AC4</f>
        <v>51.012000000000008</v>
      </c>
      <c r="AH4">
        <f>LN(8*0.5*$R$12*AF4/PI()/AG4)</f>
        <v>-17.963390357824164</v>
      </c>
      <c r="AI4">
        <f t="shared" ref="AI4:AI9" si="3">LN(AE4)</f>
        <v>-6.227186880629052</v>
      </c>
      <c r="AK4">
        <f xml:space="preserve"> 4.26</f>
        <v>4.26</v>
      </c>
      <c r="AL4" s="14">
        <f>SQRT((1/0.9949 - 1)/6)</f>
        <v>2.9229389693103788E-2</v>
      </c>
    </row>
    <row r="5" spans="1:38" x14ac:dyDescent="0.2">
      <c r="C5">
        <v>35</v>
      </c>
      <c r="E5">
        <v>33</v>
      </c>
      <c r="F5" s="7">
        <f t="shared" ref="F5:F10" si="4">5/45</f>
        <v>0.1111111111111111</v>
      </c>
      <c r="G5">
        <v>0.9</v>
      </c>
      <c r="H5" s="6">
        <f t="shared" si="0"/>
        <v>64.746000000000009</v>
      </c>
      <c r="I5">
        <f t="shared" ref="I5:I38" si="5">3.14*$A$4^4*H5/8/G5/F5*1000</f>
        <v>1.8601847757704711E-5</v>
      </c>
      <c r="K5">
        <v>56</v>
      </c>
      <c r="L5">
        <f t="shared" ref="L5:L9" si="6">5/130</f>
        <v>3.8461538461538464E-2</v>
      </c>
      <c r="M5">
        <v>0.9</v>
      </c>
      <c r="N5" s="6">
        <f t="shared" ref="N5:N31" si="7">0.2*9.81*K5</f>
        <v>109.87200000000001</v>
      </c>
      <c r="O5">
        <f t="shared" ref="O5:O31" si="8">3.14*$B$4^4*N5/8/M5/L5*1000</f>
        <v>1.8955093434350945E-5</v>
      </c>
      <c r="T5">
        <v>6</v>
      </c>
      <c r="U5" s="17">
        <f>2/10/28</f>
        <v>7.1428571428571435E-3</v>
      </c>
      <c r="V5" s="18">
        <f t="shared" ref="V5:V20" si="9">0.2*9.81*T5</f>
        <v>11.772000000000002</v>
      </c>
      <c r="X5">
        <v>0.41399999999999998</v>
      </c>
      <c r="Y5">
        <v>30</v>
      </c>
      <c r="Z5" s="6">
        <f t="shared" si="1"/>
        <v>58.860000000000007</v>
      </c>
      <c r="AC5">
        <v>36</v>
      </c>
      <c r="AE5">
        <f t="shared" ref="AE5:AE6" si="10">$R$4</f>
        <v>1.9750000000000002E-3</v>
      </c>
      <c r="AF5" s="7">
        <f>1/22</f>
        <v>4.5454545454545456E-2</v>
      </c>
      <c r="AG5" s="6">
        <f t="shared" si="2"/>
        <v>70.632000000000005</v>
      </c>
      <c r="AH5">
        <f t="shared" ref="AH5:AH8" si="11">LN(8*0.5*$R$12*AF5/PI()/AG5)</f>
        <v>-17.978657829954951</v>
      </c>
      <c r="AI5">
        <f t="shared" si="3"/>
        <v>-6.227186880629052</v>
      </c>
    </row>
    <row r="6" spans="1:38" x14ac:dyDescent="0.2">
      <c r="C6">
        <v>34</v>
      </c>
      <c r="E6">
        <v>15</v>
      </c>
      <c r="F6" s="7">
        <f t="shared" si="4"/>
        <v>0.1111111111111111</v>
      </c>
      <c r="G6">
        <v>0.4</v>
      </c>
      <c r="H6" s="6">
        <f t="shared" si="0"/>
        <v>29.430000000000003</v>
      </c>
      <c r="I6">
        <f t="shared" si="5"/>
        <v>1.9024617024925273E-5</v>
      </c>
      <c r="K6">
        <v>25</v>
      </c>
      <c r="L6">
        <f t="shared" si="6"/>
        <v>3.8461538461538464E-2</v>
      </c>
      <c r="M6">
        <v>0.4</v>
      </c>
      <c r="N6" s="6">
        <f t="shared" si="7"/>
        <v>49.050000000000004</v>
      </c>
      <c r="O6">
        <f t="shared" si="8"/>
        <v>1.9039714387182868E-5</v>
      </c>
      <c r="T6">
        <v>10</v>
      </c>
      <c r="U6" s="17">
        <f>2/10/17</f>
        <v>1.1764705882352941E-2</v>
      </c>
      <c r="V6" s="18">
        <f t="shared" si="9"/>
        <v>19.62</v>
      </c>
      <c r="X6">
        <v>0.81399999999999995</v>
      </c>
      <c r="Y6">
        <v>51</v>
      </c>
      <c r="Z6" s="6">
        <f t="shared" si="1"/>
        <v>100.06200000000001</v>
      </c>
      <c r="AC6">
        <v>16</v>
      </c>
      <c r="AE6">
        <f t="shared" si="10"/>
        <v>1.9750000000000002E-3</v>
      </c>
      <c r="AF6" s="7">
        <f>1/48</f>
        <v>2.0833333333333332E-2</v>
      </c>
      <c r="AG6" s="6">
        <f t="shared" si="2"/>
        <v>31.392000000000003</v>
      </c>
      <c r="AH6">
        <f t="shared" si="11"/>
        <v>-17.947886171288197</v>
      </c>
      <c r="AI6">
        <f t="shared" si="3"/>
        <v>-6.227186880629052</v>
      </c>
    </row>
    <row r="7" spans="1:38" x14ac:dyDescent="0.2">
      <c r="C7">
        <v>24</v>
      </c>
      <c r="E7">
        <v>28</v>
      </c>
      <c r="F7" s="7">
        <f t="shared" si="4"/>
        <v>0.1111111111111111</v>
      </c>
      <c r="G7">
        <v>0.7</v>
      </c>
      <c r="H7" s="6">
        <f t="shared" si="0"/>
        <v>54.936000000000007</v>
      </c>
      <c r="I7">
        <f t="shared" si="5"/>
        <v>2.029292482658696E-5</v>
      </c>
      <c r="K7">
        <v>42</v>
      </c>
      <c r="L7">
        <f t="shared" si="6"/>
        <v>3.8461538461538464E-2</v>
      </c>
      <c r="M7">
        <v>0.7</v>
      </c>
      <c r="N7" s="6">
        <f t="shared" si="7"/>
        <v>82.404000000000011</v>
      </c>
      <c r="O7">
        <f t="shared" si="8"/>
        <v>1.8278125811695558E-5</v>
      </c>
      <c r="T7">
        <v>15</v>
      </c>
      <c r="U7" s="17">
        <f>4/10/23</f>
        <v>1.7391304347826087E-2</v>
      </c>
      <c r="V7" s="18">
        <f t="shared" si="9"/>
        <v>29.430000000000003</v>
      </c>
      <c r="X7">
        <v>1.3140000000000001</v>
      </c>
      <c r="Y7">
        <v>77</v>
      </c>
      <c r="Z7" s="6">
        <f t="shared" si="1"/>
        <v>151.07400000000001</v>
      </c>
      <c r="AC7">
        <v>4</v>
      </c>
      <c r="AE7">
        <f>$Q$4</f>
        <v>2.9250000000000001E-3</v>
      </c>
      <c r="AF7" s="7">
        <f>1/33</f>
        <v>3.0303030303030304E-2</v>
      </c>
      <c r="AG7" s="6">
        <f t="shared" si="2"/>
        <v>7.8480000000000008</v>
      </c>
      <c r="AH7">
        <f t="shared" si="11"/>
        <v>-16.186898360726897</v>
      </c>
      <c r="AI7">
        <f t="shared" si="3"/>
        <v>-5.8344607982983172</v>
      </c>
    </row>
    <row r="8" spans="1:38" x14ac:dyDescent="0.2">
      <c r="C8">
        <v>23</v>
      </c>
      <c r="E8">
        <v>14</v>
      </c>
      <c r="F8" s="7">
        <f t="shared" si="4"/>
        <v>0.1111111111111111</v>
      </c>
      <c r="G8">
        <v>0.3</v>
      </c>
      <c r="H8" s="6">
        <f t="shared" si="0"/>
        <v>27.468000000000004</v>
      </c>
      <c r="I8">
        <f t="shared" si="5"/>
        <v>2.3675078964351452E-5</v>
      </c>
      <c r="K8">
        <v>17</v>
      </c>
      <c r="L8">
        <f t="shared" si="6"/>
        <v>3.8461538461538464E-2</v>
      </c>
      <c r="M8">
        <v>0.3</v>
      </c>
      <c r="N8" s="6">
        <f t="shared" si="7"/>
        <v>33.354000000000006</v>
      </c>
      <c r="O8">
        <f t="shared" si="8"/>
        <v>1.7262674377712468E-5</v>
      </c>
      <c r="T8">
        <v>20</v>
      </c>
      <c r="U8" s="17">
        <f>4/10/17</f>
        <v>2.3529411764705882E-2</v>
      </c>
      <c r="V8" s="18">
        <f t="shared" si="9"/>
        <v>39.24</v>
      </c>
      <c r="X8">
        <v>1.2</v>
      </c>
      <c r="Y8">
        <v>62</v>
      </c>
      <c r="Z8" s="6">
        <f t="shared" si="1"/>
        <v>121.64400000000001</v>
      </c>
      <c r="AC8">
        <v>11</v>
      </c>
      <c r="AE8">
        <f t="shared" ref="AE8:AE9" si="12">$Q$4</f>
        <v>2.9250000000000001E-3</v>
      </c>
      <c r="AF8" s="7">
        <f>1/13.4</f>
        <v>7.4626865671641784E-2</v>
      </c>
      <c r="AG8" s="6">
        <f t="shared" si="2"/>
        <v>21.582000000000001</v>
      </c>
      <c r="AH8">
        <f t="shared" si="11"/>
        <v>-16.29724641789576</v>
      </c>
      <c r="AI8">
        <f t="shared" si="3"/>
        <v>-5.8344607982983172</v>
      </c>
    </row>
    <row r="9" spans="1:38" x14ac:dyDescent="0.2">
      <c r="C9">
        <v>13</v>
      </c>
      <c r="E9">
        <v>37</v>
      </c>
      <c r="F9" s="7">
        <f t="shared" si="4"/>
        <v>0.1111111111111111</v>
      </c>
      <c r="G9">
        <v>0.41399999999999998</v>
      </c>
      <c r="H9" s="6">
        <f t="shared" si="0"/>
        <v>72.594000000000008</v>
      </c>
      <c r="I9">
        <f t="shared" si="5"/>
        <v>4.5340472136697918E-5</v>
      </c>
      <c r="K9">
        <v>37</v>
      </c>
      <c r="L9">
        <f t="shared" si="6"/>
        <v>3.8461538461538464E-2</v>
      </c>
      <c r="M9">
        <v>0.41399999999999998</v>
      </c>
      <c r="N9" s="6">
        <f t="shared" si="7"/>
        <v>72.594000000000008</v>
      </c>
      <c r="O9">
        <f t="shared" si="8"/>
        <v>2.7225871780705941E-5</v>
      </c>
      <c r="T9">
        <v>28</v>
      </c>
      <c r="U9" s="17">
        <f>1/30</f>
        <v>3.3333333333333333E-2</v>
      </c>
      <c r="V9" s="18">
        <f t="shared" si="9"/>
        <v>54.936000000000007</v>
      </c>
      <c r="X9">
        <v>0.9</v>
      </c>
      <c r="Y9">
        <v>47</v>
      </c>
      <c r="Z9" s="6">
        <f t="shared" si="1"/>
        <v>92.214000000000013</v>
      </c>
      <c r="AC9">
        <v>18</v>
      </c>
      <c r="AE9">
        <f t="shared" si="12"/>
        <v>2.9250000000000001E-3</v>
      </c>
      <c r="AF9" s="7">
        <f>2/18</f>
        <v>0.1111111111111111</v>
      </c>
      <c r="AG9" s="6">
        <f t="shared" si="2"/>
        <v>35.316000000000003</v>
      </c>
      <c r="AH9" s="6">
        <f>LN(8*0.5*$R$12*AF9/PI()/AG9)</f>
        <v>-16.39169277337291</v>
      </c>
      <c r="AI9">
        <f t="shared" si="3"/>
        <v>-5.8344607982983172</v>
      </c>
    </row>
    <row r="10" spans="1:38" ht="17" thickBot="1" x14ac:dyDescent="0.25">
      <c r="C10">
        <v>12</v>
      </c>
      <c r="E10" s="1">
        <v>21</v>
      </c>
      <c r="F10" s="9">
        <f t="shared" si="4"/>
        <v>0.1111111111111111</v>
      </c>
      <c r="G10" s="1">
        <v>0.114</v>
      </c>
      <c r="H10" s="6">
        <f t="shared" si="0"/>
        <v>41.202000000000005</v>
      </c>
      <c r="I10">
        <f t="shared" si="5"/>
        <v>9.3454259069808361E-5</v>
      </c>
      <c r="K10">
        <v>20</v>
      </c>
      <c r="L10">
        <f>5/130</f>
        <v>3.8461538461538464E-2</v>
      </c>
      <c r="M10" s="1">
        <v>0.114</v>
      </c>
      <c r="N10" s="6">
        <f t="shared" si="7"/>
        <v>39.24</v>
      </c>
      <c r="O10">
        <f t="shared" si="8"/>
        <v>5.3444812314899277E-5</v>
      </c>
      <c r="T10">
        <v>36</v>
      </c>
      <c r="U10" s="17">
        <f>1/22</f>
        <v>4.5454545454545456E-2</v>
      </c>
      <c r="V10" s="18">
        <f t="shared" si="9"/>
        <v>70.632000000000005</v>
      </c>
      <c r="X10">
        <v>0.5</v>
      </c>
      <c r="Y10">
        <v>26</v>
      </c>
      <c r="Z10" s="6">
        <f t="shared" si="1"/>
        <v>51.012000000000008</v>
      </c>
    </row>
    <row r="11" spans="1:38" x14ac:dyDescent="0.2">
      <c r="E11" s="5">
        <v>55</v>
      </c>
      <c r="F11" s="10">
        <f>10/53.2</f>
        <v>0.18796992481203006</v>
      </c>
      <c r="G11">
        <v>0.5</v>
      </c>
      <c r="H11" s="6">
        <f t="shared" si="0"/>
        <v>107.91000000000001</v>
      </c>
      <c r="I11">
        <f t="shared" si="5"/>
        <v>3.2987276690329686E-5</v>
      </c>
      <c r="K11">
        <v>65</v>
      </c>
      <c r="L11">
        <f>5/62.6</f>
        <v>7.9872204472843447E-2</v>
      </c>
      <c r="M11">
        <v>0.5</v>
      </c>
      <c r="N11" s="6">
        <f t="shared" si="7"/>
        <v>127.53000000000002</v>
      </c>
      <c r="O11">
        <f t="shared" si="8"/>
        <v>1.9070177930202363E-5</v>
      </c>
      <c r="R11" t="s">
        <v>8</v>
      </c>
      <c r="S11" t="s">
        <v>9</v>
      </c>
      <c r="T11">
        <v>46</v>
      </c>
      <c r="U11" s="17">
        <f>2/35</f>
        <v>5.7142857142857141E-2</v>
      </c>
      <c r="V11" s="18">
        <f t="shared" si="9"/>
        <v>90.25200000000001</v>
      </c>
    </row>
    <row r="12" spans="1:38" x14ac:dyDescent="0.2">
      <c r="E12" s="5">
        <v>97</v>
      </c>
      <c r="F12" s="10">
        <f t="shared" ref="F12:F17" si="13">10/53.2</f>
        <v>0.18796992481203006</v>
      </c>
      <c r="G12">
        <v>0.9</v>
      </c>
      <c r="H12" s="6">
        <f t="shared" si="0"/>
        <v>190.31400000000002</v>
      </c>
      <c r="I12">
        <f t="shared" si="5"/>
        <v>3.2320867060222017E-5</v>
      </c>
      <c r="K12">
        <v>123</v>
      </c>
      <c r="L12">
        <f t="shared" ref="L12:L16" si="14">5/62.6</f>
        <v>7.9872204472843447E-2</v>
      </c>
      <c r="M12">
        <v>0.9</v>
      </c>
      <c r="N12" s="6">
        <f t="shared" si="7"/>
        <v>241.32600000000002</v>
      </c>
      <c r="O12">
        <f t="shared" si="8"/>
        <v>2.0048135772776839E-5</v>
      </c>
      <c r="R12" s="15">
        <f>1589*PI()*R4^4/8/0.5*1000</f>
        <v>1.8988129213919365E-5</v>
      </c>
      <c r="S12" s="14">
        <f>SQRT((1/0.9988 - 1)/11)</f>
        <v>1.0450931798718326E-2</v>
      </c>
      <c r="T12">
        <v>56</v>
      </c>
      <c r="U12" s="17">
        <f>2/29</f>
        <v>6.8965517241379309E-2</v>
      </c>
      <c r="V12" s="18">
        <f t="shared" si="9"/>
        <v>109.87200000000001</v>
      </c>
    </row>
    <row r="13" spans="1:38" x14ac:dyDescent="0.2">
      <c r="E13" s="5">
        <v>41</v>
      </c>
      <c r="F13" s="10">
        <f t="shared" si="13"/>
        <v>0.18796992481203006</v>
      </c>
      <c r="G13">
        <v>0.4</v>
      </c>
      <c r="H13" s="6">
        <f t="shared" si="0"/>
        <v>80.442000000000007</v>
      </c>
      <c r="I13">
        <f t="shared" si="5"/>
        <v>3.0738144188716295E-5</v>
      </c>
      <c r="K13">
        <v>56</v>
      </c>
      <c r="L13">
        <f t="shared" si="14"/>
        <v>7.9872204472843447E-2</v>
      </c>
      <c r="M13">
        <v>0.4</v>
      </c>
      <c r="N13" s="6">
        <f t="shared" si="7"/>
        <v>109.87200000000001</v>
      </c>
      <c r="O13">
        <f t="shared" si="8"/>
        <v>2.0537114694064081E-5</v>
      </c>
      <c r="T13">
        <v>69</v>
      </c>
      <c r="U13" s="17">
        <f>3/35</f>
        <v>8.5714285714285715E-2</v>
      </c>
      <c r="V13" s="18">
        <f t="shared" si="9"/>
        <v>135.37800000000001</v>
      </c>
    </row>
    <row r="14" spans="1:38" x14ac:dyDescent="0.2">
      <c r="E14" s="5">
        <v>75</v>
      </c>
      <c r="F14" s="10">
        <f t="shared" si="13"/>
        <v>0.18796992481203006</v>
      </c>
      <c r="G14">
        <v>0.7</v>
      </c>
      <c r="H14" s="6">
        <f t="shared" si="0"/>
        <v>147.15</v>
      </c>
      <c r="I14">
        <f t="shared" si="5"/>
        <v>3.2130464308762688E-5</v>
      </c>
      <c r="K14">
        <v>102</v>
      </c>
      <c r="L14">
        <f t="shared" si="14"/>
        <v>7.9872204472843447E-2</v>
      </c>
      <c r="M14">
        <v>0.7</v>
      </c>
      <c r="N14" s="6">
        <f t="shared" si="7"/>
        <v>200.12400000000002</v>
      </c>
      <c r="O14">
        <f t="shared" si="8"/>
        <v>2.1375364273413637E-5</v>
      </c>
      <c r="R14" t="s">
        <v>10</v>
      </c>
      <c r="T14">
        <v>76</v>
      </c>
      <c r="U14" s="17">
        <f>3/33</f>
        <v>9.0909090909090912E-2</v>
      </c>
      <c r="V14" s="18">
        <f t="shared" si="9"/>
        <v>149.11200000000002</v>
      </c>
    </row>
    <row r="15" spans="1:38" x14ac:dyDescent="0.2">
      <c r="E15" s="5">
        <v>34</v>
      </c>
      <c r="F15" s="10">
        <f t="shared" si="13"/>
        <v>0.18796992481203006</v>
      </c>
      <c r="G15">
        <v>0.3</v>
      </c>
      <c r="H15" s="6">
        <f t="shared" si="0"/>
        <v>66.708000000000013</v>
      </c>
      <c r="I15">
        <f t="shared" si="5"/>
        <v>3.3986891135491201E-5</v>
      </c>
      <c r="K15">
        <v>45</v>
      </c>
      <c r="L15">
        <f t="shared" si="14"/>
        <v>7.9872204472843447E-2</v>
      </c>
      <c r="M15">
        <v>0.3</v>
      </c>
      <c r="N15" s="6">
        <f t="shared" si="7"/>
        <v>88.29</v>
      </c>
      <c r="O15">
        <f t="shared" si="8"/>
        <v>2.2004051457925806E-5</v>
      </c>
      <c r="R15" s="16">
        <f>0.1*1.18/PI()/R4/R12/1000</f>
        <v>1001.573571332863</v>
      </c>
      <c r="T15">
        <v>92</v>
      </c>
      <c r="U15" s="17">
        <f>4/40</f>
        <v>0.1</v>
      </c>
      <c r="V15" s="18">
        <f t="shared" si="9"/>
        <v>180.50400000000002</v>
      </c>
    </row>
    <row r="16" spans="1:38" x14ac:dyDescent="0.2">
      <c r="E16" s="5">
        <v>84</v>
      </c>
      <c r="F16" s="10">
        <f t="shared" si="13"/>
        <v>0.18796992481203006</v>
      </c>
      <c r="G16">
        <v>0.41399999999999998</v>
      </c>
      <c r="H16" s="6">
        <f t="shared" si="0"/>
        <v>164.80800000000002</v>
      </c>
      <c r="I16">
        <f t="shared" si="5"/>
        <v>6.0846096662004708E-5</v>
      </c>
      <c r="K16">
        <v>106</v>
      </c>
      <c r="L16">
        <f t="shared" si="14"/>
        <v>7.9872204472843447E-2</v>
      </c>
      <c r="M16">
        <v>0.41399999999999998</v>
      </c>
      <c r="N16" s="6">
        <f t="shared" si="7"/>
        <v>207.97200000000001</v>
      </c>
      <c r="O16">
        <f t="shared" si="8"/>
        <v>3.7559250475686555E-5</v>
      </c>
      <c r="T16">
        <v>106</v>
      </c>
      <c r="U16" s="17">
        <f>4/38.5</f>
        <v>0.1038961038961039</v>
      </c>
      <c r="V16" s="18">
        <f t="shared" si="9"/>
        <v>207.97200000000001</v>
      </c>
    </row>
    <row r="17" spans="4:22" ht="17" thickBot="1" x14ac:dyDescent="0.25">
      <c r="E17" s="11">
        <v>49</v>
      </c>
      <c r="F17" s="12">
        <f t="shared" si="13"/>
        <v>0.18796992481203006</v>
      </c>
      <c r="G17" s="1">
        <v>0.114</v>
      </c>
      <c r="H17" s="6">
        <f t="shared" si="0"/>
        <v>96.138000000000005</v>
      </c>
      <c r="I17">
        <f t="shared" si="5"/>
        <v>1.2889765213924676E-4</v>
      </c>
      <c r="K17">
        <v>62</v>
      </c>
      <c r="L17">
        <f>5/62.6</f>
        <v>7.9872204472843447E-2</v>
      </c>
      <c r="M17" s="1">
        <v>0.114</v>
      </c>
      <c r="N17" s="6">
        <f t="shared" si="7"/>
        <v>121.64400000000001</v>
      </c>
      <c r="O17">
        <f t="shared" si="8"/>
        <v>7.9780771367918106E-5</v>
      </c>
      <c r="T17">
        <v>119</v>
      </c>
      <c r="U17" s="17">
        <f>5/46</f>
        <v>0.10869565217391304</v>
      </c>
      <c r="V17" s="18">
        <f t="shared" si="9"/>
        <v>233.47800000000001</v>
      </c>
    </row>
    <row r="18" spans="4:22" x14ac:dyDescent="0.2">
      <c r="E18" s="5">
        <v>83</v>
      </c>
      <c r="F18" s="7">
        <f>15/65.9</f>
        <v>0.22761760242792106</v>
      </c>
      <c r="G18">
        <v>0.5</v>
      </c>
      <c r="H18" s="6">
        <f t="shared" si="0"/>
        <v>162.846</v>
      </c>
      <c r="I18">
        <f t="shared" si="5"/>
        <v>4.1109707749623213E-5</v>
      </c>
      <c r="K18">
        <v>106</v>
      </c>
      <c r="L18">
        <f>10/96.7</f>
        <v>0.10341261633919338</v>
      </c>
      <c r="M18">
        <v>0.5</v>
      </c>
      <c r="N18" s="6">
        <f t="shared" si="7"/>
        <v>207.97200000000001</v>
      </c>
      <c r="O18">
        <f t="shared" si="8"/>
        <v>2.4019800666030995E-5</v>
      </c>
      <c r="T18">
        <v>143</v>
      </c>
      <c r="U18" s="17">
        <f>5/44</f>
        <v>0.11363636363636363</v>
      </c>
      <c r="V18" s="18">
        <f t="shared" si="9"/>
        <v>280.56600000000003</v>
      </c>
    </row>
    <row r="19" spans="4:22" x14ac:dyDescent="0.2">
      <c r="E19" s="5">
        <v>144</v>
      </c>
      <c r="F19" s="7">
        <f t="shared" ref="F19:F24" si="15">15/65.9</f>
        <v>0.22761760242792106</v>
      </c>
      <c r="G19">
        <v>0.9</v>
      </c>
      <c r="H19" s="6">
        <f t="shared" si="0"/>
        <v>282.52800000000002</v>
      </c>
      <c r="I19">
        <f t="shared" si="5"/>
        <v>3.9623814698432011E-5</v>
      </c>
      <c r="K19">
        <v>197</v>
      </c>
      <c r="L19">
        <f t="shared" ref="L19:L24" si="16">10/96.7</f>
        <v>0.10341261633919338</v>
      </c>
      <c r="M19">
        <v>0.9</v>
      </c>
      <c r="N19" s="6">
        <f t="shared" si="7"/>
        <v>386.51400000000001</v>
      </c>
      <c r="O19">
        <f t="shared" si="8"/>
        <v>2.4800318297736404E-5</v>
      </c>
      <c r="T19">
        <v>159</v>
      </c>
      <c r="U19" s="17">
        <f>5/42</f>
        <v>0.11904761904761904</v>
      </c>
      <c r="V19" s="18">
        <f t="shared" si="9"/>
        <v>311.95800000000003</v>
      </c>
    </row>
    <row r="20" spans="4:22" x14ac:dyDescent="0.2">
      <c r="E20" s="5">
        <v>60</v>
      </c>
      <c r="F20" s="7">
        <f t="shared" si="15"/>
        <v>0.22761760242792106</v>
      </c>
      <c r="G20">
        <v>0.4</v>
      </c>
      <c r="H20" s="6">
        <f t="shared" si="0"/>
        <v>117.72000000000001</v>
      </c>
      <c r="I20">
        <f t="shared" si="5"/>
        <v>3.7147326279780018E-5</v>
      </c>
      <c r="K20">
        <v>91</v>
      </c>
      <c r="L20">
        <f t="shared" si="16"/>
        <v>0.10341261633919338</v>
      </c>
      <c r="M20">
        <v>0.4</v>
      </c>
      <c r="N20" s="6">
        <f t="shared" si="7"/>
        <v>178.54200000000003</v>
      </c>
      <c r="O20">
        <f t="shared" si="8"/>
        <v>2.5775965337368171E-5</v>
      </c>
      <c r="T20">
        <v>184</v>
      </c>
      <c r="U20" s="17">
        <f>5/40</f>
        <v>0.125</v>
      </c>
      <c r="V20" s="18">
        <f t="shared" si="9"/>
        <v>361.00800000000004</v>
      </c>
    </row>
    <row r="21" spans="4:22" x14ac:dyDescent="0.2">
      <c r="D21" t="s">
        <v>6</v>
      </c>
      <c r="E21" s="5">
        <v>113</v>
      </c>
      <c r="F21" s="7">
        <f t="shared" si="15"/>
        <v>0.22761760242792106</v>
      </c>
      <c r="G21">
        <v>0.7</v>
      </c>
      <c r="H21" s="6">
        <f t="shared" si="0"/>
        <v>221.70600000000002</v>
      </c>
      <c r="I21">
        <f t="shared" si="5"/>
        <v>3.9977598758239448E-5</v>
      </c>
      <c r="K21">
        <v>159</v>
      </c>
      <c r="L21">
        <f t="shared" si="16"/>
        <v>0.10341261633919338</v>
      </c>
      <c r="M21">
        <v>0.7</v>
      </c>
      <c r="N21" s="6">
        <f t="shared" si="7"/>
        <v>311.95800000000003</v>
      </c>
      <c r="O21">
        <f t="shared" si="8"/>
        <v>2.5735500713604639E-5</v>
      </c>
    </row>
    <row r="22" spans="4:22" x14ac:dyDescent="0.2">
      <c r="E22" s="5">
        <v>52</v>
      </c>
      <c r="F22" s="7">
        <f t="shared" si="15"/>
        <v>0.22761760242792106</v>
      </c>
      <c r="G22">
        <v>0.3</v>
      </c>
      <c r="H22" s="6">
        <f t="shared" si="0"/>
        <v>102.02400000000002</v>
      </c>
      <c r="I22">
        <f t="shared" si="5"/>
        <v>4.2925799256634685E-5</v>
      </c>
      <c r="K22">
        <v>67</v>
      </c>
      <c r="L22">
        <f t="shared" si="16"/>
        <v>0.10341261633919338</v>
      </c>
      <c r="M22">
        <v>0.3</v>
      </c>
      <c r="N22" s="6">
        <f t="shared" si="7"/>
        <v>131.45400000000001</v>
      </c>
      <c r="O22">
        <f t="shared" si="8"/>
        <v>2.5303878060126996E-5</v>
      </c>
    </row>
    <row r="23" spans="4:22" x14ac:dyDescent="0.2">
      <c r="E23" s="5">
        <v>121</v>
      </c>
      <c r="F23" s="7">
        <f t="shared" si="15"/>
        <v>0.22761760242792106</v>
      </c>
      <c r="G23">
        <v>0.41399999999999998</v>
      </c>
      <c r="H23" s="6">
        <f t="shared" si="0"/>
        <v>237.40200000000002</v>
      </c>
      <c r="I23">
        <f t="shared" si="5"/>
        <v>7.2380458612775883E-5</v>
      </c>
      <c r="K23">
        <v>170</v>
      </c>
      <c r="L23">
        <f t="shared" si="16"/>
        <v>0.10341261633919338</v>
      </c>
      <c r="M23">
        <v>0.41399999999999998</v>
      </c>
      <c r="N23" s="6">
        <f t="shared" si="7"/>
        <v>333.54</v>
      </c>
      <c r="O23">
        <f t="shared" si="8"/>
        <v>4.6524543264347703E-5</v>
      </c>
    </row>
    <row r="24" spans="4:22" ht="17" thickBot="1" x14ac:dyDescent="0.25">
      <c r="E24" s="11">
        <v>68</v>
      </c>
      <c r="F24" s="9">
        <f t="shared" si="15"/>
        <v>0.22761760242792106</v>
      </c>
      <c r="G24" s="1">
        <v>0.114</v>
      </c>
      <c r="H24" s="6">
        <f t="shared" si="0"/>
        <v>133.41600000000003</v>
      </c>
      <c r="I24">
        <f t="shared" si="5"/>
        <v>1.4772036181432988E-4</v>
      </c>
      <c r="K24">
        <v>103</v>
      </c>
      <c r="L24">
        <f t="shared" si="16"/>
        <v>0.10341261633919338</v>
      </c>
      <c r="M24" s="1">
        <v>0.114</v>
      </c>
      <c r="N24" s="6">
        <f t="shared" si="7"/>
        <v>202.08600000000001</v>
      </c>
      <c r="O24">
        <f t="shared" si="8"/>
        <v>1.0236839906492852E-4</v>
      </c>
    </row>
    <row r="25" spans="4:22" x14ac:dyDescent="0.2">
      <c r="E25" s="5">
        <v>103</v>
      </c>
      <c r="F25" s="7">
        <f>20/77</f>
        <v>0.25974025974025972</v>
      </c>
      <c r="G25">
        <v>0.5</v>
      </c>
      <c r="H25" s="6">
        <f t="shared" si="0"/>
        <v>202.08600000000001</v>
      </c>
      <c r="I25">
        <f t="shared" si="5"/>
        <v>4.4706440777683648E-5</v>
      </c>
      <c r="K25">
        <v>159</v>
      </c>
      <c r="L25">
        <f>10/85.6</f>
        <v>0.11682242990654207</v>
      </c>
      <c r="M25">
        <v>0.5</v>
      </c>
      <c r="N25" s="6">
        <f t="shared" si="7"/>
        <v>311.95800000000003</v>
      </c>
      <c r="O25">
        <f t="shared" si="8"/>
        <v>3.1893923531730915E-5</v>
      </c>
    </row>
    <row r="26" spans="4:22" x14ac:dyDescent="0.2">
      <c r="E26" s="5">
        <v>180</v>
      </c>
      <c r="F26" s="7">
        <f t="shared" ref="F26:F31" si="17">20/77</f>
        <v>0.25974025974025972</v>
      </c>
      <c r="G26">
        <v>0.9</v>
      </c>
      <c r="H26" s="6">
        <f t="shared" si="0"/>
        <v>353.16</v>
      </c>
      <c r="I26">
        <f t="shared" si="5"/>
        <v>4.3404311434644329E-5</v>
      </c>
      <c r="K26">
        <v>293</v>
      </c>
      <c r="L26">
        <f t="shared" ref="L26:L31" si="18">10/85.6</f>
        <v>0.11682242990654207</v>
      </c>
      <c r="M26">
        <v>0.9</v>
      </c>
      <c r="N26" s="6">
        <f t="shared" si="7"/>
        <v>574.8660000000001</v>
      </c>
      <c r="O26">
        <f t="shared" si="8"/>
        <v>3.2651710673644861E-5</v>
      </c>
    </row>
    <row r="27" spans="4:22" x14ac:dyDescent="0.2">
      <c r="E27" s="5">
        <v>75</v>
      </c>
      <c r="F27" s="7">
        <f t="shared" si="17"/>
        <v>0.25974025974025972</v>
      </c>
      <c r="G27">
        <v>0.4</v>
      </c>
      <c r="H27" s="6">
        <f t="shared" si="0"/>
        <v>147.15</v>
      </c>
      <c r="I27">
        <f t="shared" si="5"/>
        <v>4.0691541969979062E-5</v>
      </c>
      <c r="K27">
        <v>134</v>
      </c>
      <c r="L27">
        <f t="shared" si="18"/>
        <v>0.11682242990654207</v>
      </c>
      <c r="M27">
        <v>0.4</v>
      </c>
      <c r="N27" s="6">
        <f t="shared" si="7"/>
        <v>262.90800000000002</v>
      </c>
      <c r="O27">
        <f t="shared" si="8"/>
        <v>3.3598944601037281E-5</v>
      </c>
    </row>
    <row r="28" spans="4:22" x14ac:dyDescent="0.2">
      <c r="E28" s="5">
        <v>142</v>
      </c>
      <c r="F28" s="7">
        <f t="shared" si="17"/>
        <v>0.25974025974025972</v>
      </c>
      <c r="G28">
        <v>0.7</v>
      </c>
      <c r="H28" s="6">
        <f t="shared" si="0"/>
        <v>278.60400000000004</v>
      </c>
      <c r="I28">
        <f t="shared" si="5"/>
        <v>4.4024373026567816E-5</v>
      </c>
      <c r="K28">
        <v>219</v>
      </c>
      <c r="L28">
        <f t="shared" si="18"/>
        <v>0.11682242990654207</v>
      </c>
      <c r="M28">
        <v>0.7</v>
      </c>
      <c r="N28" s="6">
        <f t="shared" si="7"/>
        <v>429.67800000000005</v>
      </c>
      <c r="O28">
        <f t="shared" si="8"/>
        <v>3.1378118838495383E-5</v>
      </c>
    </row>
    <row r="29" spans="4:22" x14ac:dyDescent="0.2">
      <c r="E29" s="5">
        <v>61</v>
      </c>
      <c r="F29" s="7">
        <f t="shared" si="17"/>
        <v>0.25974025974025972</v>
      </c>
      <c r="G29">
        <v>0.3</v>
      </c>
      <c r="H29" s="6">
        <f t="shared" si="0"/>
        <v>119.68200000000002</v>
      </c>
      <c r="I29">
        <f t="shared" si="5"/>
        <v>4.4127716625221735E-5</v>
      </c>
      <c r="K29">
        <v>85</v>
      </c>
      <c r="L29">
        <f t="shared" si="18"/>
        <v>0.11682242990654207</v>
      </c>
      <c r="M29">
        <v>0.3</v>
      </c>
      <c r="N29" s="6">
        <f t="shared" si="7"/>
        <v>166.77</v>
      </c>
      <c r="O29">
        <f t="shared" si="8"/>
        <v>2.8417017821772828E-5</v>
      </c>
    </row>
    <row r="30" spans="4:22" x14ac:dyDescent="0.2">
      <c r="E30" s="5">
        <v>158</v>
      </c>
      <c r="F30" s="7">
        <f t="shared" si="17"/>
        <v>0.25974025974025972</v>
      </c>
      <c r="G30">
        <v>0.41399999999999998</v>
      </c>
      <c r="H30" s="6">
        <f t="shared" si="0"/>
        <v>309.99600000000004</v>
      </c>
      <c r="I30">
        <f t="shared" si="5"/>
        <v>8.2824652254514538E-5</v>
      </c>
      <c r="K30">
        <v>216</v>
      </c>
      <c r="L30">
        <f t="shared" si="18"/>
        <v>0.11682242990654207</v>
      </c>
      <c r="M30">
        <v>0.41399999999999998</v>
      </c>
      <c r="N30" s="6">
        <f t="shared" si="7"/>
        <v>423.79200000000003</v>
      </c>
      <c r="O30">
        <f t="shared" si="8"/>
        <v>5.2328012357228743E-5</v>
      </c>
    </row>
    <row r="31" spans="4:22" ht="17" thickBot="1" x14ac:dyDescent="0.25">
      <c r="E31" s="11">
        <v>90</v>
      </c>
      <c r="F31" s="9">
        <f t="shared" si="17"/>
        <v>0.25974025974025972</v>
      </c>
      <c r="G31" s="1">
        <v>0.114</v>
      </c>
      <c r="H31" s="6">
        <f t="shared" si="0"/>
        <v>176.58</v>
      </c>
      <c r="I31">
        <f t="shared" si="5"/>
        <v>1.7133280829464864E-4</v>
      </c>
      <c r="K31">
        <v>131</v>
      </c>
      <c r="L31">
        <f t="shared" si="18"/>
        <v>0.11682242990654207</v>
      </c>
      <c r="M31" s="1">
        <v>0.114</v>
      </c>
      <c r="N31" s="6">
        <f t="shared" si="7"/>
        <v>257.02200000000005</v>
      </c>
      <c r="O31">
        <f t="shared" si="8"/>
        <v>1.1525168218737587E-4</v>
      </c>
    </row>
    <row r="32" spans="4:22" x14ac:dyDescent="0.2">
      <c r="E32" s="5">
        <v>127</v>
      </c>
      <c r="F32" s="7">
        <f>25/86.4</f>
        <v>0.28935185185185186</v>
      </c>
      <c r="G32">
        <v>0.5</v>
      </c>
      <c r="H32" s="6">
        <f t="shared" si="0"/>
        <v>249.17400000000004</v>
      </c>
      <c r="I32">
        <f t="shared" si="5"/>
        <v>4.9482267897149632E-5</v>
      </c>
    </row>
    <row r="33" spans="5:9" x14ac:dyDescent="0.2">
      <c r="E33" s="5">
        <v>220</v>
      </c>
      <c r="F33" s="7">
        <f t="shared" ref="F33:F38" si="19">25/86.4</f>
        <v>0.28935185185185186</v>
      </c>
      <c r="G33">
        <v>0.9</v>
      </c>
      <c r="H33" s="6">
        <f t="shared" si="0"/>
        <v>431.64000000000004</v>
      </c>
      <c r="I33">
        <f t="shared" si="5"/>
        <v>4.7620730259724058E-5</v>
      </c>
    </row>
    <row r="34" spans="5:9" x14ac:dyDescent="0.2">
      <c r="E34" s="5">
        <v>92</v>
      </c>
      <c r="F34" s="7">
        <f t="shared" si="19"/>
        <v>0.28935185185185186</v>
      </c>
      <c r="G34">
        <v>0.4</v>
      </c>
      <c r="H34" s="6">
        <f t="shared" si="0"/>
        <v>180.50400000000002</v>
      </c>
      <c r="I34">
        <f t="shared" si="5"/>
        <v>4.4806778017104E-5</v>
      </c>
    </row>
    <row r="35" spans="5:9" x14ac:dyDescent="0.2">
      <c r="E35" s="5">
        <v>174</v>
      </c>
      <c r="F35" s="7">
        <f t="shared" si="19"/>
        <v>0.28935185185185186</v>
      </c>
      <c r="G35">
        <v>0.7</v>
      </c>
      <c r="H35" s="6">
        <f t="shared" si="0"/>
        <v>341.38800000000003</v>
      </c>
      <c r="I35">
        <f t="shared" si="5"/>
        <v>4.8424716614758361E-5</v>
      </c>
    </row>
    <row r="36" spans="5:9" x14ac:dyDescent="0.2">
      <c r="E36" s="5">
        <v>82</v>
      </c>
      <c r="F36" s="7">
        <f t="shared" si="19"/>
        <v>0.28935185185185186</v>
      </c>
      <c r="G36">
        <v>0.3</v>
      </c>
      <c r="H36" s="6">
        <f t="shared" si="0"/>
        <v>160.88400000000001</v>
      </c>
      <c r="I36">
        <f t="shared" si="5"/>
        <v>5.3248634744964166E-5</v>
      </c>
    </row>
    <row r="37" spans="5:9" x14ac:dyDescent="0.2">
      <c r="E37" s="5">
        <v>199</v>
      </c>
      <c r="F37" s="7">
        <f t="shared" si="19"/>
        <v>0.28935185185185186</v>
      </c>
      <c r="G37">
        <v>0.41399999999999998</v>
      </c>
      <c r="H37" s="6">
        <f t="shared" si="0"/>
        <v>390.43800000000005</v>
      </c>
      <c r="I37">
        <f t="shared" si="5"/>
        <v>9.3641554562105608E-5</v>
      </c>
    </row>
    <row r="38" spans="5:9" x14ac:dyDescent="0.2">
      <c r="E38" s="5">
        <v>111</v>
      </c>
      <c r="F38" s="7">
        <f t="shared" si="19"/>
        <v>0.28935185185185186</v>
      </c>
      <c r="G38" s="4">
        <v>0.114</v>
      </c>
      <c r="H38" s="6">
        <f t="shared" si="0"/>
        <v>217.78200000000001</v>
      </c>
      <c r="I38">
        <f t="shared" si="5"/>
        <v>1.8968544469483384E-4</v>
      </c>
    </row>
    <row r="45" spans="5:9" x14ac:dyDescent="0.2">
      <c r="G45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2019-05-06T08:23:30Z</dcterms:created>
  <dcterms:modified xsi:type="dcterms:W3CDTF">2019-05-13T10:57:19Z</dcterms:modified>
</cp:coreProperties>
</file>