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embeddings/oleObject4.bin" ContentType="application/vnd.openxmlformats-officedocument.oleObject"/>
  <Override PartName="/xl/drawings/drawing9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uso\OneDrive\Рабочий стол\"/>
    </mc:Choice>
  </mc:AlternateContent>
  <xr:revisionPtr revIDLastSave="0" documentId="8_{3BEBD26D-8E67-42BB-8AE2-B98F197C28E8}" xr6:coauthVersionLast="45" xr6:coauthVersionMax="45" xr10:uidLastSave="{00000000-0000-0000-0000-000000000000}"/>
  <bookViews>
    <workbookView xWindow="17370" yWindow="2325" windowWidth="21600" windowHeight="11385" activeTab="1" xr2:uid="{00000000-000D-0000-FFFF-FFFF00000000}"/>
  </bookViews>
  <sheets>
    <sheet name="Лаб2" sheetId="1" r:id="rId1"/>
    <sheet name="Лаб3" sheetId="2" r:id="rId2"/>
    <sheet name="Лаб4" sheetId="3" r:id="rId3"/>
    <sheet name="Лаб5" sheetId="4" r:id="rId4"/>
    <sheet name="Лаб6" sheetId="6" r:id="rId5"/>
    <sheet name="Лаб7" sheetId="5" r:id="rId6"/>
    <sheet name="Лаб8" sheetId="8" r:id="rId7"/>
    <sheet name="Лаб9" sheetId="7" r:id="rId8"/>
    <sheet name="Зачёт" sheetId="9" r:id="rId9"/>
    <sheet name="Задача 4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3" i="1" l="1"/>
  <c r="U34" i="1"/>
  <c r="N34" i="1"/>
  <c r="S28" i="1"/>
  <c r="P38" i="1"/>
  <c r="Q45" i="1"/>
  <c r="C24" i="1" l="1"/>
  <c r="C5" i="2" l="1"/>
  <c r="C34" i="10"/>
  <c r="B12" i="10"/>
  <c r="B5" i="10"/>
  <c r="C5" i="10"/>
  <c r="D5" i="10"/>
  <c r="D7" i="10" s="1"/>
  <c r="E5" i="10"/>
  <c r="F5" i="10"/>
  <c r="H5" i="10" s="1"/>
  <c r="G5" i="10"/>
  <c r="G7" i="10" s="1"/>
  <c r="B6" i="10"/>
  <c r="H6" i="10" s="1"/>
  <c r="C6" i="10"/>
  <c r="D6" i="10"/>
  <c r="E6" i="10"/>
  <c r="F6" i="10"/>
  <c r="G6" i="10"/>
  <c r="B7" i="10"/>
  <c r="C7" i="10"/>
  <c r="G8" i="10"/>
  <c r="B16" i="10"/>
  <c r="C16" i="10"/>
  <c r="D16" i="10"/>
  <c r="E16" i="10"/>
  <c r="F16" i="10"/>
  <c r="G16" i="10"/>
  <c r="B23" i="10"/>
  <c r="B26" i="10" s="1"/>
  <c r="C23" i="10"/>
  <c r="C26" i="10" s="1"/>
  <c r="D23" i="10"/>
  <c r="D26" i="10" s="1"/>
  <c r="E23" i="10"/>
  <c r="F23" i="10"/>
  <c r="F26" i="10" s="1"/>
  <c r="G23" i="10"/>
  <c r="G26" i="10" s="1"/>
  <c r="B24" i="10"/>
  <c r="H24" i="10" s="1"/>
  <c r="C24" i="10"/>
  <c r="D24" i="10"/>
  <c r="E24" i="10"/>
  <c r="F24" i="10"/>
  <c r="G24" i="10"/>
  <c r="G29" i="10" s="1"/>
  <c r="C25" i="10"/>
  <c r="E25" i="10"/>
  <c r="C27" i="10"/>
  <c r="C28" i="10" s="1"/>
  <c r="F27" i="10"/>
  <c r="B40" i="10"/>
  <c r="C40" i="10"/>
  <c r="D40" i="10"/>
  <c r="E40" i="10"/>
  <c r="F40" i="10"/>
  <c r="G40" i="10"/>
  <c r="I19" i="9"/>
  <c r="J19" i="9" s="1"/>
  <c r="K19" i="9" s="1"/>
  <c r="L19" i="9" s="1"/>
  <c r="H19" i="9"/>
  <c r="D19" i="9"/>
  <c r="E19" i="9" s="1"/>
  <c r="F19" i="9" s="1"/>
  <c r="G19" i="9" s="1"/>
  <c r="B20" i="9"/>
  <c r="B21" i="9" s="1"/>
  <c r="B22" i="9" s="1"/>
  <c r="B23" i="9" s="1"/>
  <c r="B24" i="9" s="1"/>
  <c r="B25" i="9" s="1"/>
  <c r="B26" i="9" s="1"/>
  <c r="B27" i="9" s="1"/>
  <c r="B28" i="9" s="1"/>
  <c r="B29" i="9" s="1"/>
  <c r="B7" i="9"/>
  <c r="D6" i="9"/>
  <c r="C7" i="9" s="1"/>
  <c r="F6" i="9"/>
  <c r="E6" i="9"/>
  <c r="H20" i="9" l="1"/>
  <c r="D7" i="9"/>
  <c r="C8" i="9"/>
  <c r="D8" i="9" s="1"/>
  <c r="F7" i="9"/>
  <c r="E7" i="9" s="1"/>
  <c r="D27" i="10"/>
  <c r="D25" i="10"/>
  <c r="D29" i="10"/>
  <c r="F7" i="10"/>
  <c r="H23" i="10"/>
  <c r="B27" i="10"/>
  <c r="H27" i="10" s="1"/>
  <c r="C32" i="10" s="1"/>
  <c r="G27" i="10"/>
  <c r="G25" i="10"/>
  <c r="E29" i="10"/>
  <c r="D28" i="10"/>
  <c r="D34" i="10"/>
  <c r="G28" i="10"/>
  <c r="F8" i="10"/>
  <c r="F28" i="10"/>
  <c r="E8" i="10"/>
  <c r="C12" i="10"/>
  <c r="C8" i="10"/>
  <c r="B8" i="10"/>
  <c r="H8" i="10" s="1"/>
  <c r="E27" i="10"/>
  <c r="E28" i="10" s="1"/>
  <c r="E26" i="10"/>
  <c r="H26" i="10" s="1"/>
  <c r="D8" i="10"/>
  <c r="C29" i="10"/>
  <c r="F29" i="10"/>
  <c r="B29" i="10"/>
  <c r="F25" i="10"/>
  <c r="B25" i="10"/>
  <c r="H25" i="10" s="1"/>
  <c r="E7" i="10"/>
  <c r="H7" i="10" s="1"/>
  <c r="A11" i="10" s="1"/>
  <c r="C20" i="9"/>
  <c r="C11" i="10" l="1"/>
  <c r="H29" i="10"/>
  <c r="D33" i="10" s="1"/>
  <c r="C9" i="9"/>
  <c r="B28" i="10"/>
  <c r="H28" i="10" s="1"/>
  <c r="D32" i="10"/>
  <c r="A32" i="10"/>
  <c r="A34" i="10"/>
  <c r="B33" i="10"/>
  <c r="B32" i="10"/>
  <c r="A33" i="10"/>
  <c r="B11" i="10"/>
  <c r="A12" i="10"/>
  <c r="C33" i="10"/>
  <c r="B34" i="10"/>
  <c r="I20" i="9"/>
  <c r="D20" i="9"/>
  <c r="D9" i="9"/>
  <c r="C10" i="9" s="1"/>
  <c r="E11" i="10" l="1" a="1"/>
  <c r="E11" i="10" s="1"/>
  <c r="F32" i="10" a="1"/>
  <c r="G32" i="10" s="1"/>
  <c r="E20" i="9"/>
  <c r="F20" i="9" s="1"/>
  <c r="G20" i="9" s="1"/>
  <c r="J20" i="9"/>
  <c r="K20" i="9" s="1"/>
  <c r="L20" i="9" s="1"/>
  <c r="D10" i="9"/>
  <c r="C11" i="9" s="1"/>
  <c r="F12" i="10" l="1"/>
  <c r="F34" i="10"/>
  <c r="H32" i="10"/>
  <c r="H34" i="10"/>
  <c r="E12" i="10"/>
  <c r="G34" i="10"/>
  <c r="G33" i="10"/>
  <c r="F11" i="10"/>
  <c r="F33" i="10"/>
  <c r="H33" i="10"/>
  <c r="F32" i="10"/>
  <c r="H21" i="9"/>
  <c r="C21" i="9"/>
  <c r="D11" i="9"/>
  <c r="C12" i="9" s="1"/>
  <c r="C14" i="10" l="1" a="1"/>
  <c r="C15" i="10" s="1"/>
  <c r="C36" i="10" a="1"/>
  <c r="D21" i="9"/>
  <c r="E21" i="9" s="1"/>
  <c r="I21" i="9"/>
  <c r="J21" i="9" s="1"/>
  <c r="K21" i="9" s="1"/>
  <c r="L21" i="9" s="1"/>
  <c r="H22" i="9" s="1"/>
  <c r="D12" i="9"/>
  <c r="C13" i="9" s="1"/>
  <c r="C14" i="10" l="1"/>
  <c r="B17" i="10" s="1"/>
  <c r="B18" i="10" s="1"/>
  <c r="B19" i="10" s="1"/>
  <c r="C36" i="10"/>
  <c r="C37" i="10"/>
  <c r="C38" i="10"/>
  <c r="G17" i="10"/>
  <c r="G18" i="10" s="1"/>
  <c r="G19" i="10" s="1"/>
  <c r="F21" i="9"/>
  <c r="G21" i="9" s="1"/>
  <c r="D13" i="9"/>
  <c r="C14" i="9" s="1"/>
  <c r="H19" i="10" l="1"/>
  <c r="C17" i="10"/>
  <c r="C18" i="10" s="1"/>
  <c r="C19" i="10" s="1"/>
  <c r="F17" i="10"/>
  <c r="F18" i="10" s="1"/>
  <c r="F19" i="10" s="1"/>
  <c r="E17" i="10"/>
  <c r="E18" i="10" s="1"/>
  <c r="E19" i="10" s="1"/>
  <c r="D17" i="10"/>
  <c r="D18" i="10" s="1"/>
  <c r="D19" i="10" s="1"/>
  <c r="B41" i="10"/>
  <c r="B42" i="10" s="1"/>
  <c r="B43" i="10" s="1"/>
  <c r="C41" i="10"/>
  <c r="C42" i="10" s="1"/>
  <c r="C43" i="10" s="1"/>
  <c r="E41" i="10"/>
  <c r="E42" i="10" s="1"/>
  <c r="E43" i="10" s="1"/>
  <c r="G41" i="10"/>
  <c r="G42" i="10" s="1"/>
  <c r="G43" i="10" s="1"/>
  <c r="F41" i="10"/>
  <c r="F42" i="10" s="1"/>
  <c r="F43" i="10" s="1"/>
  <c r="D41" i="10"/>
  <c r="D42" i="10" s="1"/>
  <c r="D43" i="10" s="1"/>
  <c r="C22" i="9"/>
  <c r="D14" i="9"/>
  <c r="C15" i="9" s="1"/>
  <c r="H43" i="10" l="1"/>
  <c r="I22" i="9"/>
  <c r="J22" i="9" s="1"/>
  <c r="K22" i="9" s="1"/>
  <c r="L22" i="9" s="1"/>
  <c r="H23" i="9" s="1"/>
  <c r="D22" i="9"/>
  <c r="E22" i="9" s="1"/>
  <c r="D15" i="9"/>
  <c r="C16" i="9" s="1"/>
  <c r="F22" i="9" l="1"/>
  <c r="G22" i="9" s="1"/>
  <c r="C23" i="9" s="1"/>
  <c r="D16" i="9"/>
  <c r="I23" i="9" l="1"/>
  <c r="J23" i="9" s="1"/>
  <c r="K23" i="9" s="1"/>
  <c r="L23" i="9" s="1"/>
  <c r="H24" i="9" s="1"/>
  <c r="D23" i="9"/>
  <c r="E23" i="9" s="1"/>
  <c r="F23" i="9" s="1"/>
  <c r="G23" i="9" s="1"/>
  <c r="C24" i="9" l="1"/>
  <c r="I24" i="9" l="1"/>
  <c r="J24" i="9" s="1"/>
  <c r="K24" i="9" s="1"/>
  <c r="L24" i="9" s="1"/>
  <c r="H25" i="9" s="1"/>
  <c r="D24" i="9"/>
  <c r="E24" i="9" s="1"/>
  <c r="F24" i="9" s="1"/>
  <c r="G24" i="9" s="1"/>
  <c r="C25" i="9" s="1"/>
  <c r="I25" i="9" l="1"/>
  <c r="J25" i="9" s="1"/>
  <c r="K25" i="9" s="1"/>
  <c r="L25" i="9" s="1"/>
  <c r="H26" i="9" s="1"/>
  <c r="D25" i="9"/>
  <c r="E25" i="9" s="1"/>
  <c r="F25" i="9" s="1"/>
  <c r="G25" i="9" s="1"/>
  <c r="C26" i="9" l="1"/>
  <c r="D26" i="9" l="1"/>
  <c r="E26" i="9" s="1"/>
  <c r="F26" i="9" s="1"/>
  <c r="G26" i="9" s="1"/>
  <c r="I26" i="9"/>
  <c r="J26" i="9" s="1"/>
  <c r="K26" i="9" s="1"/>
  <c r="L26" i="9" s="1"/>
  <c r="H27" i="9" s="1"/>
  <c r="C27" i="9" l="1"/>
  <c r="I27" i="9" l="1"/>
  <c r="J27" i="9" s="1"/>
  <c r="K27" i="9" s="1"/>
  <c r="L27" i="9" s="1"/>
  <c r="H28" i="9" s="1"/>
  <c r="D27" i="9"/>
  <c r="E27" i="9" s="1"/>
  <c r="F27" i="9" s="1"/>
  <c r="G27" i="9" s="1"/>
  <c r="C28" i="9" s="1"/>
  <c r="I28" i="9" l="1"/>
  <c r="D28" i="9"/>
  <c r="E28" i="9" s="1"/>
  <c r="F28" i="9" s="1"/>
  <c r="G28" i="9" s="1"/>
  <c r="C29" i="9" s="1"/>
  <c r="J28" i="9"/>
  <c r="K28" i="9" s="1"/>
  <c r="L28" i="9" s="1"/>
  <c r="H29" i="9" s="1"/>
  <c r="I29" i="9" l="1"/>
  <c r="J29" i="9" s="1"/>
  <c r="K29" i="9" s="1"/>
  <c r="L29" i="9" s="1"/>
  <c r="D29" i="9"/>
  <c r="E29" i="9" s="1"/>
  <c r="F29" i="9" s="1"/>
  <c r="G29" i="9" s="1"/>
  <c r="B8" i="9" l="1"/>
  <c r="F8" i="9" s="1"/>
  <c r="E8" i="9" s="1"/>
  <c r="B9" i="9" l="1"/>
  <c r="B10" i="9" l="1"/>
  <c r="F9" i="9"/>
  <c r="E9" i="9" s="1"/>
  <c r="B11" i="9" l="1"/>
  <c r="F10" i="9"/>
  <c r="E10" i="9" s="1"/>
  <c r="F11" i="9" l="1"/>
  <c r="E11" i="9" s="1"/>
  <c r="B12" i="9"/>
  <c r="F12" i="9" l="1"/>
  <c r="E12" i="9" s="1"/>
  <c r="B13" i="9"/>
  <c r="B14" i="9" l="1"/>
  <c r="F13" i="9"/>
  <c r="E13" i="9" s="1"/>
  <c r="F14" i="9" l="1"/>
  <c r="E14" i="9" s="1"/>
  <c r="B15" i="9"/>
  <c r="F15" i="9" l="1"/>
  <c r="E15" i="9" s="1"/>
  <c r="B16" i="9"/>
  <c r="F16" i="9" s="1"/>
  <c r="E16" i="9" l="1"/>
  <c r="E11" i="8" l="1"/>
  <c r="C17" i="8"/>
  <c r="F15" i="6"/>
  <c r="K13" i="8"/>
  <c r="G11" i="8"/>
  <c r="C15" i="8" s="1"/>
  <c r="C21" i="8" s="1"/>
  <c r="G12" i="8"/>
  <c r="C16" i="8" s="1"/>
  <c r="C20" i="8" s="1"/>
  <c r="G13" i="8"/>
  <c r="E13" i="8"/>
  <c r="C13" i="8"/>
  <c r="E12" i="8"/>
  <c r="C12" i="8"/>
  <c r="C11" i="8"/>
  <c r="C43" i="8" l="1"/>
  <c r="C22" i="8"/>
  <c r="F21" i="8" s="1"/>
  <c r="C45" i="8"/>
  <c r="C41" i="8"/>
  <c r="K14" i="8"/>
  <c r="C24" i="8"/>
  <c r="C42" i="8"/>
  <c r="K12" i="8"/>
  <c r="N14" i="8" s="1"/>
  <c r="N15" i="8" s="1"/>
  <c r="C26" i="8"/>
  <c r="C29" i="8" l="1"/>
  <c r="C25" i="8"/>
  <c r="C28" i="8" s="1"/>
  <c r="C46" i="8"/>
  <c r="F42" i="8"/>
  <c r="C34" i="8" l="1"/>
  <c r="C32" i="8"/>
  <c r="F29" i="8"/>
  <c r="F25" i="8"/>
  <c r="C30" i="8"/>
  <c r="C33" i="8" s="1"/>
  <c r="C47" i="8"/>
  <c r="F46" i="8" s="1"/>
  <c r="H16" i="6"/>
  <c r="I16" i="6" s="1"/>
  <c r="I15" i="6"/>
  <c r="J15" i="6" s="1"/>
  <c r="K15" i="6" s="1"/>
  <c r="C16" i="6"/>
  <c r="C17" i="6"/>
  <c r="C18" i="6"/>
  <c r="C19" i="6"/>
  <c r="C20" i="6"/>
  <c r="C21" i="6"/>
  <c r="C22" i="6"/>
  <c r="C23" i="6"/>
  <c r="C24" i="6"/>
  <c r="C25" i="6"/>
  <c r="C15" i="6"/>
  <c r="B16" i="6"/>
  <c r="B17" i="6"/>
  <c r="B18" i="6"/>
  <c r="B19" i="6"/>
  <c r="B20" i="6"/>
  <c r="B21" i="6"/>
  <c r="B22" i="6"/>
  <c r="B23" i="6"/>
  <c r="B24" i="6"/>
  <c r="B25" i="6"/>
  <c r="B15" i="6"/>
  <c r="L56" i="4"/>
  <c r="M56" i="4" s="1"/>
  <c r="K56" i="4"/>
  <c r="K38" i="8" l="1"/>
  <c r="K37" i="8"/>
  <c r="K36" i="8"/>
  <c r="C49" i="8"/>
  <c r="F33" i="8"/>
  <c r="H17" i="6"/>
  <c r="I17" i="6" s="1"/>
  <c r="J16" i="6"/>
  <c r="K16" i="6" s="1"/>
  <c r="C50" i="8" l="1"/>
  <c r="H18" i="6"/>
  <c r="I18" i="6" s="1"/>
  <c r="J17" i="6"/>
  <c r="K17" i="6" s="1"/>
  <c r="K55" i="8" l="1"/>
  <c r="C51" i="8"/>
  <c r="F50" i="8"/>
  <c r="K53" i="8"/>
  <c r="K54" i="8"/>
  <c r="H19" i="6"/>
  <c r="I19" i="6" s="1"/>
  <c r="J18" i="6"/>
  <c r="K18" i="6" s="1"/>
  <c r="H20" i="6" l="1"/>
  <c r="I20" i="6" s="1"/>
  <c r="J19" i="6"/>
  <c r="K19" i="6" s="1"/>
  <c r="J20" i="6" l="1"/>
  <c r="K20" i="6" s="1"/>
  <c r="H21" i="6"/>
  <c r="I21" i="6" s="1"/>
  <c r="J21" i="6" l="1"/>
  <c r="K21" i="6" s="1"/>
  <c r="H22" i="6"/>
  <c r="I22" i="6" s="1"/>
  <c r="H23" i="6" l="1"/>
  <c r="I23" i="6" s="1"/>
  <c r="J22" i="6"/>
  <c r="K22" i="6" s="1"/>
  <c r="N56" i="4"/>
  <c r="C58" i="4"/>
  <c r="B70" i="4"/>
  <c r="H24" i="6" l="1"/>
  <c r="I24" i="6" s="1"/>
  <c r="J23" i="6"/>
  <c r="K23" i="6" s="1"/>
  <c r="M31" i="5"/>
  <c r="M35" i="5" s="1"/>
  <c r="L31" i="5"/>
  <c r="L35" i="5" s="1"/>
  <c r="K31" i="5"/>
  <c r="K35" i="5" s="1"/>
  <c r="J31" i="5"/>
  <c r="M30" i="5"/>
  <c r="L30" i="5"/>
  <c r="K30" i="5"/>
  <c r="J30" i="5"/>
  <c r="G27" i="5"/>
  <c r="G31" i="5" s="1"/>
  <c r="E33" i="5" s="1"/>
  <c r="F27" i="5"/>
  <c r="F31" i="5" s="1"/>
  <c r="E27" i="5"/>
  <c r="E31" i="5" s="1"/>
  <c r="D27" i="5"/>
  <c r="G26" i="5"/>
  <c r="F26" i="5"/>
  <c r="E26" i="5"/>
  <c r="D26" i="5"/>
  <c r="F14" i="5" a="1"/>
  <c r="H16" i="5" s="1"/>
  <c r="G11" i="5"/>
  <c r="K10" i="5" s="1"/>
  <c r="G10" i="5"/>
  <c r="K9" i="5" s="1"/>
  <c r="G9" i="5"/>
  <c r="K8" i="5" s="1"/>
  <c r="G8" i="5"/>
  <c r="H25" i="6" l="1"/>
  <c r="I25" i="6" s="1"/>
  <c r="J24" i="6"/>
  <c r="K24" i="6" s="1"/>
  <c r="E34" i="5"/>
  <c r="E35" i="5" s="1"/>
  <c r="P33" i="5"/>
  <c r="G14" i="5"/>
  <c r="H15" i="5"/>
  <c r="H14" i="5"/>
  <c r="F16" i="5"/>
  <c r="F15" i="5"/>
  <c r="G16" i="5"/>
  <c r="F14" i="5"/>
  <c r="G15" i="5"/>
  <c r="B54" i="4"/>
  <c r="D58" i="4" s="1"/>
  <c r="E52" i="4"/>
  <c r="K14" i="5" l="1" a="1"/>
  <c r="H26" i="6"/>
  <c r="I26" i="6" s="1"/>
  <c r="J25" i="6"/>
  <c r="K25" i="6" s="1"/>
  <c r="I52" i="4"/>
  <c r="B55" i="4"/>
  <c r="K16" i="5"/>
  <c r="K15" i="5"/>
  <c r="K14" i="5"/>
  <c r="P34" i="5"/>
  <c r="P35" i="5" s="1"/>
  <c r="H27" i="6" l="1"/>
  <c r="I27" i="6" s="1"/>
  <c r="J26" i="6"/>
  <c r="K26" i="6" s="1"/>
  <c r="Q56" i="4"/>
  <c r="O56" i="4"/>
  <c r="P56" i="4"/>
  <c r="B59" i="4"/>
  <c r="E58" i="4"/>
  <c r="H58" i="4" s="1"/>
  <c r="J57" i="4"/>
  <c r="L57" i="4" s="1"/>
  <c r="M20" i="3"/>
  <c r="M19" i="3"/>
  <c r="M18" i="3"/>
  <c r="M17" i="3"/>
  <c r="M16" i="3"/>
  <c r="M15" i="3"/>
  <c r="M14" i="3"/>
  <c r="M13" i="3"/>
  <c r="M12" i="3"/>
  <c r="M11" i="3"/>
  <c r="M10" i="3"/>
  <c r="G24" i="3"/>
  <c r="R25" i="3"/>
  <c r="D25" i="3"/>
  <c r="I24" i="3"/>
  <c r="E24" i="3"/>
  <c r="C24" i="3"/>
  <c r="B25" i="3" s="1"/>
  <c r="D21" i="3"/>
  <c r="R28" i="3" l="1"/>
  <c r="F24" i="3"/>
  <c r="H28" i="6"/>
  <c r="I28" i="6" s="1"/>
  <c r="J27" i="6"/>
  <c r="K27" i="6" s="1"/>
  <c r="K57" i="4"/>
  <c r="G58" i="4"/>
  <c r="F58" i="4"/>
  <c r="C59" i="4"/>
  <c r="D59" i="4" s="1"/>
  <c r="C25" i="3"/>
  <c r="B26" i="3"/>
  <c r="G25" i="3"/>
  <c r="E25" i="3"/>
  <c r="F25" i="3" s="1"/>
  <c r="I25" i="3"/>
  <c r="H24" i="3"/>
  <c r="H29" i="6" l="1"/>
  <c r="I29" i="6" s="1"/>
  <c r="J28" i="6"/>
  <c r="K28" i="6" s="1"/>
  <c r="M57" i="4"/>
  <c r="J58" i="4" s="1"/>
  <c r="L58" i="4" s="1"/>
  <c r="B60" i="4"/>
  <c r="E59" i="4"/>
  <c r="B27" i="3"/>
  <c r="G26" i="3"/>
  <c r="C26" i="3"/>
  <c r="H25" i="3"/>
  <c r="D26" i="3"/>
  <c r="H30" i="6" l="1"/>
  <c r="I30" i="6" s="1"/>
  <c r="J29" i="6"/>
  <c r="K29" i="6" s="1"/>
  <c r="N57" i="4"/>
  <c r="P57" i="4" s="1"/>
  <c r="K58" i="4"/>
  <c r="O57" i="4"/>
  <c r="Q57" i="4"/>
  <c r="F59" i="4"/>
  <c r="H59" i="4"/>
  <c r="G59" i="4"/>
  <c r="C60" i="4"/>
  <c r="D60" i="4" s="1"/>
  <c r="B61" i="4" s="1"/>
  <c r="H26" i="3"/>
  <c r="D27" i="3"/>
  <c r="E26" i="3"/>
  <c r="F26" i="3" s="1"/>
  <c r="I26" i="3"/>
  <c r="G27" i="3"/>
  <c r="C27" i="3"/>
  <c r="J30" i="6" l="1"/>
  <c r="K30" i="6" s="1"/>
  <c r="H31" i="6"/>
  <c r="I31" i="6" s="1"/>
  <c r="M58" i="4"/>
  <c r="N58" i="4" s="1"/>
  <c r="C61" i="4"/>
  <c r="D61" i="4" s="1"/>
  <c r="B62" i="4" s="1"/>
  <c r="E60" i="4"/>
  <c r="H27" i="3"/>
  <c r="B28" i="3"/>
  <c r="I27" i="3"/>
  <c r="D28" i="3"/>
  <c r="E27" i="3"/>
  <c r="F27" i="3" s="1"/>
  <c r="J31" i="6" l="1"/>
  <c r="K31" i="6" s="1"/>
  <c r="H32" i="6"/>
  <c r="I32" i="6" s="1"/>
  <c r="O58" i="4"/>
  <c r="Q58" i="4"/>
  <c r="P58" i="4"/>
  <c r="F60" i="4"/>
  <c r="G60" i="4"/>
  <c r="H60" i="4"/>
  <c r="J59" i="4"/>
  <c r="L59" i="4" s="1"/>
  <c r="E61" i="4"/>
  <c r="C62" i="4"/>
  <c r="D62" i="4" s="1"/>
  <c r="B63" i="4" s="1"/>
  <c r="D29" i="3"/>
  <c r="I28" i="3"/>
  <c r="E28" i="3"/>
  <c r="F28" i="3" s="1"/>
  <c r="G28" i="3"/>
  <c r="C28" i="3"/>
  <c r="H33" i="6" l="1"/>
  <c r="I33" i="6" s="1"/>
  <c r="J32" i="6"/>
  <c r="K32" i="6" s="1"/>
  <c r="K59" i="4"/>
  <c r="F61" i="4"/>
  <c r="G61" i="4"/>
  <c r="H61" i="4"/>
  <c r="E62" i="4"/>
  <c r="C63" i="4"/>
  <c r="D63" i="4" s="1"/>
  <c r="H28" i="3"/>
  <c r="B29" i="3"/>
  <c r="E29" i="3"/>
  <c r="F29" i="3" s="1"/>
  <c r="I29" i="3"/>
  <c r="H34" i="6" l="1"/>
  <c r="I34" i="6" s="1"/>
  <c r="J33" i="6"/>
  <c r="K33" i="6" s="1"/>
  <c r="M59" i="4"/>
  <c r="J68" i="4" s="1"/>
  <c r="F62" i="4"/>
  <c r="H62" i="4"/>
  <c r="G62" i="4"/>
  <c r="J60" i="4"/>
  <c r="L60" i="4" s="1"/>
  <c r="B64" i="4"/>
  <c r="E63" i="4"/>
  <c r="G29" i="3"/>
  <c r="B30" i="3"/>
  <c r="C29" i="3"/>
  <c r="H35" i="6" l="1"/>
  <c r="I35" i="6" s="1"/>
  <c r="J34" i="6"/>
  <c r="K34" i="6" s="1"/>
  <c r="K60" i="4"/>
  <c r="N59" i="4"/>
  <c r="F63" i="4"/>
  <c r="G63" i="4"/>
  <c r="H63" i="4"/>
  <c r="C64" i="4"/>
  <c r="D64" i="4" s="1"/>
  <c r="B66" i="4" s="1"/>
  <c r="H29" i="3"/>
  <c r="D30" i="3"/>
  <c r="G30" i="3"/>
  <c r="C30" i="3"/>
  <c r="H36" i="6" l="1"/>
  <c r="I36" i="6" s="1"/>
  <c r="J35" i="6"/>
  <c r="K35" i="6" s="1"/>
  <c r="M60" i="4"/>
  <c r="J61" i="4" s="1"/>
  <c r="L61" i="4" s="1"/>
  <c r="O59" i="4"/>
  <c r="Q59" i="4"/>
  <c r="P59" i="4"/>
  <c r="E64" i="4"/>
  <c r="D67" i="4"/>
  <c r="B72" i="4"/>
  <c r="H30" i="3"/>
  <c r="B31" i="3"/>
  <c r="D31" i="3"/>
  <c r="I30" i="3"/>
  <c r="E30" i="3"/>
  <c r="F30" i="3" s="1"/>
  <c r="M9" i="3"/>
  <c r="M8" i="3"/>
  <c r="D7" i="3"/>
  <c r="E7" i="3"/>
  <c r="F7" i="3"/>
  <c r="G7" i="3"/>
  <c r="H7" i="3"/>
  <c r="I7" i="3"/>
  <c r="J7" i="3"/>
  <c r="H37" i="6" l="1"/>
  <c r="I37" i="6" s="1"/>
  <c r="O17" i="6" s="1"/>
  <c r="N19" i="6" s="1"/>
  <c r="J36" i="6"/>
  <c r="K36" i="6" s="1"/>
  <c r="K61" i="4"/>
  <c r="F64" i="4"/>
  <c r="G64" i="4"/>
  <c r="H64" i="4"/>
  <c r="N60" i="4"/>
  <c r="D32" i="3"/>
  <c r="I31" i="3"/>
  <c r="E31" i="3"/>
  <c r="F31" i="3" s="1"/>
  <c r="G31" i="3"/>
  <c r="C31" i="3"/>
  <c r="J37" i="6" l="1"/>
  <c r="K37" i="6" s="1"/>
  <c r="M61" i="4"/>
  <c r="O60" i="4"/>
  <c r="P60" i="4"/>
  <c r="Q60" i="4"/>
  <c r="H31" i="3"/>
  <c r="B32" i="3"/>
  <c r="I32" i="3"/>
  <c r="E32" i="3"/>
  <c r="F32" i="3" s="1"/>
  <c r="N61" i="4" l="1"/>
  <c r="B33" i="3"/>
  <c r="C32" i="3"/>
  <c r="G32" i="3"/>
  <c r="O61" i="4" l="1"/>
  <c r="Q61" i="4"/>
  <c r="P61" i="4"/>
  <c r="D33" i="3"/>
  <c r="C33" i="3" s="1"/>
  <c r="H32" i="3"/>
  <c r="G33" i="3"/>
  <c r="C24" i="2"/>
  <c r="D24" i="2" s="1"/>
  <c r="E24" i="2" s="1"/>
  <c r="B23" i="2"/>
  <c r="B8" i="2"/>
  <c r="C15" i="2"/>
  <c r="D15" i="2" s="1"/>
  <c r="E15" i="2" s="1"/>
  <c r="F15" i="2" s="1"/>
  <c r="G15" i="2" s="1"/>
  <c r="H15" i="2" s="1"/>
  <c r="D4" i="2"/>
  <c r="E4" i="2" s="1"/>
  <c r="F4" i="2" s="1"/>
  <c r="G4" i="2" s="1"/>
  <c r="H4" i="2" s="1"/>
  <c r="I4" i="2" s="1"/>
  <c r="B14" i="2" s="1"/>
  <c r="O39" i="1"/>
  <c r="P39" i="1" s="1"/>
  <c r="K42" i="1"/>
  <c r="P15" i="1"/>
  <c r="P16" i="1"/>
  <c r="P17" i="1"/>
  <c r="P18" i="1"/>
  <c r="O40" i="1" l="1"/>
  <c r="O41" i="1" s="1"/>
  <c r="H18" i="2"/>
  <c r="H33" i="3"/>
  <c r="B34" i="3"/>
  <c r="I33" i="3"/>
  <c r="D34" i="3"/>
  <c r="I34" i="3" s="1"/>
  <c r="E33" i="3"/>
  <c r="F33" i="3" s="1"/>
  <c r="B20" i="2"/>
  <c r="D30" i="2" s="1"/>
  <c r="H19" i="2"/>
  <c r="K20" i="2" s="1"/>
  <c r="L20" i="2" s="1"/>
  <c r="B21" i="2"/>
  <c r="H20" i="2"/>
  <c r="K19" i="2" s="1"/>
  <c r="I18" i="2"/>
  <c r="J18" i="2" s="1"/>
  <c r="B22" i="2"/>
  <c r="C21" i="2" s="1"/>
  <c r="H21" i="2"/>
  <c r="K18" i="2" s="1"/>
  <c r="I5" i="2"/>
  <c r="E5" i="2"/>
  <c r="B11" i="2"/>
  <c r="E17" i="2"/>
  <c r="H5" i="2"/>
  <c r="D5" i="2"/>
  <c r="B12" i="2"/>
  <c r="E18" i="2"/>
  <c r="C18" i="2"/>
  <c r="G5" i="2"/>
  <c r="B9" i="2"/>
  <c r="C8" i="2" s="1"/>
  <c r="B13" i="2"/>
  <c r="D18" i="2"/>
  <c r="F18" i="2"/>
  <c r="C17" i="2"/>
  <c r="F5" i="2"/>
  <c r="B10" i="2"/>
  <c r="D17" i="2"/>
  <c r="F17" i="2"/>
  <c r="P41" i="1"/>
  <c r="O42" i="1"/>
  <c r="Q19" i="1"/>
  <c r="L14" i="1" s="1"/>
  <c r="P31" i="1"/>
  <c r="N29" i="1"/>
  <c r="M33" i="1"/>
  <c r="N33" i="1"/>
  <c r="O33" i="1"/>
  <c r="P33" i="1"/>
  <c r="Q33" i="1"/>
  <c r="L33" i="1"/>
  <c r="R32" i="1"/>
  <c r="M32" i="1"/>
  <c r="N32" i="1"/>
  <c r="O32" i="1"/>
  <c r="P32" i="1"/>
  <c r="L32" i="1"/>
  <c r="R31" i="1"/>
  <c r="Q31" i="1"/>
  <c r="M31" i="1"/>
  <c r="N31" i="1"/>
  <c r="O31" i="1"/>
  <c r="L31" i="1"/>
  <c r="Q30" i="1"/>
  <c r="R30" i="1"/>
  <c r="P30" i="1"/>
  <c r="N30" i="1"/>
  <c r="M30" i="1"/>
  <c r="L30" i="1"/>
  <c r="P29" i="1"/>
  <c r="Q29" i="1"/>
  <c r="R29" i="1"/>
  <c r="O29" i="1"/>
  <c r="M29" i="1"/>
  <c r="L29" i="1"/>
  <c r="P27" i="1"/>
  <c r="O27" i="1"/>
  <c r="N27" i="1"/>
  <c r="Q27" i="1"/>
  <c r="R27" i="1"/>
  <c r="M27" i="1"/>
  <c r="Q28" i="1"/>
  <c r="P28" i="1"/>
  <c r="O28" i="1"/>
  <c r="R28" i="1"/>
  <c r="N28" i="1"/>
  <c r="L28" i="1"/>
  <c r="R33" i="1"/>
  <c r="Q32" i="1"/>
  <c r="O30" i="1"/>
  <c r="M28" i="1"/>
  <c r="L27" i="1"/>
  <c r="E52" i="1"/>
  <c r="D52" i="1"/>
  <c r="C52" i="1"/>
  <c r="F51" i="1"/>
  <c r="D51" i="1"/>
  <c r="E51" i="1"/>
  <c r="C51" i="1"/>
  <c r="F50" i="1"/>
  <c r="E50" i="1"/>
  <c r="C50" i="1"/>
  <c r="F49" i="1"/>
  <c r="E49" i="1"/>
  <c r="D49" i="1"/>
  <c r="F52" i="1"/>
  <c r="D50" i="1"/>
  <c r="C49" i="1"/>
  <c r="E43" i="1"/>
  <c r="E35" i="1"/>
  <c r="E34" i="1"/>
  <c r="C33" i="1"/>
  <c r="D35" i="1"/>
  <c r="C35" i="1"/>
  <c r="D34" i="1"/>
  <c r="C34" i="1"/>
  <c r="E33" i="1"/>
  <c r="D33" i="1"/>
  <c r="E16" i="1"/>
  <c r="E15" i="1"/>
  <c r="E14" i="1"/>
  <c r="C10" i="2" l="1"/>
  <c r="P40" i="1"/>
  <c r="L19" i="2"/>
  <c r="L18" i="2"/>
  <c r="C22" i="2"/>
  <c r="E34" i="3"/>
  <c r="F34" i="3" s="1"/>
  <c r="G34" i="3"/>
  <c r="B35" i="3"/>
  <c r="C34" i="3"/>
  <c r="C9" i="2"/>
  <c r="D8" i="2" s="1"/>
  <c r="D20" i="2"/>
  <c r="C20" i="2"/>
  <c r="E30" i="2" s="1"/>
  <c r="E31" i="2" s="1"/>
  <c r="C12" i="2"/>
  <c r="I19" i="2"/>
  <c r="J19" i="2" s="1"/>
  <c r="I20" i="2"/>
  <c r="C11" i="2"/>
  <c r="D10" i="2" s="1"/>
  <c r="C13" i="2"/>
  <c r="D12" i="2" s="1"/>
  <c r="P42" i="1"/>
  <c r="O43" i="1"/>
  <c r="E36" i="1"/>
  <c r="F33" i="1" s="1"/>
  <c r="H33" i="1" s="1"/>
  <c r="E53" i="1"/>
  <c r="D20" i="1" a="1"/>
  <c r="D20" i="1" s="1"/>
  <c r="D21" i="2" l="1"/>
  <c r="C27" i="2" s="1"/>
  <c r="E26" i="2"/>
  <c r="E20" i="2"/>
  <c r="F30" i="2"/>
  <c r="F31" i="2" s="1"/>
  <c r="H34" i="3"/>
  <c r="D35" i="3"/>
  <c r="C35" i="3" s="1"/>
  <c r="G35" i="3"/>
  <c r="D11" i="2"/>
  <c r="E10" i="2" s="1"/>
  <c r="J20" i="2"/>
  <c r="D9" i="2"/>
  <c r="E9" i="2" s="1"/>
  <c r="O44" i="1"/>
  <c r="P44" i="1" s="1"/>
  <c r="P43" i="1"/>
  <c r="L38" i="1"/>
  <c r="G51" i="1"/>
  <c r="I51" i="1" s="1"/>
  <c r="G49" i="1"/>
  <c r="S31" i="1"/>
  <c r="U31" i="1" s="1"/>
  <c r="L39" i="1"/>
  <c r="S27" i="1"/>
  <c r="U27" i="1" s="1"/>
  <c r="S29" i="1"/>
  <c r="U29" i="1" s="1"/>
  <c r="U28" i="1"/>
  <c r="S33" i="1"/>
  <c r="U33" i="1" s="1"/>
  <c r="S30" i="1"/>
  <c r="U30" i="1" s="1"/>
  <c r="S32" i="1"/>
  <c r="U32" i="1" s="1"/>
  <c r="L15" i="1"/>
  <c r="I49" i="1"/>
  <c r="G50" i="1"/>
  <c r="I50" i="1" s="1"/>
  <c r="G52" i="1"/>
  <c r="I52" i="1" s="1"/>
  <c r="F35" i="1"/>
  <c r="H35" i="1" s="1"/>
  <c r="F34" i="1"/>
  <c r="H34" i="1" s="1"/>
  <c r="E20" i="1"/>
  <c r="F21" i="1"/>
  <c r="D21" i="1"/>
  <c r="E22" i="1"/>
  <c r="E21" i="1"/>
  <c r="F20" i="1"/>
  <c r="F22" i="1"/>
  <c r="D22" i="1"/>
  <c r="E11" i="2" l="1"/>
  <c r="F10" i="2" s="1"/>
  <c r="C26" i="2"/>
  <c r="I35" i="3"/>
  <c r="D36" i="3"/>
  <c r="E35" i="3"/>
  <c r="F35" i="3" s="1"/>
  <c r="H35" i="3"/>
  <c r="B36" i="3"/>
  <c r="F9" i="2"/>
  <c r="E8" i="2"/>
  <c r="F8" i="2" s="1"/>
  <c r="L40" i="1"/>
  <c r="L16" i="1"/>
  <c r="K20" i="1" s="1"/>
  <c r="H36" i="1"/>
  <c r="C40" i="1" s="1"/>
  <c r="E44" i="1" s="1"/>
  <c r="E45" i="1" s="1"/>
  <c r="I53" i="1"/>
  <c r="E56" i="1" s="1"/>
  <c r="I20" i="1" a="1"/>
  <c r="I22" i="1" s="1"/>
  <c r="I36" i="3" l="1"/>
  <c r="D37" i="3"/>
  <c r="E36" i="3"/>
  <c r="F36" i="3" s="1"/>
  <c r="G36" i="3"/>
  <c r="C36" i="3"/>
  <c r="G8" i="2"/>
  <c r="G9" i="2"/>
  <c r="I20" i="1"/>
  <c r="I21" i="1"/>
  <c r="H8" i="2" l="1"/>
  <c r="H38" i="3"/>
  <c r="I37" i="3"/>
  <c r="H36" i="3"/>
  <c r="B37" i="3"/>
  <c r="C37" i="3" s="1"/>
  <c r="J38" i="3" s="1"/>
  <c r="R31" i="3" s="1"/>
  <c r="C39" i="1"/>
  <c r="L6" i="1" s="1"/>
  <c r="E37" i="3" l="1"/>
  <c r="F37" i="3" s="1"/>
  <c r="F38" i="3"/>
  <c r="G37" i="3"/>
  <c r="H37" i="3"/>
  <c r="D39" i="3" s="1"/>
  <c r="L69" i="4" l="1"/>
  <c r="I72" i="4" l="1"/>
</calcChain>
</file>

<file path=xl/sharedStrings.xml><?xml version="1.0" encoding="utf-8"?>
<sst xmlns="http://schemas.openxmlformats.org/spreadsheetml/2006/main" count="658" uniqueCount="328">
  <si>
    <t>Лабораторная №2</t>
  </si>
  <si>
    <t>Выполнила:</t>
  </si>
  <si>
    <t>Окулова Анна</t>
  </si>
  <si>
    <t>Вариант № 3</t>
  </si>
  <si>
    <t>Задание №1</t>
  </si>
  <si>
    <t>x</t>
  </si>
  <si>
    <t>Дано:</t>
  </si>
  <si>
    <t>√‎x</t>
  </si>
  <si>
    <t>Найти:</t>
  </si>
  <si>
    <t>приближенное значение √117</t>
  </si>
  <si>
    <t>Решение:</t>
  </si>
  <si>
    <t>1 способ</t>
  </si>
  <si>
    <t>Составим систему:</t>
  </si>
  <si>
    <t>А =</t>
  </si>
  <si>
    <t xml:space="preserve">С = </t>
  </si>
  <si>
    <t>a0</t>
  </si>
  <si>
    <t>a1</t>
  </si>
  <si>
    <t>a2</t>
  </si>
  <si>
    <t xml:space="preserve">B = </t>
  </si>
  <si>
    <t>A*C=B</t>
  </si>
  <si>
    <t>C = A^(-1)*B</t>
  </si>
  <si>
    <t>Найдем обратную матрицу:</t>
  </si>
  <si>
    <t xml:space="preserve">A^(-1) = </t>
  </si>
  <si>
    <t>Коэффициенты:</t>
  </si>
  <si>
    <t>С=</t>
  </si>
  <si>
    <t>F(117) =</t>
  </si>
  <si>
    <t>Ответ:</t>
  </si>
  <si>
    <t xml:space="preserve">1 способ </t>
  </si>
  <si>
    <t>2 способ</t>
  </si>
  <si>
    <t>x0</t>
  </si>
  <si>
    <t>x1</t>
  </si>
  <si>
    <t>x2</t>
  </si>
  <si>
    <t>x-x0</t>
  </si>
  <si>
    <t>x-x1</t>
  </si>
  <si>
    <t>x-x2</t>
  </si>
  <si>
    <t>x1-x0</t>
  </si>
  <si>
    <t>x1-x2</t>
  </si>
  <si>
    <t>x2-x0</t>
  </si>
  <si>
    <t>x2-x1</t>
  </si>
  <si>
    <t>x0-x1</t>
  </si>
  <si>
    <t>x0-x2</t>
  </si>
  <si>
    <t>Составим таблицу  с помощью которой будем проводить вычисления:</t>
  </si>
  <si>
    <t>Заполним её значениями:</t>
  </si>
  <si>
    <r>
      <t>P</t>
    </r>
    <r>
      <rPr>
        <sz val="8"/>
        <color theme="1"/>
        <rFont val="Segoe"/>
        <charset val="204"/>
      </rPr>
      <t>i</t>
    </r>
  </si>
  <si>
    <r>
      <t>y</t>
    </r>
    <r>
      <rPr>
        <sz val="8"/>
        <color theme="1"/>
        <rFont val="Segoe"/>
        <charset val="204"/>
      </rPr>
      <t>i</t>
    </r>
  </si>
  <si>
    <t>y0</t>
  </si>
  <si>
    <t>y1</t>
  </si>
  <si>
    <t>y2</t>
  </si>
  <si>
    <t>((x-x0)*(x-x1)*(x-x2))  /                    ((x-x0)*(x0-x1)*(x0-x2))</t>
  </si>
  <si>
    <t>…</t>
  </si>
  <si>
    <t>Произведение элементов главной диагонали =</t>
  </si>
  <si>
    <t>S =</t>
  </si>
  <si>
    <t>yi * Pi</t>
  </si>
  <si>
    <t>Значения совпали!</t>
  </si>
  <si>
    <t>Оценка погрешности:</t>
  </si>
  <si>
    <t>x = Точное значение √117 =</t>
  </si>
  <si>
    <t>a = Полученное значение =</t>
  </si>
  <si>
    <t>|x-a| = Абсолютная погрешность =</t>
  </si>
  <si>
    <t>Количество верных цифр =</t>
  </si>
  <si>
    <t>Добавляем еще один узел:</t>
  </si>
  <si>
    <t>(81;9)</t>
  </si>
  <si>
    <t>Погрешность уменьшилась, значит значение стало более точным!</t>
  </si>
  <si>
    <t>Задание №2</t>
  </si>
  <si>
    <t>погрешность измерения по следующей формуле:</t>
  </si>
  <si>
    <t>M =</t>
  </si>
  <si>
    <t>П =</t>
  </si>
  <si>
    <t>R ≤</t>
  </si>
  <si>
    <t>Задание №3</t>
  </si>
  <si>
    <t>y = 2,1 * sin(0,37*x)</t>
  </si>
  <si>
    <t>Приближенное значение x` = 0,5</t>
  </si>
  <si>
    <t>Вычисление погрешности:</t>
  </si>
  <si>
    <t>f````(x) = -15 * x / (16 * Корень из(x^9))</t>
  </si>
  <si>
    <t>max =</t>
  </si>
  <si>
    <t>f```````(x) = -0,001993569419793 * cos (0,37*x)</t>
  </si>
  <si>
    <t>Лабораторная №3</t>
  </si>
  <si>
    <t xml:space="preserve">h = </t>
  </si>
  <si>
    <t>y</t>
  </si>
  <si>
    <t>Сокращаем:</t>
  </si>
  <si>
    <t>x` =</t>
  </si>
  <si>
    <t>(убираем 3 точки)</t>
  </si>
  <si>
    <t>Код программы</t>
  </si>
  <si>
    <t>using System;</t>
  </si>
  <si>
    <t>using System.Collections.Generic;</t>
  </si>
  <si>
    <t>using System.Linq;</t>
  </si>
  <si>
    <t>using System.Text;</t>
  </si>
  <si>
    <t>using System.Threading.Tasks;</t>
  </si>
  <si>
    <t>using System.IO;</t>
  </si>
  <si>
    <t>namespace ConsoleApplication1</t>
  </si>
  <si>
    <t>{</t>
  </si>
  <si>
    <t xml:space="preserve">    class Program</t>
  </si>
  <si>
    <t xml:space="preserve">    {</t>
  </si>
  <si>
    <t xml:space="preserve">        static void Main(string[] args)</t>
  </si>
  <si>
    <t xml:space="preserve">        {</t>
  </si>
  <si>
    <t xml:space="preserve">            //считывание данных</t>
  </si>
  <si>
    <t xml:space="preserve">            int n;</t>
  </si>
  <si>
    <t xml:space="preserve">            double x;</t>
  </si>
  <si>
    <t xml:space="preserve">            double [,] digits;</t>
  </si>
  <si>
    <t xml:space="preserve">            using(StreamReader sr = new StreamReader("text.txt"))</t>
  </si>
  <si>
    <t xml:space="preserve">            {</t>
  </si>
  <si>
    <t xml:space="preserve">                n = int.Parse(sr.ReadLine());</t>
  </si>
  <si>
    <t xml:space="preserve">                digits = new double[2,n];</t>
  </si>
  <si>
    <t xml:space="preserve">                for (int i = 0; i &lt; n; i++)</t>
  </si>
  <si>
    <t xml:space="preserve">                {</t>
  </si>
  <si>
    <t xml:space="preserve">                    string[] keyValue = sr.ReadLine().Split();</t>
  </si>
  <si>
    <t xml:space="preserve">                    digits[0,i] = double.Parse(keyValue[0]);</t>
  </si>
  <si>
    <t xml:space="preserve">                    digits[1,i] = double.Parse(keyValue[1]);</t>
  </si>
  <si>
    <t xml:space="preserve">                }</t>
  </si>
  <si>
    <t xml:space="preserve">                x = double.Parse(sr.ReadLine());</t>
  </si>
  <si>
    <t xml:space="preserve">            }</t>
  </si>
  <si>
    <t xml:space="preserve">            //вычисление</t>
  </si>
  <si>
    <t xml:space="preserve">            double[,] m = new double[n,n + 1];</t>
  </si>
  <si>
    <t xml:space="preserve">            double main = 1;</t>
  </si>
  <si>
    <t xml:space="preserve">            for (int i = 0; i &lt; n; i++)</t>
  </si>
  <si>
    <t xml:space="preserve">                double p = 1;</t>
  </si>
  <si>
    <t xml:space="preserve">                for (int j = 0; j &lt; n; j++)</t>
  </si>
  <si>
    <t xml:space="preserve">                    if (i == j)</t>
  </si>
  <si>
    <t xml:space="preserve">                    {</t>
  </si>
  <si>
    <t xml:space="preserve">                        m[i, j] = x - digits[0, i];</t>
  </si>
  <si>
    <t xml:space="preserve">                        main *= m[i, j];</t>
  </si>
  <si>
    <t xml:space="preserve">                        p *= m[i, j];</t>
  </si>
  <si>
    <t xml:space="preserve">                    }</t>
  </si>
  <si>
    <t xml:space="preserve">                    else</t>
  </si>
  <si>
    <t xml:space="preserve">                        m[i, j] = digits[0, i] - digits[0, j];</t>
  </si>
  <si>
    <t xml:space="preserve">                m[i, n] = p;</t>
  </si>
  <si>
    <t xml:space="preserve">            double ans = 0;</t>
  </si>
  <si>
    <t xml:space="preserve">                m[i, n] = main / m[i, n];</t>
  </si>
  <si>
    <t xml:space="preserve">                ans += digits[1, i] * m[i, n];</t>
  </si>
  <si>
    <t xml:space="preserve">            Console.WriteLine("Ответ: получили значение " + ans);</t>
  </si>
  <si>
    <t xml:space="preserve">            Console.ReadKey();</t>
  </si>
  <si>
    <t xml:space="preserve">        }</t>
  </si>
  <si>
    <t xml:space="preserve">    }</t>
  </si>
  <si>
    <t>}</t>
  </si>
  <si>
    <t>Вычисление:</t>
  </si>
  <si>
    <t>Первый ИМ Ньютона</t>
  </si>
  <si>
    <t>Второй ИМ Ньютона</t>
  </si>
  <si>
    <t>xi</t>
  </si>
  <si>
    <t>*</t>
  </si>
  <si>
    <t>Ответ из прошлой лабораторной:</t>
  </si>
  <si>
    <t>x - xi, i=0..n</t>
  </si>
  <si>
    <t>x - xi, i=n..0</t>
  </si>
  <si>
    <t>Отделение корней графическим методом</t>
  </si>
  <si>
    <t>Лабораторная №4</t>
  </si>
  <si>
    <t>Уравнение:</t>
  </si>
  <si>
    <t>Таблица значений:</t>
  </si>
  <si>
    <t>График:</t>
  </si>
  <si>
    <t xml:space="preserve">Ответ: </t>
  </si>
  <si>
    <t>корень уравнения лежит в интервале (0;1)</t>
  </si>
  <si>
    <t>Отделение корней аналитическим методом</t>
  </si>
  <si>
    <t>Шаг:</t>
  </si>
  <si>
    <t>Таблица:</t>
  </si>
  <si>
    <r>
      <t>x</t>
    </r>
    <r>
      <rPr>
        <sz val="8"/>
        <color theme="1"/>
        <rFont val="Calibri"/>
        <family val="2"/>
        <charset val="204"/>
        <scheme val="minor"/>
      </rPr>
      <t>i</t>
    </r>
  </si>
  <si>
    <r>
      <t>f(x</t>
    </r>
    <r>
      <rPr>
        <sz val="8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)</t>
    </r>
  </si>
  <si>
    <t>Отделение корней методом половинного деления</t>
  </si>
  <si>
    <t>Заданная точность               E =</t>
  </si>
  <si>
    <t>Отрезок [-3; 3]</t>
  </si>
  <si>
    <t>№ итерации</t>
  </si>
  <si>
    <t>a</t>
  </si>
  <si>
    <t>c</t>
  </si>
  <si>
    <t>b</t>
  </si>
  <si>
    <t>длина ab</t>
  </si>
  <si>
    <t>достигнута ли точность?</t>
  </si>
  <si>
    <t>f(a)</t>
  </si>
  <si>
    <t xml:space="preserve">f(c) </t>
  </si>
  <si>
    <t>f(b)</t>
  </si>
  <si>
    <t>какой отрезок выбираем?</t>
  </si>
  <si>
    <t>ac</t>
  </si>
  <si>
    <t>cb</t>
  </si>
  <si>
    <t>сb</t>
  </si>
  <si>
    <t xml:space="preserve">Корень лежит на отрезке </t>
  </si>
  <si>
    <t>от</t>
  </si>
  <si>
    <t>до</t>
  </si>
  <si>
    <t>Проверка:</t>
  </si>
  <si>
    <t>точное значение</t>
  </si>
  <si>
    <t>Значение функции</t>
  </si>
  <si>
    <t>значение функции</t>
  </si>
  <si>
    <t>среднее</t>
  </si>
  <si>
    <t>погрешность</t>
  </si>
  <si>
    <t>Корень лежит на отрезке [0,5; 1]</t>
  </si>
  <si>
    <t>Лабораторная №5</t>
  </si>
  <si>
    <t>a)</t>
  </si>
  <si>
    <t>корень</t>
  </si>
  <si>
    <t>промежуток</t>
  </si>
  <si>
    <t xml:space="preserve">до </t>
  </si>
  <si>
    <t>b)</t>
  </si>
  <si>
    <t>первая производная</t>
  </si>
  <si>
    <t>вторая производная</t>
  </si>
  <si>
    <t>m1 =</t>
  </si>
  <si>
    <t>M1 =</t>
  </si>
  <si>
    <t>M2 =</t>
  </si>
  <si>
    <t xml:space="preserve">x0 = </t>
  </si>
  <si>
    <t>N =</t>
  </si>
  <si>
    <t>F(N) =</t>
  </si>
  <si>
    <t>E1 =</t>
  </si>
  <si>
    <t xml:space="preserve">E = </t>
  </si>
  <si>
    <t>№</t>
  </si>
  <si>
    <t>F(xi)</t>
  </si>
  <si>
    <t>x(i+1)</t>
  </si>
  <si>
    <t>xi - x(i + 1)</t>
  </si>
  <si>
    <t>Достигнута ли точность?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</si>
  <si>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charset val="204"/>
        <scheme val="minor"/>
      </rPr>
      <t xml:space="preserve"> 0,0001</t>
    </r>
  </si>
  <si>
    <t>x0 =</t>
  </si>
  <si>
    <t>(b)</t>
  </si>
  <si>
    <t>(a)</t>
  </si>
  <si>
    <t>Окулова Анна, лабораторная №7, вариант 3</t>
  </si>
  <si>
    <t>Система</t>
  </si>
  <si>
    <t>Решение методом Крамера</t>
  </si>
  <si>
    <t>А1</t>
  </si>
  <si>
    <t>А2</t>
  </si>
  <si>
    <t>А3</t>
  </si>
  <si>
    <t>В</t>
  </si>
  <si>
    <t>Матрица для D1</t>
  </si>
  <si>
    <t>Матрица для D2</t>
  </si>
  <si>
    <t>Матрица для D3</t>
  </si>
  <si>
    <t>D =</t>
  </si>
  <si>
    <t>X1 =</t>
  </si>
  <si>
    <t>D1 =</t>
  </si>
  <si>
    <t>X2=</t>
  </si>
  <si>
    <t>D2 =</t>
  </si>
  <si>
    <t>X3=</t>
  </si>
  <si>
    <t xml:space="preserve">D3 = </t>
  </si>
  <si>
    <t>Решение методом обратной матрицы</t>
  </si>
  <si>
    <t>Обратная матрица</t>
  </si>
  <si>
    <t>Решение методом Гаусса</t>
  </si>
  <si>
    <t>Решение методом Гаусса с выделением главного</t>
  </si>
  <si>
    <t>(2)</t>
  </si>
  <si>
    <t>меняем местами</t>
  </si>
  <si>
    <t>+2(1)</t>
  </si>
  <si>
    <t>(1)</t>
  </si>
  <si>
    <t>-(1)</t>
  </si>
  <si>
    <t>+1/2(1)</t>
  </si>
  <si>
    <t>+1/11*(2)</t>
  </si>
  <si>
    <t>тут не надо менять местами</t>
  </si>
  <si>
    <t>-4,5/5,5(2)</t>
  </si>
  <si>
    <t>точное значение корня</t>
  </si>
  <si>
    <t>&lt;E1&amp;&amp;E</t>
  </si>
  <si>
    <t>F`(xi)</t>
  </si>
  <si>
    <t>± 0,006761</t>
  </si>
  <si>
    <t>интегралл</t>
  </si>
  <si>
    <t>(x+1,9)SIN(x/3)</t>
  </si>
  <si>
    <t>Лабораторная №6</t>
  </si>
  <si>
    <t xml:space="preserve">Проверка на условие сходимости </t>
  </si>
  <si>
    <t>f(x)</t>
  </si>
  <si>
    <t>f`(x)</t>
  </si>
  <si>
    <t>m=</t>
  </si>
  <si>
    <t>&lt;1</t>
  </si>
  <si>
    <t>прин [a;b]</t>
  </si>
  <si>
    <t>q=</t>
  </si>
  <si>
    <t>E1=</t>
  </si>
  <si>
    <t>E =</t>
  </si>
  <si>
    <r>
      <t>x</t>
    </r>
    <r>
      <rPr>
        <vertAlign val="subscript"/>
        <sz val="16"/>
        <rFont val="Arial Cyr"/>
        <charset val="204"/>
      </rPr>
      <t>i</t>
    </r>
  </si>
  <si>
    <t>приближенное значение корня</t>
  </si>
  <si>
    <t>Окулова Анна, лабораторная №8, вариант 3</t>
  </si>
  <si>
    <t xml:space="preserve">x1 </t>
  </si>
  <si>
    <t>+</t>
  </si>
  <si>
    <t>7x2</t>
  </si>
  <si>
    <t>-</t>
  </si>
  <si>
    <t>2x3</t>
  </si>
  <si>
    <t>=</t>
  </si>
  <si>
    <t>12x1</t>
  </si>
  <si>
    <t>x3</t>
  </si>
  <si>
    <t>2x1</t>
  </si>
  <si>
    <t>5x3</t>
  </si>
  <si>
    <t>&lt;</t>
  </si>
  <si>
    <t>&gt;</t>
  </si>
  <si>
    <t>Необходимо преобразовать</t>
  </si>
  <si>
    <t>Можем использовать метод</t>
  </si>
  <si>
    <t>Приведение к нормальному виду</t>
  </si>
  <si>
    <t>Преобразование</t>
  </si>
  <si>
    <t>x3 +</t>
  </si>
  <si>
    <t>x1 +</t>
  </si>
  <si>
    <t>x2 +</t>
  </si>
  <si>
    <t>Проверка</t>
  </si>
  <si>
    <t>Проверка на условие сходимости</t>
  </si>
  <si>
    <t>j = 1..4, i = 1</t>
  </si>
  <si>
    <t>a1 =</t>
  </si>
  <si>
    <t>j = 1..4, i = 2</t>
  </si>
  <si>
    <t>a2 =</t>
  </si>
  <si>
    <t>j = 1..4, i = 3</t>
  </si>
  <si>
    <t>a3 =</t>
  </si>
  <si>
    <t>a =</t>
  </si>
  <si>
    <t>Коэффициент сжатия:</t>
  </si>
  <si>
    <t>Вычисления прекращаем когда разница между значениями будет меньше чем это</t>
  </si>
  <si>
    <t>Решение системы</t>
  </si>
  <si>
    <t>Cначала это столбец свободных коэффициентов</t>
  </si>
  <si>
    <t>Подставляем в систему и спускаемся до прекращения вычислений</t>
  </si>
  <si>
    <t>конец?</t>
  </si>
  <si>
    <t>итер. №</t>
  </si>
  <si>
    <t>Эти корни можно считать решением системы</t>
  </si>
  <si>
    <t>Метод простой итерации</t>
  </si>
  <si>
    <t>Метод Зейделя</t>
  </si>
  <si>
    <t>Задача №3</t>
  </si>
  <si>
    <t>y(0)=7</t>
  </si>
  <si>
    <t>y`(0)=4</t>
  </si>
  <si>
    <t>k</t>
  </si>
  <si>
    <t>Xk</t>
  </si>
  <si>
    <t>Yk</t>
  </si>
  <si>
    <t>h</t>
  </si>
  <si>
    <t>Uk</t>
  </si>
  <si>
    <t>f(U)</t>
  </si>
  <si>
    <t>f(u, x)</t>
  </si>
  <si>
    <t>Метод Эйлера</t>
  </si>
  <si>
    <t>Метод Рунге-Кутты</t>
  </si>
  <si>
    <t>r1</t>
  </si>
  <si>
    <t>r2</t>
  </si>
  <si>
    <t>r3</t>
  </si>
  <si>
    <t>r4</t>
  </si>
  <si>
    <t>- погрешность</t>
  </si>
  <si>
    <t>e^2</t>
  </si>
  <si>
    <t>e</t>
  </si>
  <si>
    <t>b =</t>
  </si>
  <si>
    <t>обр. матр.</t>
  </si>
  <si>
    <t>Определитель системы</t>
  </si>
  <si>
    <t>xy</t>
  </si>
  <si>
    <t>x^2</t>
  </si>
  <si>
    <t>суммы</t>
  </si>
  <si>
    <t>y=ax^2+bx+c</t>
  </si>
  <si>
    <t>c =</t>
  </si>
  <si>
    <t>x^2 y</t>
  </si>
  <si>
    <t>x^3</t>
  </si>
  <si>
    <t>x^4</t>
  </si>
  <si>
    <t>квадратичная</t>
  </si>
  <si>
    <t>y=ax+b</t>
  </si>
  <si>
    <t>линейная</t>
  </si>
  <si>
    <t>F = ax +b</t>
  </si>
  <si>
    <t xml:space="preserve">b </t>
  </si>
  <si>
    <t>F = 2,74x -1,2</t>
  </si>
  <si>
    <t>F = ax^2+bx+c</t>
  </si>
  <si>
    <t>F=-0,2x^2+4,1x-3,09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</si>
</sst>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"/>
    <numFmt numFmtId="166" formatCode="0.00000"/>
    <numFmt numFmtId="167" formatCode="0.000000000000000"/>
    <numFmt numFmtId="168" formatCode="0.00000000"/>
    <numFmt numFmtId="169" formatCode="0.000000000"/>
    <numFmt numFmtId="170" formatCode="0.00000000000"/>
    <numFmt numFmtId="171" formatCode="0.000000"/>
    <numFmt numFmtId="172" formatCode="0.0000000000"/>
  </numFmts>
  <fonts count="28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  <font>
      <i/>
      <sz val="11"/>
      <color theme="1"/>
      <name val="Segoe UI"/>
      <family val="2"/>
      <charset val="204"/>
    </font>
    <font>
      <sz val="11"/>
      <color rgb="FF000000"/>
      <name val="Segoe"/>
      <charset val="204"/>
    </font>
    <font>
      <u/>
      <sz val="11"/>
      <color theme="1"/>
      <name val="Segoe UI"/>
      <family val="2"/>
      <charset val="204"/>
    </font>
    <font>
      <sz val="11"/>
      <color rgb="FFFF0000"/>
      <name val="Segoe UI"/>
      <family val="2"/>
      <charset val="204"/>
    </font>
    <font>
      <sz val="11"/>
      <color theme="1"/>
      <name val="Segoe"/>
      <charset val="204"/>
    </font>
    <font>
      <i/>
      <sz val="11"/>
      <color theme="1"/>
      <name val="Segoe"/>
      <charset val="204"/>
    </font>
    <font>
      <sz val="8"/>
      <color theme="1"/>
      <name val="Segoe"/>
      <charset val="204"/>
    </font>
    <font>
      <sz val="11"/>
      <color rgb="FFFF0000"/>
      <name val="Segoe"/>
      <charset val="204"/>
    </font>
    <font>
      <sz val="11"/>
      <color rgb="FF0070C0"/>
      <name val="Segoe UI"/>
      <family val="2"/>
      <charset val="204"/>
    </font>
    <font>
      <sz val="11"/>
      <color rgb="FF0070C0"/>
      <name val="Segoe"/>
      <charset val="204"/>
    </font>
    <font>
      <b/>
      <sz val="11"/>
      <color theme="1"/>
      <name val="Segoe"/>
      <charset val="204"/>
    </font>
    <font>
      <sz val="11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6"/>
      <name val="Arial Cyr"/>
      <charset val="204"/>
    </font>
    <font>
      <vertAlign val="subscript"/>
      <sz val="16"/>
      <name val="Arial Cyr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5" fillId="0" borderId="0"/>
  </cellStyleXfs>
  <cellXfs count="1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Border="1"/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6" fillId="0" borderId="1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11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12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/>
    <xf numFmtId="0" fontId="9" fillId="0" borderId="1" xfId="0" applyFont="1" applyBorder="1"/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9" fillId="0" borderId="0" xfId="0" applyFont="1" applyBorder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1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0" xfId="0" applyFont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2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9" fillId="0" borderId="12" xfId="0" applyFont="1" applyBorder="1"/>
    <xf numFmtId="164" fontId="1" fillId="0" borderId="3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6" fillId="0" borderId="4" xfId="0" applyFont="1" applyBorder="1" applyAlignment="1">
      <alignment horizontal="center" vertical="center"/>
    </xf>
    <xf numFmtId="164" fontId="16" fillId="0" borderId="4" xfId="0" applyNumberFormat="1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164" fontId="16" fillId="4" borderId="4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/>
    </xf>
    <xf numFmtId="165" fontId="1" fillId="0" borderId="0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165" fontId="1" fillId="0" borderId="24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166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6" borderId="0" xfId="0" applyFill="1"/>
    <xf numFmtId="0" fontId="0" fillId="0" borderId="0" xfId="0" applyFill="1"/>
    <xf numFmtId="0" fontId="19" fillId="0" borderId="0" xfId="0" applyFont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Fill="1" applyBorder="1"/>
    <xf numFmtId="0" fontId="0" fillId="6" borderId="4" xfId="0" applyFill="1" applyBorder="1"/>
    <xf numFmtId="0" fontId="19" fillId="0" borderId="0" xfId="0" applyFont="1" applyFill="1"/>
    <xf numFmtId="0" fontId="19" fillId="7" borderId="11" xfId="0" applyFont="1" applyFill="1" applyBorder="1"/>
    <xf numFmtId="0" fontId="0" fillId="7" borderId="4" xfId="0" applyFill="1" applyBorder="1"/>
    <xf numFmtId="0" fontId="0" fillId="0" borderId="0" xfId="0" applyFill="1" applyBorder="1"/>
    <xf numFmtId="168" fontId="0" fillId="0" borderId="0" xfId="0" applyNumberFormat="1"/>
    <xf numFmtId="0" fontId="0" fillId="0" borderId="0" xfId="0" applyFill="1" applyAlignment="1">
      <alignment horizontal="center"/>
    </xf>
    <xf numFmtId="166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applyAlignment="1">
      <alignment horizontal="center"/>
    </xf>
    <xf numFmtId="0" fontId="17" fillId="0" borderId="0" xfId="0" applyFont="1"/>
    <xf numFmtId="0" fontId="0" fillId="0" borderId="0" xfId="0" applyBorder="1"/>
    <xf numFmtId="0" fontId="0" fillId="7" borderId="0" xfId="0" applyFill="1"/>
    <xf numFmtId="0" fontId="17" fillId="0" borderId="0" xfId="0" applyFont="1" applyFill="1"/>
    <xf numFmtId="49" fontId="0" fillId="0" borderId="0" xfId="0" applyNumberFormat="1"/>
    <xf numFmtId="49" fontId="0" fillId="0" borderId="0" xfId="0" applyNumberFormat="1" applyFill="1" applyBorder="1"/>
    <xf numFmtId="171" fontId="0" fillId="0" borderId="0" xfId="0" applyNumberFormat="1"/>
    <xf numFmtId="172" fontId="0" fillId="0" borderId="0" xfId="0" applyNumberFormat="1"/>
    <xf numFmtId="0" fontId="0" fillId="8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1" fillId="0" borderId="0" xfId="0" applyFont="1"/>
    <xf numFmtId="0" fontId="21" fillId="0" borderId="0" xfId="0" applyFont="1" applyAlignment="1"/>
    <xf numFmtId="0" fontId="21" fillId="0" borderId="0" xfId="0" applyFont="1" applyAlignment="1">
      <alignment horizontal="right"/>
    </xf>
    <xf numFmtId="0" fontId="21" fillId="0" borderId="0" xfId="0" applyFont="1" applyBorder="1"/>
    <xf numFmtId="0" fontId="17" fillId="0" borderId="0" xfId="0" applyFont="1" applyAlignment="1">
      <alignment horizontal="right"/>
    </xf>
    <xf numFmtId="169" fontId="17" fillId="0" borderId="0" xfId="0" applyNumberFormat="1" applyFont="1"/>
    <xf numFmtId="0" fontId="2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 applyBorder="1" applyAlignment="1">
      <alignment horizontal="center"/>
    </xf>
    <xf numFmtId="0" fontId="0" fillId="9" borderId="0" xfId="0" applyFill="1" applyAlignment="1">
      <alignment horizontal="right"/>
    </xf>
    <xf numFmtId="0" fontId="0" fillId="9" borderId="0" xfId="0" applyFill="1" applyAlignment="1">
      <alignment horizontal="center"/>
    </xf>
    <xf numFmtId="0" fontId="24" fillId="2" borderId="0" xfId="0" applyFont="1" applyFill="1" applyAlignment="1">
      <alignment horizontal="center"/>
    </xf>
    <xf numFmtId="0" fontId="24" fillId="2" borderId="0" xfId="0" applyFont="1" applyFill="1"/>
    <xf numFmtId="0" fontId="0" fillId="2" borderId="0" xfId="0" applyFill="1" applyAlignment="1">
      <alignment horizontal="center"/>
    </xf>
    <xf numFmtId="0" fontId="25" fillId="0" borderId="0" xfId="1"/>
    <xf numFmtId="0" fontId="25" fillId="0" borderId="0" xfId="1" quotePrefix="1"/>
    <xf numFmtId="0" fontId="25" fillId="10" borderId="0" xfId="1" applyFill="1"/>
    <xf numFmtId="0" fontId="25" fillId="10" borderId="4" xfId="1" applyFill="1" applyBorder="1"/>
    <xf numFmtId="0" fontId="25" fillId="0" borderId="4" xfId="1" applyFill="1" applyBorder="1"/>
    <xf numFmtId="0" fontId="25" fillId="0" borderId="13" xfId="1" applyBorder="1"/>
    <xf numFmtId="0" fontId="26" fillId="0" borderId="25" xfId="1" applyFont="1" applyBorder="1" applyAlignment="1">
      <alignment horizontal="right" vertical="center"/>
    </xf>
    <xf numFmtId="0" fontId="26" fillId="0" borderId="26" xfId="1" applyFont="1" applyBorder="1" applyAlignment="1">
      <alignment horizontal="right" vertical="center"/>
    </xf>
    <xf numFmtId="0" fontId="26" fillId="0" borderId="27" xfId="1" applyFont="1" applyBorder="1" applyAlignment="1">
      <alignment horizontal="right" vertical="center"/>
    </xf>
    <xf numFmtId="0" fontId="26" fillId="0" borderId="28" xfId="1" applyFont="1" applyBorder="1" applyAlignment="1">
      <alignment horizontal="right" vertical="center"/>
    </xf>
    <xf numFmtId="0" fontId="25" fillId="0" borderId="0" xfId="1" applyAlignment="1">
      <alignment horizontal="center"/>
    </xf>
    <xf numFmtId="0" fontId="25" fillId="0" borderId="0" xfId="1" applyFill="1" applyBorder="1"/>
    <xf numFmtId="0" fontId="25" fillId="0" borderId="0" xfId="1" quotePrefix="1" applyFill="1" applyBorder="1"/>
    <xf numFmtId="0" fontId="27" fillId="0" borderId="0" xfId="1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2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10" xfId="0" applyFont="1" applyBorder="1" applyAlignment="1">
      <alignment horizont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9" fillId="0" borderId="10" xfId="0" applyFont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167" fontId="12" fillId="0" borderId="0" xfId="0" applyNumberFormat="1" applyFont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5" fillId="0" borderId="0" xfId="1" applyAlignment="1">
      <alignment horizontal="center"/>
    </xf>
    <xf numFmtId="0" fontId="25" fillId="0" borderId="0" xfId="1" applyFill="1" applyBorder="1" applyAlignment="1">
      <alignment horizontal="center"/>
    </xf>
    <xf numFmtId="0" fontId="25" fillId="0" borderId="0" xfId="1" applyFill="1" applyAlignment="1">
      <alignment horizontal="center"/>
    </xf>
    <xf numFmtId="0" fontId="1" fillId="0" borderId="11" xfId="0" applyNumberFormat="1" applyFont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499614786957606E-2"/>
          <c:y val="0.11390284757118928"/>
          <c:w val="0.88401613977357307"/>
          <c:h val="0.69932919189121456"/>
        </c:manualLayout>
      </c:layout>
      <c:lineChart>
        <c:grouping val="stacked"/>
        <c:varyColors val="0"/>
        <c:ser>
          <c:idx val="0"/>
          <c:order val="0"/>
          <c:tx>
            <c:v>y = x * 2^x - 1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Лаб4!$D$6:$J$6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Лаб4!$D$7:$J$7</c:f>
              <c:numCache>
                <c:formatCode>General</c:formatCode>
                <c:ptCount val="7"/>
                <c:pt idx="0">
                  <c:v>-1.375</c:v>
                </c:pt>
                <c:pt idx="1">
                  <c:v>-1.5</c:v>
                </c:pt>
                <c:pt idx="2">
                  <c:v>-1.5</c:v>
                </c:pt>
                <c:pt idx="3">
                  <c:v>-1</c:v>
                </c:pt>
                <c:pt idx="4">
                  <c:v>1</c:v>
                </c:pt>
                <c:pt idx="5">
                  <c:v>7</c:v>
                </c:pt>
                <c:pt idx="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5-49C2-9EA8-5CB768610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034384"/>
        <c:axId val="1702039792"/>
      </c:lineChart>
      <c:catAx>
        <c:axId val="170203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2039792"/>
        <c:crosses val="autoZero"/>
        <c:auto val="1"/>
        <c:lblAlgn val="ctr"/>
        <c:lblOffset val="100"/>
        <c:noMultiLvlLbl val="0"/>
      </c:catAx>
      <c:valAx>
        <c:axId val="17020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203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Табличн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4'!$A$2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4'!$B$1:$G$1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'Задача 4'!$B$2:$G$2</c:f>
              <c:numCache>
                <c:formatCode>General</c:formatCode>
                <c:ptCount val="6"/>
                <c:pt idx="0">
                  <c:v>1</c:v>
                </c:pt>
                <c:pt idx="1">
                  <c:v>3.5</c:v>
                </c:pt>
                <c:pt idx="2">
                  <c:v>9</c:v>
                </c:pt>
                <c:pt idx="3">
                  <c:v>10</c:v>
                </c:pt>
                <c:pt idx="4">
                  <c:v>11.8</c:v>
                </c:pt>
                <c:pt idx="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2-4895-A317-F0B290535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602528"/>
        <c:axId val="403603312"/>
      </c:lineChart>
      <c:catAx>
        <c:axId val="40360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603312"/>
        <c:crosses val="autoZero"/>
        <c:auto val="1"/>
        <c:lblAlgn val="ctr"/>
        <c:lblOffset val="100"/>
        <c:noMultiLvlLbl val="0"/>
      </c:catAx>
      <c:valAx>
        <c:axId val="40360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360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4'!$A$17</c:f>
              <c:strCache>
                <c:ptCount val="1"/>
                <c:pt idx="0">
                  <c:v>y=ax+b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4'!$B$16:$G$16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'Задача 4'!$B$17:$G$17</c:f>
              <c:numCache>
                <c:formatCode>General</c:formatCode>
                <c:ptCount val="6"/>
                <c:pt idx="0">
                  <c:v>1.5333333333333261</c:v>
                </c:pt>
                <c:pt idx="1">
                  <c:v>4.2733333333333299</c:v>
                </c:pt>
                <c:pt idx="2">
                  <c:v>7.0133333333333336</c:v>
                </c:pt>
                <c:pt idx="3">
                  <c:v>9.7533333333333374</c:v>
                </c:pt>
                <c:pt idx="4">
                  <c:v>12.493333333333341</c:v>
                </c:pt>
                <c:pt idx="5">
                  <c:v>15.233333333333345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DC-4453-8B9C-73F4A55AF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144656"/>
        <c:axId val="406148968"/>
      </c:lineChart>
      <c:catAx>
        <c:axId val="40614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148968"/>
        <c:crosses val="autoZero"/>
        <c:auto val="1"/>
        <c:lblAlgn val="ctr"/>
        <c:lblOffset val="100"/>
        <c:noMultiLvlLbl val="0"/>
      </c:catAx>
      <c:valAx>
        <c:axId val="40614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14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4'!$A$41</c:f>
              <c:strCache>
                <c:ptCount val="1"/>
                <c:pt idx="0">
                  <c:v>y=ax^2+bx+c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'Задача 4'!$B$40:$G$40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'Задача 4'!$B$41:$G$41</c:f>
              <c:numCache>
                <c:formatCode>General</c:formatCode>
                <c:ptCount val="6"/>
                <c:pt idx="0">
                  <c:v>0.86071428571426623</c:v>
                </c:pt>
                <c:pt idx="1">
                  <c:v>4.407857142857182</c:v>
                </c:pt>
                <c:pt idx="2">
                  <c:v>7.5514285714286871</c:v>
                </c:pt>
                <c:pt idx="3">
                  <c:v>10.291428571428781</c:v>
                </c:pt>
                <c:pt idx="4">
                  <c:v>12.627857142857465</c:v>
                </c:pt>
                <c:pt idx="5">
                  <c:v>14.560714285714738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44-4EA0-8636-FEF6B16E9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145048"/>
        <c:axId val="406148576"/>
      </c:lineChart>
      <c:catAx>
        <c:axId val="40614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148576"/>
        <c:crosses val="autoZero"/>
        <c:auto val="1"/>
        <c:lblAlgn val="ctr"/>
        <c:lblOffset val="100"/>
        <c:noMultiLvlLbl val="0"/>
      </c:catAx>
      <c:valAx>
        <c:axId val="40614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6145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7</xdr:row>
      <xdr:rowOff>19050</xdr:rowOff>
    </xdr:from>
    <xdr:ext cx="175804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762000" y="1838325"/>
              <a:ext cx="175804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62000" y="1838325"/>
              <a:ext cx="175804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𝐹(𝑥)=𝑎_0+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1∗𝑥+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2∗𝑥^2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9</xdr:row>
      <xdr:rowOff>19050</xdr:rowOff>
    </xdr:from>
    <xdr:ext cx="1844864" cy="6368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752475" y="2257425"/>
              <a:ext cx="1844864" cy="636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ru-RU">
                                <a:effectLst/>
                              </a:rPr>
                              <m:t> </m:t>
                            </m:r>
                          </m:e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ru-RU">
                                <a:effectLst/>
                              </a:rPr>
                              <m:t> </m:t>
                            </m:r>
                          </m:e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ru-RU">
                                <a:effectLst/>
                              </a:rPr>
                              <m:t>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752475" y="2257425"/>
              <a:ext cx="1844864" cy="636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𝑎_0+𝑎_1∗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+𝑎_2∗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𝑥_0^2= 𝑦_0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ru-RU" i="0">
                  <a:effectLst/>
                </a:rPr>
                <a:t> </a:t>
              </a:r>
              <a:r>
                <a:rPr lang="ru-RU" sz="1100" i="0">
                  <a:effectLst/>
                  <a:latin typeface="Cambria Math" panose="02040503050406030204" pitchFamily="18" charset="0"/>
                </a:rPr>
                <a:t>" 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𝑎_0+𝑎_1∗𝑥_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+𝑎_2∗𝑥_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^2= 𝑦_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ru-RU" i="0">
                  <a:effectLst/>
                </a:rPr>
                <a:t> </a:t>
              </a:r>
              <a:r>
                <a:rPr lang="ru-RU" sz="1100" i="0">
                  <a:effectLst/>
                  <a:latin typeface="Cambria Math" panose="02040503050406030204" pitchFamily="18" charset="0"/>
                </a:rPr>
                <a:t>" 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𝑎_0+𝑎_1∗𝑥_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+𝑎_2∗𝑥_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^2= 𝑦_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ru-RU" i="0">
                  <a:effectLst/>
                </a:rPr>
                <a:t> </a:t>
              </a:r>
              <a:r>
                <a:rPr lang="ru-RU" sz="1100" i="0">
                  <a:effectLst/>
                  <a:latin typeface="Cambria Math" panose="02040503050406030204" pitchFamily="18" charset="0"/>
                </a:rPr>
                <a:t>" 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581026</xdr:colOff>
      <xdr:row>9</xdr:row>
      <xdr:rowOff>95248</xdr:rowOff>
    </xdr:from>
    <xdr:ext cx="2305050" cy="540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638426" y="2333623"/>
              <a:ext cx="2305050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∗100+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∗100∗100=10</m:t>
                            </m:r>
                            <m:r>
                              <m:rPr>
                                <m:nor/>
                              </m:rPr>
                              <a:rPr lang="ru-RU">
                                <a:effectLst/>
                              </a:rPr>
                              <m:t> </m:t>
                            </m:r>
                          </m:e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∗121+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∗121∗121=11</m:t>
                            </m:r>
                            <m:r>
                              <m:rPr>
                                <m:nor/>
                              </m:rPr>
                              <a:rPr lang="ru-RU">
                                <a:effectLst/>
                              </a:rPr>
                              <m:t> </m:t>
                            </m:r>
                          </m:e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∗144+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∗144∗144=12</m:t>
                            </m:r>
                            <m:r>
                              <m:rPr>
                                <m:nor/>
                              </m:rPr>
                              <a:rPr lang="ru-RU">
                                <a:effectLst/>
                              </a:rPr>
                              <m:t>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38426" y="2333623"/>
              <a:ext cx="2305050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𝑎_0+𝑎_1∗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+𝑎_2∗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100∗100=10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ru-RU" i="0">
                  <a:effectLst/>
                </a:rPr>
                <a:t> </a:t>
              </a:r>
              <a:r>
                <a:rPr lang="ru-RU" sz="1100" i="0">
                  <a:effectLst/>
                  <a:latin typeface="Cambria Math" panose="02040503050406030204" pitchFamily="18" charset="0"/>
                </a:rPr>
                <a:t>" 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𝑎_0+𝑎_1∗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+𝑎_2∗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121∗121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ru-RU" i="0">
                  <a:effectLst/>
                </a:rPr>
                <a:t> </a:t>
              </a:r>
              <a:r>
                <a:rPr lang="ru-RU" sz="1100" i="0">
                  <a:effectLst/>
                  <a:latin typeface="Cambria Math" panose="02040503050406030204" pitchFamily="18" charset="0"/>
                </a:rPr>
                <a:t>" 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𝑎_0+𝑎_1∗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+𝑎_2∗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144∗144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ru-RU" i="0">
                  <a:effectLst/>
                </a:rPr>
                <a:t> </a:t>
              </a:r>
              <a:r>
                <a:rPr lang="ru-RU" sz="1100" i="0">
                  <a:effectLst/>
                  <a:latin typeface="Cambria Math" panose="02040503050406030204" pitchFamily="18" charset="0"/>
                </a:rPr>
                <a:t>" 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28574</xdr:colOff>
      <xdr:row>7</xdr:row>
      <xdr:rowOff>96833</xdr:rowOff>
    </xdr:from>
    <xdr:ext cx="4371975" cy="10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7610474" y="1658933"/>
              <a:ext cx="4371975" cy="10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d>
                    <m:r>
                      <a:rPr lang="ru-RU" sz="1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f>
                      <m:fPr>
                        <m:ctrlPr>
                          <a:rPr lang="ru-RU" sz="12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2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num>
                      <m:den>
                        <m:d>
                          <m:dPr>
                            <m:ctrlP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+1</m:t>
                            </m:r>
                          </m:e>
                        </m:d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!</m:t>
                        </m:r>
                      </m:den>
                    </m:f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begChr m:val="|"/>
                        <m:endChr m:val="|"/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nary>
                          <m:naryPr>
                            <m:chr m:val="∏"/>
                            <m:limLoc m:val="subSup"/>
                            <m:supHide m:val="on"/>
                            <m:ctrlP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9"/>
                              </m:rP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+1</m:t>
                            </m:r>
                          </m:sub>
                          <m:sup/>
                          <m:e>
                            <m:d>
                              <m:dPr>
                                <m:ctrlP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</m:e>
                        </m:nary>
                      </m:e>
                    </m:d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 </m:t>
                    </m:r>
                  </m:oMath>
                </m:oMathPara>
              </a14:m>
              <a:endParaRPr lang="en-US" sz="12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где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d>
                      <m:dPr>
                        <m:begChr m:val="|"/>
                        <m:endChr m:val="|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  <m:d>
                          <m:d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d>
                      </m:e>
                    </m: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</m:t>
                    </m:r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остаточный член</m:t>
                    </m:r>
                    <m:d>
                      <m:dPr>
                        <m:ctrlP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погрешность</m:t>
                        </m:r>
                      </m:e>
                    </m: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;</m:t>
                    </m:r>
                  </m:oMath>
                </m:oMathPara>
              </a14:m>
              <a:endParaRPr lang="en-US" sz="12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US" sz="12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max</m:t>
                            </m:r>
                          </m:e>
                          <m:lim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≤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𝑥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≤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p>
                                <m:d>
                                  <m:d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+1</m:t>
                                    </m:r>
                                  </m:e>
                                </m:d>
                              </m:sup>
                            </m:s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func>
                    <m:r>
                      <a:rPr lang="ru-R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14:m>
                <m:oMath xmlns:m="http://schemas.openxmlformats.org/officeDocument/2006/math">
                  <m:nary>
                    <m:naryPr>
                      <m:chr m:val="∏"/>
                      <m:limLoc m:val="subSup"/>
                      <m:supHide m:val="on"/>
                      <m:ctrlPr>
                        <a:rPr lang="en-US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9"/>
                        </m:rPr>
                        <a:rPr lang="en-US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  <m:r>
                        <a:rPr lang="en-US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+1</m:t>
                      </m:r>
                    </m:sub>
                    <m:sup/>
                    <m:e>
                      <m:d>
                        <m:dPr>
                          <m:ctrlPr>
                            <a:rPr lang="en-US" sz="12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2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</m:d>
                    </m:e>
                  </m:nary>
                  <m:r>
                    <a:rPr lang="en-US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d>
                    <m:dPr>
                      <m:ctrlPr>
                        <a:rPr lang="en-US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  <m:r>
                        <a:rPr lang="en-US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 </m:t>
                      </m:r>
                      <m:sSub>
                        <m:sSubPr>
                          <m:ctrlPr>
                            <a:rPr lang="en-US" sz="12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2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12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0</m:t>
                          </m:r>
                        </m:sub>
                      </m:sSub>
                    </m:e>
                  </m:d>
                  <m:d>
                    <m:dPr>
                      <m:ctrlPr>
                        <a:rPr lang="en-US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  <m:r>
                        <a:rPr lang="en-US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</m:t>
                      </m:r>
                      <m:sSub>
                        <m:sSubPr>
                          <m:ctrlPr>
                            <a:rPr lang="en-US" sz="12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2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12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</m:e>
                  </m:d>
                  <m:r>
                    <a:rPr lang="en-US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… </m:t>
                  </m:r>
                  <m:d>
                    <m:dPr>
                      <m:ctrlPr>
                        <a:rPr lang="en-US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  <m:r>
                        <a:rPr lang="en-US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</m:t>
                      </m:r>
                      <m:sSub>
                        <m:sSubPr>
                          <m:ctrlPr>
                            <a:rPr lang="en-US" sz="12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2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12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sub>
                      </m:sSub>
                    </m:e>
                  </m:d>
                  <m:r>
                    <a:rPr lang="en-US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2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</m:t>
                  </m:r>
                </m:oMath>
              </a14:m>
              <a:r>
                <a:rPr lang="en-US" sz="1200"/>
                <a:t> </a:t>
              </a:r>
              <a:endParaRPr lang="ru-RU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7610474" y="1658933"/>
              <a:ext cx="4371975" cy="10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ru-RU" sz="1200" i="0">
                  <a:latin typeface="Cambria Math" panose="02040503050406030204" pitchFamily="18" charset="0"/>
                </a:rPr>
                <a:t>|</a:t>
              </a:r>
              <a:r>
                <a:rPr lang="en-US" sz="1200" b="0" i="0">
                  <a:latin typeface="Cambria Math" panose="02040503050406030204" pitchFamily="18" charset="0"/>
                </a:rPr>
                <a:t>𝑅</a:t>
              </a:r>
              <a:r>
                <a:rPr lang="ru-RU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</a:rPr>
                <a:t>𝑛 (𝑥)</a:t>
              </a:r>
              <a:r>
                <a:rPr lang="ru-RU" sz="1200" b="0" i="0">
                  <a:latin typeface="Cambria Math" panose="02040503050406030204" pitchFamily="18" charset="0"/>
                </a:rPr>
                <a:t>|</a:t>
              </a:r>
              <a:r>
                <a:rPr lang="ru-RU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𝑀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𝑛+1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(𝑛+1)!∗|∏10_(𝑛+1)▒(𝑥) |, </a:t>
              </a:r>
              <a:endParaRPr lang="en-US" sz="12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где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|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|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остаточный член(погрешность)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;</a:t>
              </a:r>
              <a:endParaRPr lang="en-US" sz="12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algn="ctr"/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𝑀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𝑛+1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=max_(𝑥_0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≤𝑥≤𝑥_𝑛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)⁡|𝑓^((𝑛+1) ) (𝑥)|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ru-R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n-US" sz="12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∏2_(𝑛+1)▒(𝑥)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=(𝑥− 𝑥_0 )(𝑥 −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1 )…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 −𝑥_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.</a:t>
              </a:r>
              <a:r>
                <a:rPr lang="en-US" sz="1200"/>
                <a:t> 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6</xdr:row>
      <xdr:rowOff>19050</xdr:rowOff>
    </xdr:from>
    <xdr:ext cx="1972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2686050" y="1371600"/>
              <a:ext cx="197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686050" y="1371600"/>
              <a:ext cx="197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𝑦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180975</xdr:colOff>
      <xdr:row>6</xdr:row>
      <xdr:rowOff>9525</xdr:rowOff>
    </xdr:from>
    <xdr:ext cx="26718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3248025" y="1362075"/>
              <a:ext cx="2671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248025" y="1362075"/>
              <a:ext cx="2671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133350</xdr:colOff>
      <xdr:row>6</xdr:row>
      <xdr:rowOff>9525</xdr:rowOff>
    </xdr:from>
    <xdr:ext cx="26718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3810000" y="1362075"/>
              <a:ext cx="2671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810000" y="1362075"/>
              <a:ext cx="2671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152400</xdr:colOff>
      <xdr:row>6</xdr:row>
      <xdr:rowOff>19050</xdr:rowOff>
    </xdr:from>
    <xdr:ext cx="267188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4438650" y="1371600"/>
              <a:ext cx="26718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438650" y="1371600"/>
              <a:ext cx="26718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171450</xdr:colOff>
      <xdr:row>6</xdr:row>
      <xdr:rowOff>19050</xdr:rowOff>
    </xdr:from>
    <xdr:ext cx="267188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5067300" y="1371600"/>
              <a:ext cx="267188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067300" y="1371600"/>
              <a:ext cx="267188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152400</xdr:colOff>
      <xdr:row>6</xdr:row>
      <xdr:rowOff>0</xdr:rowOff>
    </xdr:from>
    <xdr:ext cx="26718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5657850" y="1352550"/>
              <a:ext cx="2671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352550"/>
              <a:ext cx="2671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228600</xdr:colOff>
      <xdr:row>18</xdr:row>
      <xdr:rowOff>19050</xdr:rowOff>
    </xdr:from>
    <xdr:ext cx="1972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2076450" y="1371600"/>
              <a:ext cx="197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076450" y="1371600"/>
              <a:ext cx="197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𝑦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180975</xdr:colOff>
      <xdr:row>18</xdr:row>
      <xdr:rowOff>9525</xdr:rowOff>
    </xdr:from>
    <xdr:ext cx="26718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2638425" y="1362075"/>
              <a:ext cx="2671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638425" y="1362075"/>
              <a:ext cx="2671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133350</xdr:colOff>
      <xdr:row>18</xdr:row>
      <xdr:rowOff>9525</xdr:rowOff>
    </xdr:from>
    <xdr:ext cx="26718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3200400" y="1362075"/>
              <a:ext cx="2671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200400" y="1362075"/>
              <a:ext cx="26718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</xdr:colOff>
      <xdr:row>3</xdr:row>
      <xdr:rowOff>9525</xdr:rowOff>
    </xdr:from>
    <xdr:ext cx="93198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1285875" y="733425"/>
              <a:ext cx="9319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 −1=0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285875" y="733425"/>
              <a:ext cx="9319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𝑥∗2^𝑥  −1=0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</xdr:col>
      <xdr:colOff>57151</xdr:colOff>
      <xdr:row>7</xdr:row>
      <xdr:rowOff>47625</xdr:rowOff>
    </xdr:from>
    <xdr:to>
      <xdr:col>7</xdr:col>
      <xdr:colOff>228601</xdr:colOff>
      <xdr:row>17</xdr:row>
      <xdr:rowOff>38100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276225</xdr:colOff>
      <xdr:row>27</xdr:row>
      <xdr:rowOff>85725</xdr:rowOff>
    </xdr:from>
    <xdr:to>
      <xdr:col>15</xdr:col>
      <xdr:colOff>123615</xdr:colOff>
      <xdr:row>31</xdr:row>
      <xdr:rowOff>85630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" y="9191625"/>
          <a:ext cx="1676190" cy="7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214841</xdr:colOff>
      <xdr:row>23</xdr:row>
      <xdr:rowOff>14816</xdr:rowOff>
    </xdr:from>
    <xdr:to>
      <xdr:col>16</xdr:col>
      <xdr:colOff>185801</xdr:colOff>
      <xdr:row>27</xdr:row>
      <xdr:rowOff>71864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1341" y="5115983"/>
          <a:ext cx="2426293" cy="8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19</xdr:row>
      <xdr:rowOff>9525</xdr:rowOff>
    </xdr:from>
    <xdr:ext cx="93198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1285875" y="733425"/>
              <a:ext cx="9319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 −1=0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285875" y="733425"/>
              <a:ext cx="9319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𝑥∗2^𝑥  −1=0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9525</xdr:colOff>
      <xdr:row>50</xdr:row>
      <xdr:rowOff>171450</xdr:rowOff>
    </xdr:from>
    <xdr:ext cx="93198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/>
          </xdr:nvSpPr>
          <xdr:spPr>
            <a:xfrm>
              <a:off x="7810500" y="9848850"/>
              <a:ext cx="9319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 −1=0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7810500" y="9848850"/>
              <a:ext cx="9319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𝑥∗2^𝑥  −1=0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581025</xdr:colOff>
      <xdr:row>51</xdr:row>
      <xdr:rowOff>171450</xdr:rowOff>
    </xdr:from>
    <xdr:ext cx="15101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/>
          </xdr:nvSpPr>
          <xdr:spPr>
            <a:xfrm>
              <a:off x="7772400" y="10058400"/>
              <a:ext cx="15101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𝑙𝑛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772400" y="10058400"/>
              <a:ext cx="15101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𝑥∗2^𝑥  </a:t>
              </a:r>
              <a:r>
                <a:rPr lang="ru-RU" sz="1100" b="0" i="0">
                  <a:latin typeface="Cambria Math" panose="02040503050406030204" pitchFamily="18" charset="0"/>
                </a:rPr>
                <a:t>∗</a:t>
              </a:r>
              <a:r>
                <a:rPr lang="en-US" sz="1100" b="0" i="0">
                  <a:latin typeface="Cambria Math" panose="02040503050406030204" pitchFamily="18" charset="0"/>
                </a:rPr>
                <a:t>𝑙𝑛(2)+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2^𝑥</a:t>
              </a:r>
              <a:r>
                <a:rPr lang="en-US" sz="1100" b="0" i="0">
                  <a:latin typeface="Cambria Math" panose="02040503050406030204" pitchFamily="18" charset="0"/>
                </a:rPr>
                <a:t>=0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2</xdr:col>
      <xdr:colOff>476250</xdr:colOff>
      <xdr:row>21</xdr:row>
      <xdr:rowOff>19050</xdr:rowOff>
    </xdr:from>
    <xdr:to>
      <xdr:col>4</xdr:col>
      <xdr:colOff>47779</xdr:colOff>
      <xdr:row>23</xdr:row>
      <xdr:rowOff>38156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1123950"/>
          <a:ext cx="1105054" cy="400106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21</xdr:row>
      <xdr:rowOff>9525</xdr:rowOff>
    </xdr:from>
    <xdr:to>
      <xdr:col>12</xdr:col>
      <xdr:colOff>47840</xdr:colOff>
      <xdr:row>23</xdr:row>
      <xdr:rowOff>19105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5650" y="1114425"/>
          <a:ext cx="1543265" cy="390580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23</xdr:row>
      <xdr:rowOff>28575</xdr:rowOff>
    </xdr:from>
    <xdr:to>
      <xdr:col>6</xdr:col>
      <xdr:colOff>93750</xdr:colOff>
      <xdr:row>45</xdr:row>
      <xdr:rowOff>85725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0050" y="1514475"/>
          <a:ext cx="4218075" cy="424815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23</xdr:row>
      <xdr:rowOff>77712</xdr:rowOff>
    </xdr:from>
    <xdr:to>
      <xdr:col>11</xdr:col>
      <xdr:colOff>790575</xdr:colOff>
      <xdr:row>45</xdr:row>
      <xdr:rowOff>77087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1563612"/>
          <a:ext cx="3914775" cy="419037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23</xdr:row>
      <xdr:rowOff>123825</xdr:rowOff>
    </xdr:from>
    <xdr:to>
      <xdr:col>17</xdr:col>
      <xdr:colOff>453446</xdr:colOff>
      <xdr:row>44</xdr:row>
      <xdr:rowOff>154804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77275" y="1609725"/>
          <a:ext cx="3749096" cy="40314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</xdr:colOff>
      <xdr:row>3</xdr:row>
      <xdr:rowOff>19050</xdr:rowOff>
    </xdr:from>
    <xdr:ext cx="118615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2447925" y="742950"/>
              <a:ext cx="118615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 −1=0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447925" y="742950"/>
              <a:ext cx="118615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𝑥∗2^𝑥  −1=0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76200</xdr:colOff>
      <xdr:row>5</xdr:row>
      <xdr:rowOff>66675</xdr:rowOff>
    </xdr:from>
    <xdr:ext cx="148874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SpPr txBox="1"/>
          </xdr:nvSpPr>
          <xdr:spPr>
            <a:xfrm>
              <a:off x="76200" y="1219200"/>
              <a:ext cx="14887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 −1)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76200" y="1219200"/>
              <a:ext cx="14887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(𝑥∗2^𝑥  −1)𝑚=0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47625</xdr:colOff>
      <xdr:row>8</xdr:row>
      <xdr:rowOff>19050</xdr:rowOff>
    </xdr:from>
    <xdr:ext cx="1765355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SpPr txBox="1"/>
          </xdr:nvSpPr>
          <xdr:spPr>
            <a:xfrm>
              <a:off x="47625" y="1743075"/>
              <a:ext cx="1765355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𝜑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)=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−1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7625" y="1743075"/>
              <a:ext cx="1765355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𝜑(</a:t>
              </a:r>
              <a:r>
                <a:rPr lang="en-US" sz="1400" b="0" i="0">
                  <a:latin typeface="Cambria Math" panose="02040503050406030204" pitchFamily="18" charset="0"/>
                </a:rPr>
                <a:t>𝑥)=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(𝑥∗2^𝑥  −1)𝑚+𝑥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28575</xdr:colOff>
      <xdr:row>6</xdr:row>
      <xdr:rowOff>142875</xdr:rowOff>
    </xdr:from>
    <xdr:ext cx="180523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 txBox="1"/>
          </xdr:nvSpPr>
          <xdr:spPr>
            <a:xfrm>
              <a:off x="28575" y="1485900"/>
              <a:ext cx="180523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−1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28575" y="1485900"/>
              <a:ext cx="180523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(𝑥∗2^𝑥  −1)𝑚+𝑥=𝑥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47625</xdr:colOff>
      <xdr:row>9</xdr:row>
      <xdr:rowOff>76200</xdr:rowOff>
    </xdr:from>
    <xdr:ext cx="2903487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 txBox="1"/>
          </xdr:nvSpPr>
          <xdr:spPr>
            <a:xfrm>
              <a:off x="47625" y="1990725"/>
              <a:ext cx="2903487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𝜑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`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p>
                            </m:sSup>
                          </m:e>
                        </m:d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func>
                          <m:func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4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</m:e>
                        </m:func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+1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47625" y="1990725"/>
              <a:ext cx="2903487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𝜑`(</a:t>
              </a:r>
              <a:r>
                <a:rPr lang="en-US" sz="1400" b="0" i="0">
                  <a:latin typeface="Cambria Math" panose="02040503050406030204" pitchFamily="18" charset="0"/>
                </a:rPr>
                <a:t>𝑥)=𝑚((2^𝑥 )∗𝑥∗ln⁡(2)+2^𝑥 )+1</a:t>
              </a:r>
              <a:endParaRPr lang="ru-RU" sz="14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11</xdr:row>
          <xdr:rowOff>114300</xdr:rowOff>
        </xdr:from>
        <xdr:to>
          <xdr:col>9</xdr:col>
          <xdr:colOff>9525</xdr:colOff>
          <xdr:row>13</xdr:row>
          <xdr:rowOff>28575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11</xdr:row>
          <xdr:rowOff>114300</xdr:rowOff>
        </xdr:from>
        <xdr:to>
          <xdr:col>9</xdr:col>
          <xdr:colOff>904875</xdr:colOff>
          <xdr:row>13</xdr:row>
          <xdr:rowOff>76200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11</xdr:row>
          <xdr:rowOff>133350</xdr:rowOff>
        </xdr:from>
        <xdr:to>
          <xdr:col>11</xdr:col>
          <xdr:colOff>9525</xdr:colOff>
          <xdr:row>13</xdr:row>
          <xdr:rowOff>76200</xdr:rowOff>
        </xdr:to>
        <xdr:sp macro="" textlink="">
          <xdr:nvSpPr>
            <xdr:cNvPr id="6150" name="Object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276225</xdr:colOff>
      <xdr:row>7</xdr:row>
      <xdr:rowOff>114300</xdr:rowOff>
    </xdr:from>
    <xdr:to>
      <xdr:col>14</xdr:col>
      <xdr:colOff>85954</xdr:colOff>
      <xdr:row>10</xdr:row>
      <xdr:rowOff>114380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1447800"/>
          <a:ext cx="1638529" cy="5715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11</xdr:col>
      <xdr:colOff>191508</xdr:colOff>
      <xdr:row>17</xdr:row>
      <xdr:rowOff>9936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"/>
          <a:ext cx="7220958" cy="29436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2</xdr:col>
          <xdr:colOff>142875</xdr:colOff>
          <xdr:row>3</xdr:row>
          <xdr:rowOff>19050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33337</xdr:rowOff>
    </xdr:from>
    <xdr:to>
      <xdr:col>17</xdr:col>
      <xdr:colOff>361950</xdr:colOff>
      <xdr:row>14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</xdr:colOff>
      <xdr:row>14</xdr:row>
      <xdr:rowOff>128587</xdr:rowOff>
    </xdr:from>
    <xdr:to>
      <xdr:col>17</xdr:col>
      <xdr:colOff>361950</xdr:colOff>
      <xdr:row>29</xdr:row>
      <xdr:rowOff>14287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29</xdr:row>
      <xdr:rowOff>100012</xdr:rowOff>
    </xdr:from>
    <xdr:to>
      <xdr:col>17</xdr:col>
      <xdr:colOff>314325</xdr:colOff>
      <xdr:row>43</xdr:row>
      <xdr:rowOff>176212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9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10.emf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3.wmf"/><Relationship Id="rId4" Type="http://schemas.openxmlformats.org/officeDocument/2006/relationships/oleObject" Target="../embeddings/oleObject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23"/>
  <sheetViews>
    <sheetView topLeftCell="K19" workbookViewId="0">
      <selection activeCell="Q45" sqref="Q45"/>
    </sheetView>
  </sheetViews>
  <sheetFormatPr defaultRowHeight="15"/>
  <cols>
    <col min="1" max="1" width="11.7109375" customWidth="1"/>
    <col min="2" max="2" width="10.5703125" customWidth="1"/>
    <col min="3" max="3" width="15.28515625" customWidth="1"/>
    <col min="5" max="5" width="10.42578125" customWidth="1"/>
    <col min="6" max="6" width="14.140625" bestFit="1" customWidth="1"/>
    <col min="7" max="7" width="9.140625" customWidth="1"/>
    <col min="8" max="8" width="10.28515625" customWidth="1"/>
    <col min="9" max="9" width="8.7109375" customWidth="1"/>
    <col min="10" max="10" width="14.28515625" customWidth="1"/>
    <col min="11" max="11" width="18.42578125" customWidth="1"/>
    <col min="12" max="12" width="18.85546875" customWidth="1"/>
    <col min="16" max="16" width="9.140625" customWidth="1"/>
    <col min="17" max="17" width="14.85546875" bestFit="1" customWidth="1"/>
    <col min="21" max="21" width="17.85546875" customWidth="1"/>
  </cols>
  <sheetData>
    <row r="1" spans="1:64" ht="20.25">
      <c r="A1" s="154" t="s">
        <v>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>
      <c r="A2" s="159" t="s">
        <v>3</v>
      </c>
      <c r="B2" s="159"/>
      <c r="C2" s="159" t="s">
        <v>1</v>
      </c>
      <c r="D2" s="159"/>
      <c r="E2" s="153" t="s">
        <v>2</v>
      </c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6.5">
      <c r="A3" s="162" t="s">
        <v>4</v>
      </c>
      <c r="B3" s="162"/>
      <c r="C3" s="162"/>
      <c r="D3" s="162"/>
      <c r="E3" s="162"/>
      <c r="F3" s="162"/>
      <c r="G3" s="162"/>
      <c r="H3" s="162"/>
      <c r="I3" s="162"/>
      <c r="J3" s="162" t="s">
        <v>62</v>
      </c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6.5">
      <c r="A4" s="16" t="s">
        <v>6</v>
      </c>
      <c r="B4" s="11" t="s">
        <v>5</v>
      </c>
      <c r="C4" s="9">
        <v>100</v>
      </c>
      <c r="D4" s="8">
        <v>121</v>
      </c>
      <c r="E4" s="9">
        <v>144</v>
      </c>
      <c r="F4" s="1"/>
      <c r="G4" s="1"/>
      <c r="H4" s="1"/>
      <c r="I4" s="1"/>
      <c r="J4" s="51" t="s">
        <v>6</v>
      </c>
      <c r="K4" s="11" t="s">
        <v>5</v>
      </c>
      <c r="L4" s="9">
        <v>100</v>
      </c>
      <c r="M4" s="8">
        <v>121</v>
      </c>
      <c r="N4" s="9">
        <v>144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6.5">
      <c r="A5" s="16"/>
      <c r="B5" s="12" t="s">
        <v>7</v>
      </c>
      <c r="C5" s="6">
        <v>10</v>
      </c>
      <c r="D5" s="10">
        <v>11</v>
      </c>
      <c r="E5" s="6">
        <v>12</v>
      </c>
      <c r="F5" s="1"/>
      <c r="G5" s="1"/>
      <c r="H5" s="1"/>
      <c r="I5" s="1"/>
      <c r="J5" s="2"/>
      <c r="K5" s="12" t="s">
        <v>7</v>
      </c>
      <c r="L5" s="6">
        <v>10</v>
      </c>
      <c r="M5" s="10">
        <v>11</v>
      </c>
      <c r="N5" s="6">
        <v>12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6.5">
      <c r="A6" s="17" t="s">
        <v>8</v>
      </c>
      <c r="B6" s="155" t="s">
        <v>9</v>
      </c>
      <c r="C6" s="155"/>
      <c r="D6" s="155"/>
      <c r="E6" s="155"/>
      <c r="F6" s="1"/>
      <c r="G6" s="1"/>
      <c r="H6" s="1"/>
      <c r="I6" s="1"/>
      <c r="J6" s="2"/>
      <c r="K6" s="1" t="s">
        <v>25</v>
      </c>
      <c r="L6" s="1">
        <f>C39</f>
        <v>10.815923207227522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6.5">
      <c r="A7" s="17" t="s">
        <v>10</v>
      </c>
      <c r="B7" s="175" t="s">
        <v>11</v>
      </c>
      <c r="C7" s="175"/>
      <c r="D7" s="175"/>
      <c r="E7" s="175"/>
      <c r="F7" s="175"/>
      <c r="G7" s="175"/>
      <c r="H7" s="175"/>
      <c r="I7" s="175"/>
      <c r="J7" s="51" t="s">
        <v>8</v>
      </c>
      <c r="K7" s="183" t="s">
        <v>63</v>
      </c>
      <c r="L7" s="183"/>
      <c r="M7" s="183"/>
      <c r="N7" s="183"/>
      <c r="O7" s="183"/>
      <c r="P7" s="18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16.5">
      <c r="A8" s="4"/>
      <c r="B8" s="1"/>
      <c r="C8" s="1"/>
      <c r="D8" s="1"/>
      <c r="E8" s="1"/>
      <c r="F8" s="1"/>
      <c r="G8" s="1"/>
      <c r="H8" s="1"/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6.5">
      <c r="A9" s="1"/>
      <c r="B9" s="156" t="s">
        <v>12</v>
      </c>
      <c r="C9" s="156"/>
      <c r="D9" s="156"/>
      <c r="E9" s="156"/>
      <c r="F9" s="156"/>
      <c r="G9" s="156"/>
      <c r="H9" s="156"/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16.5">
      <c r="A10" s="1"/>
      <c r="B10" s="1"/>
      <c r="C10" s="1"/>
      <c r="D10" s="1"/>
      <c r="E10" s="1"/>
      <c r="F10" s="1"/>
      <c r="G10" s="1"/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6.5">
      <c r="A11" s="1"/>
      <c r="B11" s="1"/>
      <c r="C11" s="1"/>
      <c r="D11" s="1"/>
      <c r="E11" s="1"/>
      <c r="F11" s="1"/>
      <c r="G11" s="1"/>
      <c r="H11" s="1"/>
      <c r="I11" s="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6.5">
      <c r="A12" s="1"/>
      <c r="B12" s="1"/>
      <c r="C12" s="1"/>
      <c r="D12" s="1"/>
      <c r="E12" s="1"/>
      <c r="F12" s="1"/>
      <c r="G12" s="1"/>
      <c r="H12" s="1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6.5">
      <c r="A13" s="1"/>
      <c r="B13" s="13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6.5">
      <c r="A14" s="1"/>
      <c r="B14" s="5"/>
      <c r="C14" s="4">
        <v>1</v>
      </c>
      <c r="D14" s="4">
        <v>100</v>
      </c>
      <c r="E14" s="5">
        <f>100*100</f>
        <v>10000</v>
      </c>
      <c r="F14" s="19"/>
      <c r="G14" s="21" t="s">
        <v>15</v>
      </c>
      <c r="H14" s="19"/>
      <c r="I14" s="19">
        <v>10</v>
      </c>
      <c r="J14" s="52" t="s">
        <v>10</v>
      </c>
      <c r="K14" s="27" t="s">
        <v>64</v>
      </c>
      <c r="L14" s="27">
        <f>Q19</f>
        <v>1.960079607457209E-7</v>
      </c>
      <c r="M14" s="27"/>
      <c r="N14" s="29"/>
      <c r="O14" s="29" t="s">
        <v>5</v>
      </c>
      <c r="P14" s="152" t="s">
        <v>71</v>
      </c>
      <c r="Q14" s="152"/>
      <c r="R14" s="152"/>
      <c r="S14" s="152"/>
      <c r="T14" s="15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6.5">
      <c r="A15" s="1"/>
      <c r="B15" s="18" t="s">
        <v>13</v>
      </c>
      <c r="C15" s="4">
        <v>1</v>
      </c>
      <c r="D15" s="4">
        <v>121</v>
      </c>
      <c r="E15" s="5">
        <f>121*121</f>
        <v>14641</v>
      </c>
      <c r="F15" s="20" t="s">
        <v>14</v>
      </c>
      <c r="G15" s="19" t="s">
        <v>16</v>
      </c>
      <c r="H15" s="20" t="s">
        <v>18</v>
      </c>
      <c r="I15" s="19">
        <v>11</v>
      </c>
      <c r="J15" s="29"/>
      <c r="K15" s="27" t="s">
        <v>65</v>
      </c>
      <c r="L15" s="27">
        <f>E53</f>
        <v>66096</v>
      </c>
      <c r="M15" s="27"/>
      <c r="N15" s="29">
        <v>0</v>
      </c>
      <c r="O15" s="29">
        <v>81</v>
      </c>
      <c r="P15" s="152">
        <f>ABS(-15*O15/(16*SQRT(POWER(O15,9))))</f>
        <v>1.960079607457209E-7</v>
      </c>
      <c r="Q15" s="152"/>
      <c r="R15" s="152"/>
      <c r="S15" s="152"/>
      <c r="T15" s="15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6.5">
      <c r="A16" s="1"/>
      <c r="B16" s="5"/>
      <c r="C16" s="4">
        <v>1</v>
      </c>
      <c r="D16" s="4">
        <v>144</v>
      </c>
      <c r="E16" s="5">
        <f>144*144</f>
        <v>20736</v>
      </c>
      <c r="F16" s="19"/>
      <c r="G16" s="19" t="s">
        <v>17</v>
      </c>
      <c r="H16" s="19"/>
      <c r="I16" s="19">
        <v>12</v>
      </c>
      <c r="J16" s="29"/>
      <c r="K16" s="27" t="s">
        <v>66</v>
      </c>
      <c r="L16" s="27">
        <f>L14*L15/(FACT(4))</f>
        <v>5.398059238937153E-4</v>
      </c>
      <c r="M16" s="27"/>
      <c r="N16" s="29">
        <v>1</v>
      </c>
      <c r="O16" s="29">
        <v>100</v>
      </c>
      <c r="P16" s="152">
        <f>ABS(-15*O16/(16*SQRT(POWER(O16,9))))</f>
        <v>9.3750000000000002E-8</v>
      </c>
      <c r="Q16" s="152"/>
      <c r="R16" s="152"/>
      <c r="S16" s="152"/>
      <c r="T16" s="15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75" ht="16.5">
      <c r="A17" s="1"/>
      <c r="B17" s="25" t="s">
        <v>19</v>
      </c>
      <c r="E17" s="1"/>
      <c r="F17" s="1"/>
      <c r="G17" s="1"/>
      <c r="H17" s="1"/>
      <c r="I17" s="1"/>
      <c r="J17" s="29"/>
      <c r="K17" s="27"/>
      <c r="L17" s="27"/>
      <c r="M17" s="27"/>
      <c r="N17" s="29">
        <v>2</v>
      </c>
      <c r="O17" s="29">
        <v>121</v>
      </c>
      <c r="P17" s="152">
        <f>ABS(-15*O17/(16*SQRT(POWER(O17,9))))</f>
        <v>4.810857358412876E-8</v>
      </c>
      <c r="Q17" s="152"/>
      <c r="R17" s="152"/>
      <c r="S17" s="152"/>
      <c r="T17" s="15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75" ht="16.5">
      <c r="A18" s="1"/>
      <c r="B18" s="158" t="s">
        <v>20</v>
      </c>
      <c r="C18" s="158"/>
      <c r="D18" s="24"/>
      <c r="E18" s="1"/>
      <c r="F18" s="1"/>
      <c r="G18" s="1"/>
      <c r="H18" s="1"/>
      <c r="I18" s="1"/>
      <c r="J18" s="29"/>
      <c r="K18" s="27"/>
      <c r="L18" s="27"/>
      <c r="M18" s="27"/>
      <c r="N18" s="29">
        <v>3</v>
      </c>
      <c r="O18" s="29">
        <v>144</v>
      </c>
      <c r="P18" s="152">
        <f>ABS(-15*O18/(16*SQRT(POWER(O18,9))))</f>
        <v>2.6163904428155006E-8</v>
      </c>
      <c r="Q18" s="152"/>
      <c r="R18" s="152"/>
      <c r="S18" s="152"/>
      <c r="T18" s="152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75" ht="16.5">
      <c r="A19" s="1"/>
      <c r="B19" s="24"/>
      <c r="C19" s="24"/>
      <c r="D19" s="24"/>
      <c r="E19" s="1"/>
      <c r="F19" s="1"/>
      <c r="G19" s="1"/>
      <c r="H19" s="1"/>
      <c r="I19" s="1"/>
      <c r="J19" s="29"/>
      <c r="K19" s="27"/>
      <c r="L19" s="27"/>
      <c r="M19" s="27"/>
      <c r="N19" s="27"/>
      <c r="O19" s="27"/>
      <c r="P19" s="27" t="s">
        <v>72</v>
      </c>
      <c r="Q19" s="27">
        <f>MAX(P15:T18)</f>
        <v>1.960079607457209E-7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75" ht="16.5" customHeight="1">
      <c r="A20" s="1"/>
      <c r="B20" s="157" t="s">
        <v>21</v>
      </c>
      <c r="C20" s="7"/>
      <c r="D20" s="1">
        <f t="array" ref="D20:F22">MINVERSE(C14:E16)</f>
        <v>18.857142857142854</v>
      </c>
      <c r="E20" s="1">
        <v>-29.813664596273298</v>
      </c>
      <c r="F20" s="7">
        <v>11.956521739130434</v>
      </c>
      <c r="G20" s="177" t="s">
        <v>23</v>
      </c>
      <c r="H20" s="7"/>
      <c r="I20" s="23">
        <f t="array" ref="I20:I22">MMULT(D20:F22,I14:I16)</f>
        <v>4.0993788819874339</v>
      </c>
      <c r="J20" s="53" t="s">
        <v>26</v>
      </c>
      <c r="K20" s="58">
        <f>L16</f>
        <v>5.398059238937153E-4</v>
      </c>
      <c r="L20" s="27"/>
      <c r="M20" s="27"/>
      <c r="N20" s="27"/>
      <c r="O20" s="27"/>
      <c r="P20" s="27"/>
      <c r="Q20" s="27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75" ht="16.5">
      <c r="A21" s="1"/>
      <c r="B21" s="157"/>
      <c r="C21" s="15" t="s">
        <v>22</v>
      </c>
      <c r="D21" s="1">
        <v>-0.28679653679653677</v>
      </c>
      <c r="E21" s="1">
        <v>0.5051759834368531</v>
      </c>
      <c r="F21" s="7">
        <v>-0.21837944664031622</v>
      </c>
      <c r="G21" s="177"/>
      <c r="H21" s="15" t="s">
        <v>24</v>
      </c>
      <c r="I21" s="23">
        <v>6.8417090156221771E-2</v>
      </c>
      <c r="J21" s="29"/>
      <c r="K21" s="27"/>
      <c r="L21" s="27"/>
      <c r="M21" s="27"/>
      <c r="N21" s="27"/>
      <c r="O21" s="27"/>
      <c r="P21" s="27"/>
      <c r="Q21" s="27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75" ht="16.5">
      <c r="A22" s="1"/>
      <c r="B22" s="157"/>
      <c r="C22" s="7"/>
      <c r="D22" s="1">
        <v>1.0822510822510823E-3</v>
      </c>
      <c r="E22" s="1">
        <v>-2.070393374741201E-3</v>
      </c>
      <c r="F22" s="7">
        <v>9.8814229249011873E-4</v>
      </c>
      <c r="G22" s="177"/>
      <c r="H22" s="7"/>
      <c r="I22" s="198">
        <v>-9.4108789760965691E-5</v>
      </c>
      <c r="J22" s="160" t="s">
        <v>67</v>
      </c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75" ht="16.5">
      <c r="A23" s="1"/>
      <c r="B23" s="1"/>
      <c r="C23" s="1"/>
      <c r="D23" s="1"/>
      <c r="E23" s="1"/>
      <c r="F23" s="1"/>
      <c r="G23" s="1"/>
      <c r="H23" s="1"/>
      <c r="I23" s="1"/>
      <c r="J23" s="51" t="s">
        <v>6</v>
      </c>
      <c r="K23" s="11" t="s">
        <v>5</v>
      </c>
      <c r="L23" s="9">
        <v>-3.2</v>
      </c>
      <c r="M23" s="8">
        <v>-0.8</v>
      </c>
      <c r="N23" s="9">
        <v>0.4</v>
      </c>
      <c r="O23" s="9">
        <v>2.8</v>
      </c>
      <c r="P23" s="9">
        <v>4</v>
      </c>
      <c r="Q23" s="9">
        <v>6.4</v>
      </c>
      <c r="R23" s="9">
        <v>7.6</v>
      </c>
      <c r="S23" s="27"/>
      <c r="T23" s="27"/>
      <c r="U23" s="27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75" ht="16.5">
      <c r="A24" s="1"/>
      <c r="B24" s="26" t="s">
        <v>25</v>
      </c>
      <c r="C24" s="26">
        <f>I20+I21*117+I22*POWER(117,2)</f>
        <v>10.815923207227522</v>
      </c>
      <c r="D24" s="1"/>
      <c r="E24" s="1"/>
      <c r="F24" s="1"/>
      <c r="G24" s="1"/>
      <c r="H24" s="1"/>
      <c r="I24" s="1"/>
      <c r="J24" s="29"/>
      <c r="K24" s="12" t="s">
        <v>68</v>
      </c>
      <c r="L24" s="6">
        <v>-1.9449000000000001</v>
      </c>
      <c r="M24" s="10">
        <v>-0.61260000000000003</v>
      </c>
      <c r="N24" s="6">
        <v>0.30969999999999998</v>
      </c>
      <c r="O24" s="6">
        <v>1.8068</v>
      </c>
      <c r="P24" s="6">
        <v>2.0912999999999999</v>
      </c>
      <c r="Q24" s="6">
        <v>1.4673</v>
      </c>
      <c r="R24" s="6">
        <v>0.67969999999999997</v>
      </c>
      <c r="S24" s="27"/>
      <c r="T24" s="27"/>
      <c r="U24" s="27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75" ht="16.5">
      <c r="A25" s="27"/>
      <c r="B25" s="152" t="s">
        <v>28</v>
      </c>
      <c r="C25" s="152"/>
      <c r="D25" s="152"/>
      <c r="E25" s="152"/>
      <c r="F25" s="152"/>
      <c r="G25" s="152"/>
      <c r="H25" s="152"/>
      <c r="I25" s="152"/>
      <c r="J25" s="51" t="s">
        <v>8</v>
      </c>
      <c r="K25" s="184" t="s">
        <v>69</v>
      </c>
      <c r="L25" s="184"/>
      <c r="M25" s="184"/>
      <c r="N25" s="184"/>
      <c r="O25" s="184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75" ht="17.25" thickBot="1">
      <c r="A26" s="27"/>
      <c r="B26" s="34" t="s">
        <v>41</v>
      </c>
      <c r="C26" s="34"/>
      <c r="D26" s="34"/>
      <c r="E26" s="34"/>
      <c r="F26" s="27"/>
      <c r="G26" s="27"/>
      <c r="H26" s="27"/>
      <c r="I26" s="27"/>
      <c r="J26" s="52" t="s">
        <v>10</v>
      </c>
      <c r="K26" s="40">
        <v>0.5</v>
      </c>
      <c r="L26" s="56">
        <v>-3.2</v>
      </c>
      <c r="M26" s="57">
        <v>-0.8</v>
      </c>
      <c r="N26" s="56">
        <v>0.4</v>
      </c>
      <c r="O26" s="56">
        <v>2.8</v>
      </c>
      <c r="P26" s="56">
        <v>4</v>
      </c>
      <c r="Q26" s="56">
        <v>6.4</v>
      </c>
      <c r="R26" s="56">
        <v>7.6</v>
      </c>
      <c r="S26" s="38" t="s">
        <v>43</v>
      </c>
      <c r="T26" s="38" t="s">
        <v>44</v>
      </c>
      <c r="U26" s="38" t="s">
        <v>52</v>
      </c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5" ht="18" thickTop="1" thickBot="1">
      <c r="A27" s="35"/>
      <c r="B27" s="40" t="s">
        <v>5</v>
      </c>
      <c r="C27" s="39" t="s">
        <v>29</v>
      </c>
      <c r="D27" s="38" t="s">
        <v>30</v>
      </c>
      <c r="E27" s="38" t="s">
        <v>31</v>
      </c>
      <c r="F27" s="169" t="s">
        <v>43</v>
      </c>
      <c r="G27" s="170"/>
      <c r="H27" s="171"/>
      <c r="I27" s="38" t="s">
        <v>44</v>
      </c>
      <c r="J27" s="54"/>
      <c r="K27" s="55">
        <v>-3.2</v>
      </c>
      <c r="L27" s="32">
        <f>K26-L26</f>
        <v>3.7</v>
      </c>
      <c r="M27" s="33">
        <f t="shared" ref="M27:R27" si="0">$K$27-M26</f>
        <v>-2.4000000000000004</v>
      </c>
      <c r="N27" s="33">
        <f t="shared" si="0"/>
        <v>-3.6</v>
      </c>
      <c r="O27" s="33">
        <f t="shared" si="0"/>
        <v>-6</v>
      </c>
      <c r="P27" s="33">
        <f t="shared" si="0"/>
        <v>-7.2</v>
      </c>
      <c r="Q27" s="33">
        <f t="shared" si="0"/>
        <v>-9.6000000000000014</v>
      </c>
      <c r="R27" s="33">
        <f t="shared" si="0"/>
        <v>-10.8</v>
      </c>
      <c r="S27" s="33">
        <f t="shared" ref="S27:S33" si="1">$N$34/PRODUCT(L27:R27)</f>
        <v>1.1328101071332833E-3</v>
      </c>
      <c r="T27" s="6">
        <v>-1.9449000000000001</v>
      </c>
      <c r="U27" s="33">
        <f>T27*S27</f>
        <v>-2.2032023773635228E-3</v>
      </c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 spans="1:75" ht="31.5" customHeight="1" thickTop="1">
      <c r="A28" s="35"/>
      <c r="B28" s="41" t="s">
        <v>29</v>
      </c>
      <c r="C28" s="32" t="s">
        <v>32</v>
      </c>
      <c r="D28" s="33" t="s">
        <v>39</v>
      </c>
      <c r="E28" s="33" t="s">
        <v>40</v>
      </c>
      <c r="F28" s="172" t="s">
        <v>48</v>
      </c>
      <c r="G28" s="173"/>
      <c r="H28" s="174"/>
      <c r="I28" s="33" t="s">
        <v>45</v>
      </c>
      <c r="J28" s="54"/>
      <c r="K28" s="11">
        <v>-0.8</v>
      </c>
      <c r="L28" s="37">
        <f>K28-L26</f>
        <v>2.4000000000000004</v>
      </c>
      <c r="M28" s="36">
        <f>K26-M26</f>
        <v>1.3</v>
      </c>
      <c r="N28" s="36">
        <f>$K$28-N26</f>
        <v>-1.2000000000000002</v>
      </c>
      <c r="O28" s="36">
        <f>$K$28-O26</f>
        <v>-3.5999999999999996</v>
      </c>
      <c r="P28" s="36">
        <f>$K$28-P26</f>
        <v>-4.8</v>
      </c>
      <c r="Q28" s="36">
        <f>$K$28-Q26</f>
        <v>-7.2</v>
      </c>
      <c r="R28" s="36">
        <f>$K$28-R26</f>
        <v>-8.4</v>
      </c>
      <c r="S28" s="33">
        <f>$N$34/PRODUCT(L28:R28)</f>
        <v>-4.1453380843448719E-2</v>
      </c>
      <c r="T28" s="10">
        <v>-0.61260000000000003</v>
      </c>
      <c r="U28" s="33">
        <f t="shared" ref="U28:U33" si="2">T28*S28</f>
        <v>2.5394341104696686E-2</v>
      </c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spans="1:75" ht="16.5">
      <c r="A29" s="35"/>
      <c r="B29" s="42" t="s">
        <v>30</v>
      </c>
      <c r="C29" s="37" t="s">
        <v>35</v>
      </c>
      <c r="D29" s="36" t="s">
        <v>33</v>
      </c>
      <c r="E29" s="36" t="s">
        <v>36</v>
      </c>
      <c r="F29" s="163" t="s">
        <v>49</v>
      </c>
      <c r="G29" s="164"/>
      <c r="H29" s="165"/>
      <c r="I29" s="36" t="s">
        <v>46</v>
      </c>
      <c r="J29" s="54"/>
      <c r="K29" s="11">
        <v>0.4</v>
      </c>
      <c r="L29" s="37">
        <f>K29-L26</f>
        <v>3.6</v>
      </c>
      <c r="M29" s="36">
        <f>K29-M26</f>
        <v>1.2000000000000002</v>
      </c>
      <c r="N29" s="36">
        <f>K26-N26</f>
        <v>9.9999999999999978E-2</v>
      </c>
      <c r="O29" s="36">
        <f>$K$29-O26</f>
        <v>-2.4</v>
      </c>
      <c r="P29" s="36">
        <f>$K$29-P26</f>
        <v>-3.6</v>
      </c>
      <c r="Q29" s="36">
        <f>$K$29-Q26</f>
        <v>-6</v>
      </c>
      <c r="R29" s="36">
        <f>$K$29-R26</f>
        <v>-7.1999999999999993</v>
      </c>
      <c r="S29" s="33">
        <f t="shared" si="1"/>
        <v>1.005935375134356</v>
      </c>
      <c r="T29" s="6">
        <v>0.30969999999999998</v>
      </c>
      <c r="U29" s="33">
        <f t="shared" si="2"/>
        <v>0.31153818567911007</v>
      </c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spans="1:75" ht="16.5">
      <c r="A30" s="35"/>
      <c r="B30" s="41" t="s">
        <v>31</v>
      </c>
      <c r="C30" s="32" t="s">
        <v>37</v>
      </c>
      <c r="D30" s="33" t="s">
        <v>38</v>
      </c>
      <c r="E30" s="33" t="s">
        <v>34</v>
      </c>
      <c r="F30" s="163" t="s">
        <v>49</v>
      </c>
      <c r="G30" s="164"/>
      <c r="H30" s="165"/>
      <c r="I30" s="33" t="s">
        <v>47</v>
      </c>
      <c r="J30" s="54"/>
      <c r="K30" s="11">
        <v>2.8</v>
      </c>
      <c r="L30" s="37">
        <f>$K$30-L26</f>
        <v>6</v>
      </c>
      <c r="M30" s="37">
        <f>$K$30-M26</f>
        <v>3.5999999999999996</v>
      </c>
      <c r="N30" s="37">
        <f>$K$30-N26</f>
        <v>2.4</v>
      </c>
      <c r="O30" s="36">
        <f>K26-O26</f>
        <v>-2.2999999999999998</v>
      </c>
      <c r="P30" s="36">
        <f>$K$30-P26</f>
        <v>-1.2000000000000002</v>
      </c>
      <c r="Q30" s="36">
        <f>$K$30-Q26</f>
        <v>-3.6000000000000005</v>
      </c>
      <c r="R30" s="36">
        <f>$K$30-R26</f>
        <v>-4.8</v>
      </c>
      <c r="S30" s="33">
        <f t="shared" si="1"/>
        <v>6.5604480987023192E-2</v>
      </c>
      <c r="T30" s="6">
        <v>1.8068</v>
      </c>
      <c r="U30" s="33">
        <f t="shared" si="2"/>
        <v>0.1185341762473535</v>
      </c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75" ht="16.5">
      <c r="A31" s="27"/>
      <c r="B31" s="27" t="s">
        <v>42</v>
      </c>
      <c r="C31" s="27"/>
      <c r="D31" s="27"/>
      <c r="E31" s="27"/>
      <c r="F31" s="27"/>
      <c r="G31" s="27"/>
      <c r="H31" s="27"/>
      <c r="I31" s="27"/>
      <c r="J31" s="54"/>
      <c r="K31" s="11">
        <v>4</v>
      </c>
      <c r="L31" s="37">
        <f>$K$31-L26</f>
        <v>7.2</v>
      </c>
      <c r="M31" s="37">
        <f>$K$31-M26</f>
        <v>4.8</v>
      </c>
      <c r="N31" s="37">
        <f>$K$31-N26</f>
        <v>3.6</v>
      </c>
      <c r="O31" s="37">
        <f>$K$31-O26</f>
        <v>1.2000000000000002</v>
      </c>
      <c r="P31" s="36">
        <f>K26-P26</f>
        <v>-3.5</v>
      </c>
      <c r="Q31" s="36">
        <f>$K$31-Q26</f>
        <v>-2.4000000000000004</v>
      </c>
      <c r="R31" s="36">
        <f>$K$31-R26</f>
        <v>-3.5999999999999996</v>
      </c>
      <c r="S31" s="33">
        <f t="shared" si="1"/>
        <v>-3.5926263397655554E-2</v>
      </c>
      <c r="T31" s="6">
        <v>2.0912999999999999</v>
      </c>
      <c r="U31" s="33">
        <f t="shared" si="2"/>
        <v>-7.5132594643517056E-2</v>
      </c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75" ht="17.25" thickBot="1">
      <c r="B32" s="40">
        <v>117</v>
      </c>
      <c r="C32" s="39">
        <v>100</v>
      </c>
      <c r="D32" s="38">
        <v>121</v>
      </c>
      <c r="E32" s="38">
        <v>144</v>
      </c>
      <c r="F32" s="38" t="s">
        <v>43</v>
      </c>
      <c r="G32" s="38" t="s">
        <v>44</v>
      </c>
      <c r="H32" s="38" t="s">
        <v>52</v>
      </c>
      <c r="I32" s="27"/>
      <c r="J32" s="54"/>
      <c r="K32" s="11">
        <v>6.4</v>
      </c>
      <c r="L32" s="37">
        <f>$K$32-L26</f>
        <v>9.6000000000000014</v>
      </c>
      <c r="M32" s="37">
        <f>$K$32-M26</f>
        <v>7.2</v>
      </c>
      <c r="N32" s="37">
        <f>$K$32-N26</f>
        <v>6</v>
      </c>
      <c r="O32" s="37">
        <f>$K$32-O26</f>
        <v>3.6000000000000005</v>
      </c>
      <c r="P32" s="37">
        <f>$K$32-P26</f>
        <v>2.4000000000000004</v>
      </c>
      <c r="Q32" s="36">
        <f>K26-Q26</f>
        <v>-5.9</v>
      </c>
      <c r="R32" s="36">
        <f>K32-R26</f>
        <v>-1.1999999999999993</v>
      </c>
      <c r="S32" s="33">
        <f t="shared" si="1"/>
        <v>6.3936570453454822E-3</v>
      </c>
      <c r="T32" s="6">
        <v>1.4673</v>
      </c>
      <c r="U32" s="33">
        <f t="shared" si="2"/>
        <v>9.3814129826354266E-3</v>
      </c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7.25" thickTop="1">
      <c r="B33" s="41">
        <v>100</v>
      </c>
      <c r="C33" s="32">
        <f>B32-B33</f>
        <v>17</v>
      </c>
      <c r="D33" s="33">
        <f>B33-D32</f>
        <v>-21</v>
      </c>
      <c r="E33" s="33">
        <f>B33-E32</f>
        <v>-44</v>
      </c>
      <c r="F33" s="33">
        <f>(E36)/(C33*D33*E33)</f>
        <v>0.11688311688311688</v>
      </c>
      <c r="G33" s="33">
        <v>10</v>
      </c>
      <c r="H33" s="33">
        <f>G33*F33</f>
        <v>1.1688311688311688</v>
      </c>
      <c r="I33" s="27"/>
      <c r="J33" s="54"/>
      <c r="K33" s="11">
        <v>7.6</v>
      </c>
      <c r="L33" s="37">
        <f t="shared" ref="L33:Q33" si="3">$K$33-L26</f>
        <v>10.8</v>
      </c>
      <c r="M33" s="37">
        <f t="shared" si="3"/>
        <v>8.4</v>
      </c>
      <c r="N33" s="37">
        <f t="shared" si="3"/>
        <v>7.1999999999999993</v>
      </c>
      <c r="O33" s="37">
        <f t="shared" si="3"/>
        <v>4.8</v>
      </c>
      <c r="P33" s="37">
        <f t="shared" si="3"/>
        <v>3.5999999999999996</v>
      </c>
      <c r="Q33" s="37">
        <f t="shared" si="3"/>
        <v>1.1999999999999993</v>
      </c>
      <c r="R33" s="36">
        <f>K26-R26</f>
        <v>-7.1</v>
      </c>
      <c r="S33" s="33">
        <f t="shared" si="1"/>
        <v>-1.6866790327537838E-3</v>
      </c>
      <c r="T33" s="6">
        <v>0.67969999999999997</v>
      </c>
      <c r="U33" s="33">
        <f t="shared" si="2"/>
        <v>-1.1464357385627469E-3</v>
      </c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6.5">
      <c r="A34" s="27"/>
      <c r="B34" s="42">
        <v>121</v>
      </c>
      <c r="C34" s="37">
        <f>B34-C32</f>
        <v>21</v>
      </c>
      <c r="D34" s="36">
        <f>B32-D32</f>
        <v>-4</v>
      </c>
      <c r="E34" s="36">
        <f>B34-E32</f>
        <v>-23</v>
      </c>
      <c r="F34" s="36">
        <f>E36/(C34*D34*E34)</f>
        <v>0.9503105590062112</v>
      </c>
      <c r="G34" s="36">
        <v>11</v>
      </c>
      <c r="H34" s="36">
        <f>G34*F34</f>
        <v>10.453416149068323</v>
      </c>
      <c r="I34" s="27"/>
      <c r="J34" s="29"/>
      <c r="K34" s="166" t="s">
        <v>50</v>
      </c>
      <c r="L34" s="166"/>
      <c r="M34" s="166"/>
      <c r="N34" s="168">
        <f>L27*M28*N29*O30*P31*Q32*R33</f>
        <v>162.20017449999997</v>
      </c>
      <c r="O34" s="27"/>
      <c r="P34" s="27"/>
      <c r="Q34" s="27"/>
      <c r="R34" s="27"/>
      <c r="S34" s="27"/>
      <c r="T34" s="43" t="s">
        <v>51</v>
      </c>
      <c r="U34" s="44">
        <f>SUM(U27:U33)</f>
        <v>0.38636588325435234</v>
      </c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6.5">
      <c r="A35" s="27"/>
      <c r="B35" s="41">
        <v>144</v>
      </c>
      <c r="C35" s="32">
        <f>B35-C32</f>
        <v>44</v>
      </c>
      <c r="D35" s="33">
        <f>B35-D32</f>
        <v>23</v>
      </c>
      <c r="E35" s="33">
        <f>B32-E32</f>
        <v>-27</v>
      </c>
      <c r="F35" s="33">
        <f>E36/(C35*D35*E35)</f>
        <v>-6.7193675889328064E-2</v>
      </c>
      <c r="G35" s="33">
        <v>12</v>
      </c>
      <c r="H35" s="33">
        <f>G35*F35</f>
        <v>-0.80632411067193677</v>
      </c>
      <c r="I35" s="27"/>
      <c r="J35" s="29"/>
      <c r="K35" s="167"/>
      <c r="L35" s="167"/>
      <c r="M35" s="167"/>
      <c r="N35" s="152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5.75" customHeight="1">
      <c r="A36" s="27"/>
      <c r="B36" s="166" t="s">
        <v>50</v>
      </c>
      <c r="C36" s="166"/>
      <c r="D36" s="166"/>
      <c r="E36" s="168">
        <f>C33*D34*E35</f>
        <v>1836</v>
      </c>
      <c r="F36" s="27"/>
      <c r="G36" s="43" t="s">
        <v>51</v>
      </c>
      <c r="H36" s="44">
        <f>SUM(H33:H35)</f>
        <v>10.815923207227554</v>
      </c>
      <c r="I36" s="27"/>
      <c r="J36" s="29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7" ht="16.5">
      <c r="A37" s="27"/>
      <c r="B37" s="167"/>
      <c r="C37" s="167"/>
      <c r="D37" s="167"/>
      <c r="E37" s="152"/>
      <c r="F37" s="27"/>
      <c r="G37" s="27"/>
      <c r="H37" s="27"/>
      <c r="I37" s="27"/>
      <c r="J37" s="29"/>
      <c r="K37" s="182" t="s">
        <v>70</v>
      </c>
      <c r="L37" s="182"/>
      <c r="M37" s="27"/>
      <c r="N37" s="30"/>
      <c r="O37" s="30" t="s">
        <v>5</v>
      </c>
      <c r="P37" s="152" t="s">
        <v>73</v>
      </c>
      <c r="Q37" s="152"/>
      <c r="R37" s="152"/>
      <c r="S37" s="152"/>
      <c r="T37" s="152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7" ht="16.5">
      <c r="A38" s="27"/>
      <c r="B38" s="27"/>
      <c r="C38" s="27"/>
      <c r="D38" s="27"/>
      <c r="E38" s="27"/>
      <c r="F38" s="27"/>
      <c r="G38" s="27"/>
      <c r="H38" s="27"/>
      <c r="I38" s="27"/>
      <c r="J38" s="29"/>
      <c r="K38" s="27" t="s">
        <v>64</v>
      </c>
      <c r="L38" s="27">
        <f>Q45</f>
        <v>1.993569419793E-3</v>
      </c>
      <c r="M38" s="27"/>
      <c r="N38" s="30">
        <v>0</v>
      </c>
      <c r="O38" s="30">
        <v>-0.8</v>
      </c>
      <c r="P38" s="152">
        <f>ABS(-0.001993569419793 *COS(O38*0.37))</f>
        <v>1.9068709280202166E-3</v>
      </c>
      <c r="Q38" s="152"/>
      <c r="R38" s="152"/>
      <c r="S38" s="152"/>
      <c r="T38" s="152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7" ht="16.5">
      <c r="A39" s="28" t="s">
        <v>26</v>
      </c>
      <c r="B39" s="45" t="s">
        <v>27</v>
      </c>
      <c r="C39" s="27">
        <f>C24</f>
        <v>10.815923207227522</v>
      </c>
      <c r="D39" s="27"/>
      <c r="E39" s="27"/>
      <c r="F39" s="27"/>
      <c r="G39" s="27"/>
      <c r="H39" s="27"/>
      <c r="I39" s="27"/>
      <c r="J39" s="29"/>
      <c r="K39" s="27" t="s">
        <v>65</v>
      </c>
      <c r="L39" s="27">
        <f>N34</f>
        <v>162.20017449999997</v>
      </c>
      <c r="M39" s="27"/>
      <c r="N39" s="30">
        <v>1</v>
      </c>
      <c r="O39" s="30">
        <f t="shared" ref="O39:O44" si="4">O38+0.4</f>
        <v>-0.4</v>
      </c>
      <c r="P39" s="152">
        <f t="shared" ref="P39:P44" si="5">ABS(-0.001993569419793 *COS(O39*0.37))</f>
        <v>1.9717756719676814E-3</v>
      </c>
      <c r="Q39" s="152"/>
      <c r="R39" s="152"/>
      <c r="S39" s="152"/>
      <c r="T39" s="152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7" ht="16.5">
      <c r="A40" s="27"/>
      <c r="B40" s="45" t="s">
        <v>28</v>
      </c>
      <c r="C40" s="45">
        <f>H36</f>
        <v>10.815923207227554</v>
      </c>
      <c r="D40" s="27"/>
      <c r="E40" s="27"/>
      <c r="F40" s="27"/>
      <c r="G40" s="27"/>
      <c r="H40" s="27"/>
      <c r="I40" s="27"/>
      <c r="J40" s="29"/>
      <c r="K40" s="44" t="s">
        <v>66</v>
      </c>
      <c r="L40" s="44">
        <f>L38*L39/FACT(7)</f>
        <v>6.4158195985771494E-5</v>
      </c>
      <c r="M40" s="27"/>
      <c r="N40" s="30">
        <v>2</v>
      </c>
      <c r="O40" s="30">
        <f t="shared" si="4"/>
        <v>0</v>
      </c>
      <c r="P40" s="152">
        <f t="shared" si="5"/>
        <v>1.993569419793E-3</v>
      </c>
      <c r="Q40" s="152"/>
      <c r="R40" s="152"/>
      <c r="S40" s="152"/>
      <c r="T40" s="152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7" ht="16.5">
      <c r="A41" s="27"/>
      <c r="B41" s="180" t="s">
        <v>53</v>
      </c>
      <c r="C41" s="180"/>
      <c r="D41" s="27"/>
      <c r="E41" s="27"/>
      <c r="F41" s="27"/>
      <c r="G41" s="27"/>
      <c r="H41" s="27"/>
      <c r="I41" s="27"/>
      <c r="J41" s="29"/>
      <c r="K41" s="27"/>
      <c r="L41" s="27"/>
      <c r="M41" s="27"/>
      <c r="N41" s="30">
        <v>3</v>
      </c>
      <c r="O41" s="30">
        <f t="shared" si="4"/>
        <v>0.4</v>
      </c>
      <c r="P41" s="152">
        <f t="shared" si="5"/>
        <v>1.9717756719676814E-3</v>
      </c>
      <c r="Q41" s="152"/>
      <c r="R41" s="152"/>
      <c r="S41" s="152"/>
      <c r="T41" s="152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7" ht="16.5">
      <c r="A42" s="27"/>
      <c r="B42" s="27"/>
      <c r="C42" s="27"/>
      <c r="D42" s="27"/>
      <c r="E42" s="27"/>
      <c r="F42" s="27"/>
      <c r="G42" s="27"/>
      <c r="H42" s="27"/>
      <c r="I42" s="27"/>
      <c r="J42" s="29"/>
      <c r="K42" s="27">
        <f xml:space="preserve"> 2.1 * SIN(0.37*K26)</f>
        <v>0.38628772040888659</v>
      </c>
      <c r="L42" s="27"/>
      <c r="M42" s="27"/>
      <c r="N42" s="30">
        <v>4</v>
      </c>
      <c r="O42" s="30">
        <f t="shared" si="4"/>
        <v>0.8</v>
      </c>
      <c r="P42" s="152">
        <f t="shared" si="5"/>
        <v>1.9068709280202166E-3</v>
      </c>
      <c r="Q42" s="152"/>
      <c r="R42" s="152"/>
      <c r="S42" s="152"/>
      <c r="T42" s="152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7" ht="16.5" customHeight="1">
      <c r="A43" s="181" t="s">
        <v>54</v>
      </c>
      <c r="B43" s="152" t="s">
        <v>55</v>
      </c>
      <c r="C43" s="152"/>
      <c r="D43" s="152"/>
      <c r="E43" s="27">
        <f>SQRT(117)</f>
        <v>10.816653826391969</v>
      </c>
      <c r="F43" s="27"/>
      <c r="G43" s="27"/>
      <c r="H43" s="27"/>
      <c r="I43" s="27"/>
      <c r="J43" s="29"/>
      <c r="K43" s="27">
        <f>ABS(K42-U34)</f>
        <v>7.8162845465745701E-5</v>
      </c>
      <c r="L43" s="27"/>
      <c r="M43" s="27"/>
      <c r="N43" s="30">
        <v>5</v>
      </c>
      <c r="O43" s="30">
        <f t="shared" si="4"/>
        <v>1.2000000000000002</v>
      </c>
      <c r="P43" s="152">
        <f t="shared" si="5"/>
        <v>1.8002742683279577E-3</v>
      </c>
      <c r="Q43" s="152"/>
      <c r="R43" s="152"/>
      <c r="S43" s="152"/>
      <c r="T43" s="152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7" ht="16.5">
      <c r="A44" s="181"/>
      <c r="B44" s="175" t="s">
        <v>56</v>
      </c>
      <c r="C44" s="175"/>
      <c r="D44" s="175"/>
      <c r="E44" s="1">
        <f>C40</f>
        <v>10.815923207227554</v>
      </c>
      <c r="F44" s="1"/>
      <c r="G44" s="1"/>
      <c r="H44" s="1"/>
      <c r="I44" s="1"/>
      <c r="J44" s="2"/>
      <c r="K44" s="27"/>
      <c r="L44" s="27"/>
      <c r="M44" s="27"/>
      <c r="N44" s="30">
        <v>6</v>
      </c>
      <c r="O44" s="30">
        <f t="shared" si="4"/>
        <v>1.6</v>
      </c>
      <c r="P44" s="152">
        <f t="shared" si="5"/>
        <v>1.6543163272769352E-3</v>
      </c>
      <c r="Q44" s="152"/>
      <c r="R44" s="152"/>
      <c r="S44" s="152"/>
      <c r="T44" s="152"/>
      <c r="U44" s="27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7" ht="16.5">
      <c r="A45" s="181"/>
      <c r="B45" s="178" t="s">
        <v>57</v>
      </c>
      <c r="C45" s="178"/>
      <c r="D45" s="178"/>
      <c r="E45" s="50">
        <f>ABS(E43-E44)</f>
        <v>7.306191644147475E-4</v>
      </c>
      <c r="F45" s="1"/>
      <c r="G45" s="1"/>
      <c r="H45" s="1"/>
      <c r="I45" s="1"/>
      <c r="J45" s="2"/>
      <c r="K45" s="27"/>
      <c r="L45" s="27"/>
      <c r="M45" s="27"/>
      <c r="N45" s="27"/>
      <c r="O45" s="27"/>
      <c r="P45" s="27" t="s">
        <v>72</v>
      </c>
      <c r="Q45" s="27">
        <f>MAX(P38:T44)</f>
        <v>1.993569419793E-3</v>
      </c>
      <c r="R45" s="27"/>
      <c r="S45" s="27"/>
      <c r="T45" s="27"/>
      <c r="U45" s="27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7" ht="16.5">
      <c r="A46" s="1"/>
      <c r="B46" s="178" t="s">
        <v>58</v>
      </c>
      <c r="C46" s="178"/>
      <c r="D46" s="178"/>
      <c r="E46" s="50">
        <v>5</v>
      </c>
      <c r="F46" s="1"/>
      <c r="G46" s="1"/>
      <c r="H46" s="1"/>
      <c r="I46" s="1"/>
      <c r="J46" s="2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7" ht="16.5">
      <c r="A47" s="1"/>
      <c r="B47" s="22"/>
      <c r="C47" s="22"/>
      <c r="D47" s="22"/>
      <c r="E47" s="22"/>
      <c r="F47" s="1"/>
      <c r="G47" s="1"/>
      <c r="H47" s="1"/>
      <c r="I47" s="1"/>
      <c r="J47" s="2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7" ht="16.5" customHeight="1" thickBot="1">
      <c r="A48" s="179" t="s">
        <v>59</v>
      </c>
      <c r="B48" s="40">
        <v>117</v>
      </c>
      <c r="C48" s="48">
        <v>81</v>
      </c>
      <c r="D48" s="39">
        <v>100</v>
      </c>
      <c r="E48" s="38">
        <v>121</v>
      </c>
      <c r="F48" s="38">
        <v>144</v>
      </c>
      <c r="G48" s="38" t="s">
        <v>43</v>
      </c>
      <c r="H48" s="38" t="s">
        <v>44</v>
      </c>
      <c r="I48" s="38" t="s">
        <v>52</v>
      </c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7.25" thickTop="1">
      <c r="A49" s="179"/>
      <c r="B49" s="41">
        <v>81</v>
      </c>
      <c r="C49" s="31">
        <f>B48-C48</f>
        <v>36</v>
      </c>
      <c r="D49" s="32">
        <f>B49-D48</f>
        <v>-19</v>
      </c>
      <c r="E49" s="33">
        <f>B49-E48</f>
        <v>-40</v>
      </c>
      <c r="F49" s="33">
        <f>B49-F48</f>
        <v>-63</v>
      </c>
      <c r="G49" s="33">
        <f>(E53)/(C49*D49*E49*F49)</f>
        <v>-3.8345864661654135E-2</v>
      </c>
      <c r="H49" s="33">
        <v>9</v>
      </c>
      <c r="I49" s="33">
        <f>H49*G49</f>
        <v>-0.3451127819548872</v>
      </c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6.5">
      <c r="A50" s="179"/>
      <c r="B50" s="41">
        <v>100</v>
      </c>
      <c r="C50" s="31">
        <f>B50-C48</f>
        <v>19</v>
      </c>
      <c r="D50" s="32">
        <f>B48-D48</f>
        <v>17</v>
      </c>
      <c r="E50" s="33">
        <f>B50-E48</f>
        <v>-21</v>
      </c>
      <c r="F50" s="33">
        <f>B50-F48</f>
        <v>-44</v>
      </c>
      <c r="G50" s="33">
        <f>(E53)/(C50*D50*E50*F50)</f>
        <v>0.22146274777853725</v>
      </c>
      <c r="H50" s="33">
        <v>10</v>
      </c>
      <c r="I50" s="33">
        <f>H50*G50</f>
        <v>2.2146274777853723</v>
      </c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6.5">
      <c r="A51" s="47" t="s">
        <v>60</v>
      </c>
      <c r="B51" s="42">
        <v>121</v>
      </c>
      <c r="C51" s="49">
        <f>B51-C48</f>
        <v>40</v>
      </c>
      <c r="D51" s="37">
        <f>B51-D48</f>
        <v>21</v>
      </c>
      <c r="E51" s="36">
        <f>B48-E48</f>
        <v>-4</v>
      </c>
      <c r="F51" s="36">
        <f>B51-F48</f>
        <v>-23</v>
      </c>
      <c r="G51" s="33">
        <f>(E53)/(C51*D51*E51*F51)</f>
        <v>0.85527950310559009</v>
      </c>
      <c r="H51" s="36">
        <v>11</v>
      </c>
      <c r="I51" s="36">
        <f>H51*G51</f>
        <v>9.4080745341614911</v>
      </c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6.5">
      <c r="A52" s="46"/>
      <c r="B52" s="41">
        <v>144</v>
      </c>
      <c r="C52" s="31">
        <f>B52-C48</f>
        <v>63</v>
      </c>
      <c r="D52" s="32">
        <f>B52-D48</f>
        <v>44</v>
      </c>
      <c r="E52" s="33">
        <f>B52-E48</f>
        <v>23</v>
      </c>
      <c r="F52" s="33">
        <f>B48-F48</f>
        <v>-27</v>
      </c>
      <c r="G52" s="33">
        <f>(E53)/(C52*D52*E52*F52)</f>
        <v>-3.8396386222473176E-2</v>
      </c>
      <c r="H52" s="33">
        <v>12</v>
      </c>
      <c r="I52" s="33">
        <f>H52*G52</f>
        <v>-0.46075663466967809</v>
      </c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6.5">
      <c r="A53" s="1"/>
      <c r="B53" s="166" t="s">
        <v>50</v>
      </c>
      <c r="C53" s="166"/>
      <c r="D53" s="166"/>
      <c r="E53" s="168">
        <f>C49*D50*E51*F52</f>
        <v>66096</v>
      </c>
      <c r="F53" s="27"/>
      <c r="H53" s="43" t="s">
        <v>51</v>
      </c>
      <c r="I53" s="44">
        <f>SUM(I49:I52)</f>
        <v>10.816832595322298</v>
      </c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5" ht="16.5">
      <c r="A54" s="1"/>
      <c r="B54" s="167"/>
      <c r="C54" s="167"/>
      <c r="D54" s="167"/>
      <c r="E54" s="152"/>
      <c r="F54" s="27"/>
      <c r="G54" s="27"/>
      <c r="H54" s="27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5" ht="16.5">
      <c r="A55" s="1"/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5" ht="16.5">
      <c r="A56" s="1"/>
      <c r="B56" s="175" t="s">
        <v>57</v>
      </c>
      <c r="C56" s="175"/>
      <c r="D56" s="175"/>
      <c r="E56" s="1">
        <f>ABS(E43-I53)</f>
        <v>1.7876893032919838E-4</v>
      </c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5" ht="16.5">
      <c r="A57" s="1"/>
      <c r="B57" s="176" t="s">
        <v>61</v>
      </c>
      <c r="C57" s="176"/>
      <c r="D57" s="176"/>
      <c r="E57" s="176"/>
      <c r="F57" s="176"/>
      <c r="G57" s="176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5" ht="16.5">
      <c r="A58" s="1"/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5" ht="16.5">
      <c r="A59" s="1"/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5" ht="16.5">
      <c r="A60" s="1"/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5" ht="16.5">
      <c r="A61" s="1" t="s">
        <v>80</v>
      </c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5" ht="16.5">
      <c r="A62" s="1" t="s">
        <v>81</v>
      </c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5" ht="16.5">
      <c r="A63" s="1" t="s">
        <v>82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5" ht="16.5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ht="16.5">
      <c r="A65" s="1" t="s">
        <v>84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ht="16.5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ht="16.5">
      <c r="A67" s="1" t="s">
        <v>86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ht="16.5">
      <c r="A69" s="1" t="s">
        <v>87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ht="16.5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ht="16.5">
      <c r="A71" s="1" t="s">
        <v>89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ht="16.5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ht="16.5">
      <c r="A73" s="1" t="s">
        <v>91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ht="16.5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ht="16.5">
      <c r="A75" s="1" t="s">
        <v>93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ht="16.5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ht="16.5">
      <c r="A77" s="1" t="s">
        <v>95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ht="16.5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ht="16.5">
      <c r="A79" s="1" t="s">
        <v>97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ht="16.5">
      <c r="A80" t="s">
        <v>98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21" ht="16.5">
      <c r="A81" t="s">
        <v>99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6.5">
      <c r="A82" t="s">
        <v>100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6.5">
      <c r="A83" t="s">
        <v>101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6.5">
      <c r="A84" t="s">
        <v>102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t="s">
        <v>103</v>
      </c>
    </row>
    <row r="86" spans="1:21">
      <c r="A86" t="s">
        <v>104</v>
      </c>
    </row>
    <row r="87" spans="1:21">
      <c r="A87" t="s">
        <v>105</v>
      </c>
    </row>
    <row r="88" spans="1:21">
      <c r="A88" t="s">
        <v>106</v>
      </c>
    </row>
    <row r="89" spans="1:21">
      <c r="A89" t="s">
        <v>107</v>
      </c>
    </row>
    <row r="90" spans="1:21">
      <c r="A90" t="s">
        <v>108</v>
      </c>
    </row>
    <row r="91" spans="1:21">
      <c r="A91" t="s">
        <v>109</v>
      </c>
    </row>
    <row r="92" spans="1:21">
      <c r="A92" t="s">
        <v>110</v>
      </c>
    </row>
    <row r="93" spans="1:21">
      <c r="A93" t="s">
        <v>111</v>
      </c>
    </row>
    <row r="94" spans="1:21">
      <c r="A94" t="s">
        <v>112</v>
      </c>
    </row>
    <row r="95" spans="1:21">
      <c r="A95" t="s">
        <v>98</v>
      </c>
    </row>
    <row r="96" spans="1:21">
      <c r="A96" t="s">
        <v>113</v>
      </c>
    </row>
    <row r="97" spans="1:1">
      <c r="A97" t="s">
        <v>114</v>
      </c>
    </row>
    <row r="98" spans="1:1">
      <c r="A98" t="s">
        <v>102</v>
      </c>
    </row>
    <row r="99" spans="1:1">
      <c r="A99" t="s">
        <v>115</v>
      </c>
    </row>
    <row r="100" spans="1:1">
      <c r="A100" t="s">
        <v>116</v>
      </c>
    </row>
    <row r="101" spans="1:1">
      <c r="A101" t="s">
        <v>117</v>
      </c>
    </row>
    <row r="102" spans="1:1">
      <c r="A102" t="s">
        <v>118</v>
      </c>
    </row>
    <row r="103" spans="1:1">
      <c r="A103" t="s">
        <v>119</v>
      </c>
    </row>
    <row r="104" spans="1:1">
      <c r="A104" t="s">
        <v>120</v>
      </c>
    </row>
    <row r="105" spans="1:1">
      <c r="A105" t="s">
        <v>121</v>
      </c>
    </row>
    <row r="106" spans="1:1">
      <c r="A106" t="s">
        <v>116</v>
      </c>
    </row>
    <row r="107" spans="1:1">
      <c r="A107" t="s">
        <v>122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106</v>
      </c>
    </row>
    <row r="111" spans="1:1">
      <c r="A111" t="s">
        <v>123</v>
      </c>
    </row>
    <row r="112" spans="1:1">
      <c r="A112" t="s">
        <v>108</v>
      </c>
    </row>
    <row r="113" spans="1:1">
      <c r="A113" t="s">
        <v>124</v>
      </c>
    </row>
    <row r="114" spans="1:1">
      <c r="A114" t="s">
        <v>112</v>
      </c>
    </row>
    <row r="115" spans="1:1">
      <c r="A115" t="s">
        <v>98</v>
      </c>
    </row>
    <row r="116" spans="1:1">
      <c r="A116" t="s">
        <v>125</v>
      </c>
    </row>
    <row r="117" spans="1:1">
      <c r="A117" t="s">
        <v>126</v>
      </c>
    </row>
    <row r="118" spans="1:1">
      <c r="A118" t="s">
        <v>108</v>
      </c>
    </row>
    <row r="119" spans="1:1">
      <c r="A119" t="s">
        <v>127</v>
      </c>
    </row>
    <row r="120" spans="1:1">
      <c r="A120" t="s">
        <v>128</v>
      </c>
    </row>
    <row r="121" spans="1:1">
      <c r="A121" t="s">
        <v>129</v>
      </c>
    </row>
    <row r="122" spans="1:1">
      <c r="A122" t="s">
        <v>130</v>
      </c>
    </row>
    <row r="123" spans="1:1">
      <c r="A123" t="s">
        <v>131</v>
      </c>
    </row>
  </sheetData>
  <mergeCells count="49">
    <mergeCell ref="K34:M35"/>
    <mergeCell ref="N34:N35"/>
    <mergeCell ref="K37:L37"/>
    <mergeCell ref="K7:P7"/>
    <mergeCell ref="K25:O25"/>
    <mergeCell ref="B56:D56"/>
    <mergeCell ref="B57:G57"/>
    <mergeCell ref="G20:G22"/>
    <mergeCell ref="A3:I3"/>
    <mergeCell ref="B7:I7"/>
    <mergeCell ref="B25:I25"/>
    <mergeCell ref="B46:D46"/>
    <mergeCell ref="A48:A50"/>
    <mergeCell ref="B53:D54"/>
    <mergeCell ref="E53:E54"/>
    <mergeCell ref="B41:C41"/>
    <mergeCell ref="A43:A45"/>
    <mergeCell ref="B43:D43"/>
    <mergeCell ref="B44:D44"/>
    <mergeCell ref="B45:D45"/>
    <mergeCell ref="F29:H29"/>
    <mergeCell ref="F30:H30"/>
    <mergeCell ref="B36:D37"/>
    <mergeCell ref="E36:E37"/>
    <mergeCell ref="F27:H27"/>
    <mergeCell ref="F28:H28"/>
    <mergeCell ref="E2:U2"/>
    <mergeCell ref="A1:U1"/>
    <mergeCell ref="B6:E6"/>
    <mergeCell ref="B9:H9"/>
    <mergeCell ref="B20:B22"/>
    <mergeCell ref="B18:C18"/>
    <mergeCell ref="A2:B2"/>
    <mergeCell ref="C2:D2"/>
    <mergeCell ref="P14:T14"/>
    <mergeCell ref="P15:T15"/>
    <mergeCell ref="P16:T16"/>
    <mergeCell ref="P17:T17"/>
    <mergeCell ref="P18:T18"/>
    <mergeCell ref="J22:U22"/>
    <mergeCell ref="J3:U3"/>
    <mergeCell ref="P42:T42"/>
    <mergeCell ref="P43:T43"/>
    <mergeCell ref="P44:T44"/>
    <mergeCell ref="P37:T37"/>
    <mergeCell ref="P38:T38"/>
    <mergeCell ref="P39:T39"/>
    <mergeCell ref="P40:T40"/>
    <mergeCell ref="P41:T4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59"/>
  <sheetViews>
    <sheetView tabSelected="1" workbookViewId="0">
      <selection activeCell="J10" sqref="J10"/>
    </sheetView>
  </sheetViews>
  <sheetFormatPr defaultRowHeight="15"/>
  <cols>
    <col min="1" max="1" width="16.7109375" customWidth="1"/>
    <col min="2" max="2" width="22.7109375" customWidth="1"/>
    <col min="9" max="9" width="12.5703125" customWidth="1"/>
    <col min="11" max="11" width="13.85546875" customWidth="1"/>
  </cols>
  <sheetData>
    <row r="1" spans="1:36" ht="20.25">
      <c r="A1" s="154" t="s">
        <v>74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0.25">
      <c r="A2" s="159" t="s">
        <v>3</v>
      </c>
      <c r="B2" s="159"/>
      <c r="C2" s="159" t="s">
        <v>1</v>
      </c>
      <c r="D2" s="159"/>
      <c r="E2" s="153" t="s">
        <v>2</v>
      </c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6.5">
      <c r="A3" s="162" t="s">
        <v>4</v>
      </c>
      <c r="B3" s="162"/>
      <c r="C3" s="162"/>
      <c r="D3" s="162"/>
      <c r="E3" s="162"/>
      <c r="F3" s="162"/>
      <c r="G3" s="162"/>
      <c r="H3" s="162"/>
      <c r="I3" s="16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6.5">
      <c r="A4" s="73" t="s">
        <v>6</v>
      </c>
      <c r="B4" s="11" t="s">
        <v>5</v>
      </c>
      <c r="C4" s="9">
        <v>-3.3</v>
      </c>
      <c r="D4" s="8">
        <f t="shared" ref="D4:I4" si="0">C$4+$D$6</f>
        <v>-2.0999999999999996</v>
      </c>
      <c r="E4" s="8">
        <f t="shared" si="0"/>
        <v>-0.89999999999999969</v>
      </c>
      <c r="F4" s="8">
        <f t="shared" si="0"/>
        <v>0.30000000000000027</v>
      </c>
      <c r="G4" s="8">
        <f t="shared" si="0"/>
        <v>1.5000000000000002</v>
      </c>
      <c r="H4" s="8">
        <f t="shared" si="0"/>
        <v>2.7</v>
      </c>
      <c r="I4" s="8">
        <f t="shared" si="0"/>
        <v>3.9000000000000004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6.5">
      <c r="A5" s="73"/>
      <c r="B5" s="55" t="s">
        <v>68</v>
      </c>
      <c r="C5" s="59">
        <f>2.1 * SIN(0.37*C$4)</f>
        <v>-1.9728293181627878</v>
      </c>
      <c r="D5" s="59">
        <f t="shared" ref="D5:I5" si="1">2.1 * SIN(0.37*D$4)</f>
        <v>-1.472401385763987</v>
      </c>
      <c r="E5" s="59">
        <f t="shared" si="1"/>
        <v>-0.68644735524903444</v>
      </c>
      <c r="F5" s="59">
        <f t="shared" si="1"/>
        <v>0.23262162394868549</v>
      </c>
      <c r="G5" s="59">
        <f t="shared" si="1"/>
        <v>1.106580930426933</v>
      </c>
      <c r="H5" s="59">
        <f t="shared" si="1"/>
        <v>1.7659535498989052</v>
      </c>
      <c r="I5" s="59">
        <f t="shared" si="1"/>
        <v>2.0828748300607249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6.5">
      <c r="A6" s="61"/>
      <c r="B6" s="61"/>
      <c r="C6" s="61" t="s">
        <v>75</v>
      </c>
      <c r="D6" s="3">
        <v>1.2</v>
      </c>
      <c r="E6" s="61" t="s">
        <v>78</v>
      </c>
      <c r="F6" s="3">
        <v>0.5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6.5">
      <c r="A7" s="74" t="s">
        <v>10</v>
      </c>
      <c r="B7" s="66" t="s">
        <v>76</v>
      </c>
      <c r="C7" s="66"/>
      <c r="D7" s="66"/>
      <c r="E7" s="66"/>
      <c r="F7" s="66"/>
      <c r="G7" s="66"/>
      <c r="H7" s="6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>
      <c r="A8" s="61"/>
      <c r="B8" s="60">
        <f>2.1 * SIN(0.37*C$4)</f>
        <v>-1.9728293181627878</v>
      </c>
      <c r="C8" s="63">
        <f t="shared" ref="C8:H8" si="2">B9-B8</f>
        <v>0.50042793239880079</v>
      </c>
      <c r="D8" s="63">
        <f t="shared" si="2"/>
        <v>0.28552609811615182</v>
      </c>
      <c r="E8" s="63">
        <f t="shared" si="2"/>
        <v>-0.15241114943338452</v>
      </c>
      <c r="F8" s="67">
        <f t="shared" si="2"/>
        <v>-2.5813471968855195E-2</v>
      </c>
      <c r="G8" s="67">
        <f t="shared" si="2"/>
        <v>3.4561079084292068E-2</v>
      </c>
      <c r="H8" s="67">
        <f t="shared" si="2"/>
        <v>-1.6963242168033243E-3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>
      <c r="A9" s="61"/>
      <c r="B9" s="60">
        <f>2.1 * SIN(0.37*D$4)</f>
        <v>-1.472401385763987</v>
      </c>
      <c r="C9" s="63">
        <f t="shared" ref="C9:F12" si="3">B10-B9</f>
        <v>0.78595403051495261</v>
      </c>
      <c r="D9" s="63">
        <f t="shared" si="3"/>
        <v>0.1331149486827673</v>
      </c>
      <c r="E9" s="63">
        <f t="shared" si="3"/>
        <v>-0.17822462140223971</v>
      </c>
      <c r="F9" s="67">
        <f>E10-E9</f>
        <v>8.7476071154368729E-3</v>
      </c>
      <c r="G9" s="67">
        <f>F10-F9</f>
        <v>3.2864754867488744E-2</v>
      </c>
      <c r="H9" s="6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>
      <c r="A10" s="61"/>
      <c r="B10" s="60">
        <f>2.1 * SIN(0.37*E$4)</f>
        <v>-0.68644735524903444</v>
      </c>
      <c r="C10" s="63">
        <f t="shared" si="3"/>
        <v>0.9190689791977199</v>
      </c>
      <c r="D10" s="63">
        <f t="shared" si="3"/>
        <v>-4.5109672719472416E-2</v>
      </c>
      <c r="E10" s="63">
        <f t="shared" si="3"/>
        <v>-0.16947701428680284</v>
      </c>
      <c r="F10" s="67">
        <f t="shared" si="3"/>
        <v>4.1612361982925616E-2</v>
      </c>
      <c r="G10" s="65"/>
      <c r="H10" s="6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>
      <c r="A11" s="61"/>
      <c r="B11" s="60">
        <f>2.1 * SIN(0.37*F$4)</f>
        <v>0.23262162394868549</v>
      </c>
      <c r="C11" s="63">
        <f t="shared" si="3"/>
        <v>0.87395930647824749</v>
      </c>
      <c r="D11" s="63">
        <f t="shared" si="3"/>
        <v>-0.21458668700627526</v>
      </c>
      <c r="E11" s="63">
        <f t="shared" si="3"/>
        <v>-0.12786465230387722</v>
      </c>
      <c r="F11" s="65"/>
      <c r="G11" s="65"/>
      <c r="H11" s="6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>
      <c r="A12" s="61"/>
      <c r="B12" s="60">
        <f>2.1 * SIN(0.37*G$4)</f>
        <v>1.106580930426933</v>
      </c>
      <c r="C12" s="63">
        <f t="shared" si="3"/>
        <v>0.65937261947197223</v>
      </c>
      <c r="D12" s="63">
        <f>C13-C12</f>
        <v>-0.34245133931015248</v>
      </c>
      <c r="E12" s="62"/>
      <c r="F12" s="65"/>
      <c r="G12" s="65"/>
      <c r="H12" s="6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>
      <c r="A13" s="61"/>
      <c r="B13" s="60">
        <f>2.1 * SIN(0.37*H$4)</f>
        <v>1.7659535498989052</v>
      </c>
      <c r="C13" s="63">
        <f>B14-B13</f>
        <v>0.31692128016181975</v>
      </c>
      <c r="D13" s="62"/>
      <c r="E13" s="62"/>
      <c r="F13" s="65"/>
      <c r="G13" s="65"/>
      <c r="H13" s="6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>
      <c r="A14" s="61"/>
      <c r="B14" s="60">
        <f>2.1 * SIN(0.37*I$4)</f>
        <v>2.0828748300607249</v>
      </c>
      <c r="C14" s="62"/>
      <c r="D14" s="62"/>
      <c r="E14" s="62"/>
      <c r="F14" s="65"/>
      <c r="G14" s="65"/>
      <c r="H14" s="6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>
      <c r="A15" s="61"/>
      <c r="B15" s="64">
        <v>5.0000000000000001E-3</v>
      </c>
      <c r="C15" s="64">
        <f t="shared" ref="C15:H15" si="4">B15*2</f>
        <v>0.01</v>
      </c>
      <c r="D15" s="64">
        <f t="shared" si="4"/>
        <v>0.02</v>
      </c>
      <c r="E15" s="64">
        <f t="shared" si="4"/>
        <v>0.04</v>
      </c>
      <c r="F15" s="64">
        <f t="shared" si="4"/>
        <v>0.08</v>
      </c>
      <c r="G15" s="64">
        <f t="shared" si="4"/>
        <v>0.16</v>
      </c>
      <c r="H15" s="64">
        <f t="shared" si="4"/>
        <v>0.32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>
      <c r="A16" s="61"/>
      <c r="B16" s="1" t="s">
        <v>77</v>
      </c>
      <c r="C16" s="187" t="s">
        <v>79</v>
      </c>
      <c r="D16" s="187"/>
      <c r="E16" s="18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>
      <c r="A17" s="61"/>
      <c r="B17" s="11" t="s">
        <v>5</v>
      </c>
      <c r="C17" s="8">
        <f>D$4+$D$6</f>
        <v>-0.89999999999999969</v>
      </c>
      <c r="D17" s="8">
        <f>E$4+$D$6</f>
        <v>0.30000000000000027</v>
      </c>
      <c r="E17" s="8">
        <f>F$4+$D$6</f>
        <v>1.5000000000000002</v>
      </c>
      <c r="F17" s="8">
        <f>G$4+$D$6</f>
        <v>2.7</v>
      </c>
      <c r="H17" s="77" t="s">
        <v>135</v>
      </c>
      <c r="I17" s="78" t="s">
        <v>138</v>
      </c>
      <c r="J17" s="80" t="s">
        <v>136</v>
      </c>
      <c r="K17" s="78" t="s">
        <v>139</v>
      </c>
      <c r="L17" s="80" t="s">
        <v>136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>
      <c r="A18" s="61"/>
      <c r="B18" s="55" t="s">
        <v>68</v>
      </c>
      <c r="C18" s="59">
        <f>2.1 * SIN(0.37*E$4)</f>
        <v>-0.68644735524903444</v>
      </c>
      <c r="D18" s="59">
        <f>2.1 * SIN(0.37*F$4)</f>
        <v>0.23262162394868549</v>
      </c>
      <c r="E18" s="59">
        <f>2.1 * SIN(0.37*G$4)</f>
        <v>1.106580930426933</v>
      </c>
      <c r="F18" s="59">
        <f>2.1 * SIN(0.37*H$4)</f>
        <v>1.7659535498989052</v>
      </c>
      <c r="H18" s="8">
        <f>D$4+$D$6</f>
        <v>-0.89999999999999969</v>
      </c>
      <c r="I18" s="76">
        <f>$F$6-H18</f>
        <v>1.3999999999999997</v>
      </c>
      <c r="J18" s="79">
        <f>I18</f>
        <v>1.3999999999999997</v>
      </c>
      <c r="K18" s="76">
        <f>$F$6-H21</f>
        <v>-2.2000000000000002</v>
      </c>
      <c r="L18" s="79">
        <f>K18</f>
        <v>-2.2000000000000002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>
      <c r="A19" s="61"/>
      <c r="B19" s="66" t="s">
        <v>76</v>
      </c>
      <c r="C19" s="66"/>
      <c r="D19" s="66"/>
      <c r="E19" s="66"/>
      <c r="F19" s="1"/>
      <c r="G19" s="1"/>
      <c r="H19" s="8">
        <f>E$4+$D$6</f>
        <v>0.30000000000000027</v>
      </c>
      <c r="I19" s="76">
        <f>$F$6-H19</f>
        <v>0.19999999999999973</v>
      </c>
      <c r="J19" s="71">
        <f>I18*I19</f>
        <v>0.27999999999999958</v>
      </c>
      <c r="K19" s="76">
        <f>$F$6-H20</f>
        <v>-1.0000000000000002</v>
      </c>
      <c r="L19" s="71">
        <f>K18*K19</f>
        <v>2.2000000000000006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>
      <c r="A20" s="61"/>
      <c r="B20" s="69">
        <f>2.1 * SIN(0.37*E$4)</f>
        <v>-0.68644735524903444</v>
      </c>
      <c r="C20" s="70">
        <f>B21-B20</f>
        <v>0.9190689791977199</v>
      </c>
      <c r="D20" s="70">
        <f>C21-C20</f>
        <v>-4.5109672719472416E-2</v>
      </c>
      <c r="E20" s="70">
        <f>D21-D20</f>
        <v>-0.16947701428680284</v>
      </c>
      <c r="F20" s="1"/>
      <c r="G20" s="1"/>
      <c r="H20" s="8">
        <f>F$4+$D$6</f>
        <v>1.5000000000000002</v>
      </c>
      <c r="I20" s="76">
        <f>$F$6-H20</f>
        <v>-1.0000000000000002</v>
      </c>
      <c r="J20" s="71">
        <f>I20*I19*I18</f>
        <v>-0.27999999999999964</v>
      </c>
      <c r="K20" s="76">
        <f>$F$6-H19</f>
        <v>0.19999999999999973</v>
      </c>
      <c r="L20" s="71">
        <f>K20*K19*K18</f>
        <v>0.43999999999999956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>
      <c r="A21" s="61"/>
      <c r="B21" s="69">
        <f>2.1 * SIN(0.37*F$4)</f>
        <v>0.23262162394868549</v>
      </c>
      <c r="C21" s="70">
        <f>B22-B21</f>
        <v>0.87395930647824749</v>
      </c>
      <c r="D21" s="70">
        <f>C22-C21</f>
        <v>-0.21458668700627526</v>
      </c>
      <c r="E21" s="71"/>
      <c r="F21" s="1"/>
      <c r="G21" s="1"/>
      <c r="H21" s="81">
        <f>G$4+$D$6</f>
        <v>2.7</v>
      </c>
      <c r="I21" s="82"/>
      <c r="J21" s="83"/>
      <c r="K21" s="76"/>
      <c r="L21" s="7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>
      <c r="A22" s="61"/>
      <c r="B22" s="69">
        <f>2.1 * SIN(0.37*G$4)</f>
        <v>1.106580930426933</v>
      </c>
      <c r="C22" s="70">
        <f>B23-B22</f>
        <v>0.65937261947197223</v>
      </c>
      <c r="D22" s="71"/>
      <c r="E22" s="71"/>
      <c r="F22" s="1"/>
      <c r="G22" s="1"/>
      <c r="H22" s="85"/>
      <c r="I22" s="86"/>
      <c r="J22" s="1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>
      <c r="A23" s="61"/>
      <c r="B23" s="69">
        <f>2.1 * SIN(0.37*H$4)</f>
        <v>1.7659535498989052</v>
      </c>
      <c r="C23" s="71"/>
      <c r="D23" s="71"/>
      <c r="E23" s="71"/>
      <c r="F23" s="1"/>
      <c r="G23" s="1"/>
      <c r="H23" s="68"/>
      <c r="I23" s="75"/>
      <c r="J23" s="8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>
      <c r="A24" s="61"/>
      <c r="B24" s="72">
        <v>5.0000000000000001E-3</v>
      </c>
      <c r="C24" s="72">
        <f>B24*2</f>
        <v>0.01</v>
      </c>
      <c r="D24" s="72">
        <f>C24*2</f>
        <v>0.02</v>
      </c>
      <c r="E24" s="72">
        <f>D24*2</f>
        <v>0.04</v>
      </c>
      <c r="F24" s="1"/>
      <c r="G24" s="1"/>
      <c r="H24" s="68"/>
      <c r="I24" s="75"/>
      <c r="J24" s="8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>
      <c r="A25" s="6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>
      <c r="A26" s="74" t="s">
        <v>132</v>
      </c>
      <c r="B26" s="1" t="s">
        <v>133</v>
      </c>
      <c r="C26" s="1">
        <f>B20+C20 * J18/D6+D20*J19/(2 * POWER(D6, 2)) + E20*J20/(2*3*POWER(D6,3))</f>
        <v>0.38599105006295398</v>
      </c>
      <c r="D26" s="1"/>
      <c r="E26" s="1">
        <f>C22*L18/D6</f>
        <v>-1.2088498023652825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>
      <c r="A27" s="61"/>
      <c r="B27" s="1" t="s">
        <v>134</v>
      </c>
      <c r="C27" s="87">
        <f>B23+C22*L18/D6+D21*L19/(2*POWER(D6,2)) + E20*L20/(2*3*POWER(D6,3))</f>
        <v>0.38599105006295392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>
      <c r="A28" s="6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>
      <c r="A29" s="185" t="s">
        <v>137</v>
      </c>
      <c r="B29" s="186">
        <v>0.38636588325435234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>
      <c r="A30" s="185"/>
      <c r="B30" s="186"/>
      <c r="C30" s="1"/>
      <c r="D30" s="88">
        <f>B20</f>
        <v>-0.68644735524903444</v>
      </c>
      <c r="E30" s="1">
        <f>C20/D6*(F6-C17)</f>
        <v>1.0722471423973396</v>
      </c>
      <c r="F30" s="1">
        <f>D20/2*(F6-C17)*(F6-D17)</f>
        <v>-6.3153541807261281E-3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>
      <c r="A31" s="185"/>
      <c r="B31" s="186"/>
      <c r="C31" s="1"/>
      <c r="D31" s="1"/>
      <c r="E31" s="88">
        <f>D30+E30</f>
        <v>0.38579978714830521</v>
      </c>
      <c r="F31" s="88">
        <f>E31+F30</f>
        <v>0.37948443296757906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>
      <c r="A32" s="185"/>
      <c r="B32" s="18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</sheetData>
  <mergeCells count="8">
    <mergeCell ref="A29:A32"/>
    <mergeCell ref="B29:B32"/>
    <mergeCell ref="A1:U1"/>
    <mergeCell ref="A2:B2"/>
    <mergeCell ref="C2:D2"/>
    <mergeCell ref="E2:U2"/>
    <mergeCell ref="A3:I3"/>
    <mergeCell ref="C16:E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9"/>
  <sheetViews>
    <sheetView topLeftCell="A10" zoomScale="90" zoomScaleNormal="90" workbookViewId="0">
      <selection activeCell="R32" sqref="R32"/>
    </sheetView>
  </sheetViews>
  <sheetFormatPr defaultRowHeight="15"/>
  <cols>
    <col min="7" max="7" width="12" bestFit="1" customWidth="1"/>
    <col min="18" max="18" width="11.5703125" bestFit="1" customWidth="1"/>
  </cols>
  <sheetData>
    <row r="1" spans="1:21" ht="20.25">
      <c r="A1" s="191" t="s">
        <v>141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</row>
    <row r="2" spans="1:21" ht="20.25">
      <c r="A2" s="159" t="s">
        <v>3</v>
      </c>
      <c r="B2" s="159"/>
      <c r="C2" s="159" t="s">
        <v>1</v>
      </c>
      <c r="D2" s="159"/>
      <c r="E2" s="153" t="s">
        <v>2</v>
      </c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</row>
    <row r="3" spans="1:21" ht="16.5">
      <c r="A3" s="192" t="s">
        <v>4</v>
      </c>
      <c r="B3" s="192"/>
      <c r="C3" s="192"/>
      <c r="D3" s="192"/>
      <c r="E3" s="192"/>
      <c r="F3" s="192"/>
      <c r="G3" s="192"/>
      <c r="H3" s="192"/>
      <c r="I3" s="19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</row>
    <row r="4" spans="1:21">
      <c r="A4" s="190" t="s">
        <v>142</v>
      </c>
      <c r="B4" s="190"/>
      <c r="C4" s="90"/>
      <c r="D4" s="90"/>
      <c r="E4" s="90"/>
      <c r="F4" s="90"/>
      <c r="G4" s="90"/>
      <c r="H4" s="90"/>
      <c r="I4" s="90"/>
    </row>
    <row r="5" spans="1:21">
      <c r="A5" s="188" t="s">
        <v>140</v>
      </c>
      <c r="B5" s="188"/>
      <c r="C5" s="188"/>
      <c r="D5" s="188"/>
      <c r="E5" s="188"/>
      <c r="F5" s="188"/>
      <c r="G5" s="188"/>
      <c r="H5" s="188"/>
      <c r="I5" s="188"/>
      <c r="J5" s="188"/>
      <c r="K5" s="188" t="s">
        <v>147</v>
      </c>
      <c r="L5" s="188"/>
      <c r="M5" s="188"/>
      <c r="N5" s="188"/>
      <c r="O5" s="188"/>
      <c r="P5" s="188"/>
    </row>
    <row r="6" spans="1:21">
      <c r="A6" s="189" t="s">
        <v>143</v>
      </c>
      <c r="B6" s="189"/>
      <c r="C6" s="91" t="s">
        <v>5</v>
      </c>
      <c r="D6">
        <v>-3</v>
      </c>
      <c r="E6">
        <v>-2</v>
      </c>
      <c r="F6">
        <v>-1</v>
      </c>
      <c r="G6">
        <v>0</v>
      </c>
      <c r="H6">
        <v>1</v>
      </c>
      <c r="I6">
        <v>2</v>
      </c>
      <c r="J6">
        <v>3</v>
      </c>
      <c r="K6" s="91" t="s">
        <v>148</v>
      </c>
      <c r="L6">
        <v>0.5</v>
      </c>
    </row>
    <row r="7" spans="1:21">
      <c r="C7" s="91" t="s">
        <v>76</v>
      </c>
      <c r="D7">
        <f>D6*POWER(2, D6) - 1</f>
        <v>-1.375</v>
      </c>
      <c r="E7">
        <f t="shared" ref="E7:J7" si="0">E6*POWER(2, E6) - 1</f>
        <v>-1.5</v>
      </c>
      <c r="F7">
        <f t="shared" si="0"/>
        <v>-1.5</v>
      </c>
      <c r="G7">
        <f t="shared" si="0"/>
        <v>-1</v>
      </c>
      <c r="H7">
        <f t="shared" si="0"/>
        <v>1</v>
      </c>
      <c r="I7">
        <f t="shared" si="0"/>
        <v>7</v>
      </c>
      <c r="J7">
        <f t="shared" si="0"/>
        <v>23</v>
      </c>
      <c r="K7" s="91" t="s">
        <v>149</v>
      </c>
      <c r="L7" s="89" t="s">
        <v>150</v>
      </c>
      <c r="M7" s="89" t="s">
        <v>151</v>
      </c>
      <c r="O7" s="104"/>
      <c r="P7" s="104"/>
    </row>
    <row r="8" spans="1:21">
      <c r="A8" t="s">
        <v>144</v>
      </c>
      <c r="L8">
        <v>-3</v>
      </c>
      <c r="M8">
        <f>L8*POWER(2, L8) - 1</f>
        <v>-1.375</v>
      </c>
      <c r="O8" s="93"/>
      <c r="P8" s="93"/>
    </row>
    <row r="9" spans="1:21">
      <c r="L9" s="93">
        <v>-2.5</v>
      </c>
      <c r="M9" s="93">
        <f t="shared" ref="M9" si="1">L9*POWER(2, L9) - 1</f>
        <v>-1.4419417382415922</v>
      </c>
      <c r="O9" s="93"/>
      <c r="P9" s="93"/>
    </row>
    <row r="10" spans="1:21">
      <c r="L10" s="93">
        <v>-2</v>
      </c>
      <c r="M10" s="93">
        <f t="shared" ref="M10" si="2">L10*POWER(2, L10) - 1</f>
        <v>-1.5</v>
      </c>
      <c r="O10" s="93"/>
      <c r="P10" s="93"/>
    </row>
    <row r="11" spans="1:21">
      <c r="L11" s="93">
        <v>-1.5</v>
      </c>
      <c r="M11" s="93">
        <f t="shared" ref="M11:M12" si="3">L11*POWER(2, L11) - 1</f>
        <v>-1.5303300858899107</v>
      </c>
      <c r="O11" s="104"/>
      <c r="P11" s="104"/>
    </row>
    <row r="12" spans="1:21">
      <c r="L12" s="93">
        <v>-1</v>
      </c>
      <c r="M12" s="93">
        <f t="shared" si="3"/>
        <v>-1.5</v>
      </c>
      <c r="O12" s="93"/>
      <c r="P12" s="93"/>
    </row>
    <row r="13" spans="1:21">
      <c r="L13" s="93">
        <v>-0.5</v>
      </c>
      <c r="M13" s="93">
        <f t="shared" ref="M13:M14" si="4">L13*POWER(2, L13) - 1</f>
        <v>-1.3535533905932737</v>
      </c>
      <c r="O13" s="93"/>
      <c r="P13" s="93"/>
    </row>
    <row r="14" spans="1:21">
      <c r="L14" s="93">
        <v>0</v>
      </c>
      <c r="M14" s="93">
        <f t="shared" si="4"/>
        <v>-1</v>
      </c>
      <c r="O14" s="93"/>
      <c r="P14" s="93"/>
    </row>
    <row r="15" spans="1:21">
      <c r="L15" s="92">
        <v>0.5</v>
      </c>
      <c r="M15" s="92">
        <f t="shared" ref="M15:M16" si="5">L15*POWER(2, L15) - 1</f>
        <v>-0.29289321881345243</v>
      </c>
    </row>
    <row r="16" spans="1:21">
      <c r="L16" s="92">
        <v>1</v>
      </c>
      <c r="M16" s="92">
        <f t="shared" si="5"/>
        <v>1</v>
      </c>
    </row>
    <row r="17" spans="1:18">
      <c r="L17" s="93">
        <v>1.5</v>
      </c>
      <c r="M17" s="93">
        <f t="shared" ref="M17:M18" si="6">L17*POWER(2, L17) - 1</f>
        <v>3.2426406871192848</v>
      </c>
    </row>
    <row r="18" spans="1:18">
      <c r="L18" s="93">
        <v>2</v>
      </c>
      <c r="M18" s="93">
        <f t="shared" si="6"/>
        <v>7</v>
      </c>
    </row>
    <row r="19" spans="1:18">
      <c r="A19" s="94" t="s">
        <v>145</v>
      </c>
      <c r="B19" s="94" t="s">
        <v>146</v>
      </c>
      <c r="C19" s="94"/>
      <c r="D19" s="94"/>
      <c r="E19" s="94"/>
      <c r="F19" s="94"/>
      <c r="L19" s="93">
        <v>2.5</v>
      </c>
      <c r="M19" s="93">
        <f t="shared" ref="M19:M20" si="7">L19*POWER(2, L19) - 1</f>
        <v>13.142135623730951</v>
      </c>
      <c r="N19" s="94"/>
      <c r="O19" s="94"/>
    </row>
    <row r="20" spans="1:18">
      <c r="A20" s="188" t="s">
        <v>152</v>
      </c>
      <c r="B20" s="188"/>
      <c r="C20" s="188"/>
      <c r="D20" s="188"/>
      <c r="E20" s="188"/>
      <c r="F20" s="188"/>
      <c r="G20" s="188"/>
      <c r="H20" s="188"/>
      <c r="I20" s="188"/>
      <c r="J20" s="188"/>
      <c r="L20" s="93">
        <v>3</v>
      </c>
      <c r="M20" s="93">
        <f t="shared" si="7"/>
        <v>23</v>
      </c>
    </row>
    <row r="21" spans="1:18">
      <c r="A21" s="189" t="s">
        <v>153</v>
      </c>
      <c r="B21" s="189"/>
      <c r="C21" s="189"/>
      <c r="D21">
        <f>10^(-3)</f>
        <v>1E-3</v>
      </c>
      <c r="K21" s="94" t="s">
        <v>26</v>
      </c>
      <c r="L21" s="94" t="s">
        <v>177</v>
      </c>
    </row>
    <row r="22" spans="1:18">
      <c r="A22" s="189" t="s">
        <v>154</v>
      </c>
      <c r="B22" s="189"/>
      <c r="C22" s="189"/>
      <c r="D22" s="189"/>
    </row>
    <row r="23" spans="1:18" ht="60">
      <c r="A23" s="95" t="s">
        <v>155</v>
      </c>
      <c r="B23" s="95" t="s">
        <v>156</v>
      </c>
      <c r="C23" s="95" t="s">
        <v>157</v>
      </c>
      <c r="D23" s="95" t="s">
        <v>158</v>
      </c>
      <c r="E23" s="95" t="s">
        <v>159</v>
      </c>
      <c r="F23" s="95" t="s">
        <v>160</v>
      </c>
      <c r="G23" s="95" t="s">
        <v>161</v>
      </c>
      <c r="H23" s="95" t="s">
        <v>162</v>
      </c>
      <c r="I23" s="95" t="s">
        <v>163</v>
      </c>
      <c r="J23" s="95" t="s">
        <v>164</v>
      </c>
    </row>
    <row r="24" spans="1:18">
      <c r="A24" s="96">
        <v>1</v>
      </c>
      <c r="B24" s="96">
        <v>-3</v>
      </c>
      <c r="C24" s="96">
        <f t="shared" ref="C24:C31" si="8">(B24+D24)/2</f>
        <v>0</v>
      </c>
      <c r="D24" s="96">
        <v>3</v>
      </c>
      <c r="E24" s="96">
        <f t="shared" ref="E24:E31" si="9">D24-B24</f>
        <v>6</v>
      </c>
      <c r="F24" s="96" t="str">
        <f>IF(E24&lt;$D$21,"да","нет")</f>
        <v>нет</v>
      </c>
      <c r="G24" s="97">
        <f>B24* POWER(2, B24)-1</f>
        <v>-1.375</v>
      </c>
      <c r="H24" s="98">
        <f>C24* POWER(2, C24)-1</f>
        <v>-1</v>
      </c>
      <c r="I24" s="98">
        <f>D24* POWER(2, D24)-1</f>
        <v>23</v>
      </c>
      <c r="J24" s="96" t="s">
        <v>166</v>
      </c>
      <c r="L24" t="s">
        <v>171</v>
      </c>
      <c r="R24" t="s">
        <v>172</v>
      </c>
    </row>
    <row r="25" spans="1:18">
      <c r="A25" s="96">
        <v>2</v>
      </c>
      <c r="B25" s="96">
        <f>C24</f>
        <v>0</v>
      </c>
      <c r="C25" s="96">
        <f t="shared" si="8"/>
        <v>1.5</v>
      </c>
      <c r="D25" s="96">
        <f>D24</f>
        <v>3</v>
      </c>
      <c r="E25" s="96">
        <f t="shared" si="9"/>
        <v>3</v>
      </c>
      <c r="F25" s="96" t="str">
        <f>IF(E25&lt;$D$21,"да","нет")</f>
        <v>нет</v>
      </c>
      <c r="G25" s="98">
        <f>B25* POWER(2, B25)-1</f>
        <v>-1</v>
      </c>
      <c r="H25" s="98">
        <f t="shared" ref="H25:H31" si="10">C25* POWER(2, C25)-1</f>
        <v>3.2426406871192848</v>
      </c>
      <c r="I25" s="97">
        <f t="shared" ref="I25:I31" si="11">D25* POWER(2, D25)-1</f>
        <v>23</v>
      </c>
      <c r="J25" s="96" t="s">
        <v>165</v>
      </c>
      <c r="R25">
        <f>0.641185744504986</f>
        <v>0.641185744504986</v>
      </c>
    </row>
    <row r="26" spans="1:18">
      <c r="A26" s="96">
        <v>3</v>
      </c>
      <c r="B26" s="96">
        <f>B25</f>
        <v>0</v>
      </c>
      <c r="C26" s="96">
        <f t="shared" si="8"/>
        <v>0.75</v>
      </c>
      <c r="D26" s="96">
        <f>C25</f>
        <v>1.5</v>
      </c>
      <c r="E26" s="96">
        <f t="shared" si="9"/>
        <v>1.5</v>
      </c>
      <c r="F26" s="96" t="str">
        <f t="shared" ref="F26:F35" si="12">IF(E26&lt;$D$21,"да","нет")</f>
        <v>нет</v>
      </c>
      <c r="G26" s="98">
        <f t="shared" ref="G26:G31" si="13">B26* POWER(2, B26)-1</f>
        <v>-1</v>
      </c>
      <c r="H26" s="98">
        <f t="shared" si="10"/>
        <v>0.26134462288057181</v>
      </c>
      <c r="I26" s="97">
        <f t="shared" si="11"/>
        <v>3.2426406871192848</v>
      </c>
      <c r="J26" s="96" t="s">
        <v>165</v>
      </c>
    </row>
    <row r="27" spans="1:18">
      <c r="A27" s="96">
        <v>4</v>
      </c>
      <c r="B27" s="96">
        <f>B26</f>
        <v>0</v>
      </c>
      <c r="C27" s="96">
        <f t="shared" si="8"/>
        <v>0.375</v>
      </c>
      <c r="D27" s="96">
        <f>C26</f>
        <v>0.75</v>
      </c>
      <c r="E27" s="96">
        <f t="shared" si="9"/>
        <v>0.75</v>
      </c>
      <c r="F27" s="96" t="str">
        <f t="shared" si="12"/>
        <v>нет</v>
      </c>
      <c r="G27" s="97">
        <f t="shared" si="13"/>
        <v>-1</v>
      </c>
      <c r="H27" s="98">
        <f t="shared" si="10"/>
        <v>-0.51368516700587141</v>
      </c>
      <c r="I27" s="98">
        <f t="shared" si="11"/>
        <v>0.26134462288057181</v>
      </c>
      <c r="J27" s="96" t="s">
        <v>166</v>
      </c>
      <c r="R27" t="s">
        <v>174</v>
      </c>
    </row>
    <row r="28" spans="1:18">
      <c r="A28" s="96">
        <v>5</v>
      </c>
      <c r="B28" s="96">
        <f>C27</f>
        <v>0.375</v>
      </c>
      <c r="C28" s="96">
        <f t="shared" si="8"/>
        <v>0.5625</v>
      </c>
      <c r="D28" s="96">
        <f>D27</f>
        <v>0.75</v>
      </c>
      <c r="E28" s="96">
        <f t="shared" si="9"/>
        <v>0.375</v>
      </c>
      <c r="F28" s="96" t="str">
        <f>IF(E28&lt;$D$21,"да","нет")</f>
        <v>нет</v>
      </c>
      <c r="G28" s="97">
        <f t="shared" si="13"/>
        <v>-0.51368516700587141</v>
      </c>
      <c r="H28" s="98">
        <f t="shared" si="10"/>
        <v>-0.1692852929090316</v>
      </c>
      <c r="I28" s="98">
        <f t="shared" si="11"/>
        <v>0.26134462288057181</v>
      </c>
      <c r="J28" s="96" t="s">
        <v>166</v>
      </c>
      <c r="R28">
        <f>R25* POWER(2, R25)-1</f>
        <v>0</v>
      </c>
    </row>
    <row r="29" spans="1:18">
      <c r="A29" s="96">
        <v>6</v>
      </c>
      <c r="B29" s="96">
        <f>C28</f>
        <v>0.5625</v>
      </c>
      <c r="C29" s="96">
        <f t="shared" si="8"/>
        <v>0.65625</v>
      </c>
      <c r="D29" s="96">
        <f>D28</f>
        <v>0.75</v>
      </c>
      <c r="E29" s="96">
        <f t="shared" si="9"/>
        <v>0.1875</v>
      </c>
      <c r="F29" s="96" t="str">
        <f t="shared" si="12"/>
        <v>нет</v>
      </c>
      <c r="G29" s="98">
        <f t="shared" si="13"/>
        <v>-0.1692852929090316</v>
      </c>
      <c r="H29" s="98">
        <f t="shared" si="10"/>
        <v>3.4237429602050451E-2</v>
      </c>
      <c r="I29" s="97">
        <f t="shared" si="11"/>
        <v>0.26134462288057181</v>
      </c>
      <c r="J29" s="96" t="s">
        <v>165</v>
      </c>
    </row>
    <row r="30" spans="1:18">
      <c r="A30" s="96">
        <v>7</v>
      </c>
      <c r="B30" s="96">
        <f>B29</f>
        <v>0.5625</v>
      </c>
      <c r="C30" s="96">
        <f t="shared" si="8"/>
        <v>0.609375</v>
      </c>
      <c r="D30" s="96">
        <f>C29</f>
        <v>0.65625</v>
      </c>
      <c r="E30" s="96">
        <f t="shared" si="9"/>
        <v>9.375E-2</v>
      </c>
      <c r="F30" s="96" t="str">
        <f t="shared" si="12"/>
        <v>нет</v>
      </c>
      <c r="G30" s="97">
        <f t="shared" si="13"/>
        <v>-0.1692852929090316</v>
      </c>
      <c r="H30" s="98">
        <f t="shared" si="10"/>
        <v>-7.0338626890046996E-2</v>
      </c>
      <c r="I30" s="98">
        <f t="shared" si="11"/>
        <v>3.4237429602050451E-2</v>
      </c>
      <c r="J30" s="96" t="s">
        <v>167</v>
      </c>
      <c r="R30" t="s">
        <v>176</v>
      </c>
    </row>
    <row r="31" spans="1:18">
      <c r="A31" s="96">
        <v>8</v>
      </c>
      <c r="B31" s="96">
        <f>C30</f>
        <v>0.609375</v>
      </c>
      <c r="C31" s="96">
        <f t="shared" si="8"/>
        <v>0.6328125</v>
      </c>
      <c r="D31" s="96">
        <f>D30</f>
        <v>0.65625</v>
      </c>
      <c r="E31" s="96">
        <f t="shared" si="9"/>
        <v>4.6875E-2</v>
      </c>
      <c r="F31" s="96" t="str">
        <f t="shared" si="12"/>
        <v>нет</v>
      </c>
      <c r="G31" s="97">
        <f t="shared" si="13"/>
        <v>-7.0338626890046996E-2</v>
      </c>
      <c r="H31" s="98">
        <f t="shared" si="10"/>
        <v>-1.8770507089960975E-2</v>
      </c>
      <c r="I31" s="98">
        <f t="shared" si="11"/>
        <v>3.4237429602050451E-2</v>
      </c>
      <c r="J31" s="96" t="s">
        <v>166</v>
      </c>
      <c r="R31" s="103">
        <f>ABS(R25-J38)</f>
        <v>4.960705751400063E-5</v>
      </c>
    </row>
    <row r="32" spans="1:18">
      <c r="A32" s="96">
        <v>9</v>
      </c>
      <c r="B32" s="96">
        <f>C31</f>
        <v>0.6328125</v>
      </c>
      <c r="C32" s="96">
        <f t="shared" ref="C32:C37" si="14">(B32+D32)/2</f>
        <v>0.64453125</v>
      </c>
      <c r="D32" s="96">
        <f>D31</f>
        <v>0.65625</v>
      </c>
      <c r="E32" s="96">
        <f t="shared" ref="E32" si="15">D32-B32</f>
        <v>2.34375E-2</v>
      </c>
      <c r="F32" s="96" t="str">
        <f t="shared" si="12"/>
        <v>нет</v>
      </c>
      <c r="G32" s="98">
        <f t="shared" ref="G32" si="16">B32* POWER(2, B32)-1</f>
        <v>-1.8770507089960975E-2</v>
      </c>
      <c r="H32" s="98">
        <f t="shared" ref="H32" si="17">C32* POWER(2, C32)-1</f>
        <v>7.5514173643516092E-3</v>
      </c>
      <c r="I32" s="97">
        <f t="shared" ref="I32" si="18">D32* POWER(2, D32)-1</f>
        <v>3.4237429602050451E-2</v>
      </c>
      <c r="J32" s="96" t="s">
        <v>165</v>
      </c>
    </row>
    <row r="33" spans="1:10">
      <c r="A33" s="96">
        <v>10</v>
      </c>
      <c r="B33" s="96">
        <f>B32</f>
        <v>0.6328125</v>
      </c>
      <c r="C33" s="96">
        <f t="shared" si="14"/>
        <v>0.638671875</v>
      </c>
      <c r="D33" s="96">
        <f>C32</f>
        <v>0.64453125</v>
      </c>
      <c r="E33" s="96">
        <f>D33-B33</f>
        <v>1.171875E-2</v>
      </c>
      <c r="F33" s="96" t="str">
        <f t="shared" si="12"/>
        <v>нет</v>
      </c>
      <c r="G33" s="97">
        <f t="shared" ref="G33" si="19">B33* POWER(2, B33)-1</f>
        <v>-1.8770507089960975E-2</v>
      </c>
      <c r="H33" s="98">
        <f t="shared" ref="H33" si="20">C33* POWER(2, C33)-1</f>
        <v>-5.6547957946097016E-3</v>
      </c>
      <c r="I33" s="98">
        <f t="shared" ref="I33" si="21">D33* POWER(2, D33)-1</f>
        <v>7.5514173643516092E-3</v>
      </c>
      <c r="J33" s="96" t="s">
        <v>166</v>
      </c>
    </row>
    <row r="34" spans="1:10">
      <c r="A34" s="96">
        <v>11</v>
      </c>
      <c r="B34" s="96">
        <f>C33</f>
        <v>0.638671875</v>
      </c>
      <c r="C34" s="96">
        <f t="shared" si="14"/>
        <v>0.6416015625</v>
      </c>
      <c r="D34" s="96">
        <f>D33</f>
        <v>0.64453125</v>
      </c>
      <c r="E34" s="96">
        <f>D34-B34</f>
        <v>5.859375E-3</v>
      </c>
      <c r="F34" s="96" t="str">
        <f t="shared" si="12"/>
        <v>нет</v>
      </c>
      <c r="G34" s="98">
        <f t="shared" ref="G34" si="22">B34* POWER(2, B34)-1</f>
        <v>-5.6547957946097016E-3</v>
      </c>
      <c r="H34" s="98">
        <f t="shared" ref="H34" si="23">C34* POWER(2, C34)-1</f>
        <v>9.3696565320922076E-4</v>
      </c>
      <c r="I34" s="97">
        <f t="shared" ref="I34" si="24">D34* POWER(2, D34)-1</f>
        <v>7.5514173643516092E-3</v>
      </c>
      <c r="J34" s="96" t="s">
        <v>165</v>
      </c>
    </row>
    <row r="35" spans="1:10">
      <c r="A35" s="96">
        <v>12</v>
      </c>
      <c r="B35" s="96">
        <f>B34</f>
        <v>0.638671875</v>
      </c>
      <c r="C35" s="96">
        <f t="shared" si="14"/>
        <v>0.64013671875</v>
      </c>
      <c r="D35" s="96">
        <f>C34</f>
        <v>0.6416015625</v>
      </c>
      <c r="E35" s="96">
        <f>D35-B35</f>
        <v>2.9296875E-3</v>
      </c>
      <c r="F35" s="96" t="str">
        <f t="shared" si="12"/>
        <v>нет</v>
      </c>
      <c r="G35" s="97">
        <f t="shared" ref="G35" si="25">B35* POWER(2, B35)-1</f>
        <v>-5.6547957946097016E-3</v>
      </c>
      <c r="H35" s="98">
        <f t="shared" ref="H35" si="26">C35* POWER(2, C35)-1</f>
        <v>-2.361747297143113E-3</v>
      </c>
      <c r="I35" s="98">
        <f t="shared" ref="I35" si="27">D35* POWER(2, D35)-1</f>
        <v>9.3696565320922076E-4</v>
      </c>
      <c r="J35" s="96" t="s">
        <v>166</v>
      </c>
    </row>
    <row r="36" spans="1:10">
      <c r="A36" s="96">
        <v>13</v>
      </c>
      <c r="B36" s="96">
        <f>C35</f>
        <v>0.64013671875</v>
      </c>
      <c r="C36" s="96">
        <f t="shared" si="14"/>
        <v>0.640869140625</v>
      </c>
      <c r="D36" s="96">
        <f>D35</f>
        <v>0.6416015625</v>
      </c>
      <c r="E36" s="96">
        <f>D36-B36</f>
        <v>1.46484375E-3</v>
      </c>
      <c r="F36" s="96" t="str">
        <f>IF(E36&lt;$D$21,"да","нет")</f>
        <v>нет</v>
      </c>
      <c r="G36" s="97">
        <f t="shared" ref="G36" si="28">B36* POWER(2, B36)-1</f>
        <v>-2.361747297143113E-3</v>
      </c>
      <c r="H36" s="98">
        <f t="shared" ref="H36" si="29">C36* POWER(2, C36)-1</f>
        <v>-7.130993852216827E-4</v>
      </c>
      <c r="I36" s="98">
        <f t="shared" ref="I36" si="30">D36* POWER(2, D36)-1</f>
        <v>9.3696565320922076E-4</v>
      </c>
      <c r="J36" s="96" t="s">
        <v>166</v>
      </c>
    </row>
    <row r="37" spans="1:10">
      <c r="A37" s="96">
        <v>14</v>
      </c>
      <c r="B37" s="96">
        <f>C36</f>
        <v>0.640869140625</v>
      </c>
      <c r="C37" s="96">
        <f t="shared" si="14"/>
        <v>0.6412353515625</v>
      </c>
      <c r="D37" s="96">
        <f>D36</f>
        <v>0.6416015625</v>
      </c>
      <c r="E37" s="96">
        <f>D37-B37</f>
        <v>7.32421875E-4</v>
      </c>
      <c r="F37" s="96" t="str">
        <f>IF(E37&lt;$D$21,"да","нет")</f>
        <v>да</v>
      </c>
      <c r="G37" s="97">
        <f t="shared" ref="G37" si="31">B37* POWER(2, B37)-1</f>
        <v>-7.130993852216827E-4</v>
      </c>
      <c r="H37" s="101">
        <f t="shared" ref="H37" si="32">C37* POWER(2, C37)-1</f>
        <v>1.1175592981338411E-4</v>
      </c>
      <c r="I37" s="97">
        <f t="shared" ref="I37" si="33">D37* POWER(2, D37)-1</f>
        <v>9.3696565320922076E-4</v>
      </c>
      <c r="J37" s="96"/>
    </row>
    <row r="38" spans="1:10">
      <c r="A38" s="99" t="s">
        <v>145</v>
      </c>
      <c r="B38" s="99" t="s">
        <v>168</v>
      </c>
      <c r="C38" s="99"/>
      <c r="D38" s="99"/>
      <c r="E38" s="99" t="s">
        <v>169</v>
      </c>
      <c r="F38" s="100">
        <f>B37</f>
        <v>0.640869140625</v>
      </c>
      <c r="G38" s="99" t="s">
        <v>170</v>
      </c>
      <c r="H38" s="100">
        <f>D37</f>
        <v>0.6416015625</v>
      </c>
      <c r="I38" t="s">
        <v>175</v>
      </c>
      <c r="J38">
        <f>C37</f>
        <v>0.6412353515625</v>
      </c>
    </row>
    <row r="39" spans="1:10">
      <c r="B39" t="s">
        <v>173</v>
      </c>
      <c r="D39" s="102">
        <f>H37</f>
        <v>1.1175592981338411E-4</v>
      </c>
    </row>
  </sheetData>
  <mergeCells count="13">
    <mergeCell ref="K5:P5"/>
    <mergeCell ref="A1:U1"/>
    <mergeCell ref="A2:B2"/>
    <mergeCell ref="C2:D2"/>
    <mergeCell ref="E2:U2"/>
    <mergeCell ref="A3:I3"/>
    <mergeCell ref="J3:U3"/>
    <mergeCell ref="A20:J20"/>
    <mergeCell ref="A21:C21"/>
    <mergeCell ref="A22:D22"/>
    <mergeCell ref="A4:B4"/>
    <mergeCell ref="A6:B6"/>
    <mergeCell ref="A5:J5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2"/>
  <sheetViews>
    <sheetView topLeftCell="A31" workbookViewId="0">
      <selection activeCell="K72" sqref="K72"/>
    </sheetView>
  </sheetViews>
  <sheetFormatPr defaultRowHeight="15"/>
  <cols>
    <col min="1" max="1" width="10.5703125" customWidth="1"/>
    <col min="2" max="2" width="13.85546875" customWidth="1"/>
    <col min="4" max="4" width="13.85546875" customWidth="1"/>
    <col min="5" max="5" width="11.28515625" customWidth="1"/>
    <col min="9" max="9" width="12.5703125" bestFit="1" customWidth="1"/>
    <col min="12" max="12" width="12" bestFit="1" customWidth="1"/>
    <col min="14" max="14" width="14" customWidth="1"/>
  </cols>
  <sheetData>
    <row r="1" spans="1:21" ht="20.25">
      <c r="A1" s="191" t="s">
        <v>178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</row>
    <row r="2" spans="1:21" ht="20.25">
      <c r="A2" s="159" t="s">
        <v>3</v>
      </c>
      <c r="B2" s="159"/>
      <c r="C2" s="159" t="s">
        <v>1</v>
      </c>
      <c r="D2" s="159"/>
      <c r="E2" s="153" t="s">
        <v>2</v>
      </c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</row>
    <row r="19" spans="1:21" ht="16.5">
      <c r="A19" s="192" t="s">
        <v>4</v>
      </c>
      <c r="B19" s="192"/>
      <c r="C19" s="192"/>
      <c r="D19" s="192"/>
      <c r="E19" s="192"/>
      <c r="F19" s="192"/>
      <c r="G19" s="192"/>
      <c r="H19" s="192"/>
      <c r="I19" s="19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</row>
    <row r="20" spans="1:21">
      <c r="A20" t="s">
        <v>179</v>
      </c>
      <c r="B20" t="s">
        <v>180</v>
      </c>
      <c r="C20" s="96">
        <v>0.641235</v>
      </c>
      <c r="E20" s="190" t="s">
        <v>142</v>
      </c>
      <c r="F20" s="190"/>
      <c r="G20" s="90"/>
    </row>
    <row r="21" spans="1:21">
      <c r="B21" t="s">
        <v>181</v>
      </c>
      <c r="D21" t="s">
        <v>169</v>
      </c>
      <c r="E21">
        <v>0</v>
      </c>
      <c r="F21" t="s">
        <v>182</v>
      </c>
      <c r="G21">
        <v>1</v>
      </c>
    </row>
    <row r="22" spans="1:21">
      <c r="A22" t="s">
        <v>183</v>
      </c>
      <c r="B22" t="s">
        <v>184</v>
      </c>
      <c r="I22" t="s">
        <v>185</v>
      </c>
    </row>
    <row r="50" spans="1:17">
      <c r="B50" t="s">
        <v>186</v>
      </c>
      <c r="C50">
        <v>1</v>
      </c>
      <c r="E50" t="s">
        <v>187</v>
      </c>
      <c r="F50">
        <v>3.35</v>
      </c>
      <c r="H50" t="s">
        <v>188</v>
      </c>
      <c r="I50">
        <v>3.7</v>
      </c>
    </row>
    <row r="51" spans="1:17" ht="16.5">
      <c r="A51" s="192" t="s">
        <v>62</v>
      </c>
      <c r="B51" s="192"/>
      <c r="C51" s="192"/>
      <c r="D51" s="192"/>
      <c r="E51" s="192"/>
      <c r="F51" s="192"/>
      <c r="G51" s="192"/>
      <c r="H51" s="192" t="s">
        <v>67</v>
      </c>
      <c r="I51" s="192"/>
      <c r="J51" s="192"/>
      <c r="K51" s="192"/>
      <c r="L51" s="192"/>
      <c r="M51" s="192"/>
      <c r="N51" s="192"/>
    </row>
    <row r="52" spans="1:17">
      <c r="A52" t="s">
        <v>189</v>
      </c>
      <c r="B52">
        <v>0</v>
      </c>
      <c r="C52" t="s">
        <v>202</v>
      </c>
      <c r="D52" t="s">
        <v>193</v>
      </c>
      <c r="E52">
        <f>POWER(10, -4)</f>
        <v>1E-4</v>
      </c>
      <c r="H52" t="s">
        <v>192</v>
      </c>
      <c r="I52">
        <f>SQRT(2*C50*E52/I50)</f>
        <v>7.3521462209380772E-3</v>
      </c>
    </row>
    <row r="53" spans="1:17">
      <c r="A53" t="s">
        <v>190</v>
      </c>
      <c r="B53">
        <v>1</v>
      </c>
      <c r="H53" t="s">
        <v>200</v>
      </c>
      <c r="I53">
        <v>1</v>
      </c>
      <c r="J53" t="s">
        <v>201</v>
      </c>
    </row>
    <row r="54" spans="1:17">
      <c r="A54" t="s">
        <v>191</v>
      </c>
      <c r="B54">
        <f>B53*POWER(2,B53) - 1</f>
        <v>1</v>
      </c>
    </row>
    <row r="55" spans="1:17">
      <c r="A55" t="s">
        <v>192</v>
      </c>
      <c r="B55" s="107">
        <f>C50*E52 / (F50-C50)</f>
        <v>4.2553191489361704E-5</v>
      </c>
      <c r="I55" t="s">
        <v>194</v>
      </c>
      <c r="J55" t="s">
        <v>135</v>
      </c>
      <c r="K55" t="s">
        <v>195</v>
      </c>
      <c r="L55" t="s">
        <v>235</v>
      </c>
      <c r="M55" t="s">
        <v>196</v>
      </c>
      <c r="N55" t="s">
        <v>197</v>
      </c>
      <c r="O55" t="s">
        <v>198</v>
      </c>
    </row>
    <row r="56" spans="1:17">
      <c r="I56">
        <v>0</v>
      </c>
      <c r="J56">
        <v>1</v>
      </c>
      <c r="K56">
        <f>J56*POWER(2,J56)-1</f>
        <v>1</v>
      </c>
      <c r="L56">
        <f>(J56*LN(2) + 1)*POWER(2,J56)</f>
        <v>3.3862943611198908</v>
      </c>
      <c r="M56">
        <f>J56-K56/L56</f>
        <v>0.70469194542517943</v>
      </c>
      <c r="N56">
        <f t="shared" ref="N56:N61" si="0">ABS(J56-M56)</f>
        <v>0.29530805457482057</v>
      </c>
      <c r="O56" t="str">
        <f t="shared" ref="O56:O61" si="1">IF(N56&lt;MIN($I$52,$E$52),"да","нет")</f>
        <v>нет</v>
      </c>
      <c r="P56" t="str">
        <f>IF(N56&lt;$E$52,"yes","no")</f>
        <v>no</v>
      </c>
      <c r="Q56" t="str">
        <f>IF(N56&lt;$I$52,"yes","no")</f>
        <v>no</v>
      </c>
    </row>
    <row r="57" spans="1:17">
      <c r="A57" t="s">
        <v>194</v>
      </c>
      <c r="B57" t="s">
        <v>135</v>
      </c>
      <c r="C57" t="s">
        <v>195</v>
      </c>
      <c r="D57" t="s">
        <v>196</v>
      </c>
      <c r="E57" t="s">
        <v>197</v>
      </c>
      <c r="F57" t="s">
        <v>198</v>
      </c>
      <c r="I57">
        <v>1</v>
      </c>
      <c r="J57">
        <f>M56</f>
        <v>0.70469194542517943</v>
      </c>
      <c r="K57">
        <f t="shared" ref="K57:K61" si="2">J57*POWER(2,J57)-1</f>
        <v>0.14850455206660973</v>
      </c>
      <c r="L57">
        <f t="shared" ref="L57:L61" si="3">(J57*LN(2) + 1)*POWER(2,J57)</f>
        <v>2.4258793139294657</v>
      </c>
      <c r="M57">
        <f t="shared" ref="M57:M61" si="4">J57-K57/L57</f>
        <v>0.64347515231684449</v>
      </c>
      <c r="N57">
        <f t="shared" si="0"/>
        <v>6.1216793108334944E-2</v>
      </c>
      <c r="O57" t="str">
        <f t="shared" si="1"/>
        <v>нет</v>
      </c>
      <c r="P57" t="str">
        <f t="shared" ref="P57:P61" si="5">IF(N57&lt;$E$52,"yes","no")</f>
        <v>no</v>
      </c>
      <c r="Q57" t="str">
        <f t="shared" ref="Q57:Q61" si="6">IF(N57&lt;$I$52,"yes","no")</f>
        <v>no</v>
      </c>
    </row>
    <row r="58" spans="1:17">
      <c r="A58">
        <v>0</v>
      </c>
      <c r="B58">
        <v>0</v>
      </c>
      <c r="C58">
        <f>(B58*POWER(2,B58) - 1)</f>
        <v>-1</v>
      </c>
      <c r="D58">
        <f>B58-C58/ ($B$54 - C58) * ($B$53 - B58)</f>
        <v>0.5</v>
      </c>
      <c r="E58">
        <f>ABS(B58-D58)</f>
        <v>0.5</v>
      </c>
      <c r="F58" t="str">
        <f>IF(E58&lt;MIN($E$52,$B$55),"да","нет")</f>
        <v>нет</v>
      </c>
      <c r="G58" t="str">
        <f>IF(E58&lt;$E$52,"yes","no")</f>
        <v>no</v>
      </c>
      <c r="H58" t="str">
        <f>IF(E58&lt;$B$55,"yes","no")</f>
        <v>no</v>
      </c>
      <c r="I58">
        <v>2</v>
      </c>
      <c r="J58">
        <f t="shared" ref="J58:J61" si="7">M57</f>
        <v>0.64347515231684449</v>
      </c>
      <c r="K58">
        <f t="shared" si="2"/>
        <v>5.1644113951418991E-3</v>
      </c>
      <c r="L58">
        <f t="shared" si="3"/>
        <v>2.2588142525010038</v>
      </c>
      <c r="M58">
        <f t="shared" si="4"/>
        <v>0.64118881496554447</v>
      </c>
      <c r="N58">
        <f t="shared" si="0"/>
        <v>2.2863373513000163E-3</v>
      </c>
      <c r="O58" t="str">
        <f t="shared" si="1"/>
        <v>нет</v>
      </c>
      <c r="P58" t="str">
        <f t="shared" si="5"/>
        <v>no</v>
      </c>
      <c r="Q58" t="str">
        <f t="shared" si="6"/>
        <v>yes</v>
      </c>
    </row>
    <row r="59" spans="1:17">
      <c r="A59">
        <v>1</v>
      </c>
      <c r="B59">
        <f>D58</f>
        <v>0.5</v>
      </c>
      <c r="C59">
        <f>(B59*POWER(2,B59) - 1)</f>
        <v>-0.29289321881345243</v>
      </c>
      <c r="D59">
        <f>B59-C59/ ($B$54 - C59) * ($B$53 - B59)</f>
        <v>0.61327045983049322</v>
      </c>
      <c r="E59">
        <f t="shared" ref="E59:E64" si="8">ABS(B59-D59)</f>
        <v>0.11327045983049322</v>
      </c>
      <c r="F59" t="str">
        <f t="shared" ref="F59:F64" si="9">IF(E59&lt;MIN($E$52,$B$55),"да","нет")</f>
        <v>нет</v>
      </c>
      <c r="G59" t="str">
        <f t="shared" ref="G59:G64" si="10">IF(E59&lt;$E$52,"yes","no")</f>
        <v>no</v>
      </c>
      <c r="H59" t="str">
        <f t="shared" ref="H59:H64" si="11">IF(E59&lt;$B$55,"yes","no")</f>
        <v>no</v>
      </c>
      <c r="I59">
        <v>3</v>
      </c>
      <c r="J59">
        <f t="shared" si="7"/>
        <v>0.64118881496554447</v>
      </c>
      <c r="K59">
        <f t="shared" si="2"/>
        <v>6.9170159686660071E-6</v>
      </c>
      <c r="L59">
        <f t="shared" si="3"/>
        <v>2.2527657638254164</v>
      </c>
      <c r="M59" s="117">
        <f t="shared" si="4"/>
        <v>0.64118574451051547</v>
      </c>
      <c r="N59">
        <f t="shared" si="0"/>
        <v>3.0704550290083787E-6</v>
      </c>
      <c r="O59" t="str">
        <f t="shared" si="1"/>
        <v>да</v>
      </c>
      <c r="P59" t="str">
        <f t="shared" si="5"/>
        <v>yes</v>
      </c>
      <c r="Q59" t="str">
        <f t="shared" si="6"/>
        <v>yes</v>
      </c>
    </row>
    <row r="60" spans="1:17">
      <c r="A60">
        <v>2</v>
      </c>
      <c r="B60">
        <f>D59</f>
        <v>0.61327045983049322</v>
      </c>
      <c r="C60">
        <f>(B60*POWER(2,B60) - 1)</f>
        <v>-6.186605653139432E-2</v>
      </c>
      <c r="D60">
        <f t="shared" ref="D60:D64" si="12">B60-C60/ ($B$54 - C60) * ($B$53 - B60)</f>
        <v>0.63580195657372629</v>
      </c>
      <c r="E60">
        <f t="shared" si="8"/>
        <v>2.253149674323307E-2</v>
      </c>
      <c r="F60" t="str">
        <f t="shared" si="9"/>
        <v>нет</v>
      </c>
      <c r="G60" t="str">
        <f t="shared" si="10"/>
        <v>no</v>
      </c>
      <c r="H60" t="str">
        <f t="shared" si="11"/>
        <v>no</v>
      </c>
      <c r="I60">
        <v>4</v>
      </c>
      <c r="J60">
        <f t="shared" si="7"/>
        <v>0.64118574451051547</v>
      </c>
      <c r="K60">
        <f t="shared" si="2"/>
        <v>1.2456702336294256E-11</v>
      </c>
      <c r="L60">
        <f t="shared" si="3"/>
        <v>2.2527576500369264</v>
      </c>
      <c r="M60">
        <f t="shared" si="4"/>
        <v>0.64118574450498589</v>
      </c>
      <c r="N60">
        <f t="shared" si="0"/>
        <v>5.5295767964480547E-12</v>
      </c>
      <c r="O60" t="str">
        <f t="shared" si="1"/>
        <v>да</v>
      </c>
      <c r="P60" t="str">
        <f t="shared" si="5"/>
        <v>yes</v>
      </c>
      <c r="Q60" t="str">
        <f t="shared" si="6"/>
        <v>yes</v>
      </c>
    </row>
    <row r="61" spans="1:17">
      <c r="A61">
        <v>3</v>
      </c>
      <c r="B61">
        <f t="shared" ref="B61:B64" si="13">D60</f>
        <v>0.63580195657372629</v>
      </c>
      <c r="C61">
        <f t="shared" ref="C61:C64" si="14">(B61*POWER(2,B61) - 1)</f>
        <v>-1.2090139368588826E-2</v>
      </c>
      <c r="D61">
        <f t="shared" si="12"/>
        <v>0.64015256224758266</v>
      </c>
      <c r="E61">
        <f t="shared" si="8"/>
        <v>4.350605673856367E-3</v>
      </c>
      <c r="F61" t="str">
        <f t="shared" si="9"/>
        <v>нет</v>
      </c>
      <c r="G61" t="str">
        <f t="shared" si="10"/>
        <v>no</v>
      </c>
      <c r="H61" t="str">
        <f t="shared" si="11"/>
        <v>no</v>
      </c>
      <c r="I61">
        <v>5</v>
      </c>
      <c r="J61">
        <f t="shared" si="7"/>
        <v>0.64118574450498589</v>
      </c>
      <c r="K61">
        <f t="shared" si="2"/>
        <v>0</v>
      </c>
      <c r="L61">
        <f t="shared" si="3"/>
        <v>2.2527576500223145</v>
      </c>
      <c r="M61">
        <f t="shared" si="4"/>
        <v>0.64118574450498589</v>
      </c>
      <c r="N61">
        <f t="shared" si="0"/>
        <v>0</v>
      </c>
      <c r="O61" t="str">
        <f t="shared" si="1"/>
        <v>да</v>
      </c>
      <c r="P61" t="str">
        <f t="shared" si="5"/>
        <v>yes</v>
      </c>
      <c r="Q61" t="str">
        <f t="shared" si="6"/>
        <v>yes</v>
      </c>
    </row>
    <row r="62" spans="1:17">
      <c r="A62">
        <v>4</v>
      </c>
      <c r="B62">
        <f t="shared" si="13"/>
        <v>0.64015256224758266</v>
      </c>
      <c r="C62">
        <f t="shared" si="14"/>
        <v>-2.3260993024581955E-3</v>
      </c>
      <c r="D62">
        <f t="shared" si="12"/>
        <v>0.64098766059983525</v>
      </c>
      <c r="E62">
        <f t="shared" si="8"/>
        <v>8.3509835225259454E-4</v>
      </c>
      <c r="F62" t="str">
        <f t="shared" si="9"/>
        <v>нет</v>
      </c>
      <c r="G62" t="str">
        <f t="shared" si="10"/>
        <v>no</v>
      </c>
      <c r="H62" t="str">
        <f t="shared" si="11"/>
        <v>no</v>
      </c>
    </row>
    <row r="63" spans="1:17">
      <c r="A63">
        <v>5</v>
      </c>
      <c r="B63">
        <f t="shared" si="13"/>
        <v>0.64098766059983525</v>
      </c>
      <c r="C63">
        <f t="shared" si="14"/>
        <v>-4.4618319319111865E-4</v>
      </c>
      <c r="D63">
        <f t="shared" si="12"/>
        <v>0.64114777443172299</v>
      </c>
      <c r="E63">
        <f t="shared" si="8"/>
        <v>1.6011383188774264E-4</v>
      </c>
      <c r="F63" t="str">
        <f t="shared" si="9"/>
        <v>нет</v>
      </c>
      <c r="G63" t="str">
        <f>IF(E63&lt;$E$52,"yes","no")</f>
        <v>no</v>
      </c>
      <c r="H63" t="str">
        <f t="shared" si="11"/>
        <v>no</v>
      </c>
    </row>
    <row r="64" spans="1:17">
      <c r="A64">
        <v>6</v>
      </c>
      <c r="B64">
        <f t="shared" si="13"/>
        <v>0.64114777443172299</v>
      </c>
      <c r="C64">
        <f t="shared" si="14"/>
        <v>-8.5535468134390058E-5</v>
      </c>
      <c r="D64" s="117">
        <f t="shared" si="12"/>
        <v>0.64117846639957621</v>
      </c>
      <c r="E64">
        <f t="shared" si="8"/>
        <v>3.0691967853213598E-5</v>
      </c>
      <c r="F64" t="str">
        <f t="shared" si="9"/>
        <v>да</v>
      </c>
      <c r="G64" t="str">
        <f t="shared" si="10"/>
        <v>yes</v>
      </c>
      <c r="H64" t="str">
        <f t="shared" si="11"/>
        <v>yes</v>
      </c>
    </row>
    <row r="66" spans="1:14">
      <c r="A66" t="s">
        <v>26</v>
      </c>
      <c r="B66" s="105">
        <f>D64</f>
        <v>0.64117846639957621</v>
      </c>
      <c r="C66" t="s">
        <v>199</v>
      </c>
      <c r="N66" s="106"/>
    </row>
    <row r="67" spans="1:14">
      <c r="B67" t="s">
        <v>174</v>
      </c>
      <c r="D67" s="106">
        <f>B66*POWER(2,B66) - 1</f>
        <v>-1.6395737651109243E-5</v>
      </c>
    </row>
    <row r="68" spans="1:14">
      <c r="I68" t="s">
        <v>26</v>
      </c>
      <c r="J68" s="115">
        <f>M59</f>
        <v>0.64118574451051547</v>
      </c>
      <c r="K68" t="s">
        <v>236</v>
      </c>
    </row>
    <row r="69" spans="1:14">
      <c r="A69" t="s">
        <v>171</v>
      </c>
      <c r="B69" t="s">
        <v>233</v>
      </c>
      <c r="J69" t="s">
        <v>174</v>
      </c>
      <c r="L69" s="106">
        <f>(J68*POWER(2,J68)-1)</f>
        <v>1.2456702336294256E-11</v>
      </c>
    </row>
    <row r="70" spans="1:14">
      <c r="B70">
        <f>0.641185744504986</f>
        <v>0.641185744504986</v>
      </c>
    </row>
    <row r="71" spans="1:14">
      <c r="B71" t="s">
        <v>176</v>
      </c>
      <c r="I71" t="s">
        <v>176</v>
      </c>
    </row>
    <row r="72" spans="1:14">
      <c r="B72" s="116">
        <f>ABS(B70-B66)</f>
        <v>7.2781054097914577E-6</v>
      </c>
      <c r="C72" t="s">
        <v>234</v>
      </c>
      <c r="I72" s="116">
        <f>ABS(J68-B70)</f>
        <v>5.5294657741455921E-12</v>
      </c>
    </row>
  </sheetData>
  <mergeCells count="9">
    <mergeCell ref="H51:N51"/>
    <mergeCell ref="A51:G51"/>
    <mergeCell ref="E20:F20"/>
    <mergeCell ref="A1:U1"/>
    <mergeCell ref="A2:B2"/>
    <mergeCell ref="C2:D2"/>
    <mergeCell ref="E2:U2"/>
    <mergeCell ref="A19:I19"/>
    <mergeCell ref="J19:U19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7"/>
  <sheetViews>
    <sheetView workbookViewId="0">
      <selection activeCell="G12" sqref="G12"/>
    </sheetView>
  </sheetViews>
  <sheetFormatPr defaultRowHeight="15"/>
  <cols>
    <col min="2" max="2" width="10.5703125" customWidth="1"/>
    <col min="6" max="6" width="12.5703125" bestFit="1" customWidth="1"/>
    <col min="9" max="9" width="18.140625" customWidth="1"/>
    <col min="10" max="10" width="17.85546875" customWidth="1"/>
    <col min="11" max="11" width="13.85546875" customWidth="1"/>
    <col min="14" max="14" width="13.140625" customWidth="1"/>
  </cols>
  <sheetData>
    <row r="1" spans="1:21" ht="20.25">
      <c r="A1" s="191" t="s">
        <v>239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</row>
    <row r="2" spans="1:21" ht="20.25">
      <c r="A2" s="159" t="s">
        <v>3</v>
      </c>
      <c r="B2" s="159"/>
      <c r="C2" s="159" t="s">
        <v>1</v>
      </c>
      <c r="D2" s="159"/>
      <c r="E2" s="153" t="s">
        <v>2</v>
      </c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</row>
    <row r="3" spans="1:21" ht="16.5">
      <c r="A3" s="192" t="s">
        <v>4</v>
      </c>
      <c r="B3" s="192"/>
      <c r="C3" s="192"/>
      <c r="D3" s="192"/>
      <c r="E3" s="192"/>
      <c r="F3" s="192"/>
      <c r="G3" s="192"/>
      <c r="H3" s="192"/>
      <c r="I3" s="19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</row>
    <row r="4" spans="1:21" ht="18.75">
      <c r="A4" s="120" t="s">
        <v>180</v>
      </c>
      <c r="B4" s="123">
        <v>0.641235</v>
      </c>
      <c r="C4" s="120"/>
      <c r="D4" s="122" t="s">
        <v>142</v>
      </c>
      <c r="E4" s="122"/>
      <c r="F4" s="121"/>
      <c r="G4" s="120"/>
      <c r="H4" t="s">
        <v>248</v>
      </c>
      <c r="I4">
        <v>0.01</v>
      </c>
    </row>
    <row r="5" spans="1:21">
      <c r="A5" t="s">
        <v>181</v>
      </c>
      <c r="C5" t="s">
        <v>169</v>
      </c>
      <c r="D5" s="108">
        <v>0</v>
      </c>
      <c r="E5" t="s">
        <v>182</v>
      </c>
      <c r="F5" s="108">
        <v>1</v>
      </c>
    </row>
    <row r="13" spans="1:21" ht="23.25">
      <c r="A13" t="s">
        <v>240</v>
      </c>
      <c r="E13" s="124" t="s">
        <v>243</v>
      </c>
      <c r="F13" s="109">
        <v>-0.1</v>
      </c>
      <c r="H13" s="126" t="s">
        <v>249</v>
      </c>
      <c r="I13" s="127"/>
      <c r="J13" s="127"/>
      <c r="K13" s="127"/>
    </row>
    <row r="14" spans="1:21">
      <c r="A14" t="s">
        <v>5</v>
      </c>
      <c r="B14" t="s">
        <v>241</v>
      </c>
      <c r="C14" t="s">
        <v>242</v>
      </c>
      <c r="E14" s="124" t="s">
        <v>246</v>
      </c>
      <c r="F14" s="109">
        <v>0.9</v>
      </c>
    </row>
    <row r="15" spans="1:21">
      <c r="A15">
        <v>0</v>
      </c>
      <c r="B15">
        <f>(A15*POWER(2,A15)-1)*$F$13+A15</f>
        <v>0.1</v>
      </c>
      <c r="C15">
        <f>$F$13*(POWER(2,A15)*A15*LN(2)+POWER(2,A15))+1</f>
        <v>0.9</v>
      </c>
      <c r="E15" s="124" t="s">
        <v>247</v>
      </c>
      <c r="F15" s="125">
        <f>(1-F14)/F14*I4</f>
        <v>1.1111111111111109E-3</v>
      </c>
      <c r="G15">
        <v>1</v>
      </c>
      <c r="H15">
        <v>0</v>
      </c>
      <c r="I15">
        <f>(H15*POWER(2,H15) - 1)*$F$13 + H15</f>
        <v>0.1</v>
      </c>
      <c r="J15">
        <f>ABS(I15-H15)</f>
        <v>0.1</v>
      </c>
      <c r="K15" t="str">
        <f>IF(J15&lt;$F$15,"yes","no")</f>
        <v>no</v>
      </c>
    </row>
    <row r="16" spans="1:21">
      <c r="A16">
        <v>0.1</v>
      </c>
      <c r="B16">
        <f t="shared" ref="B16:B25" si="0">(A16*POWER(2,A16)-1)*$F$13+A16</f>
        <v>0.18928226537463708</v>
      </c>
      <c r="C16">
        <f t="shared" ref="C16:C25" si="1">$F$13*(POWER(2,A16)*A16*LN(2)+POWER(2,A16))+1</f>
        <v>0.88539368620881065</v>
      </c>
      <c r="G16">
        <v>2</v>
      </c>
      <c r="H16">
        <f>I15</f>
        <v>0.1</v>
      </c>
      <c r="I16">
        <f>(H16*POWER(2,H16) - 1)*$F$13 + H16</f>
        <v>0.18928226537463708</v>
      </c>
      <c r="J16">
        <f t="shared" ref="J16:J37" si="2">ABS(I16-H16)</f>
        <v>8.9282265374637071E-2</v>
      </c>
      <c r="K16" t="str">
        <f>IF(J16&lt;$F$15,"yes","no")</f>
        <v>no</v>
      </c>
      <c r="L16" t="s">
        <v>26</v>
      </c>
    </row>
    <row r="17" spans="1:15">
      <c r="A17">
        <v>0.2</v>
      </c>
      <c r="B17">
        <f t="shared" si="0"/>
        <v>0.27702603290005934</v>
      </c>
      <c r="C17">
        <f t="shared" si="1"/>
        <v>0.86920582397869561</v>
      </c>
      <c r="G17">
        <v>3</v>
      </c>
      <c r="H17">
        <f t="shared" ref="H17:H20" si="3">I16</f>
        <v>0.18928226537463708</v>
      </c>
      <c r="I17">
        <f t="shared" ref="I17:I37" si="4">(H17*POWER(2,H17) - 1)*$F$13 + H17</f>
        <v>0.26770037090657017</v>
      </c>
      <c r="J17">
        <f t="shared" si="2"/>
        <v>7.8418105531933097E-2</v>
      </c>
      <c r="K17" t="str">
        <f t="shared" ref="K17:K37" si="5">IF(J17&lt;$F$15,"yes","no")</f>
        <v>no</v>
      </c>
      <c r="L17" t="s">
        <v>250</v>
      </c>
      <c r="O17">
        <f>I37</f>
        <v>0.63815318695750467</v>
      </c>
    </row>
    <row r="18" spans="1:15">
      <c r="A18">
        <v>0.3</v>
      </c>
      <c r="B18">
        <f t="shared" si="0"/>
        <v>0.36306566759965253</v>
      </c>
      <c r="C18">
        <f t="shared" si="1"/>
        <v>0.85128463029634371</v>
      </c>
      <c r="G18">
        <v>4</v>
      </c>
      <c r="H18">
        <f t="shared" si="3"/>
        <v>0.26770037090657017</v>
      </c>
      <c r="I18">
        <f t="shared" si="4"/>
        <v>0.33547226260497415</v>
      </c>
      <c r="J18">
        <f t="shared" si="2"/>
        <v>6.7771891698403974E-2</v>
      </c>
      <c r="K18" t="str">
        <f t="shared" si="5"/>
        <v>no</v>
      </c>
    </row>
    <row r="19" spans="1:15">
      <c r="A19">
        <v>0.4</v>
      </c>
      <c r="B19">
        <f t="shared" si="0"/>
        <v>0.44721968356908426</v>
      </c>
      <c r="C19">
        <f t="shared" si="1"/>
        <v>0.83146468139955954</v>
      </c>
      <c r="G19">
        <v>5</v>
      </c>
      <c r="H19">
        <f t="shared" si="3"/>
        <v>0.33547226260497415</v>
      </c>
      <c r="I19">
        <f t="shared" si="4"/>
        <v>0.39314269506090599</v>
      </c>
      <c r="J19">
        <f t="shared" si="2"/>
        <v>5.7670432455931842E-2</v>
      </c>
      <c r="K19" t="str">
        <f t="shared" si="5"/>
        <v>no</v>
      </c>
      <c r="L19" t="s">
        <v>176</v>
      </c>
      <c r="N19">
        <f>ABS(O17-B4)</f>
        <v>3.0818130424953294E-3</v>
      </c>
    </row>
    <row r="20" spans="1:15">
      <c r="A20">
        <v>0.5</v>
      </c>
      <c r="B20">
        <f t="shared" si="0"/>
        <v>0.52928932188134525</v>
      </c>
      <c r="C20">
        <f t="shared" si="1"/>
        <v>0.80956573658926312</v>
      </c>
      <c r="G20">
        <v>6</v>
      </c>
      <c r="H20">
        <f t="shared" si="3"/>
        <v>0.39314269506090599</v>
      </c>
      <c r="I20">
        <f t="shared" si="4"/>
        <v>0.44151319088831265</v>
      </c>
      <c r="J20">
        <f t="shared" si="2"/>
        <v>4.8370495827406657E-2</v>
      </c>
      <c r="K20" t="str">
        <f t="shared" si="5"/>
        <v>no</v>
      </c>
    </row>
    <row r="21" spans="1:15">
      <c r="A21">
        <v>0.6</v>
      </c>
      <c r="B21">
        <f t="shared" si="0"/>
        <v>0.60905700600937607</v>
      </c>
      <c r="C21">
        <f t="shared" si="1"/>
        <v>0.78539146347267919</v>
      </c>
      <c r="G21">
        <v>7</v>
      </c>
      <c r="H21">
        <f>I20</f>
        <v>0.44151319088831265</v>
      </c>
      <c r="I21">
        <f t="shared" si="4"/>
        <v>0.48155446476993646</v>
      </c>
      <c r="J21">
        <f t="shared" si="2"/>
        <v>4.0041273881623818E-2</v>
      </c>
      <c r="K21" t="str">
        <f t="shared" si="5"/>
        <v>no</v>
      </c>
    </row>
    <row r="22" spans="1:15">
      <c r="A22">
        <v>0.7</v>
      </c>
      <c r="B22">
        <f t="shared" si="0"/>
        <v>0.68628466451012704</v>
      </c>
      <c r="C22">
        <f t="shared" si="1"/>
        <v>0.75872805654751918</v>
      </c>
      <c r="G22">
        <v>8</v>
      </c>
      <c r="H22">
        <f t="shared" ref="H22:H37" si="6">I21</f>
        <v>0.48155446476993646</v>
      </c>
      <c r="I22">
        <f t="shared" si="4"/>
        <v>0.5143175538635949</v>
      </c>
      <c r="J22">
        <f t="shared" si="2"/>
        <v>3.2763089093658437E-2</v>
      </c>
      <c r="K22" t="str">
        <f t="shared" si="5"/>
        <v>no</v>
      </c>
    </row>
    <row r="23" spans="1:15">
      <c r="A23">
        <v>0.8</v>
      </c>
      <c r="B23">
        <f t="shared" si="0"/>
        <v>0.76071190987262016</v>
      </c>
      <c r="C23">
        <f t="shared" si="1"/>
        <v>0.7293427403834023</v>
      </c>
      <c r="G23">
        <v>9</v>
      </c>
      <c r="H23">
        <f t="shared" si="6"/>
        <v>0.5143175538635949</v>
      </c>
      <c r="I23">
        <f t="shared" si="4"/>
        <v>0.54085663467120559</v>
      </c>
      <c r="J23">
        <f t="shared" si="2"/>
        <v>2.6539080807610693E-2</v>
      </c>
      <c r="K23" t="str">
        <f t="shared" si="5"/>
        <v>no</v>
      </c>
    </row>
    <row r="24" spans="1:15">
      <c r="A24">
        <v>0.9</v>
      </c>
      <c r="B24">
        <f t="shared" si="0"/>
        <v>0.83205406152337469</v>
      </c>
      <c r="C24">
        <f t="shared" si="1"/>
        <v>0.69698214795107161</v>
      </c>
      <c r="G24">
        <v>10</v>
      </c>
      <c r="H24">
        <f t="shared" si="6"/>
        <v>0.54085663467120559</v>
      </c>
      <c r="I24">
        <f t="shared" si="4"/>
        <v>0.56217085871663097</v>
      </c>
      <c r="J24">
        <f t="shared" si="2"/>
        <v>2.1314224045425378E-2</v>
      </c>
      <c r="K24" t="str">
        <f t="shared" si="5"/>
        <v>no</v>
      </c>
    </row>
    <row r="25" spans="1:15">
      <c r="A25">
        <v>1</v>
      </c>
      <c r="B25">
        <f t="shared" si="0"/>
        <v>0.9</v>
      </c>
      <c r="C25">
        <f t="shared" si="1"/>
        <v>0.66137056388801096</v>
      </c>
      <c r="G25">
        <v>11</v>
      </c>
      <c r="H25">
        <f t="shared" si="6"/>
        <v>0.56217085871663097</v>
      </c>
      <c r="I25">
        <f t="shared" si="4"/>
        <v>0.57916693540648967</v>
      </c>
      <c r="J25">
        <f t="shared" si="2"/>
        <v>1.6996076689858697E-2</v>
      </c>
      <c r="K25" t="str">
        <f t="shared" si="5"/>
        <v>no</v>
      </c>
    </row>
    <row r="26" spans="1:15">
      <c r="B26" t="s">
        <v>245</v>
      </c>
      <c r="C26" s="108" t="s">
        <v>244</v>
      </c>
      <c r="G26">
        <v>12</v>
      </c>
      <c r="H26">
        <f t="shared" si="6"/>
        <v>0.57916693540648967</v>
      </c>
      <c r="I26">
        <f t="shared" si="4"/>
        <v>0.59264018770350035</v>
      </c>
      <c r="J26">
        <f t="shared" si="2"/>
        <v>1.3473252297010685E-2</v>
      </c>
      <c r="K26" t="str">
        <f t="shared" si="5"/>
        <v>no</v>
      </c>
    </row>
    <row r="27" spans="1:15">
      <c r="G27">
        <v>13</v>
      </c>
      <c r="H27">
        <f t="shared" si="6"/>
        <v>0.59264018770350035</v>
      </c>
      <c r="I27">
        <f t="shared" si="4"/>
        <v>0.60326981453400719</v>
      </c>
      <c r="J27">
        <f t="shared" si="2"/>
        <v>1.0629626830506833E-2</v>
      </c>
      <c r="K27" t="str">
        <f t="shared" si="5"/>
        <v>no</v>
      </c>
    </row>
    <row r="28" spans="1:15">
      <c r="G28">
        <v>14</v>
      </c>
      <c r="H28">
        <f t="shared" si="6"/>
        <v>0.60326981453400719</v>
      </c>
      <c r="I28">
        <f t="shared" si="4"/>
        <v>0.61162373211632093</v>
      </c>
      <c r="J28">
        <f t="shared" si="2"/>
        <v>8.3539175823137413E-3</v>
      </c>
      <c r="K28" t="str">
        <f t="shared" si="5"/>
        <v>no</v>
      </c>
    </row>
    <row r="29" spans="1:15">
      <c r="G29">
        <v>15</v>
      </c>
      <c r="H29">
        <f t="shared" si="6"/>
        <v>0.61162373211632093</v>
      </c>
      <c r="I29">
        <f t="shared" si="4"/>
        <v>0.61816897396826154</v>
      </c>
      <c r="J29">
        <f t="shared" si="2"/>
        <v>6.5452418519406086E-3</v>
      </c>
      <c r="K29" t="str">
        <f t="shared" si="5"/>
        <v>no</v>
      </c>
    </row>
    <row r="30" spans="1:15">
      <c r="G30">
        <v>16</v>
      </c>
      <c r="H30">
        <f t="shared" si="6"/>
        <v>0.61816897396826154</v>
      </c>
      <c r="I30">
        <f t="shared" si="4"/>
        <v>0.62328461945340285</v>
      </c>
      <c r="J30">
        <f t="shared" si="2"/>
        <v>5.115645485141318E-3</v>
      </c>
      <c r="K30" t="str">
        <f t="shared" si="5"/>
        <v>no</v>
      </c>
    </row>
    <row r="31" spans="1:15">
      <c r="G31">
        <v>17</v>
      </c>
      <c r="H31">
        <f t="shared" si="6"/>
        <v>0.62328461945340285</v>
      </c>
      <c r="I31">
        <f t="shared" si="4"/>
        <v>0.62727521486006621</v>
      </c>
      <c r="J31">
        <f t="shared" si="2"/>
        <v>3.9905954066633553E-3</v>
      </c>
      <c r="K31" t="str">
        <f t="shared" si="5"/>
        <v>no</v>
      </c>
    </row>
    <row r="32" spans="1:15">
      <c r="G32">
        <v>18</v>
      </c>
      <c r="H32">
        <f t="shared" si="6"/>
        <v>0.62727521486006621</v>
      </c>
      <c r="I32">
        <f t="shared" si="4"/>
        <v>0.63038346862274786</v>
      </c>
      <c r="J32">
        <f t="shared" si="2"/>
        <v>3.1082537626816453E-3</v>
      </c>
      <c r="K32" t="str">
        <f t="shared" si="5"/>
        <v>no</v>
      </c>
    </row>
    <row r="33" spans="7:11">
      <c r="G33">
        <v>19</v>
      </c>
      <c r="H33">
        <f t="shared" si="6"/>
        <v>0.63038346862274786</v>
      </c>
      <c r="I33">
        <f t="shared" si="4"/>
        <v>0.63280159593391139</v>
      </c>
      <c r="J33">
        <f t="shared" si="2"/>
        <v>2.4181273111635315E-3</v>
      </c>
      <c r="K33" t="str">
        <f t="shared" si="5"/>
        <v>no</v>
      </c>
    </row>
    <row r="34" spans="7:11">
      <c r="G34">
        <v>20</v>
      </c>
      <c r="H34">
        <f t="shared" si="6"/>
        <v>0.63280159593391139</v>
      </c>
      <c r="I34">
        <f t="shared" si="4"/>
        <v>0.63468107902061122</v>
      </c>
      <c r="J34">
        <f t="shared" si="2"/>
        <v>1.8794830866998291E-3</v>
      </c>
      <c r="K34" t="str">
        <f t="shared" si="5"/>
        <v>no</v>
      </c>
    </row>
    <row r="35" spans="7:11">
      <c r="G35">
        <v>21</v>
      </c>
      <c r="H35">
        <f t="shared" si="6"/>
        <v>0.63468107902061122</v>
      </c>
      <c r="I35">
        <f t="shared" si="4"/>
        <v>0.63614084396949266</v>
      </c>
      <c r="J35">
        <f t="shared" si="2"/>
        <v>1.4597649488814479E-3</v>
      </c>
      <c r="K35" t="str">
        <f t="shared" si="5"/>
        <v>no</v>
      </c>
    </row>
    <row r="36" spans="7:11">
      <c r="G36">
        <v>22</v>
      </c>
      <c r="H36">
        <f t="shared" si="6"/>
        <v>0.63614084396949266</v>
      </c>
      <c r="I36">
        <f t="shared" si="4"/>
        <v>0.63727398055677664</v>
      </c>
      <c r="J36">
        <f t="shared" si="2"/>
        <v>1.1331365872839783E-3</v>
      </c>
      <c r="K36" t="str">
        <f t="shared" si="5"/>
        <v>no</v>
      </c>
    </row>
    <row r="37" spans="7:11">
      <c r="G37">
        <v>23</v>
      </c>
      <c r="H37">
        <f t="shared" si="6"/>
        <v>0.63727398055677664</v>
      </c>
      <c r="I37">
        <f t="shared" si="4"/>
        <v>0.63815318695750467</v>
      </c>
      <c r="J37">
        <f t="shared" si="2"/>
        <v>8.7920640072802758E-4</v>
      </c>
      <c r="K37" t="str">
        <f t="shared" si="5"/>
        <v>yes</v>
      </c>
    </row>
  </sheetData>
  <mergeCells count="6">
    <mergeCell ref="A1:U1"/>
    <mergeCell ref="A2:B2"/>
    <mergeCell ref="C2:D2"/>
    <mergeCell ref="E2:U2"/>
    <mergeCell ref="A3:I3"/>
    <mergeCell ref="J3:U3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3" shapeId="6148" r:id="rId4">
          <objectPr defaultSize="0" autoPict="0" r:id="rId5">
            <anchor moveWithCells="1">
              <from>
                <xdr:col>8</xdr:col>
                <xdr:colOff>9525</xdr:colOff>
                <xdr:row>11</xdr:row>
                <xdr:rowOff>114300</xdr:rowOff>
              </from>
              <to>
                <xdr:col>9</xdr:col>
                <xdr:colOff>9525</xdr:colOff>
                <xdr:row>13</xdr:row>
                <xdr:rowOff>28575</xdr:rowOff>
              </to>
            </anchor>
          </objectPr>
        </oleObject>
      </mc:Choice>
      <mc:Fallback>
        <oleObject progId="Equation.3" shapeId="6148" r:id="rId4"/>
      </mc:Fallback>
    </mc:AlternateContent>
    <mc:AlternateContent xmlns:mc="http://schemas.openxmlformats.org/markup-compatibility/2006">
      <mc:Choice Requires="x14">
        <oleObject progId="Equation.3" shapeId="6149" r:id="rId6">
          <objectPr defaultSize="0" autoPict="0" r:id="rId7">
            <anchor moveWithCells="1">
              <from>
                <xdr:col>9</xdr:col>
                <xdr:colOff>219075</xdr:colOff>
                <xdr:row>11</xdr:row>
                <xdr:rowOff>114300</xdr:rowOff>
              </from>
              <to>
                <xdr:col>9</xdr:col>
                <xdr:colOff>904875</xdr:colOff>
                <xdr:row>13</xdr:row>
                <xdr:rowOff>76200</xdr:rowOff>
              </to>
            </anchor>
          </objectPr>
        </oleObject>
      </mc:Choice>
      <mc:Fallback>
        <oleObject progId="Equation.3" shapeId="6149" r:id="rId6"/>
      </mc:Fallback>
    </mc:AlternateContent>
    <mc:AlternateContent xmlns:mc="http://schemas.openxmlformats.org/markup-compatibility/2006">
      <mc:Choice Requires="x14">
        <oleObject progId="Equation.3" shapeId="6150" r:id="rId8">
          <objectPr defaultSize="0" autoPict="0" r:id="rId9">
            <anchor moveWithCells="1">
              <from>
                <xdr:col>10</xdr:col>
                <xdr:colOff>57150</xdr:colOff>
                <xdr:row>11</xdr:row>
                <xdr:rowOff>133350</xdr:rowOff>
              </from>
              <to>
                <xdr:col>11</xdr:col>
                <xdr:colOff>9525</xdr:colOff>
                <xdr:row>13</xdr:row>
                <xdr:rowOff>76200</xdr:rowOff>
              </to>
            </anchor>
          </objectPr>
        </oleObject>
      </mc:Choice>
      <mc:Fallback>
        <oleObject progId="Equation.3" shapeId="6150" r:id="rId8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5"/>
  <sheetViews>
    <sheetView workbookViewId="0"/>
  </sheetViews>
  <sheetFormatPr defaultRowHeight="15"/>
  <sheetData>
    <row r="1" spans="1:16">
      <c r="A1" t="s">
        <v>203</v>
      </c>
    </row>
    <row r="3" spans="1:16">
      <c r="A3" t="s">
        <v>204</v>
      </c>
      <c r="F3" s="109" t="s">
        <v>205</v>
      </c>
    </row>
    <row r="4" spans="1:16">
      <c r="A4" t="s">
        <v>206</v>
      </c>
      <c r="B4" t="s">
        <v>207</v>
      </c>
      <c r="C4" t="s">
        <v>208</v>
      </c>
      <c r="D4" t="s">
        <v>209</v>
      </c>
      <c r="F4" t="s">
        <v>210</v>
      </c>
      <c r="J4" t="s">
        <v>211</v>
      </c>
      <c r="N4" t="s">
        <v>212</v>
      </c>
    </row>
    <row r="5" spans="1:16">
      <c r="A5">
        <v>-1</v>
      </c>
      <c r="B5">
        <v>5</v>
      </c>
      <c r="C5">
        <v>-2</v>
      </c>
      <c r="D5" s="110">
        <v>-13</v>
      </c>
      <c r="F5" s="110">
        <v>-13</v>
      </c>
      <c r="G5">
        <v>5</v>
      </c>
      <c r="H5">
        <v>-2</v>
      </c>
      <c r="J5">
        <v>-1</v>
      </c>
      <c r="K5" s="110">
        <v>-13</v>
      </c>
      <c r="L5">
        <v>-2</v>
      </c>
      <c r="N5">
        <v>-1</v>
      </c>
      <c r="O5">
        <v>5</v>
      </c>
      <c r="P5" s="110">
        <v>-13</v>
      </c>
    </row>
    <row r="6" spans="1:16">
      <c r="A6">
        <v>2</v>
      </c>
      <c r="B6">
        <v>1</v>
      </c>
      <c r="C6">
        <v>-4</v>
      </c>
      <c r="D6" s="110">
        <v>-1</v>
      </c>
      <c r="F6" s="110">
        <v>-1</v>
      </c>
      <c r="G6">
        <v>1</v>
      </c>
      <c r="H6">
        <v>-4</v>
      </c>
      <c r="J6">
        <v>2</v>
      </c>
      <c r="K6" s="110">
        <v>-1</v>
      </c>
      <c r="L6">
        <v>-4</v>
      </c>
      <c r="N6">
        <v>2</v>
      </c>
      <c r="O6">
        <v>1</v>
      </c>
      <c r="P6" s="110">
        <v>-1</v>
      </c>
    </row>
    <row r="7" spans="1:16">
      <c r="A7">
        <v>-1</v>
      </c>
      <c r="B7">
        <v>4</v>
      </c>
      <c r="C7">
        <v>0</v>
      </c>
      <c r="D7" s="110">
        <v>-8</v>
      </c>
      <c r="F7" s="110">
        <v>-8</v>
      </c>
      <c r="G7">
        <v>4</v>
      </c>
      <c r="H7">
        <v>0</v>
      </c>
      <c r="J7">
        <v>-1</v>
      </c>
      <c r="K7" s="110">
        <v>-8</v>
      </c>
      <c r="L7">
        <v>0</v>
      </c>
      <c r="N7">
        <v>-1</v>
      </c>
      <c r="O7">
        <v>4</v>
      </c>
      <c r="P7" s="110">
        <v>-8</v>
      </c>
    </row>
    <row r="8" spans="1:16">
      <c r="F8" t="s">
        <v>213</v>
      </c>
      <c r="G8">
        <f>MDETERM(A5:C7)</f>
        <v>-14.000000000000002</v>
      </c>
      <c r="J8" s="111" t="s">
        <v>214</v>
      </c>
      <c r="K8" s="111">
        <f>G9/$G$8</f>
        <v>3.9999999999999991</v>
      </c>
    </row>
    <row r="9" spans="1:16">
      <c r="F9" t="s">
        <v>215</v>
      </c>
      <c r="G9">
        <f>MDETERM(F5:H7)</f>
        <v>-55.999999999999993</v>
      </c>
      <c r="J9" s="111" t="s">
        <v>216</v>
      </c>
      <c r="K9" s="111">
        <f>G10/$G$8</f>
        <v>-1</v>
      </c>
    </row>
    <row r="10" spans="1:16">
      <c r="F10" t="s">
        <v>217</v>
      </c>
      <c r="G10">
        <f>MDETERM(J5:L7)</f>
        <v>14.000000000000002</v>
      </c>
      <c r="J10" s="111" t="s">
        <v>218</v>
      </c>
      <c r="K10" s="111">
        <f>G11/$G$8</f>
        <v>2.0000000000000009</v>
      </c>
    </row>
    <row r="11" spans="1:16">
      <c r="F11" t="s">
        <v>219</v>
      </c>
      <c r="G11">
        <f>MDETERM(N5:P7)</f>
        <v>-28.000000000000014</v>
      </c>
    </row>
    <row r="13" spans="1:16">
      <c r="F13" s="109" t="s">
        <v>220</v>
      </c>
    </row>
    <row r="14" spans="1:16">
      <c r="F14">
        <f t="array" ref="F14:H16">MINVERSE(A5:C7)</f>
        <v>-1.1428571428571428</v>
      </c>
      <c r="G14">
        <v>0.5714285714285714</v>
      </c>
      <c r="H14">
        <v>1.2857142857142856</v>
      </c>
      <c r="J14" s="111" t="s">
        <v>214</v>
      </c>
      <c r="K14" s="111">
        <f t="array" ref="K14:K16">MMULT(F14:H16,D5:D7)</f>
        <v>4</v>
      </c>
    </row>
    <row r="15" spans="1:16">
      <c r="F15">
        <v>-0.28571428571428564</v>
      </c>
      <c r="G15">
        <v>0.14285714285714282</v>
      </c>
      <c r="H15">
        <v>0.57142857142857129</v>
      </c>
      <c r="J15" s="111" t="s">
        <v>216</v>
      </c>
      <c r="K15" s="111">
        <v>-0.99999999999999956</v>
      </c>
    </row>
    <row r="16" spans="1:16">
      <c r="F16">
        <v>-0.64285714285714279</v>
      </c>
      <c r="G16">
        <v>7.1428571428571397E-2</v>
      </c>
      <c r="H16">
        <v>0.78571428571428559</v>
      </c>
      <c r="J16" s="111" t="s">
        <v>218</v>
      </c>
      <c r="K16" s="111">
        <v>2</v>
      </c>
    </row>
    <row r="17" spans="4:15">
      <c r="F17" t="s">
        <v>221</v>
      </c>
    </row>
    <row r="19" spans="4:15">
      <c r="F19" s="109" t="s">
        <v>222</v>
      </c>
      <c r="J19" s="112" t="s">
        <v>223</v>
      </c>
    </row>
    <row r="20" spans="4:15">
      <c r="D20" t="s">
        <v>206</v>
      </c>
      <c r="E20" t="s">
        <v>207</v>
      </c>
      <c r="F20" t="s">
        <v>208</v>
      </c>
      <c r="G20" t="s">
        <v>209</v>
      </c>
      <c r="J20" t="s">
        <v>206</v>
      </c>
      <c r="K20" t="s">
        <v>207</v>
      </c>
      <c r="L20" t="s">
        <v>208</v>
      </c>
      <c r="M20" t="s">
        <v>209</v>
      </c>
    </row>
    <row r="21" spans="4:15">
      <c r="D21">
        <v>-1</v>
      </c>
      <c r="E21">
        <v>5</v>
      </c>
      <c r="F21">
        <v>-2</v>
      </c>
      <c r="G21" s="110">
        <v>-13</v>
      </c>
      <c r="J21">
        <v>-1</v>
      </c>
      <c r="K21">
        <v>5</v>
      </c>
      <c r="L21">
        <v>-2</v>
      </c>
      <c r="M21" s="110">
        <v>-13</v>
      </c>
      <c r="N21" s="113" t="s">
        <v>224</v>
      </c>
      <c r="O21" t="s">
        <v>225</v>
      </c>
    </row>
    <row r="22" spans="4:15">
      <c r="D22">
        <v>2</v>
      </c>
      <c r="E22">
        <v>1</v>
      </c>
      <c r="F22">
        <v>-4</v>
      </c>
      <c r="G22" s="110">
        <v>-1</v>
      </c>
      <c r="H22" s="113" t="s">
        <v>226</v>
      </c>
      <c r="J22">
        <v>2</v>
      </c>
      <c r="K22">
        <v>1</v>
      </c>
      <c r="L22">
        <v>-4</v>
      </c>
      <c r="M22" s="110">
        <v>-1</v>
      </c>
      <c r="N22" s="113" t="s">
        <v>227</v>
      </c>
    </row>
    <row r="23" spans="4:15">
      <c r="D23">
        <v>-1</v>
      </c>
      <c r="E23">
        <v>4</v>
      </c>
      <c r="F23">
        <v>0</v>
      </c>
      <c r="G23" s="110">
        <v>-8</v>
      </c>
      <c r="H23" s="114" t="s">
        <v>228</v>
      </c>
      <c r="J23">
        <v>-1</v>
      </c>
      <c r="K23">
        <v>4</v>
      </c>
      <c r="L23">
        <v>0</v>
      </c>
      <c r="M23" s="110">
        <v>-8</v>
      </c>
      <c r="N23" s="113"/>
    </row>
    <row r="24" spans="4:15">
      <c r="D24" t="s">
        <v>206</v>
      </c>
      <c r="E24" t="s">
        <v>207</v>
      </c>
      <c r="F24" t="s">
        <v>208</v>
      </c>
      <c r="G24" t="s">
        <v>209</v>
      </c>
      <c r="J24" t="s">
        <v>206</v>
      </c>
      <c r="K24" t="s">
        <v>207</v>
      </c>
      <c r="L24" t="s">
        <v>208</v>
      </c>
      <c r="M24" t="s">
        <v>209</v>
      </c>
      <c r="N24" s="113"/>
    </row>
    <row r="25" spans="4:15">
      <c r="D25">
        <v>-1</v>
      </c>
      <c r="E25">
        <v>5</v>
      </c>
      <c r="F25">
        <v>-2</v>
      </c>
      <c r="G25" s="110">
        <v>-13</v>
      </c>
      <c r="J25">
        <v>2</v>
      </c>
      <c r="K25">
        <v>1</v>
      </c>
      <c r="L25">
        <v>-4</v>
      </c>
      <c r="M25" s="110">
        <v>-1</v>
      </c>
      <c r="N25" s="113"/>
    </row>
    <row r="26" spans="4:15">
      <c r="D26">
        <f>D22+2*D25</f>
        <v>0</v>
      </c>
      <c r="E26">
        <f>E22+2*E25</f>
        <v>11</v>
      </c>
      <c r="F26">
        <f t="shared" ref="F26:G26" si="0">F22+2*F25</f>
        <v>-8</v>
      </c>
      <c r="G26">
        <f t="shared" si="0"/>
        <v>-27</v>
      </c>
      <c r="H26" s="113"/>
      <c r="J26">
        <v>-1</v>
      </c>
      <c r="K26">
        <v>5</v>
      </c>
      <c r="L26">
        <v>-2</v>
      </c>
      <c r="M26" s="110">
        <v>-13</v>
      </c>
      <c r="N26" s="113" t="s">
        <v>229</v>
      </c>
    </row>
    <row r="27" spans="4:15">
      <c r="D27">
        <f>D23-1*D21</f>
        <v>0</v>
      </c>
      <c r="E27">
        <f t="shared" ref="E27:G27" si="1">E23-1*E21</f>
        <v>-1</v>
      </c>
      <c r="F27">
        <f t="shared" si="1"/>
        <v>2</v>
      </c>
      <c r="G27">
        <f t="shared" si="1"/>
        <v>5</v>
      </c>
      <c r="H27" s="114" t="s">
        <v>230</v>
      </c>
      <c r="J27">
        <v>-1</v>
      </c>
      <c r="K27">
        <v>4</v>
      </c>
      <c r="L27">
        <v>0</v>
      </c>
      <c r="M27" s="110">
        <v>-8</v>
      </c>
      <c r="N27" s="113" t="s">
        <v>229</v>
      </c>
    </row>
    <row r="28" spans="4:15">
      <c r="D28" t="s">
        <v>206</v>
      </c>
      <c r="E28" t="s">
        <v>207</v>
      </c>
      <c r="F28" t="s">
        <v>208</v>
      </c>
      <c r="G28" t="s">
        <v>209</v>
      </c>
      <c r="J28" t="s">
        <v>206</v>
      </c>
      <c r="K28" t="s">
        <v>207</v>
      </c>
      <c r="L28" t="s">
        <v>208</v>
      </c>
      <c r="M28" t="s">
        <v>209</v>
      </c>
      <c r="N28" s="113"/>
    </row>
    <row r="29" spans="4:15">
      <c r="D29">
        <v>-1</v>
      </c>
      <c r="E29">
        <v>5</v>
      </c>
      <c r="F29">
        <v>-2</v>
      </c>
      <c r="G29">
        <v>-13</v>
      </c>
      <c r="J29">
        <v>2</v>
      </c>
      <c r="K29">
        <v>1</v>
      </c>
      <c r="L29">
        <v>-4</v>
      </c>
      <c r="M29" s="110">
        <v>-1</v>
      </c>
      <c r="N29" s="113"/>
      <c r="O29" t="s">
        <v>231</v>
      </c>
    </row>
    <row r="30" spans="4:15">
      <c r="D30">
        <v>0</v>
      </c>
      <c r="E30">
        <v>11</v>
      </c>
      <c r="F30">
        <v>-8</v>
      </c>
      <c r="G30">
        <v>-27</v>
      </c>
      <c r="J30">
        <f>J26+1/2*J29</f>
        <v>0</v>
      </c>
      <c r="K30">
        <f t="shared" ref="K30:M30" si="2">K26+1/2*K29</f>
        <v>5.5</v>
      </c>
      <c r="L30">
        <f t="shared" si="2"/>
        <v>-4</v>
      </c>
      <c r="M30">
        <f t="shared" si="2"/>
        <v>-13.5</v>
      </c>
      <c r="N30" s="113"/>
    </row>
    <row r="31" spans="4:15">
      <c r="D31">
        <v>0</v>
      </c>
      <c r="E31">
        <f>E27+1/11*E30</f>
        <v>0</v>
      </c>
      <c r="F31">
        <f t="shared" ref="F31:G31" si="3">F27+1/11*F30</f>
        <v>1.2727272727272727</v>
      </c>
      <c r="G31">
        <f t="shared" si="3"/>
        <v>2.5454545454545454</v>
      </c>
      <c r="H31" t="s">
        <v>230</v>
      </c>
      <c r="J31">
        <f>J27+1/2*J29</f>
        <v>0</v>
      </c>
      <c r="K31">
        <f t="shared" ref="K31:M31" si="4">K27+1/2*K29</f>
        <v>4.5</v>
      </c>
      <c r="L31">
        <f t="shared" si="4"/>
        <v>-2</v>
      </c>
      <c r="M31">
        <f t="shared" si="4"/>
        <v>-8.5</v>
      </c>
      <c r="N31" s="113" t="s">
        <v>232</v>
      </c>
    </row>
    <row r="32" spans="4:15">
      <c r="J32" t="s">
        <v>206</v>
      </c>
      <c r="K32" t="s">
        <v>207</v>
      </c>
      <c r="L32" t="s">
        <v>208</v>
      </c>
      <c r="M32" t="s">
        <v>209</v>
      </c>
      <c r="N32" s="113"/>
    </row>
    <row r="33" spans="4:16">
      <c r="D33" s="111" t="s">
        <v>214</v>
      </c>
      <c r="E33" s="111">
        <f>G31/F31</f>
        <v>2</v>
      </c>
      <c r="J33">
        <v>2</v>
      </c>
      <c r="K33">
        <v>1</v>
      </c>
      <c r="L33">
        <v>-4</v>
      </c>
      <c r="M33">
        <v>-1</v>
      </c>
      <c r="N33" s="113"/>
      <c r="O33" s="111" t="s">
        <v>214</v>
      </c>
      <c r="P33">
        <f>M35/L35</f>
        <v>2.0000000000000009</v>
      </c>
    </row>
    <row r="34" spans="4:16">
      <c r="D34" s="111" t="s">
        <v>216</v>
      </c>
      <c r="E34" s="111">
        <f>(G30-F30*E33)/E30</f>
        <v>-1</v>
      </c>
      <c r="J34">
        <v>0</v>
      </c>
      <c r="K34">
        <v>5.5</v>
      </c>
      <c r="L34">
        <v>-4</v>
      </c>
      <c r="M34">
        <v>-13.5</v>
      </c>
      <c r="N34" s="113"/>
      <c r="O34" s="111" t="s">
        <v>216</v>
      </c>
      <c r="P34">
        <f>(M34-L34*P33)/K34</f>
        <v>-0.99999999999999933</v>
      </c>
    </row>
    <row r="35" spans="4:16">
      <c r="D35" s="111" t="s">
        <v>218</v>
      </c>
      <c r="E35" s="111">
        <f>(G29-F29*E33-E29*E34)/D29</f>
        <v>4</v>
      </c>
      <c r="J35">
        <v>0</v>
      </c>
      <c r="K35">
        <f>K31-4.5/5.5*K34</f>
        <v>0</v>
      </c>
      <c r="L35">
        <f t="shared" ref="L35:M35" si="5">L31-4.5/5.5*L34</f>
        <v>1.2727272727272729</v>
      </c>
      <c r="M35">
        <f t="shared" si="5"/>
        <v>2.5454545454545467</v>
      </c>
      <c r="N35" s="113"/>
      <c r="O35" s="111" t="s">
        <v>218</v>
      </c>
      <c r="P35">
        <f>(M33-L33*P33-K33*P34)/J33</f>
        <v>4.0000000000000018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5"/>
  <sheetViews>
    <sheetView workbookViewId="0">
      <selection activeCell="J27" sqref="J27"/>
    </sheetView>
  </sheetViews>
  <sheetFormatPr defaultRowHeight="15"/>
  <cols>
    <col min="2" max="2" width="2.140625" customWidth="1"/>
    <col min="3" max="3" width="9.42578125" customWidth="1"/>
    <col min="4" max="4" width="5.140625" customWidth="1"/>
    <col min="5" max="5" width="7.7109375" customWidth="1"/>
    <col min="6" max="6" width="4.85546875" customWidth="1"/>
    <col min="9" max="9" width="11.28515625" customWidth="1"/>
    <col min="11" max="11" width="10.28515625" bestFit="1" customWidth="1"/>
  </cols>
  <sheetData>
    <row r="1" spans="1:16">
      <c r="A1" t="s">
        <v>251</v>
      </c>
      <c r="I1" s="130" t="s">
        <v>248</v>
      </c>
      <c r="J1" s="131">
        <v>0.01</v>
      </c>
      <c r="L1" s="109" t="s">
        <v>288</v>
      </c>
    </row>
    <row r="2" spans="1:16">
      <c r="A2" s="189" t="s">
        <v>204</v>
      </c>
      <c r="B2" s="189"/>
      <c r="C2" s="189"/>
      <c r="D2" s="189"/>
      <c r="E2" s="189"/>
      <c r="F2" s="189"/>
      <c r="G2" s="189"/>
    </row>
    <row r="3" spans="1:16">
      <c r="A3" s="118" t="s">
        <v>252</v>
      </c>
      <c r="B3" s="118" t="s">
        <v>253</v>
      </c>
      <c r="C3" s="118" t="s">
        <v>254</v>
      </c>
      <c r="D3" s="118" t="s">
        <v>255</v>
      </c>
      <c r="E3" s="118" t="s">
        <v>256</v>
      </c>
      <c r="F3" s="118" t="s">
        <v>257</v>
      </c>
      <c r="G3" s="118">
        <v>6</v>
      </c>
      <c r="H3" s="90"/>
      <c r="I3" s="118">
        <v>1</v>
      </c>
      <c r="J3" s="118" t="s">
        <v>262</v>
      </c>
      <c r="K3" s="118">
        <v>9</v>
      </c>
      <c r="L3" s="90"/>
      <c r="M3" s="90" t="s">
        <v>264</v>
      </c>
      <c r="N3" s="90"/>
    </row>
    <row r="4" spans="1:16">
      <c r="A4" s="118" t="s">
        <v>258</v>
      </c>
      <c r="B4" s="118" t="s">
        <v>255</v>
      </c>
      <c r="C4" s="118" t="s">
        <v>31</v>
      </c>
      <c r="D4" s="118" t="s">
        <v>253</v>
      </c>
      <c r="E4" s="118" t="s">
        <v>259</v>
      </c>
      <c r="F4" s="118" t="s">
        <v>257</v>
      </c>
      <c r="G4" s="118">
        <v>-2</v>
      </c>
      <c r="I4" s="118">
        <v>1</v>
      </c>
      <c r="J4" s="118" t="s">
        <v>262</v>
      </c>
      <c r="K4" s="118">
        <v>13</v>
      </c>
    </row>
    <row r="5" spans="1:16">
      <c r="A5" s="118" t="s">
        <v>260</v>
      </c>
      <c r="B5" s="118" t="s">
        <v>253</v>
      </c>
      <c r="C5" s="118" t="s">
        <v>31</v>
      </c>
      <c r="D5" s="118" t="s">
        <v>253</v>
      </c>
      <c r="E5" s="118" t="s">
        <v>261</v>
      </c>
      <c r="F5" s="118" t="s">
        <v>257</v>
      </c>
      <c r="G5" s="118">
        <v>10</v>
      </c>
      <c r="I5" s="118">
        <v>5</v>
      </c>
      <c r="J5" s="118" t="s">
        <v>263</v>
      </c>
      <c r="K5" s="118">
        <v>2</v>
      </c>
    </row>
    <row r="6" spans="1:16">
      <c r="A6" s="189" t="s">
        <v>267</v>
      </c>
      <c r="B6" s="189"/>
      <c r="C6" s="189"/>
      <c r="D6" s="189"/>
      <c r="E6" s="189"/>
      <c r="F6" s="189"/>
      <c r="G6" s="189"/>
    </row>
    <row r="7" spans="1:16">
      <c r="A7" s="118" t="s">
        <v>258</v>
      </c>
      <c r="B7" s="118" t="s">
        <v>255</v>
      </c>
      <c r="C7" s="118" t="s">
        <v>31</v>
      </c>
      <c r="D7" s="118" t="s">
        <v>253</v>
      </c>
      <c r="E7" s="118" t="s">
        <v>259</v>
      </c>
      <c r="F7" s="118" t="s">
        <v>257</v>
      </c>
      <c r="G7" s="118">
        <v>-2</v>
      </c>
      <c r="I7" s="118">
        <v>12</v>
      </c>
      <c r="J7" s="118" t="s">
        <v>263</v>
      </c>
      <c r="K7" s="118">
        <v>2</v>
      </c>
      <c r="M7" t="s">
        <v>265</v>
      </c>
    </row>
    <row r="8" spans="1:16">
      <c r="A8" s="118" t="s">
        <v>252</v>
      </c>
      <c r="B8" s="118" t="s">
        <v>253</v>
      </c>
      <c r="C8" s="118" t="s">
        <v>254</v>
      </c>
      <c r="D8" s="118" t="s">
        <v>255</v>
      </c>
      <c r="E8" s="118" t="s">
        <v>256</v>
      </c>
      <c r="F8" s="118" t="s">
        <v>257</v>
      </c>
      <c r="G8" s="118">
        <v>6</v>
      </c>
      <c r="I8" s="118">
        <v>7</v>
      </c>
      <c r="J8" s="118" t="s">
        <v>263</v>
      </c>
      <c r="K8" s="118">
        <v>3</v>
      </c>
    </row>
    <row r="9" spans="1:16">
      <c r="A9" s="118" t="s">
        <v>260</v>
      </c>
      <c r="B9" s="118" t="s">
        <v>253</v>
      </c>
      <c r="C9" s="118" t="s">
        <v>31</v>
      </c>
      <c r="D9" s="118" t="s">
        <v>253</v>
      </c>
      <c r="E9" s="118" t="s">
        <v>261</v>
      </c>
      <c r="F9" s="118" t="s">
        <v>257</v>
      </c>
      <c r="G9" s="118">
        <v>10</v>
      </c>
      <c r="I9" s="118">
        <v>5</v>
      </c>
      <c r="J9" s="118" t="s">
        <v>263</v>
      </c>
      <c r="K9" s="118">
        <v>3</v>
      </c>
    </row>
    <row r="10" spans="1:16">
      <c r="A10" s="189" t="s">
        <v>266</v>
      </c>
      <c r="B10" s="189"/>
      <c r="C10" s="189"/>
      <c r="D10" s="189"/>
      <c r="E10" s="189"/>
      <c r="F10" s="189"/>
      <c r="G10" s="189"/>
      <c r="I10" t="s">
        <v>272</v>
      </c>
    </row>
    <row r="11" spans="1:16">
      <c r="A11" s="118" t="s">
        <v>252</v>
      </c>
      <c r="B11" s="118" t="s">
        <v>257</v>
      </c>
      <c r="C11">
        <f>1/12</f>
        <v>8.3333333333333329E-2</v>
      </c>
      <c r="D11" s="118" t="s">
        <v>31</v>
      </c>
      <c r="E11">
        <f>-1/12</f>
        <v>-8.3333333333333329E-2</v>
      </c>
      <c r="F11" s="118" t="s">
        <v>259</v>
      </c>
      <c r="G11" s="132">
        <f>-2/12</f>
        <v>-0.16666666666666666</v>
      </c>
    </row>
    <row r="12" spans="1:16">
      <c r="A12" s="118" t="s">
        <v>31</v>
      </c>
      <c r="B12" s="118" t="s">
        <v>257</v>
      </c>
      <c r="C12">
        <f>-1/7</f>
        <v>-0.14285714285714285</v>
      </c>
      <c r="D12" s="118" t="s">
        <v>269</v>
      </c>
      <c r="E12">
        <f>2/7</f>
        <v>0.2857142857142857</v>
      </c>
      <c r="F12" s="118" t="s">
        <v>268</v>
      </c>
      <c r="G12" s="132">
        <f>6/7</f>
        <v>0.8571428571428571</v>
      </c>
      <c r="I12" t="s">
        <v>273</v>
      </c>
      <c r="J12" s="118" t="s">
        <v>274</v>
      </c>
      <c r="K12">
        <f>C11+E11</f>
        <v>0</v>
      </c>
    </row>
    <row r="13" spans="1:16">
      <c r="A13" s="118" t="s">
        <v>259</v>
      </c>
      <c r="B13" s="118" t="s">
        <v>257</v>
      </c>
      <c r="C13">
        <f>-2/5</f>
        <v>-0.4</v>
      </c>
      <c r="D13" s="118" t="s">
        <v>30</v>
      </c>
      <c r="E13">
        <f>-1/5</f>
        <v>-0.2</v>
      </c>
      <c r="F13" s="118" t="s">
        <v>270</v>
      </c>
      <c r="G13">
        <f>10/5</f>
        <v>2</v>
      </c>
      <c r="I13" t="s">
        <v>275</v>
      </c>
      <c r="J13" s="118" t="s">
        <v>276</v>
      </c>
      <c r="K13">
        <f>C12+E12</f>
        <v>0.14285714285714285</v>
      </c>
      <c r="M13" t="s">
        <v>280</v>
      </c>
    </row>
    <row r="14" spans="1:16">
      <c r="A14" s="189" t="s">
        <v>282</v>
      </c>
      <c r="B14" s="189"/>
      <c r="C14" s="189"/>
      <c r="D14" s="189"/>
      <c r="E14" s="189"/>
      <c r="F14" s="189"/>
      <c r="G14" s="189"/>
      <c r="I14" t="s">
        <v>277</v>
      </c>
      <c r="J14" s="118" t="s">
        <v>278</v>
      </c>
      <c r="K14">
        <f>C13+E13</f>
        <v>-0.60000000000000009</v>
      </c>
      <c r="M14" s="133" t="s">
        <v>279</v>
      </c>
      <c r="N14" s="134">
        <f>MAX(ABS(K12),ABS(K13),ABS(K14))</f>
        <v>0.60000000000000009</v>
      </c>
      <c r="O14" s="134" t="s">
        <v>262</v>
      </c>
      <c r="P14" s="134">
        <v>1</v>
      </c>
    </row>
    <row r="15" spans="1:16">
      <c r="A15" s="118" t="s">
        <v>252</v>
      </c>
      <c r="B15" s="118" t="s">
        <v>257</v>
      </c>
      <c r="C15">
        <f>G11</f>
        <v>-0.16666666666666666</v>
      </c>
      <c r="E15" s="194" t="s">
        <v>283</v>
      </c>
      <c r="F15" s="194"/>
      <c r="G15" s="194"/>
      <c r="M15" s="119" t="s">
        <v>192</v>
      </c>
      <c r="N15">
        <f>(1-N14)/N14*J1</f>
        <v>6.6666666666666645E-3</v>
      </c>
    </row>
    <row r="16" spans="1:16">
      <c r="A16" s="118" t="s">
        <v>31</v>
      </c>
      <c r="B16" s="118" t="s">
        <v>257</v>
      </c>
      <c r="C16">
        <f>G12</f>
        <v>0.8571428571428571</v>
      </c>
      <c r="E16" s="194"/>
      <c r="F16" s="194"/>
      <c r="G16" s="194"/>
      <c r="M16" s="193" t="s">
        <v>281</v>
      </c>
      <c r="N16" s="193"/>
      <c r="O16" s="193"/>
      <c r="P16" s="193"/>
    </row>
    <row r="17" spans="1:16">
      <c r="A17" s="118" t="s">
        <v>259</v>
      </c>
      <c r="B17" s="118" t="s">
        <v>257</v>
      </c>
      <c r="C17">
        <f>G13</f>
        <v>2</v>
      </c>
      <c r="E17" s="194"/>
      <c r="F17" s="194"/>
      <c r="G17" s="194"/>
      <c r="M17" s="193"/>
      <c r="N17" s="193"/>
      <c r="O17" s="193"/>
      <c r="P17" s="193"/>
    </row>
    <row r="18" spans="1:16">
      <c r="A18" s="193" t="s">
        <v>284</v>
      </c>
      <c r="B18" s="193"/>
      <c r="C18" s="193"/>
      <c r="D18" s="193"/>
      <c r="E18" s="193"/>
      <c r="F18" s="193"/>
      <c r="G18" s="193"/>
      <c r="M18" s="193"/>
      <c r="N18" s="193"/>
      <c r="O18" s="193"/>
      <c r="P18" s="193"/>
    </row>
    <row r="19" spans="1:16">
      <c r="A19" s="193"/>
      <c r="B19" s="193"/>
      <c r="C19" s="193"/>
      <c r="D19" s="193"/>
      <c r="E19" s="193"/>
      <c r="F19" s="193"/>
      <c r="G19" s="193"/>
    </row>
    <row r="20" spans="1:16">
      <c r="A20" s="118" t="s">
        <v>252</v>
      </c>
      <c r="B20" s="118" t="s">
        <v>257</v>
      </c>
      <c r="C20">
        <f>$C$11*C16+$E$11*C17+G11</f>
        <v>-0.26190476190476186</v>
      </c>
      <c r="E20" s="189" t="s">
        <v>286</v>
      </c>
      <c r="F20" s="189"/>
      <c r="G20" s="118">
        <v>1</v>
      </c>
    </row>
    <row r="21" spans="1:16">
      <c r="A21" s="118" t="s">
        <v>31</v>
      </c>
      <c r="B21" s="118" t="s">
        <v>257</v>
      </c>
      <c r="C21">
        <f>$C$12*C15+$E$12*C17+G12</f>
        <v>1.4523809523809523</v>
      </c>
      <c r="E21" t="s">
        <v>285</v>
      </c>
      <c r="F21" t="str">
        <f>IF(MAX(ABS(C20-C15),ABS(C16-C21),ABS(C22-C17))&lt;$N$15,"yes","no")</f>
        <v>no</v>
      </c>
    </row>
    <row r="22" spans="1:16">
      <c r="A22" s="118" t="s">
        <v>259</v>
      </c>
      <c r="B22" s="118" t="s">
        <v>257</v>
      </c>
      <c r="C22">
        <f>$C$13*C15+$E$13*C16+G13</f>
        <v>1.8952380952380952</v>
      </c>
    </row>
    <row r="24" spans="1:16">
      <c r="A24" s="118" t="s">
        <v>252</v>
      </c>
      <c r="B24" s="118" t="s">
        <v>257</v>
      </c>
      <c r="C24">
        <f>$C$11*C21+$E$11*C22+G11</f>
        <v>-0.20357142857142857</v>
      </c>
      <c r="E24" s="189" t="s">
        <v>286</v>
      </c>
      <c r="F24" s="189"/>
      <c r="G24" s="118">
        <v>2</v>
      </c>
    </row>
    <row r="25" spans="1:16">
      <c r="A25" s="118" t="s">
        <v>31</v>
      </c>
      <c r="B25" s="118" t="s">
        <v>257</v>
      </c>
      <c r="C25">
        <f>$C$12*C20+$E$12*C22+G12</f>
        <v>1.4360544217687075</v>
      </c>
      <c r="E25" t="s">
        <v>285</v>
      </c>
      <c r="F25" t="str">
        <f>IF(MAX(ABS(-C20+C24),ABS(-C21+C25),ABS(-C22+C26))&lt;$N$15,"yes","no")</f>
        <v>no</v>
      </c>
    </row>
    <row r="26" spans="1:16">
      <c r="A26" s="118" t="s">
        <v>259</v>
      </c>
      <c r="B26" s="118" t="s">
        <v>257</v>
      </c>
      <c r="C26">
        <f>$C$13*C20+$E$13*C21+G13</f>
        <v>1.8142857142857143</v>
      </c>
    </row>
    <row r="28" spans="1:16">
      <c r="A28" s="118" t="s">
        <v>252</v>
      </c>
      <c r="B28" s="118" t="s">
        <v>257</v>
      </c>
      <c r="C28">
        <f>$C$11*C25+$E$11*C26+$G$11</f>
        <v>-0.1981859410430839</v>
      </c>
      <c r="E28" s="189" t="s">
        <v>286</v>
      </c>
      <c r="F28" s="189"/>
      <c r="G28" s="118">
        <v>3</v>
      </c>
    </row>
    <row r="29" spans="1:16">
      <c r="A29" s="118" t="s">
        <v>31</v>
      </c>
      <c r="B29" s="118" t="s">
        <v>257</v>
      </c>
      <c r="C29">
        <f>$C$12*C24+$E$12*C26+$G$12</f>
        <v>1.4045918367346939</v>
      </c>
      <c r="E29" t="s">
        <v>285</v>
      </c>
      <c r="F29" t="str">
        <f>IF(MAX(ABS(-C24+C28),ABS(-C25+C29),ABS(-C26+C30))&lt;$N$15,"yes","no")</f>
        <v>no</v>
      </c>
    </row>
    <row r="30" spans="1:16">
      <c r="A30" s="118" t="s">
        <v>259</v>
      </c>
      <c r="B30" s="118" t="s">
        <v>257</v>
      </c>
      <c r="C30">
        <f>$C$13*C24+$E$13*C25+$G$13</f>
        <v>1.7942176870748299</v>
      </c>
    </row>
    <row r="32" spans="1:16">
      <c r="A32" s="118" t="s">
        <v>252</v>
      </c>
      <c r="B32" s="118" t="s">
        <v>257</v>
      </c>
      <c r="C32">
        <f>$C$11*C29+$E$11*C30+$G$11</f>
        <v>-0.19913548752834465</v>
      </c>
      <c r="E32" s="189" t="s">
        <v>286</v>
      </c>
      <c r="F32" s="189"/>
      <c r="G32" s="118">
        <v>4</v>
      </c>
      <c r="H32" t="s">
        <v>287</v>
      </c>
    </row>
    <row r="33" spans="1:11">
      <c r="A33" s="118" t="s">
        <v>31</v>
      </c>
      <c r="B33" s="118" t="s">
        <v>257</v>
      </c>
      <c r="C33">
        <f>$C$12*C28+$E$12*C30+$G$12</f>
        <v>1.3980887593132492</v>
      </c>
      <c r="E33" t="s">
        <v>285</v>
      </c>
      <c r="F33" t="str">
        <f>IF(MAX(ABS(-C28+C32),ABS(-C29+C33),ABS(-C30+C34))&lt;$N$15,"yes","no")</f>
        <v>yes</v>
      </c>
    </row>
    <row r="34" spans="1:11">
      <c r="A34" s="118" t="s">
        <v>259</v>
      </c>
      <c r="B34" s="118" t="s">
        <v>257</v>
      </c>
      <c r="C34">
        <f>$C$13*C28+$E$13*C29+$G$13</f>
        <v>1.7983560090702948</v>
      </c>
    </row>
    <row r="35" spans="1:11">
      <c r="A35" s="189" t="s">
        <v>271</v>
      </c>
      <c r="B35" s="189"/>
      <c r="C35" s="189"/>
      <c r="D35" s="189"/>
      <c r="E35" s="189"/>
      <c r="F35" s="189"/>
      <c r="G35" s="189"/>
    </row>
    <row r="36" spans="1:11">
      <c r="A36" s="118" t="s">
        <v>258</v>
      </c>
      <c r="B36" s="118" t="s">
        <v>255</v>
      </c>
      <c r="C36" s="118" t="s">
        <v>31</v>
      </c>
      <c r="D36" s="118" t="s">
        <v>253</v>
      </c>
      <c r="E36" s="118" t="s">
        <v>259</v>
      </c>
      <c r="F36" s="118" t="s">
        <v>257</v>
      </c>
      <c r="G36" s="118">
        <v>-2</v>
      </c>
      <c r="I36" s="118">
        <v>-2</v>
      </c>
      <c r="J36" s="118" t="s">
        <v>257</v>
      </c>
      <c r="K36">
        <f>12*C32-C33+C34</f>
        <v>-1.9893586005830901</v>
      </c>
    </row>
    <row r="37" spans="1:11">
      <c r="A37" s="118" t="s">
        <v>252</v>
      </c>
      <c r="B37" s="118" t="s">
        <v>253</v>
      </c>
      <c r="C37" s="118" t="s">
        <v>254</v>
      </c>
      <c r="D37" s="118" t="s">
        <v>255</v>
      </c>
      <c r="E37" s="118" t="s">
        <v>256</v>
      </c>
      <c r="F37" s="118" t="s">
        <v>257</v>
      </c>
      <c r="G37" s="118">
        <v>6</v>
      </c>
      <c r="I37" s="118">
        <v>6</v>
      </c>
      <c r="J37" s="118" t="s">
        <v>257</v>
      </c>
      <c r="K37">
        <f>C32+7*C33-2*C34</f>
        <v>5.9907738095238088</v>
      </c>
    </row>
    <row r="38" spans="1:11">
      <c r="A38" s="118" t="s">
        <v>260</v>
      </c>
      <c r="B38" s="118" t="s">
        <v>253</v>
      </c>
      <c r="C38" s="118" t="s">
        <v>31</v>
      </c>
      <c r="D38" s="118" t="s">
        <v>253</v>
      </c>
      <c r="E38" s="118" t="s">
        <v>261</v>
      </c>
      <c r="F38" s="118" t="s">
        <v>257</v>
      </c>
      <c r="G38" s="118">
        <v>10</v>
      </c>
      <c r="I38" s="118">
        <v>10</v>
      </c>
      <c r="J38" s="118" t="s">
        <v>257</v>
      </c>
      <c r="K38">
        <f>2*C32+C33+5*C34</f>
        <v>9.9915978296080343</v>
      </c>
    </row>
    <row r="40" spans="1:11">
      <c r="A40" s="188" t="s">
        <v>289</v>
      </c>
      <c r="B40" s="188"/>
      <c r="C40" s="188"/>
      <c r="D40" s="188"/>
    </row>
    <row r="41" spans="1:11">
      <c r="A41" s="118" t="s">
        <v>252</v>
      </c>
      <c r="B41" s="118" t="s">
        <v>257</v>
      </c>
      <c r="C41">
        <f>$C$11*C16+$E$11*C17+$G$11</f>
        <v>-0.26190476190476186</v>
      </c>
      <c r="E41" s="189" t="s">
        <v>286</v>
      </c>
      <c r="F41" s="189"/>
      <c r="G41" s="118">
        <v>1</v>
      </c>
    </row>
    <row r="42" spans="1:11">
      <c r="A42" s="118" t="s">
        <v>31</v>
      </c>
      <c r="B42" s="118" t="s">
        <v>257</v>
      </c>
      <c r="C42">
        <f>$C$12*C41+$E$12*C17+$G$12</f>
        <v>1.4659863945578231</v>
      </c>
      <c r="E42" t="s">
        <v>285</v>
      </c>
      <c r="F42" t="str">
        <f>IF(MAX(ABS(C41-C15),ABS(C42-C16),ABS(C43-C17))&lt;$N$15,"yes","no")</f>
        <v>no</v>
      </c>
    </row>
    <row r="43" spans="1:11">
      <c r="A43" s="118" t="s">
        <v>259</v>
      </c>
      <c r="B43" s="118" t="s">
        <v>257</v>
      </c>
      <c r="C43">
        <f>$C$13*C41+$E$13*C42+$G$13</f>
        <v>1.8115646258503402</v>
      </c>
    </row>
    <row r="45" spans="1:11">
      <c r="A45" s="118" t="s">
        <v>252</v>
      </c>
      <c r="B45" s="118" t="s">
        <v>257</v>
      </c>
      <c r="C45">
        <f>$C$11*C42+$E$11*C43+$G$11</f>
        <v>-0.19546485260770974</v>
      </c>
      <c r="E45" s="189" t="s">
        <v>286</v>
      </c>
      <c r="F45" s="189"/>
      <c r="G45" s="118">
        <v>2</v>
      </c>
    </row>
    <row r="46" spans="1:11">
      <c r="A46" s="118" t="s">
        <v>31</v>
      </c>
      <c r="B46" s="118" t="s">
        <v>257</v>
      </c>
      <c r="C46">
        <f>$C$12*C45+$E$12*C43+$G$12</f>
        <v>1.4026563006154842</v>
      </c>
      <c r="E46" t="s">
        <v>285</v>
      </c>
      <c r="F46" t="str">
        <f>IF(MAX(ABS(C45-C41),ABS(C46-C42),ABS(C47-C43))&lt;$N$15,"yes","no")</f>
        <v>no</v>
      </c>
    </row>
    <row r="47" spans="1:11">
      <c r="A47" s="118" t="s">
        <v>259</v>
      </c>
      <c r="B47" s="118" t="s">
        <v>257</v>
      </c>
      <c r="C47">
        <f>$C$13*C45+$E$13*C46+$G$13</f>
        <v>1.7976546809199871</v>
      </c>
    </row>
    <row r="49" spans="1:11">
      <c r="A49" s="118" t="s">
        <v>252</v>
      </c>
      <c r="B49" s="118" t="s">
        <v>257</v>
      </c>
      <c r="C49">
        <f>$C$11*C46+$E$11*C47+$G$11</f>
        <v>-0.19958319835870858</v>
      </c>
      <c r="E49" s="189" t="s">
        <v>286</v>
      </c>
      <c r="F49" s="189"/>
      <c r="G49" s="118">
        <v>3</v>
      </c>
      <c r="H49" t="s">
        <v>287</v>
      </c>
    </row>
    <row r="50" spans="1:11">
      <c r="A50" s="118" t="s">
        <v>31</v>
      </c>
      <c r="B50" s="118" t="s">
        <v>257</v>
      </c>
      <c r="C50">
        <f>$C$12*C49+$E$12*C47+$G$12</f>
        <v>1.3992703657426691</v>
      </c>
      <c r="E50" t="s">
        <v>285</v>
      </c>
      <c r="F50" t="str">
        <f>IF(MAX(ABS(C49-C45),ABS(C50-C46),ABS(C51-C47))&lt;$N$15,"yes","no")</f>
        <v>yes</v>
      </c>
    </row>
    <row r="51" spans="1:11">
      <c r="A51" s="118" t="s">
        <v>259</v>
      </c>
      <c r="B51" s="118" t="s">
        <v>257</v>
      </c>
      <c r="C51">
        <f>$C$13*C49+$E$13*C50+$G$13</f>
        <v>1.7999792061949496</v>
      </c>
    </row>
    <row r="52" spans="1:11">
      <c r="A52" s="189" t="s">
        <v>271</v>
      </c>
      <c r="B52" s="189"/>
      <c r="C52" s="189"/>
      <c r="D52" s="189"/>
      <c r="E52" s="189"/>
      <c r="F52" s="189"/>
      <c r="G52" s="189"/>
    </row>
    <row r="53" spans="1:11">
      <c r="A53" s="118" t="s">
        <v>258</v>
      </c>
      <c r="B53" s="118" t="s">
        <v>255</v>
      </c>
      <c r="C53" s="118" t="s">
        <v>31</v>
      </c>
      <c r="D53" s="118" t="s">
        <v>253</v>
      </c>
      <c r="E53" s="118" t="s">
        <v>259</v>
      </c>
      <c r="F53" s="118" t="s">
        <v>257</v>
      </c>
      <c r="G53" s="118">
        <v>-2</v>
      </c>
      <c r="I53" s="118">
        <v>-2</v>
      </c>
      <c r="J53" s="118" t="s">
        <v>257</v>
      </c>
      <c r="K53">
        <f>12*C49-C50+C51</f>
        <v>-1.9942895398522222</v>
      </c>
    </row>
    <row r="54" spans="1:11">
      <c r="A54" s="118" t="s">
        <v>252</v>
      </c>
      <c r="B54" s="118" t="s">
        <v>253</v>
      </c>
      <c r="C54" s="118" t="s">
        <v>254</v>
      </c>
      <c r="D54" s="118" t="s">
        <v>255</v>
      </c>
      <c r="E54" s="118" t="s">
        <v>256</v>
      </c>
      <c r="F54" s="118" t="s">
        <v>257</v>
      </c>
      <c r="G54" s="118">
        <v>6</v>
      </c>
      <c r="I54" s="118">
        <v>6</v>
      </c>
      <c r="J54" s="118" t="s">
        <v>257</v>
      </c>
      <c r="K54">
        <f>C49+7*C50-2*C51</f>
        <v>5.9953509494500761</v>
      </c>
    </row>
    <row r="55" spans="1:11">
      <c r="A55" s="118" t="s">
        <v>260</v>
      </c>
      <c r="B55" s="118" t="s">
        <v>253</v>
      </c>
      <c r="C55" s="118" t="s">
        <v>31</v>
      </c>
      <c r="D55" s="118" t="s">
        <v>253</v>
      </c>
      <c r="E55" s="118" t="s">
        <v>261</v>
      </c>
      <c r="F55" s="118" t="s">
        <v>257</v>
      </c>
      <c r="G55" s="118">
        <v>10</v>
      </c>
      <c r="I55" s="118">
        <v>10</v>
      </c>
      <c r="J55" s="118" t="s">
        <v>257</v>
      </c>
      <c r="K55">
        <f>2*C49+C50+5*C51</f>
        <v>10</v>
      </c>
    </row>
  </sheetData>
  <mergeCells count="17">
    <mergeCell ref="E49:F49"/>
    <mergeCell ref="A52:G52"/>
    <mergeCell ref="E32:F32"/>
    <mergeCell ref="A35:G35"/>
    <mergeCell ref="A40:D40"/>
    <mergeCell ref="E41:F41"/>
    <mergeCell ref="E45:F45"/>
    <mergeCell ref="E20:F20"/>
    <mergeCell ref="E24:F24"/>
    <mergeCell ref="E28:F28"/>
    <mergeCell ref="A10:G10"/>
    <mergeCell ref="A6:G6"/>
    <mergeCell ref="A2:G2"/>
    <mergeCell ref="M16:P18"/>
    <mergeCell ref="A14:G14"/>
    <mergeCell ref="E15:G17"/>
    <mergeCell ref="A18:G19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F30" sqref="F30"/>
    </sheetView>
  </sheetViews>
  <sheetFormatPr defaultRowHeight="15"/>
  <cols>
    <col min="1" max="1" width="14" customWidth="1"/>
  </cols>
  <sheetData>
    <row r="1" spans="1:2">
      <c r="A1" t="s">
        <v>237</v>
      </c>
      <c r="B1" t="s">
        <v>238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9"/>
  <sheetViews>
    <sheetView workbookViewId="0">
      <selection activeCell="H29" sqref="H29"/>
    </sheetView>
  </sheetViews>
  <sheetFormatPr defaultRowHeight="15"/>
  <cols>
    <col min="1" max="1" width="11.28515625" customWidth="1"/>
  </cols>
  <sheetData>
    <row r="1" spans="1:9">
      <c r="A1" t="s">
        <v>2</v>
      </c>
      <c r="G1" t="s">
        <v>156</v>
      </c>
      <c r="H1" t="s">
        <v>158</v>
      </c>
      <c r="I1" t="s">
        <v>296</v>
      </c>
    </row>
    <row r="2" spans="1:9">
      <c r="A2" s="109" t="s">
        <v>290</v>
      </c>
      <c r="F2" s="129"/>
      <c r="G2">
        <v>0</v>
      </c>
      <c r="H2">
        <v>1</v>
      </c>
      <c r="I2">
        <v>0.1</v>
      </c>
    </row>
    <row r="3" spans="1:9">
      <c r="A3" t="s">
        <v>142</v>
      </c>
      <c r="D3" t="s">
        <v>291</v>
      </c>
      <c r="E3" t="s">
        <v>292</v>
      </c>
    </row>
    <row r="4" spans="1:9">
      <c r="H4" t="s">
        <v>300</v>
      </c>
    </row>
    <row r="5" spans="1:9">
      <c r="A5" s="128" t="s">
        <v>293</v>
      </c>
      <c r="B5" s="128" t="s">
        <v>294</v>
      </c>
      <c r="C5" s="128" t="s">
        <v>297</v>
      </c>
      <c r="D5" s="128" t="s">
        <v>298</v>
      </c>
      <c r="E5" s="135" t="s">
        <v>295</v>
      </c>
      <c r="F5" s="128" t="s">
        <v>299</v>
      </c>
    </row>
    <row r="6" spans="1:9">
      <c r="A6">
        <v>0</v>
      </c>
      <c r="B6">
        <v>0</v>
      </c>
      <c r="C6">
        <v>4</v>
      </c>
      <c r="D6">
        <f>C6</f>
        <v>4</v>
      </c>
      <c r="E6" s="136">
        <f>7</f>
        <v>7</v>
      </c>
      <c r="F6">
        <f>E6</f>
        <v>7</v>
      </c>
    </row>
    <row r="7" spans="1:9">
      <c r="A7">
        <v>1</v>
      </c>
      <c r="B7">
        <f>B6+$I$2</f>
        <v>0.1</v>
      </c>
      <c r="C7">
        <f>C6+$I$2*D6</f>
        <v>4.4000000000000004</v>
      </c>
      <c r="D7">
        <f>C7</f>
        <v>4.4000000000000004</v>
      </c>
      <c r="E7" s="136">
        <f>E6+$I$2*F7</f>
        <v>7.4</v>
      </c>
      <c r="F7">
        <f>C7/(B7+1)</f>
        <v>4</v>
      </c>
    </row>
    <row r="8" spans="1:9">
      <c r="A8">
        <v>2</v>
      </c>
      <c r="B8">
        <f t="shared" ref="B8:B16" si="0">B7+$I$2</f>
        <v>0.2</v>
      </c>
      <c r="C8">
        <f t="shared" ref="C8:C16" si="1">C7+$I$2*D7</f>
        <v>4.8400000000000007</v>
      </c>
      <c r="D8">
        <f>C8</f>
        <v>4.8400000000000007</v>
      </c>
      <c r="E8" s="136">
        <f t="shared" ref="E8:E16" si="2">E7+$I$2*F8</f>
        <v>7.8033333333333337</v>
      </c>
      <c r="F8">
        <f t="shared" ref="F8:F16" si="3">C8/(B8+1)</f>
        <v>4.0333333333333341</v>
      </c>
    </row>
    <row r="9" spans="1:9">
      <c r="A9">
        <v>3</v>
      </c>
      <c r="B9">
        <f t="shared" si="0"/>
        <v>0.30000000000000004</v>
      </c>
      <c r="C9">
        <f t="shared" si="1"/>
        <v>5.3240000000000007</v>
      </c>
      <c r="D9">
        <f t="shared" ref="D9:D16" si="4">C9</f>
        <v>5.3240000000000007</v>
      </c>
      <c r="E9" s="136">
        <f t="shared" si="2"/>
        <v>8.2128717948717949</v>
      </c>
      <c r="F9">
        <f t="shared" si="3"/>
        <v>4.0953846153846154</v>
      </c>
    </row>
    <row r="10" spans="1:9">
      <c r="A10">
        <v>4</v>
      </c>
      <c r="B10">
        <f t="shared" si="0"/>
        <v>0.4</v>
      </c>
      <c r="C10">
        <f t="shared" si="1"/>
        <v>5.8564000000000007</v>
      </c>
      <c r="D10">
        <f t="shared" si="4"/>
        <v>5.8564000000000007</v>
      </c>
      <c r="E10" s="136">
        <f t="shared" si="2"/>
        <v>8.6311860805860814</v>
      </c>
      <c r="F10">
        <f t="shared" si="3"/>
        <v>4.1831428571428582</v>
      </c>
    </row>
    <row r="11" spans="1:9">
      <c r="A11">
        <v>5</v>
      </c>
      <c r="B11">
        <f t="shared" si="0"/>
        <v>0.5</v>
      </c>
      <c r="C11">
        <f t="shared" si="1"/>
        <v>6.4420400000000004</v>
      </c>
      <c r="D11">
        <f t="shared" si="4"/>
        <v>6.4420400000000004</v>
      </c>
      <c r="E11" s="136">
        <f t="shared" si="2"/>
        <v>9.0606554139194149</v>
      </c>
      <c r="F11">
        <f t="shared" si="3"/>
        <v>4.2946933333333339</v>
      </c>
    </row>
    <row r="12" spans="1:9">
      <c r="A12">
        <v>5</v>
      </c>
      <c r="B12">
        <f t="shared" si="0"/>
        <v>0.6</v>
      </c>
      <c r="C12">
        <f t="shared" si="1"/>
        <v>7.0862440000000007</v>
      </c>
      <c r="D12">
        <f t="shared" si="4"/>
        <v>7.0862440000000007</v>
      </c>
      <c r="E12" s="136">
        <f t="shared" si="2"/>
        <v>9.5035456639194145</v>
      </c>
      <c r="F12">
        <f t="shared" si="3"/>
        <v>4.4289025000000004</v>
      </c>
    </row>
    <row r="13" spans="1:9">
      <c r="A13">
        <v>5</v>
      </c>
      <c r="B13">
        <f t="shared" si="0"/>
        <v>0.7</v>
      </c>
      <c r="C13">
        <f t="shared" si="1"/>
        <v>7.7948684000000004</v>
      </c>
      <c r="D13">
        <f t="shared" si="4"/>
        <v>7.7948684000000004</v>
      </c>
      <c r="E13" s="136">
        <f t="shared" si="2"/>
        <v>9.9620673345076494</v>
      </c>
      <c r="F13">
        <f t="shared" si="3"/>
        <v>4.5852167058823534</v>
      </c>
    </row>
    <row r="14" spans="1:9">
      <c r="A14">
        <v>5</v>
      </c>
      <c r="B14">
        <f t="shared" si="0"/>
        <v>0.79999999999999993</v>
      </c>
      <c r="C14">
        <f t="shared" si="1"/>
        <v>8.5743552400000009</v>
      </c>
      <c r="D14">
        <f t="shared" si="4"/>
        <v>8.5743552400000009</v>
      </c>
      <c r="E14" s="136">
        <f t="shared" si="2"/>
        <v>10.438420403396538</v>
      </c>
      <c r="F14">
        <f t="shared" si="3"/>
        <v>4.7635306888888902</v>
      </c>
    </row>
    <row r="15" spans="1:9">
      <c r="A15">
        <v>5</v>
      </c>
      <c r="B15">
        <f t="shared" si="0"/>
        <v>0.89999999999999991</v>
      </c>
      <c r="C15">
        <f t="shared" si="1"/>
        <v>9.4317907640000005</v>
      </c>
      <c r="D15">
        <f t="shared" si="4"/>
        <v>9.4317907640000005</v>
      </c>
      <c r="E15" s="136">
        <f t="shared" si="2"/>
        <v>10.934830443607064</v>
      </c>
      <c r="F15">
        <f t="shared" si="3"/>
        <v>4.9641004021052639</v>
      </c>
    </row>
    <row r="16" spans="1:9">
      <c r="A16">
        <v>5</v>
      </c>
      <c r="B16">
        <f t="shared" si="0"/>
        <v>0.99999999999999989</v>
      </c>
      <c r="C16">
        <f t="shared" si="1"/>
        <v>10.3749698404</v>
      </c>
      <c r="D16">
        <f t="shared" si="4"/>
        <v>10.3749698404</v>
      </c>
      <c r="E16" s="136">
        <f t="shared" si="2"/>
        <v>11.453578935627064</v>
      </c>
      <c r="F16">
        <f t="shared" si="3"/>
        <v>5.1874849202000002</v>
      </c>
      <c r="H16" t="s">
        <v>301</v>
      </c>
    </row>
    <row r="18" spans="1:12">
      <c r="A18" s="128" t="s">
        <v>293</v>
      </c>
      <c r="B18" s="128" t="s">
        <v>294</v>
      </c>
      <c r="C18" s="128" t="s">
        <v>297</v>
      </c>
      <c r="D18" s="128" t="s">
        <v>302</v>
      </c>
      <c r="E18" s="128" t="s">
        <v>303</v>
      </c>
      <c r="F18" s="128" t="s">
        <v>304</v>
      </c>
      <c r="G18" s="128" t="s">
        <v>305</v>
      </c>
      <c r="H18" s="137" t="s">
        <v>295</v>
      </c>
      <c r="I18" s="128" t="s">
        <v>302</v>
      </c>
      <c r="J18" s="128" t="s">
        <v>303</v>
      </c>
      <c r="K18" s="128" t="s">
        <v>304</v>
      </c>
      <c r="L18" s="128" t="s">
        <v>305</v>
      </c>
    </row>
    <row r="19" spans="1:12">
      <c r="A19">
        <v>0</v>
      </c>
      <c r="B19">
        <v>0</v>
      </c>
      <c r="C19">
        <v>4</v>
      </c>
      <c r="D19">
        <f>C19</f>
        <v>4</v>
      </c>
      <c r="E19">
        <f>$C19+$I$2/2*D19-$B19-$I$2/2</f>
        <v>4.1500000000000004</v>
      </c>
      <c r="F19">
        <f>$C19+$I$2/2*E19-$B19-$I$2/2</f>
        <v>4.1574999999999998</v>
      </c>
      <c r="G19">
        <f>$C19+$I$2*F19-$B19-$I$2</f>
        <v>4.3157500000000004</v>
      </c>
      <c r="H19" s="131">
        <f>7</f>
        <v>7</v>
      </c>
      <c r="I19">
        <f>$C19/($B19+1)</f>
        <v>4</v>
      </c>
      <c r="J19">
        <f>($H19+($I$2/2)*I19)/($B19 +($I$2/2)+1)</f>
        <v>6.8571428571428568</v>
      </c>
      <c r="K19">
        <f t="shared" ref="K19:L19" si="5">($H$19+($I$2/2)*J19)/($B$19 +($I$2/2)+1)</f>
        <v>6.9931972789115644</v>
      </c>
      <c r="L19">
        <f t="shared" si="5"/>
        <v>6.9996760609005504</v>
      </c>
    </row>
    <row r="20" spans="1:12">
      <c r="A20">
        <v>1</v>
      </c>
      <c r="B20">
        <f>B19+$I$2</f>
        <v>0.1</v>
      </c>
      <c r="C20">
        <f>C19+$I$2/6*(D19+2*E19+2*F19+G19)</f>
        <v>4.4155125000000002</v>
      </c>
      <c r="D20">
        <f>C20</f>
        <v>4.4155125000000002</v>
      </c>
      <c r="E20">
        <f>$C20+$I$2/2*D20-$B20-$I$2/2</f>
        <v>4.4862881250000006</v>
      </c>
      <c r="F20">
        <f>$C20+$I$2/2*E20-$B20-$I$2/2</f>
        <v>4.4898269062500011</v>
      </c>
      <c r="G20">
        <f>$C20+$I$2*F20-$B20-$I$2</f>
        <v>4.6644951906250007</v>
      </c>
      <c r="H20" s="131">
        <f>H19+$I$2/6*(I19+2*J19+2*K19+L19)</f>
        <v>7.6450059388834894</v>
      </c>
      <c r="I20">
        <f t="shared" ref="I20:I29" si="6">$C20/($B20+1)</f>
        <v>4.0141022727272722</v>
      </c>
      <c r="J20">
        <f t="shared" ref="J20:J29" si="7">($H20+($I$2/2)*I20)/($B20 +($I$2/2)+1)</f>
        <v>6.8223574369737854</v>
      </c>
      <c r="K20">
        <f t="shared" ref="K20:L20" si="8">($H$19+($I$2/2)*J20)/($B$19 +($I$2/2)+1)</f>
        <v>6.9915408303320845</v>
      </c>
      <c r="L20">
        <f t="shared" si="8"/>
        <v>6.9995971823967658</v>
      </c>
    </row>
    <row r="21" spans="1:12">
      <c r="A21">
        <v>2</v>
      </c>
      <c r="B21">
        <f t="shared" ref="B21:B29" si="9">B20+$I$2</f>
        <v>0.2</v>
      </c>
      <c r="C21">
        <f t="shared" ref="C21:C29" si="10">C20+$I$2/6*(D20+2*E20+2*F20+G20)</f>
        <v>4.8660497958854165</v>
      </c>
      <c r="D21">
        <f t="shared" ref="D21:D29" si="11">C21</f>
        <v>4.8660497958854165</v>
      </c>
      <c r="E21">
        <f t="shared" ref="E21:F29" si="12">$C21+$I$2/2*D21-$B21-$I$2/2</f>
        <v>4.8593522856796874</v>
      </c>
      <c r="F21">
        <f t="shared" si="12"/>
        <v>4.8590174101694013</v>
      </c>
      <c r="G21">
        <f t="shared" ref="G21:G29" si="13">$C21+$I$2*F21-$B21-$I$2</f>
        <v>5.0519515369023571</v>
      </c>
      <c r="H21" s="131">
        <f t="shared" ref="H21:H29" si="14">H20+$I$2/6*(I20+2*J20+2*K20+L20)</f>
        <v>8.2890308720457515</v>
      </c>
      <c r="I21">
        <f t="shared" si="6"/>
        <v>4.0550414965711807</v>
      </c>
      <c r="J21">
        <f t="shared" si="7"/>
        <v>6.7934263574994489</v>
      </c>
      <c r="K21">
        <f t="shared" ref="K21:L21" si="15">($H$19+($I$2/2)*J21)/($B$19 +($I$2/2)+1)</f>
        <v>6.9901631598809262</v>
      </c>
      <c r="L21">
        <f t="shared" si="15"/>
        <v>6.9995315790419488</v>
      </c>
    </row>
    <row r="22" spans="1:12">
      <c r="A22">
        <v>3</v>
      </c>
      <c r="B22">
        <f t="shared" si="9"/>
        <v>0.30000000000000004</v>
      </c>
      <c r="C22">
        <f t="shared" si="10"/>
        <v>5.3552954746268489</v>
      </c>
      <c r="D22">
        <f t="shared" si="11"/>
        <v>5.3552954746268489</v>
      </c>
      <c r="E22">
        <f t="shared" si="12"/>
        <v>5.2730602483581919</v>
      </c>
      <c r="F22">
        <f t="shared" si="12"/>
        <v>5.2689484870447592</v>
      </c>
      <c r="G22">
        <f t="shared" si="13"/>
        <v>5.4821903233313254</v>
      </c>
      <c r="H22" s="131">
        <f t="shared" si="14"/>
        <v>8.932726740551983</v>
      </c>
      <c r="I22">
        <f t="shared" si="6"/>
        <v>4.1194580574052679</v>
      </c>
      <c r="J22">
        <f t="shared" si="7"/>
        <v>6.7694071432757372</v>
      </c>
      <c r="K22">
        <f t="shared" ref="K22:L22" si="16">($H$19+($I$2/2)*J22)/($B$19 +($I$2/2)+1)</f>
        <v>6.9890193877750342</v>
      </c>
      <c r="L22">
        <f t="shared" si="16"/>
        <v>6.9994771137035725</v>
      </c>
    </row>
    <row r="23" spans="1:12">
      <c r="A23">
        <v>4</v>
      </c>
      <c r="B23">
        <f t="shared" si="9"/>
        <v>0.4</v>
      </c>
      <c r="C23">
        <f t="shared" si="10"/>
        <v>5.8873205291062503</v>
      </c>
      <c r="D23">
        <f t="shared" si="11"/>
        <v>5.8873205291062503</v>
      </c>
      <c r="E23">
        <f t="shared" si="12"/>
        <v>5.7316865555615628</v>
      </c>
      <c r="F23">
        <f t="shared" si="12"/>
        <v>5.723904856884328</v>
      </c>
      <c r="G23">
        <f t="shared" si="13"/>
        <v>5.9597110147946832</v>
      </c>
      <c r="H23" s="131">
        <f t="shared" si="14"/>
        <v>9.5766565444388227</v>
      </c>
      <c r="I23">
        <f t="shared" si="6"/>
        <v>4.205228949361608</v>
      </c>
      <c r="J23">
        <f t="shared" si="7"/>
        <v>6.7495986151082095</v>
      </c>
      <c r="K23">
        <f t="shared" ref="K23:L23" si="17">($H$19+($I$2/2)*J23)/($B$19 +($I$2/2)+1)</f>
        <v>6.9880761245289618</v>
      </c>
      <c r="L23">
        <f t="shared" si="17"/>
        <v>6.9994321964061408</v>
      </c>
    </row>
    <row r="24" spans="1:12">
      <c r="A24">
        <v>5</v>
      </c>
      <c r="B24">
        <f t="shared" si="9"/>
        <v>0.5</v>
      </c>
      <c r="C24">
        <f t="shared" si="10"/>
        <v>6.4666241019194626</v>
      </c>
      <c r="D24">
        <f t="shared" si="11"/>
        <v>6.4666241019194626</v>
      </c>
      <c r="E24">
        <f t="shared" si="12"/>
        <v>6.2399553070154363</v>
      </c>
      <c r="F24">
        <f t="shared" si="12"/>
        <v>6.2286218672702347</v>
      </c>
      <c r="G24">
        <f t="shared" si="13"/>
        <v>6.4894862886464866</v>
      </c>
      <c r="H24" s="131">
        <f t="shared" si="14"/>
        <v>10.221323388189525</v>
      </c>
      <c r="I24">
        <f t="shared" si="6"/>
        <v>4.3110827346129748</v>
      </c>
      <c r="J24">
        <f t="shared" si="7"/>
        <v>6.7334693709162412</v>
      </c>
      <c r="K24">
        <f t="shared" ref="K24:L24" si="18">($H$19+($I$2/2)*J24)/($B$19 +($I$2/2)+1)</f>
        <v>6.9873080652817254</v>
      </c>
      <c r="L24">
        <f t="shared" si="18"/>
        <v>6.9993956221562721</v>
      </c>
    </row>
    <row r="25" spans="1:12">
      <c r="A25">
        <v>6</v>
      </c>
      <c r="B25">
        <f t="shared" si="9"/>
        <v>0.6</v>
      </c>
      <c r="C25">
        <f t="shared" si="10"/>
        <v>7.0981785142384179</v>
      </c>
      <c r="D25">
        <f t="shared" si="11"/>
        <v>7.0981785142384179</v>
      </c>
      <c r="E25">
        <f t="shared" si="12"/>
        <v>6.8030874399503398</v>
      </c>
      <c r="F25">
        <f t="shared" si="12"/>
        <v>6.7883328862359358</v>
      </c>
      <c r="G25">
        <f t="shared" si="13"/>
        <v>7.0770118028620121</v>
      </c>
      <c r="H25" s="131">
        <f t="shared" si="14"/>
        <v>10.86719060867561</v>
      </c>
      <c r="I25">
        <f t="shared" si="6"/>
        <v>4.4363615713990106</v>
      </c>
      <c r="J25">
        <f t="shared" si="7"/>
        <v>6.7206113256033708</v>
      </c>
      <c r="K25">
        <f t="shared" ref="K25:L25" si="19">($H$19+($I$2/2)*J25)/($B$19 +($I$2/2)+1)</f>
        <v>6.9866957774096843</v>
      </c>
      <c r="L25">
        <f t="shared" si="19"/>
        <v>6.9993664655909376</v>
      </c>
    </row>
    <row r="26" spans="1:12">
      <c r="A26">
        <v>7</v>
      </c>
      <c r="B26">
        <f t="shared" si="9"/>
        <v>0.7</v>
      </c>
      <c r="C26">
        <f t="shared" si="10"/>
        <v>7.7874790303963008</v>
      </c>
      <c r="D26">
        <f t="shared" si="11"/>
        <v>7.7874790303963008</v>
      </c>
      <c r="E26">
        <f t="shared" si="12"/>
        <v>7.4268529819161166</v>
      </c>
      <c r="F26">
        <f t="shared" si="12"/>
        <v>7.4088216794921067</v>
      </c>
      <c r="G26">
        <f t="shared" si="13"/>
        <v>7.7283611983455112</v>
      </c>
      <c r="H26" s="131">
        <f t="shared" si="14"/>
        <v>11.514696312725878</v>
      </c>
      <c r="I26">
        <f t="shared" si="6"/>
        <v>4.5808700178801773</v>
      </c>
      <c r="J26">
        <f t="shared" si="7"/>
        <v>6.7107084649256503</v>
      </c>
      <c r="K26">
        <f t="shared" ref="K26:L26" si="20">($H$19+($I$2/2)*J26)/($B$19 +($I$2/2)+1)</f>
        <v>6.9862242126155065</v>
      </c>
      <c r="L26">
        <f t="shared" si="20"/>
        <v>6.9993440101245472</v>
      </c>
    </row>
    <row r="27" spans="1:12">
      <c r="A27">
        <v>8</v>
      </c>
      <c r="B27">
        <f t="shared" si="9"/>
        <v>0.79999999999999993</v>
      </c>
      <c r="C27">
        <f t="shared" si="10"/>
        <v>8.5405988562556061</v>
      </c>
      <c r="D27">
        <f t="shared" si="11"/>
        <v>8.5405988562556061</v>
      </c>
      <c r="E27">
        <f t="shared" si="12"/>
        <v>8.1176287990683846</v>
      </c>
      <c r="F27">
        <f t="shared" si="12"/>
        <v>8.0964802962090232</v>
      </c>
      <c r="G27">
        <f t="shared" si="13"/>
        <v>8.4502468858765081</v>
      </c>
      <c r="H27" s="131">
        <f t="shared" si="14"/>
        <v>12.164264302443994</v>
      </c>
      <c r="I27">
        <f t="shared" si="6"/>
        <v>4.7447771423642262</v>
      </c>
      <c r="J27">
        <f t="shared" si="7"/>
        <v>6.7035152213849756</v>
      </c>
      <c r="K27">
        <f t="shared" ref="K27:L27" si="21">($H$19+($I$2/2)*J27)/($B$19 +($I$2/2)+1)</f>
        <v>6.9858816772088081</v>
      </c>
      <c r="L27">
        <f t="shared" si="21"/>
        <v>6.9993276989147049</v>
      </c>
    </row>
    <row r="28" spans="1:12">
      <c r="A28">
        <v>9</v>
      </c>
      <c r="B28">
        <f t="shared" si="9"/>
        <v>0.89999999999999991</v>
      </c>
      <c r="C28">
        <f t="shared" si="10"/>
        <v>9.3642499218003881</v>
      </c>
      <c r="D28">
        <f t="shared" si="11"/>
        <v>9.3642499218003881</v>
      </c>
      <c r="E28">
        <f t="shared" si="12"/>
        <v>8.882462417890407</v>
      </c>
      <c r="F28">
        <f t="shared" si="12"/>
        <v>8.8583730426949074</v>
      </c>
      <c r="G28">
        <f t="shared" si="13"/>
        <v>9.2500872260698781</v>
      </c>
      <c r="H28" s="131">
        <f t="shared" si="14"/>
        <v>12.816312613085103</v>
      </c>
      <c r="I28">
        <f t="shared" si="6"/>
        <v>4.9285525904212575</v>
      </c>
      <c r="J28">
        <f t="shared" si="7"/>
        <v>6.6988411500544442</v>
      </c>
      <c r="K28">
        <f t="shared" ref="K28:L28" si="22">($H$19+($I$2/2)*J28)/($B$19 +($I$2/2)+1)</f>
        <v>6.9856591023835453</v>
      </c>
      <c r="L28">
        <f t="shared" si="22"/>
        <v>6.9993171001135019</v>
      </c>
    </row>
    <row r="29" spans="1:12">
      <c r="A29">
        <v>10</v>
      </c>
      <c r="B29">
        <f t="shared" si="9"/>
        <v>0.99999999999999989</v>
      </c>
      <c r="C29">
        <f t="shared" si="10"/>
        <v>10.265850056284403</v>
      </c>
      <c r="D29">
        <f t="shared" si="11"/>
        <v>10.265850056284403</v>
      </c>
      <c r="E29">
        <f t="shared" si="12"/>
        <v>9.7291425590986229</v>
      </c>
      <c r="F29">
        <f t="shared" si="12"/>
        <v>9.7023071842393342</v>
      </c>
      <c r="G29">
        <f t="shared" si="13"/>
        <v>10.136080774708336</v>
      </c>
      <c r="H29" s="131">
        <f t="shared" si="14"/>
        <v>13.471260449675281</v>
      </c>
      <c r="I29">
        <f t="shared" si="6"/>
        <v>5.1329250281422016</v>
      </c>
      <c r="J29">
        <f t="shared" si="7"/>
        <v>6.6965398541865326</v>
      </c>
      <c r="K29">
        <f t="shared" ref="K29:L29" si="23">($H$19+($I$2/2)*J29)/($B$19 +($I$2/2)+1)</f>
        <v>6.9855495168660253</v>
      </c>
      <c r="L29">
        <f t="shared" si="23"/>
        <v>6.9993118817555251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9218" r:id="rId4">
          <objectPr defaultSize="0" autoPict="0" r:id="rId5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142875</xdr:colOff>
                <xdr:row>3</xdr:row>
                <xdr:rowOff>19050</xdr:rowOff>
              </to>
            </anchor>
          </objectPr>
        </oleObject>
      </mc:Choice>
      <mc:Fallback>
        <oleObject progId="Equation.3" shapeId="9218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4"/>
  <sheetViews>
    <sheetView workbookViewId="0">
      <selection activeCell="H19" sqref="H19"/>
    </sheetView>
  </sheetViews>
  <sheetFormatPr defaultColWidth="9" defaultRowHeight="15"/>
  <cols>
    <col min="1" max="1" width="12.42578125" style="138" customWidth="1"/>
    <col min="2" max="16384" width="9" style="138"/>
  </cols>
  <sheetData>
    <row r="1" spans="1:8" ht="15.75" thickBot="1">
      <c r="A1" s="138" t="s">
        <v>5</v>
      </c>
      <c r="B1" s="147">
        <v>1</v>
      </c>
      <c r="C1" s="146">
        <v>2</v>
      </c>
      <c r="D1" s="146">
        <v>3</v>
      </c>
      <c r="E1" s="146">
        <v>4</v>
      </c>
      <c r="F1" s="146">
        <v>5</v>
      </c>
      <c r="G1" s="146">
        <v>6</v>
      </c>
    </row>
    <row r="2" spans="1:8" ht="15.75" thickBot="1">
      <c r="A2" s="138" t="s">
        <v>76</v>
      </c>
      <c r="B2" s="145">
        <v>1</v>
      </c>
      <c r="C2" s="144">
        <v>3.5</v>
      </c>
      <c r="D2" s="144">
        <v>9</v>
      </c>
      <c r="E2" s="144">
        <v>10</v>
      </c>
      <c r="F2" s="144">
        <v>11.8</v>
      </c>
      <c r="G2" s="144">
        <v>15</v>
      </c>
    </row>
    <row r="4" spans="1:8">
      <c r="A4" s="138" t="s">
        <v>322</v>
      </c>
      <c r="B4" s="138" t="s">
        <v>323</v>
      </c>
      <c r="H4" s="138" t="s">
        <v>314</v>
      </c>
    </row>
    <row r="5" spans="1:8">
      <c r="A5" s="138" t="s">
        <v>5</v>
      </c>
      <c r="B5" s="138">
        <f t="shared" ref="B5:G6" si="0">B1</f>
        <v>1</v>
      </c>
      <c r="C5" s="138">
        <f t="shared" si="0"/>
        <v>2</v>
      </c>
      <c r="D5" s="138">
        <f t="shared" si="0"/>
        <v>3</v>
      </c>
      <c r="E5" s="138">
        <f t="shared" si="0"/>
        <v>4</v>
      </c>
      <c r="F5" s="138">
        <f t="shared" si="0"/>
        <v>5</v>
      </c>
      <c r="G5" s="138">
        <f t="shared" si="0"/>
        <v>6</v>
      </c>
      <c r="H5" s="143">
        <f>SUM(B5:G5)/6</f>
        <v>3.5</v>
      </c>
    </row>
    <row r="6" spans="1:8">
      <c r="A6" s="138" t="s">
        <v>76</v>
      </c>
      <c r="B6" s="138">
        <f t="shared" si="0"/>
        <v>1</v>
      </c>
      <c r="C6" s="138">
        <f t="shared" si="0"/>
        <v>3.5</v>
      </c>
      <c r="D6" s="138">
        <f t="shared" si="0"/>
        <v>9</v>
      </c>
      <c r="E6" s="138">
        <f t="shared" si="0"/>
        <v>10</v>
      </c>
      <c r="F6" s="138">
        <f t="shared" si="0"/>
        <v>11.8</v>
      </c>
      <c r="G6" s="138">
        <f t="shared" si="0"/>
        <v>15</v>
      </c>
      <c r="H6" s="143">
        <f>SUM(B6:G6)/6</f>
        <v>8.3833333333333329</v>
      </c>
    </row>
    <row r="7" spans="1:8">
      <c r="A7" s="138" t="s">
        <v>313</v>
      </c>
      <c r="B7" s="138">
        <f t="shared" ref="B7:G7" si="1">B5^2</f>
        <v>1</v>
      </c>
      <c r="C7" s="138">
        <f t="shared" si="1"/>
        <v>4</v>
      </c>
      <c r="D7" s="138">
        <f t="shared" si="1"/>
        <v>9</v>
      </c>
      <c r="E7" s="138">
        <f t="shared" si="1"/>
        <v>16</v>
      </c>
      <c r="F7" s="138">
        <f t="shared" si="1"/>
        <v>25</v>
      </c>
      <c r="G7" s="138">
        <f t="shared" si="1"/>
        <v>36</v>
      </c>
      <c r="H7" s="143">
        <f>SUM(B7:G7)/6</f>
        <v>15.166666666666666</v>
      </c>
    </row>
    <row r="8" spans="1:8">
      <c r="A8" s="138" t="s">
        <v>312</v>
      </c>
      <c r="B8" s="138">
        <f t="shared" ref="B8:G8" si="2">B5*B6</f>
        <v>1</v>
      </c>
      <c r="C8" s="138">
        <f t="shared" si="2"/>
        <v>7</v>
      </c>
      <c r="D8" s="138">
        <f t="shared" si="2"/>
        <v>27</v>
      </c>
      <c r="E8" s="138">
        <f t="shared" si="2"/>
        <v>40</v>
      </c>
      <c r="F8" s="138">
        <f t="shared" si="2"/>
        <v>59</v>
      </c>
      <c r="G8" s="138">
        <f t="shared" si="2"/>
        <v>90</v>
      </c>
      <c r="H8" s="143">
        <f>SUM(B8:G8)/6</f>
        <v>37.333333333333336</v>
      </c>
    </row>
    <row r="10" spans="1:8">
      <c r="A10" s="138" t="s">
        <v>311</v>
      </c>
      <c r="E10" s="195" t="s">
        <v>310</v>
      </c>
      <c r="F10" s="195"/>
    </row>
    <row r="11" spans="1:8">
      <c r="A11" s="138">
        <f>H7</f>
        <v>15.166666666666666</v>
      </c>
      <c r="B11" s="138">
        <f>H5</f>
        <v>3.5</v>
      </c>
      <c r="C11" s="138">
        <f>H8</f>
        <v>37.333333333333336</v>
      </c>
      <c r="E11" s="138">
        <f t="array" ref="E11:F12">MINVERSE(A11:B12)</f>
        <v>0.34285714285714292</v>
      </c>
      <c r="F11" s="138">
        <v>-1.2</v>
      </c>
    </row>
    <row r="12" spans="1:8">
      <c r="A12" s="138">
        <f>H5</f>
        <v>3.5</v>
      </c>
      <c r="B12" s="138">
        <f>1</f>
        <v>1</v>
      </c>
      <c r="C12" s="138">
        <f>H6</f>
        <v>8.3833333333333329</v>
      </c>
      <c r="E12" s="138">
        <v>-1.2000000000000002</v>
      </c>
      <c r="F12" s="138">
        <v>5.2</v>
      </c>
    </row>
    <row r="13" spans="1:8">
      <c r="A13" s="148" t="s">
        <v>156</v>
      </c>
      <c r="B13" s="148" t="s">
        <v>324</v>
      </c>
      <c r="C13" s="148" t="s">
        <v>257</v>
      </c>
    </row>
    <row r="14" spans="1:8">
      <c r="B14" s="142" t="s">
        <v>279</v>
      </c>
      <c r="C14" s="141">
        <f t="array" ref="C14:C15">MMULT(E11:F12,C11:C12)</f>
        <v>2.7400000000000038</v>
      </c>
      <c r="G14" s="151" t="s">
        <v>325</v>
      </c>
    </row>
    <row r="15" spans="1:8">
      <c r="B15" s="142" t="s">
        <v>309</v>
      </c>
      <c r="C15" s="141">
        <v>-1.2066666666666777</v>
      </c>
    </row>
    <row r="16" spans="1:8">
      <c r="A16" s="138" t="s">
        <v>5</v>
      </c>
      <c r="B16" s="138">
        <f t="shared" ref="B16:G16" si="3">B1</f>
        <v>1</v>
      </c>
      <c r="C16" s="138">
        <f t="shared" si="3"/>
        <v>2</v>
      </c>
      <c r="D16" s="138">
        <f t="shared" si="3"/>
        <v>3</v>
      </c>
      <c r="E16" s="138">
        <f t="shared" si="3"/>
        <v>4</v>
      </c>
      <c r="F16" s="138">
        <f t="shared" si="3"/>
        <v>5</v>
      </c>
      <c r="G16" s="138">
        <f t="shared" si="3"/>
        <v>6</v>
      </c>
    </row>
    <row r="17" spans="1:9">
      <c r="A17" s="138" t="s">
        <v>321</v>
      </c>
      <c r="B17" s="138">
        <f t="shared" ref="B17:G17" si="4">$C$14*B16+$C$15</f>
        <v>1.5333333333333261</v>
      </c>
      <c r="C17" s="138">
        <f t="shared" si="4"/>
        <v>4.2733333333333299</v>
      </c>
      <c r="D17" s="138">
        <f t="shared" si="4"/>
        <v>7.0133333333333336</v>
      </c>
      <c r="E17" s="138">
        <f t="shared" si="4"/>
        <v>9.7533333333333374</v>
      </c>
      <c r="F17" s="138">
        <f t="shared" si="4"/>
        <v>12.493333333333341</v>
      </c>
      <c r="G17" s="138">
        <f t="shared" si="4"/>
        <v>15.233333333333345</v>
      </c>
    </row>
    <row r="18" spans="1:9">
      <c r="A18" s="138" t="s">
        <v>308</v>
      </c>
      <c r="B18" s="138">
        <f t="shared" ref="B18:G18" si="5">B17-B2</f>
        <v>0.53333333333332611</v>
      </c>
      <c r="C18" s="138">
        <f t="shared" si="5"/>
        <v>0.77333333333332988</v>
      </c>
      <c r="D18" s="138">
        <f t="shared" si="5"/>
        <v>-1.9866666666666664</v>
      </c>
      <c r="E18" s="138">
        <f t="shared" si="5"/>
        <v>-0.24666666666666259</v>
      </c>
      <c r="F18" s="138">
        <f t="shared" si="5"/>
        <v>0.69333333333334046</v>
      </c>
      <c r="G18" s="138">
        <f t="shared" si="5"/>
        <v>0.23333333333334494</v>
      </c>
    </row>
    <row r="19" spans="1:9">
      <c r="A19" s="138" t="s">
        <v>307</v>
      </c>
      <c r="B19" s="138">
        <f t="shared" ref="B19:G19" si="6">B18^2</f>
        <v>0.28444444444443673</v>
      </c>
      <c r="C19" s="138">
        <f t="shared" si="6"/>
        <v>0.59804444444443905</v>
      </c>
      <c r="D19" s="138">
        <f t="shared" si="6"/>
        <v>3.946844444444443</v>
      </c>
      <c r="E19" s="138">
        <f t="shared" si="6"/>
        <v>6.0844444444442432E-2</v>
      </c>
      <c r="F19" s="138">
        <f t="shared" si="6"/>
        <v>0.48071111111112097</v>
      </c>
      <c r="G19" s="138">
        <f t="shared" si="6"/>
        <v>5.444444444444986E-2</v>
      </c>
      <c r="H19" s="140">
        <f>SUM(B19:G19)</f>
        <v>5.4253333333333318</v>
      </c>
      <c r="I19" s="139" t="s">
        <v>306</v>
      </c>
    </row>
    <row r="22" spans="1:9">
      <c r="A22" s="138" t="s">
        <v>320</v>
      </c>
      <c r="B22" s="138" t="s">
        <v>326</v>
      </c>
      <c r="H22" s="138" t="s">
        <v>314</v>
      </c>
    </row>
    <row r="23" spans="1:9">
      <c r="A23" s="138" t="s">
        <v>5</v>
      </c>
      <c r="B23" s="138">
        <f t="shared" ref="B23:G24" si="7">B1</f>
        <v>1</v>
      </c>
      <c r="C23" s="138">
        <f t="shared" si="7"/>
        <v>2</v>
      </c>
      <c r="D23" s="138">
        <f t="shared" si="7"/>
        <v>3</v>
      </c>
      <c r="E23" s="138">
        <f t="shared" si="7"/>
        <v>4</v>
      </c>
      <c r="F23" s="138">
        <f t="shared" si="7"/>
        <v>5</v>
      </c>
      <c r="G23" s="138">
        <f t="shared" si="7"/>
        <v>6</v>
      </c>
      <c r="H23" s="143">
        <f t="shared" ref="H23:H29" si="8">SUM(B23:G23)/6</f>
        <v>3.5</v>
      </c>
    </row>
    <row r="24" spans="1:9">
      <c r="A24" s="138" t="s">
        <v>76</v>
      </c>
      <c r="B24" s="138">
        <f t="shared" si="7"/>
        <v>1</v>
      </c>
      <c r="C24" s="138">
        <f t="shared" si="7"/>
        <v>3.5</v>
      </c>
      <c r="D24" s="138">
        <f t="shared" si="7"/>
        <v>9</v>
      </c>
      <c r="E24" s="138">
        <f t="shared" si="7"/>
        <v>10</v>
      </c>
      <c r="F24" s="138">
        <f t="shared" si="7"/>
        <v>11.8</v>
      </c>
      <c r="G24" s="138">
        <f t="shared" si="7"/>
        <v>15</v>
      </c>
      <c r="H24" s="143">
        <f t="shared" si="8"/>
        <v>8.3833333333333329</v>
      </c>
    </row>
    <row r="25" spans="1:9">
      <c r="A25" s="138" t="s">
        <v>319</v>
      </c>
      <c r="B25" s="138">
        <f t="shared" ref="B25:G25" si="9">B23^4</f>
        <v>1</v>
      </c>
      <c r="C25" s="138">
        <f t="shared" si="9"/>
        <v>16</v>
      </c>
      <c r="D25" s="138">
        <f t="shared" si="9"/>
        <v>81</v>
      </c>
      <c r="E25" s="138">
        <f t="shared" si="9"/>
        <v>256</v>
      </c>
      <c r="F25" s="138">
        <f t="shared" si="9"/>
        <v>625</v>
      </c>
      <c r="G25" s="138">
        <f t="shared" si="9"/>
        <v>1296</v>
      </c>
      <c r="H25" s="143">
        <f t="shared" si="8"/>
        <v>379.16666666666669</v>
      </c>
    </row>
    <row r="26" spans="1:9">
      <c r="A26" s="138" t="s">
        <v>318</v>
      </c>
      <c r="B26" s="138">
        <f t="shared" ref="B26:G26" si="10">B23^3</f>
        <v>1</v>
      </c>
      <c r="C26" s="138">
        <f t="shared" si="10"/>
        <v>8</v>
      </c>
      <c r="D26" s="138">
        <f t="shared" si="10"/>
        <v>27</v>
      </c>
      <c r="E26" s="138">
        <f t="shared" si="10"/>
        <v>64</v>
      </c>
      <c r="F26" s="138">
        <f t="shared" si="10"/>
        <v>125</v>
      </c>
      <c r="G26" s="138">
        <f t="shared" si="10"/>
        <v>216</v>
      </c>
      <c r="H26" s="143">
        <f t="shared" si="8"/>
        <v>73.5</v>
      </c>
    </row>
    <row r="27" spans="1:9">
      <c r="A27" s="138" t="s">
        <v>313</v>
      </c>
      <c r="B27" s="138">
        <f t="shared" ref="B27:G27" si="11">B23^2</f>
        <v>1</v>
      </c>
      <c r="C27" s="138">
        <f t="shared" si="11"/>
        <v>4</v>
      </c>
      <c r="D27" s="138">
        <f t="shared" si="11"/>
        <v>9</v>
      </c>
      <c r="E27" s="138">
        <f t="shared" si="11"/>
        <v>16</v>
      </c>
      <c r="F27" s="138">
        <f t="shared" si="11"/>
        <v>25</v>
      </c>
      <c r="G27" s="138">
        <f t="shared" si="11"/>
        <v>36</v>
      </c>
      <c r="H27" s="143">
        <f t="shared" si="8"/>
        <v>15.166666666666666</v>
      </c>
    </row>
    <row r="28" spans="1:9">
      <c r="A28" s="138" t="s">
        <v>317</v>
      </c>
      <c r="B28" s="138">
        <f t="shared" ref="B28:G28" si="12">B27*B24</f>
        <v>1</v>
      </c>
      <c r="C28" s="138">
        <f t="shared" si="12"/>
        <v>14</v>
      </c>
      <c r="D28" s="138">
        <f t="shared" si="12"/>
        <v>81</v>
      </c>
      <c r="E28" s="138">
        <f t="shared" si="12"/>
        <v>160</v>
      </c>
      <c r="F28" s="138">
        <f t="shared" si="12"/>
        <v>295</v>
      </c>
      <c r="G28" s="138">
        <f t="shared" si="12"/>
        <v>540</v>
      </c>
      <c r="H28" s="143">
        <f t="shared" si="8"/>
        <v>181.83333333333334</v>
      </c>
    </row>
    <row r="29" spans="1:9">
      <c r="A29" s="138" t="s">
        <v>312</v>
      </c>
      <c r="B29" s="138">
        <f t="shared" ref="B29:G29" si="13">B23*B24</f>
        <v>1</v>
      </c>
      <c r="C29" s="138">
        <f t="shared" si="13"/>
        <v>7</v>
      </c>
      <c r="D29" s="138">
        <f t="shared" si="13"/>
        <v>27</v>
      </c>
      <c r="E29" s="138">
        <f t="shared" si="13"/>
        <v>40</v>
      </c>
      <c r="F29" s="138">
        <f t="shared" si="13"/>
        <v>59</v>
      </c>
      <c r="G29" s="138">
        <f t="shared" si="13"/>
        <v>90</v>
      </c>
      <c r="H29" s="143">
        <f t="shared" si="8"/>
        <v>37.333333333333336</v>
      </c>
    </row>
    <row r="31" spans="1:9">
      <c r="A31" s="138" t="s">
        <v>311</v>
      </c>
      <c r="F31" s="195" t="s">
        <v>310</v>
      </c>
      <c r="G31" s="195"/>
    </row>
    <row r="32" spans="1:9">
      <c r="A32" s="138">
        <f>H25</f>
        <v>379.16666666666669</v>
      </c>
      <c r="B32" s="138">
        <f>H26</f>
        <v>73.5</v>
      </c>
      <c r="C32" s="138">
        <f>H27</f>
        <v>15.166666666666666</v>
      </c>
      <c r="D32" s="138">
        <f>H28</f>
        <v>181.83333333333334</v>
      </c>
      <c r="F32" s="138">
        <f t="array" ref="F32:H34">MINVERSE(A32:C34)</f>
        <v>0.16071428571428589</v>
      </c>
      <c r="G32" s="138">
        <v>-1.1250000000000013</v>
      </c>
      <c r="H32" s="138">
        <v>1.5000000000000029</v>
      </c>
    </row>
    <row r="33" spans="1:10">
      <c r="A33" s="138">
        <f>H26</f>
        <v>73.5</v>
      </c>
      <c r="B33" s="138">
        <f>H27</f>
        <v>15.166666666666666</v>
      </c>
      <c r="C33" s="138">
        <f>H23</f>
        <v>3.5</v>
      </c>
      <c r="D33" s="138">
        <f>H29</f>
        <v>37.333333333333336</v>
      </c>
      <c r="F33" s="138">
        <v>-1.1250000000000016</v>
      </c>
      <c r="G33" s="138">
        <v>8.2178571428571558</v>
      </c>
      <c r="H33" s="138">
        <v>-11.700000000000026</v>
      </c>
    </row>
    <row r="34" spans="1:10">
      <c r="A34" s="138">
        <f>H27</f>
        <v>15.166666666666666</v>
      </c>
      <c r="B34" s="138">
        <f>H23</f>
        <v>3.5</v>
      </c>
      <c r="C34" s="138">
        <f>1</f>
        <v>1</v>
      </c>
      <c r="D34" s="138">
        <f>H24</f>
        <v>8.3833333333333329</v>
      </c>
      <c r="F34" s="138">
        <v>1.5000000000000031</v>
      </c>
      <c r="G34" s="138">
        <v>-11.700000000000028</v>
      </c>
      <c r="H34" s="138">
        <v>19.200000000000049</v>
      </c>
    </row>
    <row r="36" spans="1:10">
      <c r="B36" s="142" t="s">
        <v>279</v>
      </c>
      <c r="C36" s="141">
        <f t="array" ref="C36:C38">MMULT(F32:H34,D32:D34)</f>
        <v>-0.20178571428570535</v>
      </c>
    </row>
    <row r="37" spans="1:10">
      <c r="B37" s="142" t="s">
        <v>309</v>
      </c>
      <c r="C37" s="141">
        <v>4.1525000000000318</v>
      </c>
      <c r="G37" s="151" t="s">
        <v>327</v>
      </c>
    </row>
    <row r="38" spans="1:10">
      <c r="B38" s="142" t="s">
        <v>316</v>
      </c>
      <c r="C38" s="141">
        <v>-3.0900000000000603</v>
      </c>
    </row>
    <row r="40" spans="1:10">
      <c r="A40" s="138" t="s">
        <v>5</v>
      </c>
      <c r="B40" s="138">
        <f t="shared" ref="B40:G40" si="14">B1</f>
        <v>1</v>
      </c>
      <c r="C40" s="138">
        <f t="shared" si="14"/>
        <v>2</v>
      </c>
      <c r="D40" s="138">
        <f t="shared" si="14"/>
        <v>3</v>
      </c>
      <c r="E40" s="138">
        <f t="shared" si="14"/>
        <v>4</v>
      </c>
      <c r="F40" s="138">
        <f t="shared" si="14"/>
        <v>5</v>
      </c>
      <c r="G40" s="138">
        <f t="shared" si="14"/>
        <v>6</v>
      </c>
    </row>
    <row r="41" spans="1:10">
      <c r="A41" s="138" t="s">
        <v>315</v>
      </c>
      <c r="B41" s="138">
        <f t="shared" ref="B41:G41" si="15">$C$36*B40^2+$C$37*B40+$C$38</f>
        <v>0.86071428571426623</v>
      </c>
      <c r="C41" s="138">
        <f t="shared" si="15"/>
        <v>4.407857142857182</v>
      </c>
      <c r="D41" s="138">
        <f t="shared" si="15"/>
        <v>7.5514285714286871</v>
      </c>
      <c r="E41" s="138">
        <f t="shared" si="15"/>
        <v>10.291428571428781</v>
      </c>
      <c r="F41" s="138">
        <f t="shared" si="15"/>
        <v>12.627857142857465</v>
      </c>
      <c r="G41" s="138">
        <f t="shared" si="15"/>
        <v>14.560714285714738</v>
      </c>
    </row>
    <row r="42" spans="1:10">
      <c r="A42" s="138" t="s">
        <v>308</v>
      </c>
      <c r="B42" s="138">
        <f t="shared" ref="B42:G42" si="16">B41-B2</f>
        <v>-0.13928571428573377</v>
      </c>
      <c r="C42" s="138">
        <f t="shared" si="16"/>
        <v>0.907857142857182</v>
      </c>
      <c r="D42" s="138">
        <f t="shared" si="16"/>
        <v>-1.4485714285713129</v>
      </c>
      <c r="E42" s="138">
        <f t="shared" si="16"/>
        <v>0.29142857142878142</v>
      </c>
      <c r="F42" s="138">
        <f t="shared" si="16"/>
        <v>0.82785714285746437</v>
      </c>
      <c r="G42" s="138">
        <f t="shared" si="16"/>
        <v>-0.43928571428526197</v>
      </c>
      <c r="H42" s="197"/>
      <c r="I42" s="197"/>
      <c r="J42" s="197"/>
    </row>
    <row r="43" spans="1:10">
      <c r="A43" s="138" t="s">
        <v>307</v>
      </c>
      <c r="B43" s="138">
        <f t="shared" ref="B43:G43" si="17">B42^2</f>
        <v>1.9400510204087063E-2</v>
      </c>
      <c r="C43" s="138">
        <f t="shared" si="17"/>
        <v>0.82420459183680572</v>
      </c>
      <c r="D43" s="138">
        <f t="shared" si="17"/>
        <v>2.0983591836731343</v>
      </c>
      <c r="E43" s="138">
        <f t="shared" si="17"/>
        <v>8.4930612245020354E-2</v>
      </c>
      <c r="F43" s="138">
        <f t="shared" si="17"/>
        <v>0.68534744898012412</v>
      </c>
      <c r="G43" s="138">
        <f t="shared" si="17"/>
        <v>0.19297193877511282</v>
      </c>
      <c r="H43" s="140">
        <f>SUM(B43:G43)</f>
        <v>3.9052142857142842</v>
      </c>
      <c r="I43" s="139" t="s">
        <v>306</v>
      </c>
    </row>
    <row r="45" spans="1:10">
      <c r="A45" s="149"/>
      <c r="B45" s="149"/>
      <c r="C45" s="149"/>
      <c r="D45" s="149"/>
      <c r="E45" s="149"/>
      <c r="F45" s="149"/>
      <c r="G45" s="149"/>
      <c r="H45" s="149"/>
      <c r="I45" s="149"/>
      <c r="J45" s="149"/>
    </row>
    <row r="46" spans="1:10">
      <c r="A46" s="149"/>
      <c r="B46" s="149"/>
      <c r="C46" s="149"/>
      <c r="D46" s="149"/>
      <c r="E46" s="149"/>
      <c r="F46" s="149"/>
      <c r="G46" s="149"/>
      <c r="H46" s="149"/>
      <c r="I46" s="149"/>
      <c r="J46" s="149"/>
    </row>
    <row r="47" spans="1:10">
      <c r="A47" s="149"/>
      <c r="B47" s="149"/>
      <c r="C47" s="149"/>
      <c r="D47" s="149"/>
      <c r="E47" s="149"/>
      <c r="F47" s="149"/>
      <c r="G47" s="149"/>
      <c r="H47" s="149"/>
      <c r="I47" s="149"/>
      <c r="J47" s="149"/>
    </row>
    <row r="48" spans="1:10">
      <c r="A48" s="149"/>
      <c r="B48" s="149"/>
      <c r="C48" s="149"/>
      <c r="D48" s="149"/>
      <c r="E48" s="149"/>
      <c r="F48" s="149"/>
      <c r="G48" s="149"/>
      <c r="H48" s="149"/>
      <c r="I48" s="149"/>
      <c r="J48" s="149"/>
    </row>
    <row r="49" spans="1:10">
      <c r="A49" s="149"/>
      <c r="B49" s="149"/>
      <c r="C49" s="149"/>
      <c r="D49" s="149"/>
      <c r="E49" s="149"/>
      <c r="F49" s="149"/>
      <c r="G49" s="149"/>
      <c r="H49" s="149"/>
      <c r="I49" s="149"/>
      <c r="J49" s="149"/>
    </row>
    <row r="50" spans="1:10">
      <c r="A50" s="149"/>
      <c r="B50" s="149"/>
      <c r="C50" s="149"/>
      <c r="D50" s="149"/>
      <c r="E50" s="149"/>
      <c r="F50" s="149"/>
      <c r="G50" s="149"/>
      <c r="H50" s="149"/>
      <c r="I50" s="149"/>
      <c r="J50" s="149"/>
    </row>
    <row r="51" spans="1:10">
      <c r="A51" s="149"/>
      <c r="B51" s="149"/>
      <c r="C51" s="149"/>
      <c r="D51" s="149"/>
      <c r="E51" s="149"/>
      <c r="F51" s="196"/>
      <c r="G51" s="196"/>
      <c r="H51" s="149"/>
      <c r="I51" s="149"/>
      <c r="J51" s="149"/>
    </row>
    <row r="52" spans="1:10">
      <c r="A52" s="149"/>
      <c r="B52" s="149"/>
      <c r="C52" s="149"/>
      <c r="D52" s="149"/>
      <c r="E52" s="149"/>
      <c r="F52" s="149"/>
      <c r="G52" s="149"/>
      <c r="H52" s="149"/>
      <c r="I52" s="149"/>
      <c r="J52" s="149"/>
    </row>
    <row r="53" spans="1:10">
      <c r="A53" s="149"/>
      <c r="B53" s="149"/>
      <c r="C53" s="149"/>
      <c r="D53" s="149"/>
      <c r="E53" s="149"/>
      <c r="F53" s="149"/>
      <c r="G53" s="149"/>
      <c r="H53" s="149"/>
      <c r="I53" s="149"/>
      <c r="J53" s="149"/>
    </row>
    <row r="54" spans="1:10">
      <c r="A54" s="149"/>
      <c r="B54" s="149"/>
      <c r="C54" s="149"/>
      <c r="D54" s="149"/>
      <c r="E54" s="149"/>
      <c r="F54" s="149"/>
      <c r="G54" s="149"/>
      <c r="H54" s="149"/>
      <c r="I54" s="149"/>
      <c r="J54" s="149"/>
    </row>
    <row r="55" spans="1:10">
      <c r="A55" s="149"/>
      <c r="B55" s="149"/>
      <c r="C55" s="149"/>
      <c r="D55" s="149"/>
      <c r="E55" s="149"/>
      <c r="F55" s="149"/>
      <c r="G55" s="149"/>
      <c r="H55" s="149"/>
      <c r="I55" s="149"/>
      <c r="J55" s="149"/>
    </row>
    <row r="56" spans="1:10">
      <c r="A56" s="149"/>
      <c r="B56" s="149"/>
      <c r="C56" s="149"/>
      <c r="D56" s="149"/>
      <c r="E56" s="149"/>
      <c r="F56" s="149"/>
      <c r="G56" s="149"/>
      <c r="H56" s="149"/>
      <c r="I56" s="149"/>
      <c r="J56" s="149"/>
    </row>
    <row r="57" spans="1:10">
      <c r="A57" s="149"/>
      <c r="B57" s="149"/>
      <c r="C57" s="149"/>
      <c r="D57" s="149"/>
      <c r="E57" s="149"/>
      <c r="F57" s="149"/>
      <c r="G57" s="149"/>
      <c r="H57" s="149"/>
      <c r="I57" s="149"/>
      <c r="J57" s="149"/>
    </row>
    <row r="58" spans="1:10">
      <c r="A58" s="149"/>
      <c r="B58" s="149"/>
      <c r="C58" s="149"/>
      <c r="D58" s="149"/>
      <c r="E58" s="149"/>
      <c r="F58" s="149"/>
      <c r="G58" s="149"/>
      <c r="H58" s="149"/>
      <c r="I58" s="149"/>
      <c r="J58" s="149"/>
    </row>
    <row r="59" spans="1:10">
      <c r="A59" s="149"/>
      <c r="B59" s="149"/>
      <c r="C59" s="149"/>
      <c r="D59" s="149"/>
      <c r="E59" s="149"/>
      <c r="F59" s="149"/>
      <c r="G59" s="149"/>
      <c r="H59" s="149"/>
      <c r="I59" s="149"/>
      <c r="J59" s="149"/>
    </row>
    <row r="60" spans="1:10">
      <c r="A60" s="149"/>
      <c r="B60" s="149"/>
      <c r="C60" s="149"/>
      <c r="D60" s="149"/>
      <c r="E60" s="149"/>
      <c r="F60" s="149"/>
      <c r="G60" s="149"/>
      <c r="H60" s="149"/>
      <c r="I60" s="149"/>
      <c r="J60" s="149"/>
    </row>
    <row r="61" spans="1:10">
      <c r="A61" s="149"/>
      <c r="B61" s="149"/>
      <c r="C61" s="149"/>
      <c r="D61" s="149"/>
      <c r="E61" s="149"/>
      <c r="F61" s="149"/>
      <c r="G61" s="149"/>
      <c r="H61" s="149"/>
      <c r="I61" s="150"/>
      <c r="J61" s="149"/>
    </row>
    <row r="62" spans="1:10">
      <c r="A62" s="149"/>
      <c r="B62" s="149"/>
      <c r="C62" s="149"/>
      <c r="D62" s="149"/>
      <c r="E62" s="149"/>
      <c r="F62" s="149"/>
      <c r="G62" s="149"/>
      <c r="H62" s="149"/>
      <c r="I62" s="149"/>
      <c r="J62" s="149"/>
    </row>
    <row r="63" spans="1:10">
      <c r="A63" s="149"/>
      <c r="B63" s="149"/>
      <c r="C63" s="149"/>
      <c r="D63" s="149"/>
      <c r="E63" s="149"/>
      <c r="F63" s="149"/>
      <c r="G63" s="149"/>
      <c r="H63" s="149"/>
      <c r="I63" s="149"/>
      <c r="J63" s="149"/>
    </row>
    <row r="64" spans="1:10">
      <c r="A64" s="149"/>
      <c r="B64" s="149"/>
      <c r="C64" s="149"/>
      <c r="D64" s="149"/>
      <c r="E64" s="149"/>
      <c r="F64" s="149"/>
      <c r="G64" s="149"/>
      <c r="H64" s="149"/>
      <c r="I64" s="149"/>
      <c r="J64" s="149"/>
    </row>
  </sheetData>
  <mergeCells count="4">
    <mergeCell ref="E10:F10"/>
    <mergeCell ref="F31:G31"/>
    <mergeCell ref="F51:G51"/>
    <mergeCell ref="H42:J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Лаб2</vt:lpstr>
      <vt:lpstr>Лаб3</vt:lpstr>
      <vt:lpstr>Лаб4</vt:lpstr>
      <vt:lpstr>Лаб5</vt:lpstr>
      <vt:lpstr>Лаб6</vt:lpstr>
      <vt:lpstr>Лаб7</vt:lpstr>
      <vt:lpstr>Лаб8</vt:lpstr>
      <vt:lpstr>Лаб9</vt:lpstr>
      <vt:lpstr>Зачёт</vt:lpstr>
      <vt:lpstr>Задача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Мишаня Глушков</cp:lastModifiedBy>
  <dcterms:created xsi:type="dcterms:W3CDTF">2019-10-10T21:51:01Z</dcterms:created>
  <dcterms:modified xsi:type="dcterms:W3CDTF">2020-12-01T13:41:39Z</dcterms:modified>
</cp:coreProperties>
</file>