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4" xWindow="240" yWindow="60" windowWidth="23250" windowHeight="12570" tabRatio="902"/>
  </bookViews>
  <sheets>
    <sheet name="стац.сжиг._дизтопливо" sheetId="1" r:id="rId4"/>
    <sheet name="стац.сжиг._нефть" sheetId="2" r:id="rId5"/>
    <sheet name="стац.сжиг._ПНГ" sheetId="3" r:id="rId6"/>
    <sheet name="расчет_коэф._стацион.сжигание" sheetId="4" r:id="rId7"/>
    <sheet name="факельное сжигание" sheetId="5" r:id="rId8"/>
    <sheet name="расчет коэф._факельное сжигание" sheetId="6" r:id="rId9"/>
    <sheet name="фугитивные выбросы" sheetId="7" r:id="rId10"/>
    <sheet name="очистка и сброс сточных вод" sheetId="8" r:id="rId11"/>
    <sheet name="сжигание отходов" sheetId="9" r:id="rId12"/>
    <sheet name="транспорт" sheetId="10" r:id="rId13"/>
    <sheet name="Приобретенная энергия" sheetId="11" r:id="rId14"/>
    <sheet name="Реестр источников" sheetId="12" r:id="rId15"/>
    <sheet name="Расчет региональных коэфф." sheetId="13" state="hidden" r:id="rId16"/>
  </sheets>
  <calcPr/>
  <extLst>
    <ext uri="smNativeData">
      <pm:revision xmlns:pm="smNativeData" day="1695280891" val="1064" rev="124" rev64="64" revOS="3" revMin="124" revMax="0"/>
      <pm:docPrefs xmlns:pm="smNativeData" id="1695280891" fixedDigits="0" showNotice="1" showFrameBounds="1" autoChart="1" recalcOnPrint="1" recalcOnCopy="1" finalRounding="1" compatTextArt="1" tab="567" useDefinedPrintRange="1" printArea="currentSheet"/>
      <pm:compatibility xmlns:pm="smNativeData" id="1695280891" overlapCells="1"/>
      <pm:defCurrency xmlns:pm="smNativeData" id="1695280891"/>
    </ext>
  </extLst>
</workbook>
</file>

<file path=xl/sharedStrings.xml><?xml version="1.0" encoding="utf-8"?>
<sst xmlns="http://schemas.openxmlformats.org/spreadsheetml/2006/main" count="1115" uniqueCount="320">
  <si>
    <t xml:space="preserve">Примечания: значения количества выбросов CO2, CH4 и N2O, а также выбросов парниковых газов, выраженные в CO2 - эквиваленте, указываются с точностью до 1 тонны. </t>
  </si>
  <si>
    <t>Источник: Методика количественного определения объема выбросов парниковых газов, утв. приказом Министерства природных ресурсов и экологии РФ от 27 мая 2022 г. № 371</t>
  </si>
  <si>
    <t>Месторождение, объект</t>
  </si>
  <si>
    <t>Название источника</t>
  </si>
  <si>
    <t>Название цеха/ промплощадки (номер технологической линии)</t>
  </si>
  <si>
    <t>Вид топлива</t>
  </si>
  <si>
    <r>
      <t xml:space="preserve">Расход топлива в натуральном выражении,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FC'j,y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тыс.т</t>
    </r>
  </si>
  <si>
    <r>
      <t xml:space="preserve">Низшая теплота сгорания (коэффициент перевода в энергетические единицы),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NCVj,y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ТДж/тыс.т
Согласно Методике №371</t>
    </r>
  </si>
  <si>
    <r>
      <t xml:space="preserve">Расход топлива в энергетическом эквиваленте за период y, ТДж, 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FCj,y = FC'j,y * NCVj,y</t>
    </r>
  </si>
  <si>
    <r>
      <t xml:space="preserve">Коэффициент окисления топлива j,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OFj,y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доля</t>
    </r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</si>
  <si>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 weight="bold"/>
              <pm:ea weight="bold"/>
            </pm:charSpec>
          </ext>
        </extLst>
      </rPr>
      <t xml:space="preserve">Коэффициент выбросов СО2 от сжигания топлива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 weight="bold"/>
              <pm:ea weight="bold"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 weight="bold"/>
              <pm:ea weight="bold"/>
            </pm:charSpec>
          </ext>
        </extLst>
      </rPr>
      <t>, тCO2/ТДж</t>
    </r>
  </si>
  <si>
    <r>
      <t xml:space="preserve">Выбросы СО2 от стационарного сжигания топлива за период у,  тСО2**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ECO2,y=FCj,y * EFCO2,j,y * OFj,y</t>
    </r>
  </si>
  <si>
    <t>Месторождение №1</t>
  </si>
  <si>
    <t>ДЭС</t>
  </si>
  <si>
    <t>Топливо дизельное</t>
  </si>
  <si>
    <t>Месторождение №2</t>
  </si>
  <si>
    <t>Месторождение №13</t>
  </si>
  <si>
    <t>Итог</t>
  </si>
  <si>
    <t>НЭС-1</t>
  </si>
  <si>
    <t>Энергоцентр №3</t>
  </si>
  <si>
    <t>Нефть, включая промысловый газоконденсат</t>
  </si>
  <si>
    <t>печи</t>
  </si>
  <si>
    <t>Площадка печей</t>
  </si>
  <si>
    <t>НЭС-2</t>
  </si>
  <si>
    <t>Энергоцентр</t>
  </si>
  <si>
    <r>
      <t xml:space="preserve">Расход топлива в натуральном выражении,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FC'j,y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тыс.м3</t>
    </r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</si>
  <si>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 weight="bold"/>
              <pm:ea weight="bold"/>
            </pm:charSpec>
          </ext>
        </extLst>
      </rPr>
      <t xml:space="preserve">Коэффициент выбросов СО2 от сжигания топлива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 weight="bold"/>
              <pm:ea weight="bold"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 weight="bold"/>
              <pm:ea weight="bold"/>
            </pm:charSpec>
          </ext>
        </extLst>
      </rPr>
      <t>, тCO2/тыс.м3</t>
    </r>
  </si>
  <si>
    <t>Котельная</t>
  </si>
  <si>
    <t>Система теплоснабжения</t>
  </si>
  <si>
    <t>ГТУ</t>
  </si>
  <si>
    <t>Энергоцентр №1</t>
  </si>
  <si>
    <t>ГТУ2</t>
  </si>
  <si>
    <t>Энергоцентр №2</t>
  </si>
  <si>
    <t>Установка КТО</t>
  </si>
  <si>
    <t>Площадка по термическому обезвреживанию и утилизации отходов</t>
  </si>
  <si>
    <t>Установка П</t>
  </si>
  <si>
    <t>Месторождение №3</t>
  </si>
  <si>
    <t>Печь П1</t>
  </si>
  <si>
    <t>Печь П2</t>
  </si>
  <si>
    <t>Месторождение №4</t>
  </si>
  <si>
    <t>Печь П3</t>
  </si>
  <si>
    <t>Печь П4</t>
  </si>
  <si>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</si>
  <si>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</si>
  <si>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>Попутный нефтяной газ</t>
  </si>
  <si>
    <t>Название источника выбросов газа</t>
  </si>
  <si>
    <t>Печи подогрева</t>
  </si>
  <si>
    <t>Котельная, печи сжигания отходов</t>
  </si>
  <si>
    <t>ГПЭА</t>
  </si>
  <si>
    <t>Полигон</t>
  </si>
  <si>
    <t>Месторасположение источника выбросов, номер, регистрационные данные и т.д.</t>
  </si>
  <si>
    <t>Плотность газа или смеси (при t=20 C и P=101325 Pa), кг/м3</t>
  </si>
  <si>
    <t>Компонентный состав газа 1 (полный)</t>
  </si>
  <si>
    <t>Компонентный состав газа 2 (полный)</t>
  </si>
  <si>
    <t>Компонентный состав газа 3 (полный)</t>
  </si>
  <si>
    <t>Компонентный состав газа 4 (полный)</t>
  </si>
  <si>
    <t>Компонентный состав газа 5 (полный)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</si>
  <si>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</si>
  <si>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</si>
  <si>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</si>
  <si>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280891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</si>
  <si>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</si>
  <si>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</si>
  <si>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</si>
  <si>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</si>
  <si>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</si>
  <si>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</si>
  <si>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</si>
  <si>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</si>
  <si>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</si>
  <si>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</si>
  <si>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</si>
  <si>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</si>
  <si>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</si>
  <si>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</si>
  <si>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</si>
  <si>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</si>
  <si>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</si>
  <si>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</si>
  <si>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</si>
  <si>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</si>
  <si>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</si>
  <si>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</si>
  <si>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</si>
  <si>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</si>
  <si>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</si>
  <si>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</si>
  <si>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</si>
  <si>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</si>
  <si>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</si>
  <si>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</si>
  <si>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</si>
  <si>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</si>
  <si>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</si>
  <si>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</si>
  <si>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</si>
  <si>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</si>
  <si>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</si>
  <si>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</si>
  <si>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</si>
  <si>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</si>
  <si>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</si>
  <si>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</si>
  <si>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</si>
  <si>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280891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280891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280891">
              <pm:latin face="Arial" sz="160" weight="normal" i="0"/>
              <pm:cs/>
              <pm:ea/>
            </pm:charSpec>
          </ext>
        </extLst>
      </rPr>
      <t>)</t>
    </r>
  </si>
  <si>
    <t>№ источника (по ПДВ)</t>
  </si>
  <si>
    <t>Вид ГВС</t>
  </si>
  <si>
    <r>
      <t xml:space="preserve">Расход j-УВС на факельной установке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FCj,y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тыс.м3</t>
    </r>
  </si>
  <si>
    <r>
      <t xml:space="preserve">Коэффициент выбросов СО2 от сжигания j-УВС на факельной установке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тСО2/тыс.м3
Расчетный способ</t>
    </r>
  </si>
  <si>
    <r>
      <t xml:space="preserve">Коэффициент выбросов CH4 от сжигания j-углеводородной смеси на факельной установке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EFCH4,j,y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 СН /тыс.м3
Расчетный способ</t>
    </r>
  </si>
  <si>
    <r>
      <t xml:space="preserve">Выбросы СО2 от сжигания УВС на факельной установке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ECO2,y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</t>
    </r>
  </si>
  <si>
    <r>
      <t xml:space="preserve">Выбросы СН4 от сжигания УВС на факельной установке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ECН4,y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</t>
    </r>
  </si>
  <si>
    <t>Потенциал глобального потепления (GWPi )</t>
  </si>
  <si>
    <r>
      <t xml:space="preserve">Выбросы ПГ при сжигании УВС в факелах, ECO2e,y, 
тСО2-экв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(ECO2e,y=Ei,y × GWPi)</t>
    </r>
  </si>
  <si>
    <r>
      <t xml:space="preserve">Итого выбросы ПГ при сжигании УВС в факелах,  
тСО2-экв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(ECO2e,y=∑(Ei,y × GWPi))</t>
    </r>
  </si>
  <si>
    <t>СО2</t>
  </si>
  <si>
    <t>СН4</t>
  </si>
  <si>
    <t>Факел</t>
  </si>
  <si>
    <t>Месторождение №5</t>
  </si>
  <si>
    <t>Месторождение №6</t>
  </si>
  <si>
    <t>Расчет коэффициента выбросов СО2 при сжигании углеводородной смеси (УВС) на факельной установке</t>
  </si>
  <si>
    <r>
      <rPr>
        <rFont val="Arial"/>
        <charset val="0"/>
        <family val="2"/>
        <sz val="8"/>
        <b val="0"/>
        <i val="0"/>
        <extLst>
          <ext uri="smNativeData">
            <pm:charSpec xmlns:pm="smNativeData" id="1695280891">
              <pm:latin face="Arial" sz="160" weight="normal" i="0"/>
              <pm:cs/>
              <pm:ea/>
            </pm:charSpec>
          </ext>
        </extLst>
      </rPr>
      <t>Содержание i-компонента (кроме СО2) в j-УВС,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280891">
              <pm:latin face="Arial" sz="16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280891">
              <pm:latin face="Arial" sz="16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</si>
  <si>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углеводородной смеси,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280891">
              <pm:latin face="Arial" sz="160" weight="bold" i="0"/>
              <pm:cs/>
              <pm:ea/>
            </pm:charSpec>
          </ext>
        </extLst>
      </rPr>
      <t>nC,i</t>
    </r>
  </si>
  <si>
    <r>
      <t xml:space="preserve">Содержание СО2 в j-УВС,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WСО2,j,y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% об.</t>
    </r>
  </si>
  <si>
    <r>
      <t>Коэффициент недожога j-УВС на факельной установке за период j,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 xml:space="preserve"> CFj,y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доля</t>
    </r>
  </si>
  <si>
    <r>
      <t xml:space="preserve">Коэффициент выбросов СО2 от сжигания j-УВС на факельной установке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тСО2/тыс.м3 (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EFCO2,j,y=(WCO2,j,y+∑(Wi,j,y × nC,i) × (1-CFj,y)) × ρCO2 × 10^(-2)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)</t>
    </r>
  </si>
  <si>
    <r>
      <t xml:space="preserve">Содержание СН4 в j-углеводородной смеси за период y,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280891">
              <pm:latin face="Arial" sz="160" weight="bold" i="0"/>
              <pm:cs/>
              <pm:ea/>
            </pm:charSpec>
          </ext>
        </extLst>
      </rPr>
      <t>WCH4,j,y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% об.</t>
    </r>
  </si>
  <si>
    <r>
      <t xml:space="preserve">Плотность метана,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ρСН4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кг/м3</t>
    </r>
  </si>
  <si>
    <r>
      <t>Коэффициент недожога j-УВС на факельной установке за период j,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 xml:space="preserve"> CFj,y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, доля </t>
    </r>
  </si>
  <si>
    <r>
      <t xml:space="preserve">Коэффициент выбросов CH4 от сжигания j-углеводородной смеси на факельной установке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EFCH4,j,y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 СН /тыс.м3 (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 xml:space="preserve">EFCH4,j,y=WCH4,j,y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695280891">
              <pm:latin face="Calibri" sz="200" weight="bold" i="0"/>
              <pm:cs/>
              <pm:ea/>
            </pm:charSpec>
          </ext>
        </extLst>
      </rPr>
      <t>×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 xml:space="preserve"> CFj,y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695280891">
              <pm:latin face="Calibri" sz="200" weight="bold" i="0"/>
              <pm:cs/>
              <pm:ea/>
            </pm:charSpec>
          </ext>
        </extLst>
      </rPr>
      <t>×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 xml:space="preserve"> ρСН4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695280891">
              <pm:latin face="Calibri" sz="200" weight="bold" i="0"/>
              <pm:cs/>
              <pm:ea/>
            </pm:charSpec>
          </ext>
        </extLst>
      </rPr>
      <t>× 10^(-2)</t>
    </r>
    <r>
      <rPr>
        <rFont val="Calibri"/>
        <charset val="0"/>
        <family val="2"/>
        <sz val="10"/>
        <b val="0"/>
        <i val="0"/>
        <extLst>
          <ext uri="smNativeData">
            <pm:charSpec xmlns:pm="smNativeData" id="1695280891">
              <pm:latin face="Calibri" sz="200" weight="normal" i="0"/>
              <pm:cs/>
              <pm:ea/>
            </pm:charSpec>
          </ext>
        </extLst>
      </rPr>
      <t>)</t>
    </r>
  </si>
  <si>
    <r>
      <t xml:space="preserve">Расход j-УВС на технологические операции (объем отведения без сжигания)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FCj,y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тыс.м3</t>
    </r>
  </si>
  <si>
    <r>
      <t xml:space="preserve">Содержание i-парникового газа в j-УВС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Wi,j,y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, % об. </t>
    </r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</si>
  <si>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 weight="bold"/>
              <pm:ea weight="bold"/>
            </pm:charSpec>
          </ext>
        </extLst>
      </rPr>
      <t xml:space="preserve">Плотность i-парникового газа,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695280891">
              <pm:latin face="Calibri" sz="200" weight="bold" i="0"/>
              <pm:cs weight="bold"/>
              <pm:ea weight="bold"/>
            </pm:charSpec>
          </ext>
        </extLst>
      </rPr>
      <t xml:space="preserve">ρi,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 weight="bold"/>
              <pm:ea weight="bold"/>
            </pm:charSpec>
          </ext>
        </extLst>
      </rPr>
      <t>кг/м3</t>
    </r>
  </si>
  <si>
    <t>Фугитивные выбросы i-парникового газа за период у, Ei,y=FCj,y × Wi,j,y × ρi × 10^(-2), т*</t>
  </si>
  <si>
    <t>Фугитивные выбросы i-парникового газа за период у, т СО2-экв*</t>
  </si>
  <si>
    <r>
      <t xml:space="preserve">Фугитивные выбросы газа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
т CО2-экв*</t>
    </r>
  </si>
  <si>
    <t>Условия измерений</t>
  </si>
  <si>
    <t>Технологические потери</t>
  </si>
  <si>
    <t>Месторождения все</t>
  </si>
  <si>
    <t>293,15 К (20°С); 101,325 кПа</t>
  </si>
  <si>
    <t>Объем очищаемых или сбрасываемых сточных вод, Vj, м3</t>
  </si>
  <si>
    <t>Концентрация органических веществ в сточных водах, Cj, г БПК/м3</t>
  </si>
  <si>
    <t>Количество органического компонента, удаленного как отстой, Si, кг БПК/год</t>
  </si>
  <si>
    <r>
      <t>Максимальная способность образования СН4, В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 xml:space="preserve">0,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кг СН4/кг БПК</t>
    </r>
  </si>
  <si>
    <t>Поправочный коэффициент для метана, МCFj, доля</t>
  </si>
  <si>
    <r>
      <t xml:space="preserve">Коэффициент выбросов,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=B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0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*MCF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кг СН4/кг БПК</t>
    </r>
  </si>
  <si>
    <r>
      <t xml:space="preserve">Масса органических веществ в сточных водах системы j,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TOW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=V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*C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*0,001, БПК кг/год</t>
    </r>
  </si>
  <si>
    <t>Количество рекуперированного метана,
СН4 кг/год</t>
  </si>
  <si>
    <t>Годовое потребление протеина, кг/год</t>
  </si>
  <si>
    <r>
      <t>Доля азота в протеине, F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NPR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кг N/ кг протеина</t>
    </r>
  </si>
  <si>
    <r>
      <t>Коэффициент для непотребленного протеина, сброшенного в сточные воды, F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NON-CON</t>
    </r>
  </si>
  <si>
    <r>
      <t>Коэффициент для промышленного и коммерческого количества протеина, попутно сброшенного вканализационную систему, F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IND-COM</t>
    </r>
  </si>
  <si>
    <r>
      <t>Азот, удаленный с отстоем сточных вод,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ОТСТОЙ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кгN/год</t>
    </r>
  </si>
  <si>
    <r>
      <t>Общее годовое количество азота в отводе сточных вод,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СТОК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кг N/год</t>
    </r>
  </si>
  <si>
    <r>
      <t>Коэффициент выбросов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O при сбросе сточных вод, кг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O-N/кгN</t>
    </r>
  </si>
  <si>
    <r>
      <t>Коэффициент для преобразования кг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O-N в кг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О</t>
    </r>
  </si>
  <si>
    <r>
      <t>Выбросы СН4, E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CH4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=(TOWi-Si)*EFi, кг/год</t>
    </r>
  </si>
  <si>
    <r>
      <t>Выбросы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O, кг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O/год</t>
    </r>
  </si>
  <si>
    <r>
      <t>Выбросы СН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4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т/год</t>
    </r>
  </si>
  <si>
    <r>
      <t>Выбросы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O, т/год</t>
    </r>
  </si>
  <si>
    <r>
      <t>Выбросы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O, тСО2-экв</t>
    </r>
  </si>
  <si>
    <r>
      <t>Выбросы СН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4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тСО2-экв</t>
    </r>
  </si>
  <si>
    <r>
      <t>Выбросы, тСО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-экв</t>
    </r>
  </si>
  <si>
    <t>-</t>
  </si>
  <si>
    <t>44/28</t>
  </si>
  <si>
    <t>ИТОГО:</t>
  </si>
  <si>
    <t>ЗХ</t>
  </si>
  <si>
    <t>БПК по ЗХ принято в соответствии с Паспортом К32125.Р253-15 ПС "Очистные сооружения бытовых сточных вод для нужд ООО "РУСВЬЕТПЕТРО" (до очистки 402 мг/л)</t>
  </si>
  <si>
    <t>Приказ МСХ РФ от 13.12.2016 г. №552 «Об утверждении нормативов качества воды водных объектов рыбохозяйственного значения, в том числе нормативов предельно допустимых концентраций вредных веществ в водах водных объектов рыбохозяйственного значения» (3 мг/л)</t>
  </si>
  <si>
    <t>СХ</t>
  </si>
  <si>
    <t>БПК по СХ принято в соответствии с Паспортом 0129-000-EWS-1014-27,20305-02-2010 "Сооружения бытовой канализации. Центральный пункт сбора продукции скважин с месторождений ЦХИ. Блок №1, №2, №3, №4" (до очистки 500 мгл/л; после 5 мг/л)</t>
  </si>
  <si>
    <t>По блоку 4 и ПСП Мусюршор БПК принято на основании усреднения показателя БПК, определяемого на ежемесячной основе</t>
  </si>
  <si>
    <t>Наименование месторождения/объекта</t>
  </si>
  <si>
    <t>Количество использованного мяса на объектах организованного питания, кг/год</t>
  </si>
  <si>
    <t>Компонент х</t>
  </si>
  <si>
    <t>Доля сухого вещества в компоненте x в отходе, подвергнутого инсинерации, DMx</t>
  </si>
  <si>
    <t>Доля углерода в сухом веществе (например, содержание углерода) компонента x, CFx</t>
  </si>
  <si>
    <t>Доля ископаемого углерода в общем количестве углерода в компоненте x, FCFx</t>
  </si>
  <si>
    <t>Бумага/картон</t>
  </si>
  <si>
    <t>Текстиль</t>
  </si>
  <si>
    <t>Пищевые отходы</t>
  </si>
  <si>
    <t>Древесина</t>
  </si>
  <si>
    <t>Резина и кожа</t>
  </si>
  <si>
    <t>Пластик</t>
  </si>
  <si>
    <t>Металл</t>
  </si>
  <si>
    <t>Стекло</t>
  </si>
  <si>
    <t>Другие отходы</t>
  </si>
  <si>
    <r>
      <t>Общая масса многокомпонентного отхода (влажный вес), подвергнутого инсинерации,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 xml:space="preserve"> IWx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Гг/год</t>
    </r>
  </si>
  <si>
    <t>Технология или практика управления (инсинерацией), j</t>
  </si>
  <si>
    <r>
      <t xml:space="preserve">Коэффициент окисления,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OFx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доля</t>
    </r>
  </si>
  <si>
    <r>
      <t xml:space="preserve">Коэффициент выбросов N2O,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EFi,j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г/т отходов</t>
    </r>
  </si>
  <si>
    <r>
      <t xml:space="preserve">Выбросы СО2 от сжигания многокомпонентного отхода,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ECO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=IWx*Ʃx(WFx*DMx*FCFx*OFx)*44/12, Гг/год</t>
    </r>
  </si>
  <si>
    <r>
      <t xml:space="preserve">Выбросы N2O от сжигания многокомпонентного отхода,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EN2O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=Ʃi,j(IWi*EFi,j)*10^(-6), Гг/год</t>
    </r>
  </si>
  <si>
    <t>Выбросы СО2 от сжигания многокомпонентного отхода, т/год</t>
  </si>
  <si>
    <t>Выбросы N2O от сжигания многокомпонентного отхода, т/год</t>
  </si>
  <si>
    <t>Выбросы N2O от сжигания многокомпонентного отхода, т СО2 экв/год</t>
  </si>
  <si>
    <t>Выбросы ПГ, т СО2-экв</t>
  </si>
  <si>
    <t>Доля компонента x (по типу отходов) в отходе (во влажном весе), подвергнутого инсинерации, WFx</t>
  </si>
  <si>
    <t>печи постоянного и полупостоянного режима работы</t>
  </si>
  <si>
    <t>Тип отхода</t>
  </si>
  <si>
    <r>
      <t>Масса твердых отходов категории/вида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 xml:space="preserve"> i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 (вес влажного вещества), подвергнутых разным способам сжигания,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ISWi,j,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 Гг/год</t>
    </r>
  </si>
  <si>
    <t>Технология или практика управления (инсинерацией)</t>
  </si>
  <si>
    <r>
      <t xml:space="preserve">Коэффициент окисления,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OF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ij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доля</t>
    </r>
  </si>
  <si>
    <r>
      <t xml:space="preserve">Доля сухого вещества в отходах (во влажном весе), подвергнутых разным способам сжигания,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dm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ij</t>
    </r>
  </si>
  <si>
    <r>
      <t xml:space="preserve">Доля углерода в сухом веществе (общее содержание углерода) сжигаемых отходов,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CF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ij</t>
    </r>
  </si>
  <si>
    <r>
      <t xml:space="preserve">Доля ископаемого углерода в общем количестве углерода сжигаемых отходов,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FCF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ij</t>
    </r>
  </si>
  <si>
    <r>
      <t>Выбросы 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=(ISWij*dmij*FCFij*OFij)*44/12, Гг/год</t>
    </r>
  </si>
  <si>
    <r>
      <t>Выбросы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O 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N2O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=Ʃi,j(IWi*EFi,j)*10^(-6), Гг/год</t>
    </r>
  </si>
  <si>
    <t>Выбросы СО2 , т/год</t>
  </si>
  <si>
    <t>Выбросы N2O, т/год</t>
  </si>
  <si>
    <t>Выбросы N2O, т СО2 экв/год</t>
  </si>
  <si>
    <t>Нефтесодержащие отходы (твердые)</t>
  </si>
  <si>
    <t>Все типы инсинерации</t>
  </si>
  <si>
    <t>Осадки сточных вод</t>
  </si>
  <si>
    <r>
      <t xml:space="preserve">Количество сожженных ископаемых жидких отходов,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ILWi,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 Гг/год**</t>
    </r>
  </si>
  <si>
    <r>
      <t xml:space="preserve">Коэффициент окисления,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OF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доля</t>
    </r>
  </si>
  <si>
    <r>
      <t xml:space="preserve">Доля углерода в сжигаемых отходах (во влажном весе),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CLW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i</t>
    </r>
  </si>
  <si>
    <r>
      <t xml:space="preserve">Коэффициент выбросов N2O,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EFi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г/т отходов</t>
    </r>
  </si>
  <si>
    <r>
      <t>Выбросы 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=(ILWi*CLWi*OFi)*44/12, Гг/год</t>
    </r>
  </si>
  <si>
    <r>
      <t>Выбросы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O 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N2O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=Ʃi(IWi*EFi)*10^(-6), Гг/год</t>
    </r>
  </si>
  <si>
    <t>Блок 1</t>
  </si>
  <si>
    <t>Нефтесодержащие отходы (жидкие)</t>
  </si>
  <si>
    <t>Блок 2</t>
  </si>
  <si>
    <t>Блок 3</t>
  </si>
  <si>
    <t>*используется подход расчета к ВПГ от сжигания ископаемых жидких отходов</t>
  </si>
  <si>
    <t>**в расчет принимается только масса нефтепродуктов, составляющая 15% от общей массы Эмульсии водно-нефтяной при глушении и промывке скважин умеренно опасная</t>
  </si>
  <si>
    <t>Итого ВПГ от сжигания нефтесодержащих отходов</t>
  </si>
  <si>
    <t>Итого ВПГ от сжигания ТКО</t>
  </si>
  <si>
    <t>N2O</t>
  </si>
  <si>
    <t>Блок 4</t>
  </si>
  <si>
    <t>ПСП Мусюршор</t>
  </si>
  <si>
    <t>Вид транспорта</t>
  </si>
  <si>
    <t>Тип транспорта</t>
  </si>
  <si>
    <r>
      <t xml:space="preserve">Расход топлива вида j транспортным средством типа b за период y, выраженный в объемной величине,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FC'j,b,y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л</t>
    </r>
  </si>
  <si>
    <r>
      <t xml:space="preserve">Плотность топлива вида j,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695280891">
              <pm:latin face="Calibri" sz="200" weight="bold" i="0"/>
              <pm:cs/>
              <pm:ea/>
            </pm:charSpec>
          </ext>
        </extLst>
      </rPr>
      <t>ρ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кг/л</t>
    </r>
  </si>
  <si>
    <r>
      <t xml:space="preserve">Расход топлива вида j транспортным средством типа b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FCj,b,y=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Ʃ(FC'j,b,y x </t>
    </r>
    <r>
      <rPr>
        <rFont val="Calibri"/>
        <charset val="0"/>
        <family val="2"/>
        <sz val="10"/>
        <b val="0"/>
        <i val="0"/>
        <extLst>
          <ext uri="smNativeData">
            <pm:charSpec xmlns:pm="smNativeData" id="1695280891">
              <pm:latin face="Calibri" sz="200" weight="normal" i="0"/>
              <pm:cs/>
              <pm:ea/>
            </pm:charSpec>
          </ext>
        </extLst>
      </rPr>
      <t>ρ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j) x 10^(-3), т</t>
    </r>
  </si>
  <si>
    <r>
      <t>Коэффициент выбросов 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 при использовании в транспортном средстве типа b вида топлива j,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EFj,b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, т 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/т</t>
    </r>
  </si>
  <si>
    <r>
      <t xml:space="preserve">Выбросы СО2 от сжигания топлива в двигателях автотранспортных средств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Е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280891" ssSize="60" ssDistance="-5">
              <pm:latin face="Arial" sz="200" weight="bold" i="0"/>
              <pm:cs/>
              <pm:ea/>
            </pm:charSpec>
          </ext>
        </extLst>
      </rPr>
      <t>СО2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,y=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>Ʃj,b,y(FCj,b,y x EFj,b), т 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280891" ssSize="60" ssDistance="-5">
              <pm:latin face="Arial" sz="200" weight="normal" i="0"/>
              <pm:cs/>
              <pm:ea/>
            </pm:charSpec>
          </ext>
        </extLst>
      </rPr>
      <t>2</t>
    </r>
  </si>
  <si>
    <t>Автомобильный</t>
  </si>
  <si>
    <t>Грузовой</t>
  </si>
  <si>
    <t>Дизельное топливо (зимнее)</t>
  </si>
  <si>
    <t>Легковой</t>
  </si>
  <si>
    <t>Бензин АИ-95</t>
  </si>
  <si>
    <t>Пассажирский</t>
  </si>
  <si>
    <t>из них</t>
  </si>
  <si>
    <t>Примечания:
1. значение объема косвенных энергетических выбросов приводятся с точностью до 1 тонны (п.8 МУ №330).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</si>
  <si>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Источник: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280891">
              <pm:latin face="Arial" sz="200" weight="normal" i="0"/>
              <pm:cs/>
              <pm:ea/>
            </pm:charSpec>
          </ext>
        </extLst>
      </rPr>
      <t xml:space="preserve"> Приказ Минприроды России от 29 июня 2017 года № 330 «Об утверждении методических указаний по количественному определению объема косвенных энергетических выбросов парниковых газов» (МУ №330).</t>
    </r>
  </si>
  <si>
    <t>№ п/п</t>
  </si>
  <si>
    <t>Местоположение объекта</t>
  </si>
  <si>
    <t>Вид приобретенной энергии</t>
  </si>
  <si>
    <r>
      <t xml:space="preserve">Потребление энергии, полученной от внешних генерирующих объектов,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ЕСk,y(HСk,y)</t>
    </r>
  </si>
  <si>
    <t>Единицы измерения потребляемой энергии</t>
  </si>
  <si>
    <r>
      <t xml:space="preserve">Региональный коэффициент косвенных энергетических выбросов, тСО2/ед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>EFрегСО2,элек,k,y (EFрегСО2,тепло,k,y)</t>
    </r>
  </si>
  <si>
    <r>
      <t xml:space="preserve">Объем косвенных энергетических выбросов при потреблении энергии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280891">
              <pm:latin face="Arial" sz="200" weight="bold" i="0"/>
              <pm:cs/>
              <pm:ea/>
            </pm:charSpec>
          </ext>
        </extLst>
      </rPr>
      <t xml:space="preserve">EрегСО2,элек,k,y (EрегСО2,тепло,k,y), тСО2  </t>
    </r>
  </si>
  <si>
    <t>М/р №1</t>
  </si>
  <si>
    <t>Электрическая</t>
  </si>
  <si>
    <t>МВт</t>
  </si>
  <si>
    <t>Тепловая</t>
  </si>
  <si>
    <t>Гкал</t>
  </si>
  <si>
    <t>принят по ПНСТ 646-2022</t>
  </si>
  <si>
    <t>рассчитан на основании фактических данных о компонентном составе топлива. Вкладка "Расчет региональных коэфф."</t>
  </si>
  <si>
    <t>Наименование показателей</t>
  </si>
  <si>
    <t>Наименование источника (группы источников)</t>
  </si>
  <si>
    <r>
      <t>СО</t>
    </r>
    <r>
      <rPr>
        <rFont val="Tahoma"/>
        <charset val="204"/>
        <family val="2"/>
        <sz val="9"/>
        <b/>
        <i val="0"/>
        <vertAlign val="subscript"/>
        <extLst>
          <ext uri="smNativeData">
            <pm:charSpec xmlns:pm="smNativeData" id="1695280891" ssSize="60" ssDistance="-5">
              <pm:latin face="Tahoma" sz="180" weight="bold" i="0"/>
              <pm:cs sz="180" weight="bold"/>
              <pm:ea sz="180" weight="bold"/>
            </pm:charSpec>
          </ext>
        </extLst>
      </rPr>
      <t>2</t>
    </r>
    <r>
      <rPr>
        <rFont val="Tahoma"/>
        <charset val="204"/>
        <family val="2"/>
        <sz val="9"/>
        <b/>
        <i val="0"/>
        <extLst>
          <ext uri="smNativeData">
            <pm:charSpec xmlns:pm="smNativeData" id="1695280891">
              <pm:latin face="Tahoma" sz="180" weight="bold" i="0"/>
              <pm:cs sz="180" weight="bold"/>
              <pm:ea sz="180" weight="bold"/>
            </pm:charSpec>
          </ext>
        </extLst>
      </rPr>
      <t>, т</t>
    </r>
  </si>
  <si>
    <r>
      <t>Выбросы СН</t>
    </r>
    <r>
      <rPr>
        <rFont val="Tahoma"/>
        <charset val="204"/>
        <family val="2"/>
        <sz val="9"/>
        <b/>
        <i val="0"/>
        <vertAlign val="subscript"/>
        <extLst>
          <ext uri="smNativeData">
            <pm:charSpec xmlns:pm="smNativeData" id="1695280891" ssSize="60" ssDistance="-5">
              <pm:latin face="Tahoma" sz="180" weight="bold" i="0"/>
              <pm:cs sz="180" weight="bold"/>
              <pm:ea sz="180" weight="bold"/>
            </pm:charSpec>
          </ext>
        </extLst>
      </rPr>
      <t>4</t>
    </r>
  </si>
  <si>
    <r>
      <t>Выбросы N</t>
    </r>
    <r>
      <rPr>
        <rFont val="Tahoma"/>
        <charset val="204"/>
        <family val="2"/>
        <sz val="9"/>
        <b/>
        <i val="0"/>
        <vertAlign val="subscript"/>
        <extLst>
          <ext uri="smNativeData">
            <pm:charSpec xmlns:pm="smNativeData" id="1695280891" ssSize="60" ssDistance="-5">
              <pm:latin face="Tahoma" sz="180" weight="bold" i="0"/>
              <pm:cs sz="180" weight="bold"/>
              <pm:ea sz="180" weight="bold"/>
            </pm:charSpec>
          </ext>
        </extLst>
      </rPr>
      <t>2</t>
    </r>
    <r>
      <rPr>
        <rFont val="Tahoma"/>
        <charset val="204"/>
        <family val="2"/>
        <sz val="9"/>
        <b/>
        <i val="0"/>
        <extLst>
          <ext uri="smNativeData">
            <pm:charSpec xmlns:pm="smNativeData" id="1695280891">
              <pm:latin face="Tahoma" sz="180" weight="bold" i="0"/>
              <pm:cs sz="180" weight="bold"/>
              <pm:ea sz="180" weight="bold"/>
            </pm:charSpec>
          </ext>
        </extLst>
      </rPr>
      <t>O</t>
    </r>
  </si>
  <si>
    <r>
      <t>Итого тСО</t>
    </r>
    <r>
      <rPr>
        <rFont val="Tahoma"/>
        <charset val="204"/>
        <family val="2"/>
        <sz val="9"/>
        <b/>
        <i val="0"/>
        <vertAlign val="subscript"/>
        <extLst>
          <ext uri="smNativeData">
            <pm:charSpec xmlns:pm="smNativeData" id="1695280891" ssSize="60" ssDistance="-5">
              <pm:latin face="Tahoma" sz="180" weight="bold" i="0"/>
              <pm:cs sz="180" weight="bold"/>
              <pm:ea sz="180" weight="bold"/>
            </pm:charSpec>
          </ext>
        </extLst>
      </rPr>
      <t>2</t>
    </r>
    <r>
      <rPr>
        <rFont val="Tahoma"/>
        <charset val="204"/>
        <family val="2"/>
        <sz val="9"/>
        <b/>
        <i val="0"/>
        <extLst>
          <ext uri="smNativeData">
            <pm:charSpec xmlns:pm="smNativeData" id="1695280891">
              <pm:latin face="Tahoma" sz="180" weight="bold" i="0"/>
              <pm:cs sz="180" weight="bold"/>
              <pm:ea sz="180" weight="bold"/>
            </pm:charSpec>
          </ext>
        </extLst>
      </rPr>
      <t>-экв по каждому источнику</t>
    </r>
  </si>
  <si>
    <r>
      <t>Общий объем выбросов СО</t>
    </r>
    <r>
      <rPr>
        <rFont val="Tahoma"/>
        <charset val="204"/>
        <family val="2"/>
        <sz val="9"/>
        <b/>
        <i val="0"/>
        <vertAlign val="subscript"/>
        <extLst>
          <ext uri="smNativeData">
            <pm:charSpec xmlns:pm="smNativeData" id="1695280891" ssSize="60" ssDistance="-5">
              <pm:latin face="Tahoma" sz="180" weight="bold" i="0"/>
              <pm:cs sz="180" weight="bold"/>
              <pm:ea sz="180" weight="bold"/>
            </pm:charSpec>
          </ext>
        </extLst>
      </rPr>
      <t>2</t>
    </r>
    <r>
      <rPr>
        <rFont val="Tahoma"/>
        <charset val="204"/>
        <family val="2"/>
        <sz val="9"/>
        <b/>
        <i val="0"/>
        <extLst>
          <ext uri="smNativeData">
            <pm:charSpec xmlns:pm="smNativeData" id="1695280891">
              <pm:latin face="Tahoma" sz="180" weight="bold" i="0"/>
              <pm:cs sz="180" weight="bold"/>
              <pm:ea sz="180" weight="bold"/>
            </pm:charSpec>
          </ext>
        </extLst>
      </rPr>
      <t xml:space="preserve"> по всем источникам, т</t>
    </r>
  </si>
  <si>
    <r>
      <t>Общий объем выбросов CH</t>
    </r>
    <r>
      <rPr>
        <rFont val="Tahoma"/>
        <charset val="204"/>
        <family val="2"/>
        <sz val="9"/>
        <b/>
        <i val="0"/>
        <vertAlign val="subscript"/>
        <extLst>
          <ext uri="smNativeData">
            <pm:charSpec xmlns:pm="smNativeData" id="1695280891" ssSize="60" ssDistance="-5">
              <pm:latin face="Tahoma" sz="180" weight="bold" i="0"/>
              <pm:cs sz="180" weight="bold"/>
              <pm:ea sz="180" weight="bold"/>
            </pm:charSpec>
          </ext>
        </extLst>
      </rPr>
      <t>4</t>
    </r>
    <r>
      <rPr>
        <rFont val="Tahoma"/>
        <charset val="204"/>
        <family val="2"/>
        <sz val="9"/>
        <b/>
        <i val="0"/>
        <extLst>
          <ext uri="smNativeData">
            <pm:charSpec xmlns:pm="smNativeData" id="1695280891">
              <pm:latin face="Tahoma" sz="180" weight="bold" i="0"/>
              <pm:cs sz="180" weight="bold"/>
              <pm:ea sz="180" weight="bold"/>
            </pm:charSpec>
          </ext>
        </extLst>
      </rPr>
      <t xml:space="preserve"> по всем источникам, т</t>
    </r>
  </si>
  <si>
    <r>
      <t>Общий объем выбросов N</t>
    </r>
    <r>
      <rPr>
        <rFont val="Tahoma"/>
        <charset val="204"/>
        <family val="2"/>
        <sz val="9"/>
        <b/>
        <i val="0"/>
        <vertAlign val="subscript"/>
        <extLst>
          <ext uri="smNativeData">
            <pm:charSpec xmlns:pm="smNativeData" id="1695280891" ssSize="60" ssDistance="-5">
              <pm:latin face="Tahoma" sz="180" weight="bold" i="0"/>
              <pm:cs sz="180" weight="bold"/>
              <pm:ea sz="180" weight="bold"/>
            </pm:charSpec>
          </ext>
        </extLst>
      </rPr>
      <t>2</t>
    </r>
    <r>
      <rPr>
        <rFont val="Tahoma"/>
        <charset val="204"/>
        <family val="2"/>
        <sz val="9"/>
        <b/>
        <i val="0"/>
        <extLst>
          <ext uri="smNativeData">
            <pm:charSpec xmlns:pm="smNativeData" id="1695280891">
              <pm:latin face="Tahoma" sz="180" weight="bold" i="0"/>
              <pm:cs sz="180" weight="bold"/>
              <pm:ea sz="180" weight="bold"/>
            </pm:charSpec>
          </ext>
        </extLst>
      </rPr>
      <t>O по всем источникам, т</t>
    </r>
  </si>
  <si>
    <r>
      <t>Общий объем ВПГ по всем источникам, тСО</t>
    </r>
    <r>
      <rPr>
        <rFont val="Tahoma"/>
        <charset val="204"/>
        <family val="2"/>
        <sz val="9"/>
        <b/>
        <i val="0"/>
        <vertAlign val="subscript"/>
        <extLst>
          <ext uri="smNativeData">
            <pm:charSpec xmlns:pm="smNativeData" id="1695280891" ssSize="60" ssDistance="-5">
              <pm:latin face="Tahoma" sz="180" weight="bold" i="0"/>
              <pm:cs sz="180" weight="bold"/>
              <pm:ea sz="180" weight="bold"/>
            </pm:charSpec>
          </ext>
        </extLst>
      </rPr>
      <t>2</t>
    </r>
    <r>
      <rPr>
        <rFont val="Tahoma"/>
        <charset val="204"/>
        <family val="2"/>
        <sz val="9"/>
        <b/>
        <i val="0"/>
        <extLst>
          <ext uri="smNativeData">
            <pm:charSpec xmlns:pm="smNativeData" id="1695280891">
              <pm:latin face="Tahoma" sz="180" weight="bold" i="0"/>
              <pm:cs sz="180" weight="bold"/>
              <pm:ea sz="180" weight="bold"/>
            </pm:charSpec>
          </ext>
        </extLst>
      </rPr>
      <t>-экв</t>
    </r>
  </si>
  <si>
    <t>т</t>
  </si>
  <si>
    <r>
      <t>тСО</t>
    </r>
    <r>
      <rPr>
        <rFont val="Tahoma"/>
        <charset val="204"/>
        <family val="2"/>
        <sz val="9"/>
        <b/>
        <i val="0"/>
        <vertAlign val="subscript"/>
        <extLst>
          <ext uri="smNativeData">
            <pm:charSpec xmlns:pm="smNativeData" id="1695280891" ssSize="60" ssDistance="-5">
              <pm:latin face="Tahoma" sz="180" weight="bold" i="0"/>
              <pm:cs sz="180" weight="bold"/>
              <pm:ea sz="180" weight="bold"/>
            </pm:charSpec>
          </ext>
        </extLst>
      </rPr>
      <t>2</t>
    </r>
    <r>
      <rPr>
        <rFont val="Tahoma"/>
        <charset val="204"/>
        <family val="2"/>
        <sz val="9"/>
        <b/>
        <i val="0"/>
        <extLst>
          <ext uri="smNativeData">
            <pm:charSpec xmlns:pm="smNativeData" id="1695280891">
              <pm:latin face="Tahoma" sz="180" weight="bold" i="0"/>
              <pm:cs sz="180" weight="bold"/>
              <pm:ea sz="180" weight="bold"/>
            </pm:charSpec>
          </ext>
        </extLst>
      </rPr>
      <t>-экв</t>
    </r>
  </si>
  <si>
    <r>
      <t>1.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</si>
  <si>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</si>
  <si>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</si>
  <si>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4.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</si>
  <si>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5.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</si>
  <si>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6.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</si>
  <si>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7.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</si>
  <si>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8.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</si>
  <si>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9.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</si>
  <si>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10.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</si>
  <si>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11.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</si>
  <si>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12.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</si>
  <si>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13.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</si>
  <si>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14.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</si>
  <si>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15.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</si>
  <si>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16.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</si>
  <si>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17.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</si>
  <si>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18.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</si>
  <si>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19.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</si>
  <si>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20.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</si>
  <si>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21.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</si>
  <si>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22.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</si>
  <si>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23.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</si>
  <si>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24.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</si>
  <si>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25.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</si>
  <si>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26.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</si>
  <si>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27.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</si>
  <si>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28.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</si>
  <si>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29.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</si>
  <si>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30.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</si>
  <si>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31.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</si>
  <si>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32.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</si>
  <si>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33.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</si>
  <si>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34.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</si>
  <si>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35.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</si>
  <si>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36.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</si>
  <si>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37.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</si>
  <si>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38.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</si>
  <si>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39.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</si>
  <si>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40.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</si>
  <si>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r>
      <t>41.</t>
    </r>
    <r>
      <rPr>
        <rFont val="Times New Roman"/>
        <charset val="0"/>
        <family val="1"/>
        <sz val="7"/>
        <b val="0"/>
        <i val="0"/>
        <extLst>
          <ext uri="smNativeData">
            <pm:charSpec xmlns:pm="smNativeData" id="1695280891">
              <pm:latin face="Times New Roman" sz="140" weight="normal" i="0"/>
              <pm:cs sz="180"/>
              <pm:ea sz="180"/>
            </pm:charSpec>
          </ext>
        </extLst>
      </rPr>
      <t xml:space="preserve">          </t>
    </r>
    <r>
      <rPr>
        <rFont val="Tahoma"/>
        <charset val="204"/>
        <family val="2"/>
        <sz val="9"/>
        <b val="0"/>
        <i val="0"/>
        <extLst>
          <ext uri="smNativeData">
            <pm:charSpec xmlns:pm="smNativeData" id="1695280891">
              <pm:latin face="Tahoma" sz="180" weight="normal" i="0"/>
              <pm:cs sz="180"/>
              <pm:ea sz="180"/>
            </pm:charSpec>
          </ext>
        </extLst>
      </rPr>
      <t> </t>
    </r>
  </si>
  <si>
    <t xml:space="preserve">Газ горючий природный </t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</si>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</sst>
</file>

<file path=xl/styles.xml><?xml version="1.0" encoding="utf-8"?>
<styleSheet xmlns="http://schemas.openxmlformats.org/spreadsheetml/2006/main">
  <numFmts count="25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00"/>
    <numFmt numFmtId="167" formatCode="0.0000"/>
    <numFmt numFmtId="168" formatCode="#,##0.0000"/>
    <numFmt numFmtId="169" formatCode="#,##0.000"/>
    <numFmt numFmtId="170" formatCode="#,##0.00000"/>
    <numFmt numFmtId="171" formatCode="_-* #,##0\ _₽_-;\-* #,##0\ _₽_-;_-* &quot;-&quot;??\ _₽_-;_-@_-"/>
    <numFmt numFmtId="172" formatCode="0.0000000"/>
    <numFmt numFmtId="173" formatCode="0.00000"/>
    <numFmt numFmtId="174" formatCode="0.00000000"/>
    <numFmt numFmtId="175" formatCode="0.0"/>
    <numFmt numFmtId="4" formatCode="#,##0.00"/>
    <numFmt numFmtId="49" formatCode="@"/>
    <numFmt numFmtId="2" formatCode="0.00"/>
    <numFmt numFmtId="3" formatCode="#,##0"/>
    <numFmt numFmtId="1" formatCode="0"/>
  </numFmts>
  <fonts count="26">
    <font>
      <name val="Arial"/>
      <family val="2"/>
      <color rgb="FF000000"/>
      <sz val="10"/>
      <extLst>
        <ext uri="smNativeData">
          <pm:charSpec xmlns:pm="smNativeData" id="169528089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28089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280891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280891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280891" ulstyle="none" kern="1">
            <pm:latin face="Arial" sz="160" lang="default" weight="bold"/>
            <pm:cs face="Basic Roman" sz="160" lang="default" weight="bold"/>
            <pm:ea face="Basic Roman" sz="160" lang="default" weight="bold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695280891" ulstyle="none" kern="1">
            <pm:latin face="Calibri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28089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95280891" fgClr="FF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280891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5280891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95280891" ulstyle="none" kern="1">
            <pm:latin face="Arial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95280891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  <font>
      <name val="Arial"/>
      <family val="2"/>
      <color rgb="FF000000"/>
      <sz val="10"/>
      <vertAlign val="subscript"/>
      <extLst>
        <ext uri="smNativeData">
          <pm:charSpec xmlns:pm="smNativeData" id="1695280891" ulstyle="none" kern="1" ssSize="60" ssDistance="-5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695280891" fgClr="FFFFFF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695280891" fgClr="FF00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Tahoma"/>
      <charset val="204"/>
      <family val="2"/>
      <b/>
      <color rgb="FF000000"/>
      <sz val="9"/>
      <extLst>
        <ext uri="smNativeData">
          <pm:charSpec xmlns:pm="smNativeData" id="1695280891" ulstyle="none" kern="1">
            <pm:latin face="Tahoma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Tahoma"/>
      <charset val="204"/>
      <family val="2"/>
      <b/>
      <color rgb="FF000000"/>
      <sz val="9"/>
      <vertAlign val="subscript"/>
      <extLst>
        <ext uri="smNativeData">
          <pm:charSpec xmlns:pm="smNativeData" id="1695280891" ulstyle="none" kern="1" ssSize="60" ssDistance="-5">
            <pm:latin face="Tahoma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Tahoma"/>
      <charset val="204"/>
      <family val="2"/>
      <color rgb="FF000000"/>
      <sz val="9"/>
      <extLst>
        <ext uri="smNativeData">
          <pm:charSpec xmlns:pm="smNativeData" id="1695280891" ulstyle="none" kern="1">
            <pm:latin face="Tahoma" sz="180" lang="default"/>
            <pm:cs face="Basic Roman" sz="180" lang="default"/>
            <pm:ea face="Basic Roman" sz="180" lang="default"/>
          </pm:charSpec>
        </ext>
      </extLst>
    </font>
    <font>
      <name val="Arial"/>
      <family val="2"/>
      <color rgb="FF000000"/>
      <sz val="9"/>
      <extLst>
        <ext uri="smNativeData">
          <pm:charSpec xmlns:pm="smNativeData" id="1695280891" ulstyle="none" kern="1">
            <pm:latin face="Arial" sz="180" lang="default"/>
            <pm:cs face="Basic Roman" sz="180" lang="default"/>
            <pm:ea face="Basic Roman" sz="18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280891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280891" ulstyle="none" kern="1">
            <pm:latin face="Arial" sz="200" lang="default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280891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280891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695280891" ulstyle="none" kern="1">
            <pm:latin face="Calibri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vertAlign val="subscript"/>
      <extLst>
        <ext uri="smNativeData">
          <pm:charSpec xmlns:pm="smNativeData" id="1695280891" ulstyle="none" kern="1" ssSize="60" ssDistance="-5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Times New Roman"/>
      <family val="1"/>
      <color rgb="FF000000"/>
      <sz val="7"/>
      <extLst>
        <ext uri="smNativeData">
          <pm:charSpec xmlns:pm="smNativeData" id="1695280891" ulstyle="none" kern="1">
            <pm:latin face="Times New Roman" sz="140" lang="default"/>
            <pm:cs face="Basic Roman" sz="180" lang="default"/>
            <pm:ea face="Basic Roman" sz="180" lang="default"/>
          </pm:charSpec>
        </ext>
      </extLst>
    </font>
  </fonts>
  <fills count="34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280891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000080"/>
        <bgColor rgb="FFFFFFFF"/>
        <extLst>
          <ext uri="smNativeData">
            <pm:shade xmlns:pm="smNativeData" id="1695280891" type="1" fgLvl="100" fgClr="00000080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FFFFFF"/>
          </ext>
        </extLst>
      </patternFill>
    </fill>
    <fill>
      <patternFill patternType="solid">
        <fgColor rgb="FF2F3B75"/>
        <bgColor rgb="FFFFFFFF"/>
        <extLst>
          <ext uri="smNativeData">
            <pm:shade xmlns:pm="smNativeData" id="1695280891" type="1" fgLvl="100" fgClr="002F3B75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695280891" type="1" fgLvl="100" fgClr="00D9D9D9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280891" type="1" fgLvl="100" fgClr="00EBF1DC" bgLvl="0" bgClr="00FFFFFF"/>
          </ext>
        </extLst>
      </patternFill>
    </fill>
    <fill>
      <patternFill patternType="solid">
        <fgColor rgb="FFFFE593"/>
        <bgColor rgb="FFFFFFFF"/>
        <extLst>
          <ext uri="smNativeData">
            <pm:shade xmlns:pm="smNativeData" id="1695280891" type="1" fgLvl="100" fgClr="00FFE593" bgLvl="0" bgClr="00000000"/>
          </ext>
        </extLst>
      </patternFill>
    </fill>
    <fill>
      <patternFill patternType="solid">
        <fgColor rgb="FFFFE593"/>
        <bgColor rgb="FFFFFFFF"/>
        <extLst>
          <ext uri="smNativeData">
            <pm:shade xmlns:pm="smNativeData" id="1695280891" type="1" fgLvl="100" fgClr="00FFE593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95280891" type="1" fgLvl="100" fgClr="00C2D69A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95280891" type="1" fgLvl="100" fgClr="00C2D69A" bgLvl="0" bgClr="00000000"/>
          </ext>
        </extLst>
      </patternFill>
    </fill>
    <fill>
      <patternFill patternType="solid">
        <fgColor rgb="FFE5E5FF"/>
        <bgColor rgb="FFFFFFFF"/>
        <extLst>
          <ext uri="smNativeData">
            <pm:shade xmlns:pm="smNativeData" id="1695280891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280891" type="1" fgLvl="100" fgClr="00D8D8D8" bgLvl="0" bgClr="00000000"/>
          </ext>
        </extLst>
      </patternFill>
    </fill>
    <fill>
      <patternFill patternType="none"/>
    </fill>
    <fill>
      <patternFill patternType="none"/>
    </fill>
  </fills>
  <borders count="3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5280891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280891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280891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28089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28089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28089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28089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28089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28089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280891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28089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6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6" fillId="0" borderId="0" applyNumberFormat="1" applyFont="1" applyFill="1" applyBorder="1" applyAlignment="1" applyProtection="1"/>
  </cellStyleXfs>
  <cellXfs count="160">
    <xf numFmtId="0" fontId="0" fillId="0" borderId="0" xfId="0"/>
    <xf numFmtId="0" fontId="6" fillId="2" borderId="1" xfId="1"/>
    <xf numFmtId="164" fontId="0" fillId="0" borderId="0" xfId="2"/>
    <xf numFmtId="0" fontId="0" fillId="0" borderId="0" xfId="3"/>
    <xf numFmtId="0" fontId="0" fillId="0" borderId="0" xfId="4"/>
    <xf numFmtId="0" fontId="6" fillId="0" borderId="0" xfId="5"/>
    <xf numFmtId="0" fontId="0" fillId="0" borderId="0" xfId="0"/>
    <xf numFmtId="0" fontId="0" fillId="0" borderId="2" xfId="0" applyFill="1" applyBorder="1"/>
    <xf numFmtId="0" fontId="0" fillId="0" borderId="0" xfId="0" applyAlignment="1">
      <alignment horizontal="left" vertical="top" wrapText="1"/>
    </xf>
    <xf numFmtId="4" fontId="0" fillId="0" borderId="3" xfId="0" applyNumberForma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0" borderId="0" xfId="0" applyFont="1"/>
    <xf numFmtId="49" fontId="0" fillId="0" borderId="3" xfId="0" applyNumberForma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169" fontId="0" fillId="0" borderId="3" xfId="0" applyNumberFormat="1" applyFill="1" applyBorder="1" applyAlignment="1">
      <alignment horizontal="left" vertical="top" wrapText="1"/>
    </xf>
    <xf numFmtId="4" fontId="0" fillId="0" borderId="0" xfId="0" applyNumberFormat="1"/>
    <xf numFmtId="0" fontId="0" fillId="5" borderId="4" xfId="0" applyFill="1" applyBorder="1" applyAlignment="1">
      <alignment horizontal="center" vertical="center" wrapText="1"/>
    </xf>
    <xf numFmtId="0" fontId="8" fillId="6" borderId="5" xfId="0" applyFont="1" applyFill="1" applyAlignment="1">
      <alignment horizontal="left" vertical="top"/>
    </xf>
    <xf numFmtId="0" fontId="0" fillId="5" borderId="4" xfId="0" applyFill="1" applyBorder="1" applyAlignment="1">
      <alignment horizontal="center" vertical="center"/>
    </xf>
    <xf numFmtId="167" fontId="0" fillId="0" borderId="3" xfId="0" applyNumberForma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2" fontId="0" fillId="0" borderId="3" xfId="0" applyNumberFormat="1" applyFill="1" applyBorder="1" applyAlignment="1">
      <alignment horizontal="left" vertical="top" wrapText="1"/>
    </xf>
    <xf numFmtId="165" fontId="0" fillId="0" borderId="3" xfId="0" applyNumberFormat="1" applyFill="1" applyBorder="1" applyAlignment="1">
      <alignment horizontal="left" vertical="top" wrapText="1"/>
    </xf>
    <xf numFmtId="168" fontId="0" fillId="0" borderId="3" xfId="0" applyNumberForma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left" vertical="center" wrapText="1"/>
    </xf>
    <xf numFmtId="49" fontId="0" fillId="7" borderId="6" xfId="0" applyNumberFormat="1" applyFill="1" applyBorder="1" applyAlignment="1">
      <alignment horizontal="center" vertical="center" wrapText="1"/>
    </xf>
    <xf numFmtId="167" fontId="2" fillId="0" borderId="2" xfId="0" applyNumberFormat="1" applyFont="1" applyFill="1" applyBorder="1" applyAlignment="1">
      <alignment horizontal="left" vertical="center"/>
    </xf>
    <xf numFmtId="3" fontId="0" fillId="0" borderId="3" xfId="0" applyNumberFormat="1" applyFill="1" applyBorder="1" applyAlignment="1">
      <alignment horizontal="left" vertical="top" wrapText="1"/>
    </xf>
    <xf numFmtId="167" fontId="2" fillId="0" borderId="2" xfId="0" applyNumberFormat="1" applyFont="1" applyFill="1" applyBorder="1" applyAlignment="1">
      <alignment horizontal="left" vertical="center" wrapText="1"/>
    </xf>
    <xf numFmtId="0" fontId="4" fillId="0" borderId="0" xfId="0" applyFont="1"/>
    <xf numFmtId="0" fontId="3" fillId="0" borderId="0" xfId="0" applyFont="1"/>
    <xf numFmtId="2" fontId="0" fillId="0" borderId="0" xfId="0" applyNumberFormat="1"/>
    <xf numFmtId="0" fontId="8" fillId="8" borderId="7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0" fillId="0" borderId="0" xfId="0" applyFont="1"/>
    <xf numFmtId="0" fontId="8" fillId="0" borderId="0" xfId="0" applyFont="1"/>
    <xf numFmtId="0" fontId="13" fillId="0" borderId="0" xfId="0" applyFont="1"/>
    <xf numFmtId="0" fontId="8" fillId="0" borderId="0" xfId="0" applyFont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2" fontId="0" fillId="0" borderId="2" xfId="0" applyNumberFormat="1" applyFill="1" applyBorder="1"/>
    <xf numFmtId="1" fontId="0" fillId="0" borderId="0" xfId="0" applyNumberFormat="1" applyAlignment="1">
      <alignment horizontal="center" vertical="center"/>
    </xf>
    <xf numFmtId="170" fontId="0" fillId="0" borderId="0" xfId="0" applyNumberFormat="1"/>
    <xf numFmtId="174" fontId="0" fillId="0" borderId="2" xfId="0" applyNumberFormat="1" applyFill="1" applyBorder="1"/>
    <xf numFmtId="169" fontId="0" fillId="0" borderId="0" xfId="0" applyNumberFormat="1"/>
    <xf numFmtId="172" fontId="0" fillId="0" borderId="0" xfId="0" applyNumberFormat="1"/>
    <xf numFmtId="0" fontId="0" fillId="0" borderId="2" xfId="0" applyFill="1" applyBorder="1" applyAlignment="1" applyProtection="1">
      <alignment wrapText="1"/>
      <protection locked="0" hidden="0"/>
    </xf>
    <xf numFmtId="0" fontId="10" fillId="0" borderId="8" xfId="0" applyFont="1" applyFill="1" applyBorder="1"/>
    <xf numFmtId="0" fontId="2" fillId="0" borderId="9" xfId="0" applyFont="1" applyFill="1" applyBorder="1"/>
    <xf numFmtId="0" fontId="0" fillId="0" borderId="10" xfId="0" applyFill="1" applyBorder="1"/>
    <xf numFmtId="0" fontId="2" fillId="0" borderId="8" xfId="0" applyFont="1" applyFill="1" applyBorder="1"/>
    <xf numFmtId="0" fontId="11" fillId="0" borderId="0" xfId="0" applyFont="1"/>
    <xf numFmtId="1" fontId="0" fillId="0" borderId="2" xfId="0" applyNumberFormat="1" applyFill="1" applyBorder="1"/>
    <xf numFmtId="0" fontId="2" fillId="0" borderId="0" xfId="0" applyFont="1" applyProtection="1">
      <protection locked="0" hidden="0"/>
    </xf>
    <xf numFmtId="171" fontId="0" fillId="0" borderId="2" xfId="2" applyNumberFormat="1" applyFill="1" applyBorder="1" applyAlignment="1">
      <alignment horizontal="right"/>
    </xf>
    <xf numFmtId="165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169" fontId="0" fillId="0" borderId="2" xfId="0" applyNumberForma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175" fontId="0" fillId="0" borderId="2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167" fontId="0" fillId="0" borderId="2" xfId="0" applyNumberFormat="1" applyFill="1" applyBorder="1"/>
    <xf numFmtId="165" fontId="0" fillId="0" borderId="2" xfId="0" applyNumberFormat="1" applyFill="1" applyBorder="1"/>
    <xf numFmtId="0" fontId="17" fillId="0" borderId="2" xfId="0" applyFont="1" applyFill="1" applyBorder="1" applyAlignment="1">
      <alignment horizontal="justify" vertical="center" wrapText="1"/>
    </xf>
    <xf numFmtId="0" fontId="15" fillId="12" borderId="11" xfId="0" applyFont="1" applyFill="1" applyBorder="1" applyAlignment="1">
      <alignment horizontal="center" vertical="center" wrapText="1"/>
    </xf>
    <xf numFmtId="171" fontId="15" fillId="0" borderId="2" xfId="2" applyNumberFormat="1" applyFont="1" applyFill="1" applyBorder="1" applyAlignment="1">
      <alignment horizontal="justify" vertical="center" wrapText="1"/>
    </xf>
    <xf numFmtId="1" fontId="2" fillId="0" borderId="2" xfId="0" applyNumberFormat="1" applyFont="1" applyFill="1" applyBorder="1"/>
    <xf numFmtId="0" fontId="18" fillId="0" borderId="10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1" fontId="18" fillId="0" borderId="2" xfId="0" applyNumberFormat="1" applyFon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left" vertical="top"/>
    </xf>
    <xf numFmtId="1" fontId="0" fillId="0" borderId="10" xfId="0" applyNumberFormat="1" applyFill="1" applyBorder="1" applyAlignment="1">
      <alignment horizontal="left" vertical="top" wrapText="1"/>
    </xf>
    <xf numFmtId="166" fontId="0" fillId="0" borderId="3" xfId="0" applyNumberForma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 wrapText="1"/>
    </xf>
    <xf numFmtId="169" fontId="2" fillId="0" borderId="12" xfId="0" applyNumberFormat="1" applyFont="1" applyFill="1" applyBorder="1" applyAlignment="1">
      <alignment horizontal="left" vertical="top" wrapText="1"/>
    </xf>
    <xf numFmtId="0" fontId="2" fillId="0" borderId="12" xfId="0" applyFont="1" applyFill="1" applyBorder="1"/>
    <xf numFmtId="164" fontId="2" fillId="0" borderId="13" xfId="0" applyNumberFormat="1" applyFont="1" applyFill="1" applyBorder="1"/>
    <xf numFmtId="171" fontId="2" fillId="0" borderId="13" xfId="0" applyNumberFormat="1" applyFont="1" applyFill="1" applyBorder="1"/>
    <xf numFmtId="167" fontId="2" fillId="0" borderId="12" xfId="0" applyNumberFormat="1" applyFont="1" applyFill="1" applyBorder="1" applyAlignment="1">
      <alignment horizontal="left" vertical="top" wrapText="1"/>
    </xf>
    <xf numFmtId="0" fontId="0" fillId="0" borderId="3" xfId="0" applyFill="1" applyBorder="1"/>
    <xf numFmtId="167" fontId="0" fillId="15" borderId="14" xfId="1" applyNumberFormat="1" applyFont="1" applyBorder="1"/>
    <xf numFmtId="167" fontId="0" fillId="0" borderId="3" xfId="0" applyNumberFormat="1" applyFill="1" applyBorder="1"/>
    <xf numFmtId="167" fontId="0" fillId="0" borderId="10" xfId="0" applyNumberFormat="1" applyFill="1" applyBorder="1"/>
    <xf numFmtId="167" fontId="2" fillId="0" borderId="12" xfId="0" applyNumberFormat="1" applyFont="1" applyFill="1" applyBorder="1"/>
    <xf numFmtId="167" fontId="2" fillId="0" borderId="13" xfId="0" applyNumberFormat="1" applyFont="1" applyFill="1" applyBorder="1"/>
    <xf numFmtId="2" fontId="2" fillId="0" borderId="12" xfId="0" applyNumberFormat="1" applyFont="1" applyFill="1" applyBorder="1"/>
    <xf numFmtId="165" fontId="2" fillId="0" borderId="12" xfId="0" applyNumberFormat="1" applyFont="1" applyFill="1" applyBorder="1"/>
    <xf numFmtId="172" fontId="2" fillId="0" borderId="12" xfId="0" applyNumberFormat="1" applyFont="1" applyFill="1" applyBorder="1"/>
    <xf numFmtId="3" fontId="0" fillId="0" borderId="10" xfId="0" applyNumberFormat="1" applyFill="1" applyBorder="1" applyAlignment="1">
      <alignment horizontal="left" vertical="top" wrapText="1"/>
    </xf>
    <xf numFmtId="3" fontId="0" fillId="0" borderId="3" xfId="0" applyNumberFormat="1" applyFill="1" applyBorder="1" applyAlignment="1">
      <alignment horizontal="left" vertical="top"/>
    </xf>
    <xf numFmtId="4" fontId="2" fillId="0" borderId="12" xfId="0" applyNumberFormat="1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horizontal="left" wrapText="1"/>
    </xf>
    <xf numFmtId="3" fontId="2" fillId="0" borderId="13" xfId="0" applyNumberFormat="1" applyFont="1" applyFill="1" applyBorder="1" applyAlignment="1">
      <alignment horizontal="left" vertical="top" wrapText="1"/>
    </xf>
    <xf numFmtId="166" fontId="0" fillId="15" borderId="14" xfId="1" applyNumberFormat="1" applyFont="1" applyBorder="1"/>
    <xf numFmtId="166" fontId="2" fillId="0" borderId="12" xfId="0" applyNumberFormat="1" applyFont="1" applyFill="1" applyBorder="1"/>
    <xf numFmtId="0" fontId="2" fillId="0" borderId="13" xfId="0" applyFont="1" applyFill="1" applyBorder="1"/>
    <xf numFmtId="173" fontId="2" fillId="0" borderId="12" xfId="0" applyNumberFormat="1" applyFont="1" applyFill="1" applyBorder="1"/>
    <xf numFmtId="1" fontId="0" fillId="0" borderId="3" xfId="0" applyNumberFormat="1" applyFill="1" applyBorder="1" applyAlignment="1">
      <alignment horizontal="left" vertical="top" wrapText="1"/>
    </xf>
    <xf numFmtId="168" fontId="2" fillId="0" borderId="12" xfId="0" applyNumberFormat="1" applyFont="1" applyFill="1" applyBorder="1" applyAlignment="1">
      <alignment horizontal="left" vertical="top" wrapText="1"/>
    </xf>
    <xf numFmtId="1" fontId="2" fillId="0" borderId="12" xfId="0" applyNumberFormat="1" applyFont="1" applyFill="1" applyBorder="1" applyAlignment="1">
      <alignment horizontal="left" vertical="top" wrapText="1"/>
    </xf>
    <xf numFmtId="1" fontId="2" fillId="0" borderId="13" xfId="0" applyNumberFormat="1" applyFont="1" applyFill="1" applyBorder="1" applyAlignment="1">
      <alignment horizontal="left" vertical="top" wrapText="1"/>
    </xf>
    <xf numFmtId="169" fontId="0" fillId="0" borderId="3" xfId="0" applyNumberFormat="1" applyFill="1" applyBorder="1" applyAlignment="1">
      <alignment horizontal="center" vertical="center" wrapText="1"/>
    </xf>
    <xf numFmtId="3" fontId="0" fillId="0" borderId="10" xfId="0" applyNumberFormat="1" applyFill="1" applyBorder="1" applyAlignment="1">
      <alignment horizontal="right" vertical="top" wrapText="1"/>
    </xf>
    <xf numFmtId="3" fontId="2" fillId="0" borderId="13" xfId="0" applyNumberFormat="1" applyFont="1" applyFill="1" applyBorder="1" applyAlignment="1">
      <alignment horizontal="right" vertical="top" wrapText="1"/>
    </xf>
    <xf numFmtId="0" fontId="8" fillId="0" borderId="0" xfId="0" applyFont="1"/>
    <xf numFmtId="1" fontId="2" fillId="0" borderId="12" xfId="0" applyNumberFormat="1" applyFont="1" applyFill="1" applyBorder="1"/>
    <xf numFmtId="171" fontId="0" fillId="0" borderId="10" xfId="2" applyNumberFormat="1" applyFill="1" applyBorder="1" applyAlignment="1">
      <alignment horizontal="left" vertical="top" wrapText="1"/>
    </xf>
    <xf numFmtId="171" fontId="0" fillId="0" borderId="0" xfId="0" applyNumberFormat="1"/>
    <xf numFmtId="171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/>
    <xf numFmtId="169" fontId="0" fillId="16" borderId="15" xfId="0" applyNumberFormat="1" applyFill="1" applyBorder="1" applyAlignment="1">
      <alignment horizontal="left" vertical="top" wrapText="1"/>
    </xf>
    <xf numFmtId="0" fontId="0" fillId="17" borderId="16" xfId="0" applyFill="1"/>
    <xf numFmtId="169" fontId="0" fillId="18" borderId="17" xfId="0" applyNumberFormat="1" applyFill="1" applyBorder="1" applyAlignment="1">
      <alignment horizontal="left" vertical="top" wrapText="1"/>
    </xf>
    <xf numFmtId="0" fontId="0" fillId="19" borderId="18" xfId="0" applyFill="1"/>
    <xf numFmtId="0" fontId="14" fillId="0" borderId="0" xfId="0" applyFont="1"/>
    <xf numFmtId="0" fontId="0" fillId="20" borderId="19" xfId="0" applyFill="1" applyAlignment="1">
      <alignment horizontal="left" vertical="top" wrapText="1"/>
    </xf>
    <xf numFmtId="0" fontId="2" fillId="20" borderId="19" xfId="0" applyFont="1" applyFill="1" applyAlignment="1">
      <alignment horizontal="left" vertical="top"/>
    </xf>
    <xf numFmtId="0" fontId="0" fillId="20" borderId="19" xfId="0" applyFill="1" applyAlignment="1">
      <alignment horizontal="left" vertical="top"/>
    </xf>
    <xf numFmtId="0" fontId="0" fillId="21" borderId="20" xfId="0" applyFill="1" applyBorder="1" applyAlignment="1" applyProtection="1">
      <alignment horizontal="center" vertical="center" wrapText="1"/>
      <protection locked="0" hidden="0"/>
    </xf>
    <xf numFmtId="0" fontId="0" fillId="22" borderId="21" xfId="0" applyFill="1" applyBorder="1" applyAlignment="1" applyProtection="1">
      <alignment horizontal="center" vertical="center" wrapText="1"/>
      <protection locked="0" hidden="0"/>
    </xf>
    <xf numFmtId="0" fontId="0" fillId="21" borderId="20" xfId="0" applyFill="1" applyBorder="1" applyAlignment="1">
      <alignment horizontal="center" vertical="center" wrapText="1"/>
    </xf>
    <xf numFmtId="0" fontId="0" fillId="22" borderId="21" xfId="0" applyFill="1" applyBorder="1" applyAlignment="1">
      <alignment horizontal="center" vertical="center" wrapText="1"/>
    </xf>
    <xf numFmtId="0" fontId="2" fillId="21" borderId="20" xfId="0" applyFont="1" applyFill="1" applyBorder="1" applyAlignment="1">
      <alignment horizontal="center" vertical="center" wrapText="1"/>
    </xf>
    <xf numFmtId="0" fontId="2" fillId="22" borderId="21" xfId="0" applyFont="1" applyFill="1" applyBorder="1" applyAlignment="1">
      <alignment horizontal="center" vertical="center" wrapText="1"/>
    </xf>
    <xf numFmtId="0" fontId="0" fillId="23" borderId="22" xfId="0" applyFill="1" applyBorder="1" applyAlignment="1">
      <alignment horizontal="center" vertical="center" wrapText="1"/>
    </xf>
    <xf numFmtId="0" fontId="0" fillId="24" borderId="23" xfId="0" applyFill="1" applyBorder="1" applyAlignment="1">
      <alignment horizontal="center" vertical="center" wrapText="1"/>
    </xf>
    <xf numFmtId="0" fontId="0" fillId="25" borderId="24" xfId="0" applyFill="1" applyBorder="1" applyAlignment="1">
      <alignment horizontal="center" vertical="center" wrapText="1"/>
    </xf>
    <xf numFmtId="0" fontId="0" fillId="26" borderId="25" xfId="0" applyFill="1" applyBorder="1" applyAlignment="1">
      <alignment horizontal="center" vertical="center" wrapText="1"/>
    </xf>
    <xf numFmtId="0" fontId="0" fillId="27" borderId="26" xfId="0" applyFill="1" applyBorder="1" applyAlignment="1">
      <alignment horizontal="center" vertical="center" wrapText="1"/>
    </xf>
    <xf numFmtId="0" fontId="0" fillId="28" borderId="27" xfId="0" applyFill="1" applyBorder="1" applyAlignment="1">
      <alignment horizontal="center" vertical="center" wrapText="1"/>
    </xf>
    <xf numFmtId="0" fontId="0" fillId="29" borderId="28" xfId="0" applyFill="1" applyBorder="1" applyAlignment="1">
      <alignment horizontal="center" vertical="center" wrapText="1"/>
    </xf>
    <xf numFmtId="0" fontId="2" fillId="24" borderId="23" xfId="0" applyFont="1" applyFill="1" applyBorder="1" applyAlignment="1">
      <alignment horizontal="center" vertical="center" wrapText="1"/>
    </xf>
    <xf numFmtId="0" fontId="2" fillId="30" borderId="29" xfId="0" applyFont="1" applyFill="1" applyBorder="1" applyAlignment="1">
      <alignment horizontal="center" vertical="center" wrapText="1"/>
    </xf>
    <xf numFmtId="0" fontId="2" fillId="25" borderId="24" xfId="0" applyFont="1" applyFill="1" applyBorder="1" applyAlignment="1">
      <alignment horizontal="center" vertical="center" wrapText="1"/>
    </xf>
    <xf numFmtId="0" fontId="2" fillId="26" borderId="25" xfId="0" applyFont="1" applyFill="1" applyBorder="1" applyAlignment="1">
      <alignment horizontal="center" vertical="center" wrapText="1"/>
    </xf>
    <xf numFmtId="0" fontId="2" fillId="31" borderId="30" xfId="0" applyFont="1" applyFill="1" applyBorder="1" applyAlignment="1">
      <alignment horizontal="center" vertical="center" wrapText="1"/>
    </xf>
    <xf numFmtId="0" fontId="2" fillId="27" borderId="2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8" fillId="8" borderId="7" xfId="0" applyFont="1" applyFill="1" applyAlignment="1">
      <alignment horizontal="left" vertical="center"/>
    </xf>
    <xf numFmtId="0" fontId="0" fillId="23" borderId="22" xfId="0" applyFill="1" applyBorder="1" applyAlignment="1" applyProtection="1">
      <alignment horizontal="center" vertical="center" wrapText="1"/>
      <protection locked="0" hidden="0"/>
    </xf>
    <xf numFmtId="0" fontId="15" fillId="0" borderId="2" xfId="0" applyFont="1" applyFill="1" applyBorder="1" applyAlignment="1">
      <alignment horizontal="justify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justify" vertical="top" wrapText="1"/>
    </xf>
    <xf numFmtId="1" fontId="0" fillId="0" borderId="2" xfId="0" applyNumberFormat="1" applyFill="1" applyBorder="1" applyAlignment="1">
      <alignment horizontal="right"/>
    </xf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dxfs count="1">
    <dxf>
      <fill>
        <patternFill patternType="solid">
          <bgColor rgb="FFF7DEDE"/>
          <extLst>
            <ext uri="smNativeData">
              <pm:shade xmlns:pm="smNativeData" id="1695280891" type="1" fgLvl="13" fgClr="00C00000" bgLvl="100" bgClr="00FFFFFF"/>
            </ext>
          </extLst>
        </patternFill>
      </fill>
    </dxf>
  </dxfs>
  <tableStyles count="0"/>
  <extLst>
    <ext uri="smNativeData">
      <pm:charStyles xmlns:pm="smNativeData" id="1695280891" count="1">
        <pm:charStyle name="Normal" fontId="0" Id="1"/>
      </pm:charStyles>
      <pm:colors xmlns:pm="smNativeData" id="1695280891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271145</xdr:colOff>
      <xdr:row>1</xdr:row>
      <xdr:rowOff>128270</xdr:rowOff>
    </xdr:to>
    <xdr:sp macro="" fLocksText="0">
      <xdr:nvSpPr>
        <xdr:cNvPr id="3" name="CommandButton1" hidden="1"/>
        <xdr:cNvSpPr>
          <a:extLst>
            <a:ext uri="smNativeData">
              <pm:smNativeData xmlns:pm="smNativeData" val="SMDATA_13_++4LZRMAAAAlAAAAZAAAAIw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w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AEAAAABAAAAAQOzAAAAAAAAAAAAcgUAANcBAAABAAAA"/>
            </a:ext>
          </a:extLst>
        </xdr:cNvSpPr>
      </xdr:nvSpPr>
      <xdr:spPr>
        <a:xfrm>
          <a:off x="0" y="0"/>
          <a:ext cx="885190" cy="2990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0</xdr:colOff>
      <xdr:row>21</xdr:row>
      <xdr:rowOff>123825</xdr:rowOff>
    </xdr:from>
    <xdr:to>
      <xdr:col>1</xdr:col>
      <xdr:colOff>255905</xdr:colOff>
      <xdr:row>23</xdr:row>
      <xdr:rowOff>80645</xdr:rowOff>
    </xdr:to>
    <xdr:sp macro="" fLocksText="0">
      <xdr:nvSpPr>
        <xdr:cNvPr id="2" name="CommandButton1" hidden="1"/>
        <xdr:cNvSpPr>
          <a:extLst>
            <a:ext uri="smNativeData">
              <pm:smNativeData xmlns:pm="smNativeData" val="SMDATA_13_++4LZRMAAAAlAAAAZAAAAIw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w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AAAAA5gIAABcAAAABAAAA4wGpAAAAAACSIAAAWgUAANYBAAABAAAA"/>
            </a:ext>
          </a:extLst>
        </xdr:cNvSpPr>
      </xdr:nvSpPr>
      <xdr:spPr>
        <a:xfrm>
          <a:off x="0" y="5294630"/>
          <a:ext cx="869950" cy="2984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K23"/>
  <sheetViews>
    <sheetView view="normal" zoomScale="70" workbookViewId="0">
      <selection activeCell="B35" sqref="B35"/>
    </sheetView>
  </sheetViews>
  <sheetFormatPr defaultRowHeight="13.45"/>
  <cols>
    <col min="1" max="1" width="11.144144" customWidth="1" style="6"/>
    <col min="2" max="2" width="35.711712" customWidth="1" style="6"/>
    <col min="3" max="3" width="28.855856" customWidth="1" style="6"/>
    <col min="4" max="4" width="37.423423" customWidth="1" style="6"/>
    <col min="5" max="11" width="17.855856" customWidth="1" style="6"/>
    <col min="12" max="16384" width="9.144144" style="6"/>
  </cols>
  <sheetData>
    <row r="2" spans="1:11">
      <c r="A2" s="21" t="str">
        <f>UPPER("Количественное определение ВПГ при стационарном сжигании дизельного топлива")</f>
        <v>КОЛИЧЕСТВЕННОЕ ОПРЕДЕЛЕНИЕ ВПГ ПРИ СТАЦИОНАРНОМ СЖИГАНИИ ДИЗЕЛЬНОГО ТОПЛИВА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9.90" customHeight="1">
      <c r="A4" s="128" t="s">
        <v>0</v>
      </c>
      <c r="B4" s="128"/>
      <c r="C4" s="129"/>
      <c r="D4" s="129"/>
      <c r="E4" s="129"/>
      <c r="F4" s="129"/>
      <c r="G4" s="129"/>
      <c r="H4" s="129"/>
      <c r="I4" s="129"/>
      <c r="J4" s="129"/>
      <c r="K4" s="129"/>
    </row>
    <row r="5" spans="1:11">
      <c r="A5" s="8"/>
      <c r="B5" s="8"/>
      <c r="C5" s="10"/>
      <c r="D5" s="10"/>
      <c r="E5" s="10"/>
      <c r="F5" s="10"/>
      <c r="G5" s="10"/>
      <c r="H5" s="10"/>
      <c r="I5" s="10"/>
      <c r="J5" s="10"/>
      <c r="K5" s="10"/>
    </row>
    <row r="6" spans="1:11" ht="13.15" customHeight="1">
      <c r="A6" s="128" t="s">
        <v>1</v>
      </c>
      <c r="B6" s="128"/>
      <c r="C6" s="130"/>
      <c r="D6" s="130"/>
      <c r="E6" s="130"/>
      <c r="F6" s="130"/>
      <c r="G6" s="130"/>
      <c r="H6" s="130"/>
      <c r="I6" s="130"/>
      <c r="J6" s="130"/>
      <c r="K6" s="130"/>
    </row>
    <row r="8" spans="1:11">
      <c r="A8" s="131"/>
      <c r="B8" s="133" t="s">
        <v>2</v>
      </c>
      <c r="C8" s="133" t="s">
        <v>3</v>
      </c>
      <c r="D8" s="133" t="s">
        <v>4</v>
      </c>
      <c r="E8" s="133" t="s">
        <v>5</v>
      </c>
      <c r="F8" s="133" t="s">
        <v>6</v>
      </c>
      <c r="G8" s="133" t="s">
        <v>7</v>
      </c>
      <c r="H8" s="133" t="s">
        <v>8</v>
      </c>
      <c r="I8" s="133" t="s">
        <v>9</v>
      </c>
      <c r="J8" s="135" t="s">
        <v>10</v>
      </c>
      <c r="K8" s="133" t="s">
        <v>11</v>
      </c>
    </row>
    <row r="9" spans="1:11" ht="108" customHeight="1">
      <c r="A9" s="132"/>
      <c r="B9" s="134"/>
      <c r="C9" s="134"/>
      <c r="D9" s="134"/>
      <c r="E9" s="134"/>
      <c r="F9" s="134"/>
      <c r="G9" s="137"/>
      <c r="H9" s="134"/>
      <c r="I9" s="134"/>
      <c r="J9" s="136"/>
      <c r="K9" s="134"/>
    </row>
    <row r="10" spans="1:11">
      <c r="A10" s="12"/>
      <c r="B10" s="12" t="s">
        <v>12</v>
      </c>
      <c r="C10" s="12" t="s">
        <v>13</v>
      </c>
      <c r="D10" s="24"/>
      <c r="E10" s="24" t="s">
        <v>14</v>
      </c>
      <c r="F10" s="80" t="n">
        <v>0.1</v>
      </c>
      <c r="G10" s="25" t="n">
        <v>42.5</v>
      </c>
      <c r="H10" s="26">
        <f>'стац.сжиг._дизтопливо'!$F10*'стац.сжиг._дизтопливо'!$G10</f>
        <v>4.25</v>
      </c>
      <c r="I10" s="24">
        <f>1</f>
        <v>1</v>
      </c>
      <c r="J10" s="24" t="n">
        <v>74.0999999999999801</v>
      </c>
      <c r="K10" s="81">
        <f>ROUND('стац.сжиг._дизтопливо'!$H10*'стац.сжиг._дизтопливо'!$I10*'стац.сжиг._дизтопливо'!$J10,0)</f>
        <v>315</v>
      </c>
    </row>
    <row r="11" spans="1:11">
      <c r="A11" s="12"/>
      <c r="B11" s="12" t="s">
        <v>12</v>
      </c>
      <c r="C11" s="12" t="s">
        <v>13</v>
      </c>
      <c r="D11" s="24"/>
      <c r="E11" s="24" t="s">
        <v>14</v>
      </c>
      <c r="F11" s="80" t="n">
        <v>2</v>
      </c>
      <c r="G11" s="25" t="n">
        <v>42.5</v>
      </c>
      <c r="H11" s="26">
        <f>'стац.сжиг._дизтопливо'!$F11*'стац.сжиг._дизтопливо'!$G11</f>
        <v>85</v>
      </c>
      <c r="I11" s="24">
        <f>1</f>
        <v>1</v>
      </c>
      <c r="J11" s="24" t="n">
        <v>74.0999999999999801</v>
      </c>
      <c r="K11" s="81">
        <f>ROUND('стац.сжиг._дизтопливо'!$H11*'стац.сжиг._дизтопливо'!$I11*'стац.сжиг._дизтопливо'!$J11,0)</f>
        <v>6299</v>
      </c>
    </row>
    <row r="12" spans="1:11">
      <c r="A12" s="12"/>
      <c r="B12" s="12" t="s">
        <v>12</v>
      </c>
      <c r="C12" s="12" t="s">
        <v>13</v>
      </c>
      <c r="D12" s="24"/>
      <c r="E12" s="24" t="s">
        <v>14</v>
      </c>
      <c r="F12" s="80" t="n">
        <v>3</v>
      </c>
      <c r="G12" s="25" t="n">
        <v>42.5</v>
      </c>
      <c r="H12" s="26">
        <f>'стац.сжиг._дизтопливо'!$F12*'стац.сжиг._дизтопливо'!$G12</f>
        <v>127.5</v>
      </c>
      <c r="I12" s="24">
        <f>1</f>
        <v>1</v>
      </c>
      <c r="J12" s="24" t="n">
        <v>74.0999999999999801</v>
      </c>
      <c r="K12" s="81">
        <f>ROUND('стац.сжиг._дизтопливо'!$H12*'стац.сжиг._дизтопливо'!$I12*'стац.сжиг._дизтопливо'!$J12,0)</f>
        <v>9448</v>
      </c>
    </row>
    <row r="13" spans="1:11">
      <c r="A13" s="12"/>
      <c r="B13" s="12" t="s">
        <v>12</v>
      </c>
      <c r="C13" s="12" t="s">
        <v>13</v>
      </c>
      <c r="D13" s="24"/>
      <c r="E13" s="24" t="s">
        <v>14</v>
      </c>
      <c r="F13" s="80" t="n">
        <v>6</v>
      </c>
      <c r="G13" s="25" t="n">
        <v>42.5</v>
      </c>
      <c r="H13" s="26">
        <f>'стац.сжиг._дизтопливо'!$F13*'стац.сжиг._дизтопливо'!$G13</f>
        <v>255</v>
      </c>
      <c r="I13" s="24">
        <f>1</f>
        <v>1</v>
      </c>
      <c r="J13" s="24" t="n">
        <v>74.0999999999999801</v>
      </c>
      <c r="K13" s="81">
        <f>ROUND('стац.сжиг._дизтопливо'!$H13*'стац.сжиг._дизтопливо'!$I13*'стац.сжиг._дизтопливо'!$J13,0)</f>
        <v>18896</v>
      </c>
    </row>
    <row r="14" spans="1:11">
      <c r="A14" s="12"/>
      <c r="B14" s="12" t="s">
        <v>12</v>
      </c>
      <c r="C14" s="12" t="s">
        <v>13</v>
      </c>
      <c r="D14" s="24"/>
      <c r="E14" s="24" t="s">
        <v>14</v>
      </c>
      <c r="F14" s="80" t="n">
        <v>8</v>
      </c>
      <c r="G14" s="25" t="n">
        <v>42.5</v>
      </c>
      <c r="H14" s="26">
        <f>'стац.сжиг._дизтопливо'!$F14*'стац.сжиг._дизтопливо'!$G14</f>
        <v>340</v>
      </c>
      <c r="I14" s="24">
        <f>1</f>
        <v>1</v>
      </c>
      <c r="J14" s="24" t="n">
        <v>74.0999999999999801</v>
      </c>
      <c r="K14" s="81">
        <f>ROUND('стац.сжиг._дизтопливо'!$H14*'стац.сжиг._дизтопливо'!$I14*'стац.сжиг._дизтопливо'!$J14,0)</f>
        <v>25194</v>
      </c>
    </row>
    <row r="15" spans="1:11">
      <c r="A15" s="12"/>
      <c r="B15" s="12" t="s">
        <v>12</v>
      </c>
      <c r="C15" s="12" t="s">
        <v>13</v>
      </c>
      <c r="D15" s="24"/>
      <c r="E15" s="24" t="s">
        <v>14</v>
      </c>
      <c r="F15" s="80" t="n">
        <v>0.1</v>
      </c>
      <c r="G15" s="25" t="n">
        <v>42.5</v>
      </c>
      <c r="H15" s="26">
        <f>'стац.сжиг._дизтопливо'!$F15*'стац.сжиг._дизтопливо'!$G15</f>
        <v>4.25</v>
      </c>
      <c r="I15" s="24">
        <f>1</f>
        <v>1</v>
      </c>
      <c r="J15" s="24" t="n">
        <v>74.0999999999999801</v>
      </c>
      <c r="K15" s="81">
        <f>ROUND('стац.сжиг._дизтопливо'!$H15*'стац.сжиг._дизтопливо'!$I15*'стац.сжиг._дизтопливо'!$J15,0)</f>
        <v>315</v>
      </c>
    </row>
    <row r="16" spans="1:11">
      <c r="A16" s="12"/>
      <c r="B16" s="12" t="s">
        <v>12</v>
      </c>
      <c r="C16" s="12" t="s">
        <v>13</v>
      </c>
      <c r="D16" s="24"/>
      <c r="E16" s="24" t="s">
        <v>14</v>
      </c>
      <c r="F16" s="82" t="n">
        <v>0.5</v>
      </c>
      <c r="G16" s="25" t="n">
        <v>42.5</v>
      </c>
      <c r="H16" s="26">
        <f>'стац.сжиг._дизтопливо'!$F16*'стац.сжиг._дизтопливо'!$G16</f>
        <v>21.25</v>
      </c>
      <c r="I16" s="24">
        <f>1</f>
        <v>1</v>
      </c>
      <c r="J16" s="24" t="n">
        <v>74.0999999999999801</v>
      </c>
      <c r="K16" s="81">
        <f>ROUND('стац.сжиг._дизтопливо'!$H16*'стац.сжиг._дизтопливо'!$I16*'стац.сжиг._дизтопливо'!$J16,0)</f>
        <v>1575</v>
      </c>
    </row>
    <row r="17" spans="1:11">
      <c r="A17" s="12"/>
      <c r="B17" s="12" t="s">
        <v>15</v>
      </c>
      <c r="C17" s="12" t="s">
        <v>13</v>
      </c>
      <c r="D17" s="24"/>
      <c r="E17" s="24" t="s">
        <v>14</v>
      </c>
      <c r="F17" s="18" t="n">
        <v>0.1</v>
      </c>
      <c r="G17" s="25" t="n">
        <v>42.5</v>
      </c>
      <c r="H17" s="26">
        <f>'стац.сжиг._дизтопливо'!$F17*'стац.сжиг._дизтопливо'!$G17</f>
        <v>4.25</v>
      </c>
      <c r="I17" s="24">
        <f>1</f>
        <v>1</v>
      </c>
      <c r="J17" s="24" t="n">
        <v>74.0999999999999801</v>
      </c>
      <c r="K17" s="81">
        <f>ROUND('стац.сжиг._дизтопливо'!$H17*'стац.сжиг._дизтопливо'!$I17*'стац.сжиг._дизтопливо'!$J17,0)</f>
        <v>315</v>
      </c>
    </row>
    <row r="18" spans="1:11">
      <c r="A18" s="12"/>
      <c r="B18" s="12" t="s">
        <v>16</v>
      </c>
      <c r="C18" s="12" t="s">
        <v>13</v>
      </c>
      <c r="D18" s="24"/>
      <c r="E18" s="24" t="s">
        <v>14</v>
      </c>
      <c r="F18" s="18" t="n">
        <v>0.1</v>
      </c>
      <c r="G18" s="25" t="n">
        <v>42.5</v>
      </c>
      <c r="H18" s="26">
        <f>'стац.сжиг._дизтопливо'!$F18*'стац.сжиг._дизтопливо'!$G18</f>
        <v>4.25</v>
      </c>
      <c r="I18" s="24">
        <f>1</f>
        <v>1</v>
      </c>
      <c r="J18" s="24" t="n">
        <v>74.0999999999999801</v>
      </c>
      <c r="K18" s="81">
        <f>ROUND('стац.сжиг._дизтопливо'!$H18*'стац.сжиг._дизтопливо'!$I18*'стац.сжиг._дизтопливо'!$J18,0)</f>
        <v>315</v>
      </c>
    </row>
    <row r="19" spans="1:11">
      <c r="A19" s="12"/>
      <c r="B19" s="12" t="s">
        <v>16</v>
      </c>
      <c r="C19" s="12" t="s">
        <v>13</v>
      </c>
      <c r="D19" s="24"/>
      <c r="E19" s="24" t="s">
        <v>14</v>
      </c>
      <c r="F19" s="18" t="n">
        <v>0.1</v>
      </c>
      <c r="G19" s="25" t="n">
        <v>42.5</v>
      </c>
      <c r="H19" s="26">
        <f>'стац.сжиг._дизтопливо'!$F19*'стац.сжиг._дизтопливо'!$G19</f>
        <v>4.25</v>
      </c>
      <c r="I19" s="24">
        <f>1</f>
        <v>1</v>
      </c>
      <c r="J19" s="24" t="n">
        <v>74.0999999999999801</v>
      </c>
      <c r="K19" s="81">
        <f>ROUND('стац.сжиг._дизтопливо'!$H19*'стац.сжиг._дизтопливо'!$I19*'стац.сжиг._дизтопливо'!$J19,0)</f>
        <v>315</v>
      </c>
    </row>
    <row r="20" spans="1:11">
      <c r="A20" s="12"/>
      <c r="B20" s="12" t="s">
        <v>16</v>
      </c>
      <c r="C20" s="12" t="s">
        <v>13</v>
      </c>
      <c r="D20" s="24"/>
      <c r="E20" s="24" t="s">
        <v>14</v>
      </c>
      <c r="F20" s="18" t="n">
        <v>0.1</v>
      </c>
      <c r="G20" s="25" t="n">
        <v>42.5</v>
      </c>
      <c r="H20" s="26">
        <f>'стац.сжиг._дизтопливо'!$F20*'стац.сжиг._дизтопливо'!$G20</f>
        <v>4.25</v>
      </c>
      <c r="I20" s="24">
        <f>1</f>
        <v>1</v>
      </c>
      <c r="J20" s="24" t="n">
        <v>74.0999999999999801</v>
      </c>
      <c r="K20" s="81">
        <f>ROUND('стац.сжиг._дизтопливо'!$H20*'стац.сжиг._дизтопливо'!$I20*'стац.сжиг._дизтопливо'!$J20,0)</f>
        <v>315</v>
      </c>
    </row>
    <row r="21" spans="1:11">
      <c r="A21" s="12"/>
      <c r="B21" s="12" t="s">
        <v>16</v>
      </c>
      <c r="C21" s="12" t="s">
        <v>13</v>
      </c>
      <c r="D21" s="24"/>
      <c r="E21" s="24" t="s">
        <v>14</v>
      </c>
      <c r="F21" s="18" t="n">
        <v>0.1</v>
      </c>
      <c r="G21" s="25" t="n">
        <v>42.5</v>
      </c>
      <c r="H21" s="26">
        <f>'стац.сжиг._дизтопливо'!$F21*'стац.сжиг._дизтопливо'!$G21</f>
        <v>4.25</v>
      </c>
      <c r="I21" s="24">
        <f>1</f>
        <v>1</v>
      </c>
      <c r="J21" s="24" t="n">
        <v>74.0999999999999801</v>
      </c>
      <c r="K21" s="81">
        <f>ROUND('стац.сжиг._дизтопливо'!$H21*'стац.сжиг._дизтопливо'!$I21*'стац.сжиг._дизтопливо'!$J21,0)</f>
        <v>315</v>
      </c>
    </row>
    <row r="22" spans="1:11">
      <c r="A22" s="83" t="s">
        <v>17</v>
      </c>
      <c r="B22" s="83"/>
      <c r="C22" s="83"/>
      <c r="D22" s="83"/>
      <c r="E22" s="83"/>
      <c r="F22" s="84">
        <f>SUBTOTAL(109,'стац.сжиг._дизтопливо'!$F$10:$F$21)</f>
        <v>20.1999999999999993</v>
      </c>
      <c r="G22" s="83"/>
      <c r="H22" s="85"/>
      <c r="I22" s="83"/>
      <c r="J22" s="83"/>
      <c r="K22" s="86">
        <f>SUBTOTAL(109,'стац.сжиг._дизтопливо'!$K$10:$K$21)</f>
        <v>63617</v>
      </c>
    </row>
    <row r="23" spans="1:11">
      <c r="A23" s="8"/>
      <c r="B23" s="8"/>
      <c r="C23" s="8"/>
      <c r="D23" s="8"/>
      <c r="E23" s="8"/>
      <c r="F23" s="8"/>
      <c r="G23" s="8"/>
      <c r="H23"/>
      <c r="I23" s="8"/>
      <c r="J23" s="8"/>
      <c r="K23"/>
    </row>
  </sheetData>
  <mergeCells count="14">
    <mergeCell ref="A2:K2"/>
    <mergeCell ref="A4:K4"/>
    <mergeCell ref="A6:K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dataValidations count="2">
    <dataValidation sqref="F10:F21" type="decimal" operator="greaterThan" errorStyle="stop" allowBlank="1" showInputMessage="1" showErrorMessage="1" error="Данные вводятся в числовом формате (&gt;0)." view="0">
      <formula1>0</formula1>
      <formula2/>
    </dataValidation>
    <dataValidation sqref="I10:I21" type="whole" operator="equal" errorStyle="stop" allowBlank="1" showInputMessage="1" showErrorMessage="1" error="Принимается для всех видов газообразного, жидкого и твердого топлива по умолчанию равным 1,0 (соответствует 100% окислению топлива) независимо от применяемых процессов стационарного сжигания топлива, кроме факельного." view="0">
      <formula1>1</formula1>
      <formula2/>
    </dataValidation>
  </dataValidation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K15"/>
  <sheetViews>
    <sheetView view="normal" zoomScale="70" workbookViewId="0">
      <selection activeCell="F32" sqref="F32"/>
    </sheetView>
  </sheetViews>
  <sheetFormatPr defaultRowHeight="13.45"/>
  <cols>
    <col min="1" max="1" width="11.144144" customWidth="1" style="6"/>
    <col min="2" max="2" width="16.000000" customWidth="1" style="6"/>
    <col min="3" max="6" width="17.855856" customWidth="1" style="6"/>
    <col min="7" max="7" width="20.855856" customWidth="1" style="6"/>
    <col min="8" max="11" width="17.855856" customWidth="1" style="6"/>
    <col min="12" max="16384" width="9.144144" style="6"/>
  </cols>
  <sheetData>
    <row r="2" spans="1:11">
      <c r="A2" s="21" t="str">
        <f>UPPER("Количественное определение ВПГ при стационарном сжигании нефти")</f>
        <v>КОЛИЧЕСТВЕННОЕ ОПРЕДЕЛЕНИЕ ВПГ ПРИ СТАЦИОНАРНОМ СЖИГАНИИ НЕФТИ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5.10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2.15" customHeight="1">
      <c r="A4" s="128" t="s">
        <v>0</v>
      </c>
      <c r="B4" s="128"/>
      <c r="C4" s="129"/>
      <c r="D4" s="129"/>
      <c r="E4" s="129"/>
      <c r="F4" s="129"/>
      <c r="G4" s="129"/>
      <c r="H4" s="129"/>
      <c r="I4" s="129"/>
      <c r="J4" s="129"/>
      <c r="K4" s="129"/>
    </row>
    <row r="5" spans="1:11" ht="5.10" customHeight="1">
      <c r="A5" s="8"/>
      <c r="B5" s="8"/>
      <c r="C5" s="10"/>
      <c r="D5" s="10"/>
      <c r="E5" s="10"/>
      <c r="F5" s="10"/>
      <c r="G5" s="10"/>
      <c r="H5" s="10"/>
      <c r="I5" s="10"/>
      <c r="J5" s="10"/>
      <c r="K5" s="10"/>
    </row>
    <row r="6" spans="1:11" ht="30" customHeight="1">
      <c r="A6" s="128" t="s">
        <v>1</v>
      </c>
      <c r="B6" s="128"/>
      <c r="C6" s="130"/>
      <c r="D6" s="130"/>
      <c r="E6" s="130"/>
      <c r="F6" s="130"/>
      <c r="G6" s="130"/>
      <c r="H6" s="130"/>
      <c r="I6" s="130"/>
      <c r="J6" s="130"/>
      <c r="K6" s="130"/>
    </row>
    <row r="8" spans="1:11" ht="102" customHeight="1">
      <c r="A8" s="133"/>
      <c r="B8" s="133" t="s">
        <v>2</v>
      </c>
      <c r="C8" s="133" t="s">
        <v>3</v>
      </c>
      <c r="D8" s="133" t="s">
        <v>4</v>
      </c>
      <c r="E8" s="133" t="s">
        <v>5</v>
      </c>
      <c r="F8" s="133" t="s">
        <v>6</v>
      </c>
      <c r="G8" s="133" t="s">
        <v>7</v>
      </c>
      <c r="H8" s="133" t="s">
        <v>8</v>
      </c>
      <c r="I8" s="133" t="s">
        <v>9</v>
      </c>
      <c r="J8" s="135" t="s">
        <v>10</v>
      </c>
      <c r="K8" s="133" t="s">
        <v>11</v>
      </c>
    </row>
    <row r="9" spans="1:11" ht="26.45" customHeight="1">
      <c r="A9" s="134"/>
      <c r="B9" s="134"/>
      <c r="C9" s="134"/>
      <c r="D9" s="134"/>
      <c r="E9" s="134"/>
      <c r="F9" s="134"/>
      <c r="G9" s="137"/>
      <c r="H9" s="134"/>
      <c r="I9" s="134"/>
      <c r="J9" s="136"/>
      <c r="K9" s="134"/>
    </row>
    <row r="10" spans="1:11">
      <c r="A10" s="12"/>
      <c r="B10" s="12" t="s">
        <v>12</v>
      </c>
      <c r="C10" s="12" t="s">
        <v>18</v>
      </c>
      <c r="D10" s="24" t="s">
        <v>19</v>
      </c>
      <c r="E10" s="24" t="s">
        <v>20</v>
      </c>
      <c r="F10" s="18" t="n">
        <v>0.1</v>
      </c>
      <c r="G10" s="25" t="n">
        <v>41.8999999999999986</v>
      </c>
      <c r="H10" s="26">
        <f>'стац.сжиг._нефть'!$F10*'стац.сжиг._нефть'!$G10</f>
        <v>4.19000000000000039</v>
      </c>
      <c r="I10" s="24">
        <f>1</f>
        <v>1</v>
      </c>
      <c r="J10" s="24" t="n">
        <v>73.2999999999999972</v>
      </c>
      <c r="K10" s="81">
        <f>ROUND('стац.сжиг._нефть'!$H10*'стац.сжиг._нефть'!$I10*'стац.сжиг._нефть'!$J10,0)</f>
        <v>307</v>
      </c>
    </row>
    <row r="11" spans="1:11">
      <c r="A11" s="12"/>
      <c r="B11" s="12" t="s">
        <v>16</v>
      </c>
      <c r="C11" s="12" t="s">
        <v>21</v>
      </c>
      <c r="D11" s="24" t="s">
        <v>22</v>
      </c>
      <c r="E11" s="24" t="s">
        <v>20</v>
      </c>
      <c r="F11" s="18" t="n">
        <v>0.1</v>
      </c>
      <c r="G11" s="25" t="n">
        <v>41.8999999999999986</v>
      </c>
      <c r="H11" s="26">
        <f>'стац.сжиг._нефть'!$F11*'стац.сжиг._нефть'!$G11</f>
        <v>4.19000000000000039</v>
      </c>
      <c r="I11" s="24">
        <f>1</f>
        <v>1</v>
      </c>
      <c r="J11" s="24" t="n">
        <v>73.2999999999999972</v>
      </c>
      <c r="K11" s="81">
        <f>ROUND('стац.сжиг._нефть'!$H11*'стац.сжиг._нефть'!$I11*'стац.сжиг._нефть'!$J11,0)</f>
        <v>307</v>
      </c>
    </row>
    <row r="12" spans="1:11">
      <c r="A12" s="12"/>
      <c r="B12" s="12" t="s">
        <v>16</v>
      </c>
      <c r="C12" s="12" t="s">
        <v>23</v>
      </c>
      <c r="D12" s="24" t="s">
        <v>24</v>
      </c>
      <c r="E12" s="24" t="s">
        <v>20</v>
      </c>
      <c r="F12" s="18" t="n">
        <v>0.1</v>
      </c>
      <c r="G12" s="25" t="n">
        <v>41.8999999999999986</v>
      </c>
      <c r="H12" s="26">
        <f>'стац.сжиг._нефть'!$F12*'стац.сжиг._нефть'!$G12</f>
        <v>4.19000000000000039</v>
      </c>
      <c r="I12" s="24">
        <f>1</f>
        <v>1</v>
      </c>
      <c r="J12" s="24" t="n">
        <v>73.2999999999999972</v>
      </c>
      <c r="K12" s="81">
        <f>ROUND('стац.сжиг._нефть'!$H12*'стац.сжиг._нефть'!$I12*'стац.сжиг._нефть'!$J12,0)</f>
        <v>307</v>
      </c>
    </row>
    <row r="13" spans="1:11">
      <c r="A13" s="12"/>
      <c r="B13" s="12" t="s">
        <v>16</v>
      </c>
      <c r="C13" s="12" t="s">
        <v>23</v>
      </c>
      <c r="D13" s="24" t="s">
        <v>24</v>
      </c>
      <c r="E13" s="24" t="s">
        <v>20</v>
      </c>
      <c r="F13" s="18" t="n">
        <v>2</v>
      </c>
      <c r="G13" s="25" t="n">
        <v>41.8999999999999986</v>
      </c>
      <c r="H13" s="26">
        <f>'стац.сжиг._нефть'!$F13*'стац.сжиг._нефть'!$G13</f>
        <v>83.7999999999999972</v>
      </c>
      <c r="I13" s="24">
        <f>1</f>
        <v>1</v>
      </c>
      <c r="J13" s="24" t="n">
        <v>73.2999999999999972</v>
      </c>
      <c r="K13" s="81">
        <f>ROUND('стац.сжиг._нефть'!$H13*'стац.сжиг._нефть'!$I13*'стац.сжиг._нефть'!$J13,0)</f>
        <v>6143</v>
      </c>
    </row>
    <row r="14" spans="1:11">
      <c r="A14" s="83" t="s">
        <v>17</v>
      </c>
      <c r="B14" s="83"/>
      <c r="C14" s="83"/>
      <c r="D14" s="83"/>
      <c r="E14" s="83"/>
      <c r="F14" s="84">
        <f>SUBTOTAL(109,'стац.сжиг._нефть'!$F$10:$F$13)</f>
        <v>2.29999999999999982</v>
      </c>
      <c r="G14" s="83"/>
      <c r="H14" s="85"/>
      <c r="I14" s="83"/>
      <c r="J14" s="83"/>
      <c r="K14" s="87">
        <f>SUBTOTAL(109,'стац.сжиг._нефть'!$K$10:$K$13)</f>
        <v>7064</v>
      </c>
    </row>
    <row r="15" spans="1:11">
      <c r="A15" s="8"/>
      <c r="B15" s="8"/>
      <c r="C15" s="8"/>
      <c r="D15" s="8"/>
      <c r="E15" s="8"/>
      <c r="F15" s="8"/>
      <c r="G15" s="8"/>
      <c r="H15"/>
      <c r="I15" s="8"/>
      <c r="J15" s="8"/>
      <c r="K15"/>
    </row>
  </sheetData>
  <mergeCells count="14">
    <mergeCell ref="A2:K2"/>
    <mergeCell ref="A4:K4"/>
    <mergeCell ref="A6:K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dataValidations count="2">
    <dataValidation sqref="F10:F13" type="decimal" operator="greaterThan" errorStyle="stop" allowBlank="1" showInputMessage="1" showErrorMessage="1" error="Данные вводятся в числовом формате (&gt;0)." view="0">
      <formula1>0</formula1>
      <formula2/>
    </dataValidation>
    <dataValidation sqref="I10:I13" type="whole" operator="equal" errorStyle="stop" allowBlank="1" showInputMessage="1" showErrorMessage="1" error="Принимается для всех видов газообразного, жидкого и твердого топлива по умолчанию равным 1,0 (соответствует 100% окислению топлива) независимо от применяемых процессов стационарного сжигания топлива, кроме факельного." view="0">
      <formula1>1</formula1>
      <formula2/>
    </dataValidation>
  </dataValidation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K23"/>
  <sheetViews>
    <sheetView view="normal" zoomScale="90" workbookViewId="0">
      <selection activeCell="C11" sqref="C11"/>
    </sheetView>
  </sheetViews>
  <sheetFormatPr defaultRowHeight="13.45"/>
  <cols>
    <col min="1" max="1" width="11.144144" customWidth="1" style="6"/>
    <col min="2" max="2" width="15.711712" customWidth="1" style="6"/>
    <col min="3" max="8" width="17.855856" customWidth="1" style="6"/>
    <col min="9" max="16384" width="9.144144" style="6"/>
  </cols>
  <sheetData>
    <row r="2" spans="1:11">
      <c r="A2" s="21" t="str">
        <f>UPPER("Количественное определение ВПГ при стационарном сжигании топлива")</f>
        <v>КОЛИЧЕСТВЕННОЕ ОПРЕДЕЛЕНИЕ ВПГ ПРИ СТАЦИОНАРНОМ СЖИГАНИИ ТОПЛИВА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8" ht="5.10" customHeight="1">
      <c r="A3" s="10"/>
      <c r="B3" s="10"/>
      <c r="C3" s="10"/>
      <c r="D3" s="10"/>
      <c r="E3" s="10"/>
      <c r="F3" s="10"/>
      <c r="G3" s="10"/>
      <c r="H3" s="10"/>
    </row>
    <row r="4" spans="1:11" ht="16.90" customHeight="1">
      <c r="A4" s="128" t="s">
        <v>0</v>
      </c>
      <c r="B4" s="128"/>
      <c r="C4" s="129"/>
      <c r="D4" s="129"/>
      <c r="E4" s="129"/>
      <c r="F4" s="129"/>
      <c r="G4" s="129"/>
      <c r="H4" s="129"/>
      <c r="I4" s="129"/>
      <c r="J4" s="129"/>
      <c r="K4" s="129"/>
    </row>
    <row r="5" spans="1:11" ht="5.10" customHeight="1">
      <c r="A5" s="8"/>
      <c r="B5" s="8"/>
      <c r="C5" s="10"/>
      <c r="D5" s="10"/>
      <c r="E5" s="10"/>
      <c r="F5" s="10"/>
      <c r="G5" s="10"/>
      <c r="H5" s="10"/>
      <c r="I5" s="10"/>
      <c r="J5" s="10"/>
      <c r="K5" s="10"/>
    </row>
    <row r="6" spans="1:11" ht="42.75" customHeight="1">
      <c r="A6" s="128" t="s">
        <v>1</v>
      </c>
      <c r="B6" s="128"/>
      <c r="C6" s="130"/>
      <c r="D6" s="130"/>
      <c r="E6" s="130"/>
      <c r="F6" s="130"/>
      <c r="G6" s="130"/>
      <c r="H6" s="130"/>
      <c r="I6" s="130"/>
      <c r="J6" s="130"/>
      <c r="K6" s="130"/>
    </row>
    <row r="8" spans="1:8" ht="102" customHeight="1">
      <c r="A8" s="133"/>
      <c r="B8" s="133" t="s">
        <v>2</v>
      </c>
      <c r="C8" s="133" t="s">
        <v>3</v>
      </c>
      <c r="D8" s="133" t="s">
        <v>4</v>
      </c>
      <c r="E8" s="133" t="s">
        <v>25</v>
      </c>
      <c r="F8" s="133" t="s">
        <v>9</v>
      </c>
      <c r="G8" s="135" t="s">
        <v>26</v>
      </c>
      <c r="H8" s="133" t="s">
        <v>11</v>
      </c>
    </row>
    <row r="9" spans="1:8">
      <c r="A9" s="134"/>
      <c r="B9" s="134"/>
      <c r="C9" s="134"/>
      <c r="D9" s="134"/>
      <c r="E9" s="134"/>
      <c r="F9" s="134"/>
      <c r="G9" s="136"/>
      <c r="H9" s="134"/>
    </row>
    <row r="10" spans="1:8">
      <c r="A10" s="12"/>
      <c r="B10" s="12" t="s">
        <v>12</v>
      </c>
      <c r="C10" s="12" t="s">
        <v>27</v>
      </c>
      <c r="D10" s="24" t="s">
        <v>28</v>
      </c>
      <c r="E10" s="18" t="n">
        <v>10000</v>
      </c>
      <c r="F10" s="9">
        <f>1</f>
        <v>1</v>
      </c>
      <c r="G10" s="23">
        <f>'расчет_коэф._стацион.сжигание'!H40</f>
        <v>3.39480000000000004</v>
      </c>
      <c r="H10" s="117">
        <f>ROUND('стац.сжиг._ПНГ'!$E10*'стац.сжиг._ПНГ'!$F10*'стац.сжиг._ПНГ'!$G10,0)</f>
        <v>33948</v>
      </c>
    </row>
    <row r="11" spans="1:8">
      <c r="A11" s="12"/>
      <c r="B11" s="12" t="s">
        <v>12</v>
      </c>
      <c r="C11" s="12" t="s">
        <v>29</v>
      </c>
      <c r="D11" s="24" t="s">
        <v>30</v>
      </c>
      <c r="E11" s="18" t="n">
        <v>10000</v>
      </c>
      <c r="F11" s="9">
        <f>1</f>
        <v>1</v>
      </c>
      <c r="G11" s="23">
        <f>'расчет_коэф._стацион.сжигание'!$N$40</f>
        <v>2.09149999999999991</v>
      </c>
      <c r="H11" s="117">
        <f>ROUND('стац.сжиг._ПНГ'!$E11*'стац.сжиг._ПНГ'!$F11*'стац.сжиг._ПНГ'!$G11,0)</f>
        <v>20915</v>
      </c>
    </row>
    <row r="12" spans="1:8">
      <c r="A12" s="12"/>
      <c r="B12" s="12" t="s">
        <v>12</v>
      </c>
      <c r="C12" s="12" t="s">
        <v>31</v>
      </c>
      <c r="D12" s="24" t="s">
        <v>32</v>
      </c>
      <c r="E12" s="18" t="n">
        <v>10000</v>
      </c>
      <c r="F12" s="9">
        <f>1</f>
        <v>1</v>
      </c>
      <c r="G12" s="23">
        <f>'расчет_коэф._стацион.сжигание'!$Z$40</f>
        <v>2.3873000000000002</v>
      </c>
      <c r="H12" s="117">
        <f>ROUND('стац.сжиг._ПНГ'!$E12*'стац.сжиг._ПНГ'!$F12*'стац.сжиг._ПНГ'!$G12,0)</f>
        <v>23873</v>
      </c>
    </row>
    <row r="13" spans="1:8">
      <c r="A13" s="12"/>
      <c r="B13" s="12" t="s">
        <v>12</v>
      </c>
      <c r="C13" s="12" t="s">
        <v>33</v>
      </c>
      <c r="D13" s="24" t="s">
        <v>34</v>
      </c>
      <c r="E13" s="18" t="n">
        <v>10000</v>
      </c>
      <c r="F13" s="9">
        <f>1</f>
        <v>1</v>
      </c>
      <c r="G13" s="23">
        <f>'расчет_коэф._стацион.сжигание'!T40</f>
        <v>2.38540000000000019</v>
      </c>
      <c r="H13" s="117">
        <f>ROUND('стац.сжиг._ПНГ'!$E13*'стац.сжиг._ПНГ'!$F13*'стац.сжиг._ПНГ'!$G13,0)</f>
        <v>23854</v>
      </c>
    </row>
    <row r="14" spans="1:8">
      <c r="A14" s="12"/>
      <c r="B14" s="12" t="s">
        <v>12</v>
      </c>
      <c r="C14" s="12" t="s">
        <v>35</v>
      </c>
      <c r="D14" s="24" t="s">
        <v>34</v>
      </c>
      <c r="E14" s="18" t="n">
        <v>10000</v>
      </c>
      <c r="F14" s="9">
        <f>1</f>
        <v>1</v>
      </c>
      <c r="G14" s="23">
        <f>'расчет_коэф._стацион.сжигание'!T40</f>
        <v>2.38540000000000019</v>
      </c>
      <c r="H14" s="117">
        <f>ROUND('стац.сжиг._ПНГ'!$E14*'стац.сжиг._ПНГ'!$F14*'стац.сжиг._ПНГ'!$G14,0)</f>
        <v>23854</v>
      </c>
    </row>
    <row r="15" spans="1:8">
      <c r="A15" s="12"/>
      <c r="B15" s="12" t="s">
        <v>36</v>
      </c>
      <c r="C15" s="12" t="s">
        <v>37</v>
      </c>
      <c r="D15" s="24" t="s">
        <v>22</v>
      </c>
      <c r="E15" s="18" t="n">
        <v>10000</v>
      </c>
      <c r="F15" s="9">
        <f>1</f>
        <v>1</v>
      </c>
      <c r="G15" s="23">
        <f>'расчет_коэф._стацион.сжигание'!$B$40</f>
        <v>2.29899999999999993</v>
      </c>
      <c r="H15" s="117">
        <f>ROUND('стац.сжиг._ПНГ'!$E15*'стац.сжиг._ПНГ'!$F15*'стац.сжиг._ПНГ'!$G15,0)</f>
        <v>22990</v>
      </c>
    </row>
    <row r="16" spans="1:8">
      <c r="A16" s="12"/>
      <c r="B16" s="12" t="s">
        <v>36</v>
      </c>
      <c r="C16" s="12" t="s">
        <v>38</v>
      </c>
      <c r="D16" s="24" t="s">
        <v>22</v>
      </c>
      <c r="E16" s="18" t="n">
        <v>1000</v>
      </c>
      <c r="F16" s="9">
        <f>1</f>
        <v>1</v>
      </c>
      <c r="G16" s="23">
        <f>'расчет_коэф._стацион.сжигание'!$B$40</f>
        <v>2.29899999999999993</v>
      </c>
      <c r="H16" s="117">
        <f>ROUND('стац.сжиг._ПНГ'!$E16*'стац.сжиг._ПНГ'!$F16*'стац.сжиг._ПНГ'!$G16,0)</f>
        <v>2299</v>
      </c>
    </row>
    <row r="17" spans="1:8">
      <c r="A17" s="12"/>
      <c r="B17" s="12" t="s">
        <v>39</v>
      </c>
      <c r="C17" s="12" t="s">
        <v>40</v>
      </c>
      <c r="D17" s="24" t="s">
        <v>22</v>
      </c>
      <c r="E17" s="18" t="n">
        <v>10000</v>
      </c>
      <c r="F17" s="9">
        <f>1</f>
        <v>1</v>
      </c>
      <c r="G17" s="23">
        <f>'расчет_коэф._стацион.сжигание'!$B$40</f>
        <v>2.29899999999999993</v>
      </c>
      <c r="H17" s="117">
        <f>ROUND('стац.сжиг._ПНГ'!$E17*'стац.сжиг._ПНГ'!$F17*'стац.сжиг._ПНГ'!$G17,0)</f>
        <v>22990</v>
      </c>
    </row>
    <row r="18" spans="1:8">
      <c r="A18" s="12"/>
      <c r="B18" s="12" t="s">
        <v>39</v>
      </c>
      <c r="C18" s="12" t="s">
        <v>41</v>
      </c>
      <c r="D18" s="24" t="s">
        <v>22</v>
      </c>
      <c r="E18" s="18" t="n">
        <v>10000</v>
      </c>
      <c r="F18" s="9">
        <f>1</f>
        <v>1</v>
      </c>
      <c r="G18" s="23">
        <f>'расчет_коэф._стацион.сжигание'!$B$40</f>
        <v>2.29899999999999993</v>
      </c>
      <c r="H18" s="117">
        <f>ROUND('стац.сжиг._ПНГ'!$E18*'стац.сжиг._ПНГ'!$F18*'стац.сжиг._ПНГ'!$G18,0)</f>
        <v>22990</v>
      </c>
    </row>
    <row r="19" spans="1:8">
      <c r="A19" s="12"/>
      <c r="B19" s="12" t="s">
        <v>39</v>
      </c>
      <c r="C19" s="12" t="s">
        <v>27</v>
      </c>
      <c r="D19" s="24" t="s">
        <v>28</v>
      </c>
      <c r="E19" s="18" t="n">
        <v>10000</v>
      </c>
      <c r="F19" s="9">
        <f>1</f>
        <v>1</v>
      </c>
      <c r="G19" s="23">
        <f>'расчет_коэф._стацион.сжигание'!$B$40</f>
        <v>2.29899999999999993</v>
      </c>
      <c r="H19" s="117">
        <f>ROUND('стац.сжиг._ПНГ'!$E19*'стац.сжиг._ПНГ'!$F19*'стац.сжиг._ПНГ'!$G19,0)</f>
        <v>22990</v>
      </c>
    </row>
    <row r="20" spans="1:8">
      <c r="A20" s="83" t="s">
        <v>17</v>
      </c>
      <c r="B20" s="83"/>
      <c r="C20" s="83"/>
      <c r="D20" s="83"/>
      <c r="E20" s="88">
        <f>SUBTOTAL(109,'стац.сжиг._ПНГ'!$E$10:$E$19)</f>
        <v>91000</v>
      </c>
      <c r="F20" s="88"/>
      <c r="G20" s="88"/>
      <c r="H20" s="87">
        <f>SUBTOTAL(109,'стац.сжиг._ПНГ'!$H$10:$H$19)</f>
        <v>220703</v>
      </c>
    </row>
    <row r="21" spans="1:8">
      <c r="A21" s="8"/>
      <c r="B21" s="8"/>
      <c r="C21" s="8"/>
      <c r="D21" s="8"/>
      <c r="E21" s="8"/>
      <c r="F21" s="8"/>
      <c r="G21" s="8"/>
      <c r="H21"/>
    </row>
    <row r="23" spans="8:8">
      <c r="H23" s="119"/>
    </row>
  </sheetData>
  <mergeCells count="11">
    <mergeCell ref="A2:G2"/>
    <mergeCell ref="A4:K4"/>
    <mergeCell ref="A6:K6"/>
    <mergeCell ref="A8:A9"/>
    <mergeCell ref="B8:B9"/>
    <mergeCell ref="C8:C9"/>
    <mergeCell ref="D8:D9"/>
    <mergeCell ref="E8:E9"/>
    <mergeCell ref="F8:F9"/>
    <mergeCell ref="G8:G9"/>
    <mergeCell ref="H8:H9"/>
  </mergeCells>
  <dataValidations count="2">
    <dataValidation sqref="E10:E19" type="decimal" operator="greaterThan" errorStyle="stop" allowBlank="1" showInputMessage="1" showErrorMessage="1" error="Данные вводятся в числовом формате (&gt;0)." view="0">
      <formula1>0</formula1>
      <formula2/>
    </dataValidation>
    <dataValidation sqref="F10:F19" type="whole" operator="equal" errorStyle="stop" allowBlank="1" showInputMessage="1" showErrorMessage="1" error="Принимается для всех видов газообразного, жидкого и твердого топлива по умолчанию равным 1,0 (соответствует 100% окислению топлива) независимо от применяемых процессов стационарного сжигания топлива, кроме факельного." view="0">
      <formula1>1</formula1>
      <formula2/>
    </dataValidation>
  </dataValidation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AC40"/>
  <sheetViews>
    <sheetView view="normal" zoomScale="80" workbookViewId="0">
      <selection activeCell="G51" sqref="G51"/>
    </sheetView>
  </sheetViews>
  <sheetFormatPr defaultRowHeight="13.45"/>
  <cols>
    <col min="1" max="1" width="41.423423" customWidth="1"/>
    <col min="2" max="5" width="20.711712" customWidth="1"/>
    <col min="7" max="7" width="41.423423" customWidth="1"/>
    <col min="8" max="11" width="20.711712" customWidth="1"/>
    <col min="13" max="13" width="41.423423" customWidth="1"/>
    <col min="14" max="17" width="20.711712" customWidth="1"/>
    <col min="19" max="19" width="41.423423" customWidth="1"/>
    <col min="20" max="23" width="20.711712" customWidth="1"/>
    <col min="25" max="25" width="41.423423" customWidth="1"/>
    <col min="26" max="29" width="20.288288" customWidth="1"/>
  </cols>
  <sheetData>
    <row r="2" spans="1:5">
      <c r="A2" s="21" t="s">
        <v>42</v>
      </c>
      <c r="B2" s="21"/>
      <c r="C2" s="21"/>
      <c r="D2" s="21"/>
      <c r="E2" s="21"/>
    </row>
    <row r="4" spans="1:27" ht="34.90" customHeight="1">
      <c r="A4" s="15" t="s">
        <v>43</v>
      </c>
      <c r="B4" s="28" t="s">
        <v>44</v>
      </c>
      <c r="C4" s="6"/>
      <c r="G4" s="15" t="s">
        <v>43</v>
      </c>
      <c r="H4" s="28" t="s">
        <v>44</v>
      </c>
      <c r="I4" s="6"/>
      <c r="M4" s="15" t="s">
        <v>43</v>
      </c>
      <c r="N4" s="28" t="s">
        <v>44</v>
      </c>
      <c r="O4" s="6"/>
      <c r="S4" s="15" t="s">
        <v>43</v>
      </c>
      <c r="T4" s="28" t="s">
        <v>44</v>
      </c>
      <c r="U4" s="6"/>
      <c r="Y4" s="15" t="s">
        <v>43</v>
      </c>
      <c r="Z4" s="28" t="s">
        <v>44</v>
      </c>
      <c r="AA4" s="6"/>
    </row>
    <row r="5" spans="1:26">
      <c r="A5" s="8"/>
      <c r="B5" s="16"/>
      <c r="G5" s="8"/>
      <c r="H5" s="16"/>
      <c r="M5" s="8"/>
      <c r="N5" s="16"/>
      <c r="S5" s="8"/>
      <c r="T5" s="16"/>
      <c r="Y5" s="8"/>
      <c r="Z5" s="16"/>
    </row>
    <row r="6" spans="1:26" ht="16.90" customHeight="1">
      <c r="A6" s="15" t="s">
        <v>45</v>
      </c>
      <c r="B6" s="28" t="s">
        <v>46</v>
      </c>
      <c r="G6" s="15" t="s">
        <v>45</v>
      </c>
      <c r="H6" s="28" t="s">
        <v>47</v>
      </c>
      <c r="M6" s="15" t="s">
        <v>45</v>
      </c>
      <c r="N6" s="28" t="s">
        <v>48</v>
      </c>
      <c r="S6" s="15" t="s">
        <v>45</v>
      </c>
      <c r="T6" s="28" t="s">
        <v>49</v>
      </c>
      <c r="Y6" s="15" t="s">
        <v>45</v>
      </c>
      <c r="Z6" s="28" t="s">
        <v>29</v>
      </c>
    </row>
    <row r="7" spans="1:26">
      <c r="A7" s="8"/>
      <c r="B7" s="16"/>
      <c r="G7" s="8"/>
      <c r="H7" s="16"/>
      <c r="M7" s="8"/>
      <c r="N7" s="16"/>
      <c r="S7" s="8"/>
      <c r="T7" s="16"/>
      <c r="Y7" s="8"/>
      <c r="Z7" s="16"/>
    </row>
    <row r="8" spans="1:26" ht="41.45" customHeight="1">
      <c r="A8" s="15" t="s">
        <v>50</v>
      </c>
      <c r="B8" s="28"/>
      <c r="G8" s="15" t="s">
        <v>50</v>
      </c>
      <c r="H8" s="28"/>
      <c r="M8" s="15" t="s">
        <v>50</v>
      </c>
      <c r="N8" s="28"/>
      <c r="S8" s="15" t="s">
        <v>50</v>
      </c>
      <c r="T8" s="28"/>
      <c r="Y8" s="15" t="s">
        <v>50</v>
      </c>
      <c r="Z8" s="28"/>
    </row>
    <row r="9" spans="1:26">
      <c r="A9" s="8"/>
      <c r="B9" s="16"/>
      <c r="G9" s="8"/>
      <c r="H9" s="16"/>
      <c r="M9" s="8"/>
      <c r="N9" s="16"/>
      <c r="S9" s="8"/>
      <c r="T9" s="16"/>
      <c r="Y9" s="8"/>
      <c r="Z9" s="16"/>
    </row>
    <row r="10" spans="1:26" ht="30" customHeight="1">
      <c r="A10" s="15" t="s">
        <v>51</v>
      </c>
      <c r="B10" s="33"/>
      <c r="G10" s="15" t="s">
        <v>51</v>
      </c>
      <c r="H10" s="33"/>
      <c r="M10" s="15" t="s">
        <v>51</v>
      </c>
      <c r="N10" s="33"/>
      <c r="S10" s="15" t="s">
        <v>51</v>
      </c>
      <c r="T10" s="33"/>
      <c r="Y10" s="15" t="s">
        <v>51</v>
      </c>
      <c r="Z10" s="33"/>
    </row>
    <row r="11" spans="1:26">
      <c r="A11" s="13"/>
      <c r="B11" s="13"/>
      <c r="G11" s="13"/>
      <c r="H11" s="13"/>
      <c r="M11" s="13"/>
      <c r="N11" s="13"/>
      <c r="S11" s="13"/>
      <c r="T11" s="13"/>
      <c r="Y11" s="13"/>
      <c r="Z11" s="13"/>
    </row>
    <row r="12" spans="1:25" s="6" customFormat="1">
      <c r="A12" s="6" t="s">
        <v>52</v>
      </c>
      <c r="G12" s="6" t="s">
        <v>53</v>
      </c>
      <c r="M12" s="6" t="s">
        <v>54</v>
      </c>
      <c r="S12" s="6" t="s">
        <v>55</v>
      </c>
      <c r="Y12" s="6" t="s">
        <v>56</v>
      </c>
    </row>
    <row r="14" spans="1:29">
      <c r="A14" s="30" t="s">
        <v>57</v>
      </c>
      <c r="B14" s="30" t="s">
        <v>58</v>
      </c>
      <c r="C14" s="30" t="s">
        <v>59</v>
      </c>
      <c r="D14" s="30" t="s">
        <v>60</v>
      </c>
      <c r="E14" s="30" t="s">
        <v>61</v>
      </c>
      <c r="G14" s="30" t="s">
        <v>57</v>
      </c>
      <c r="H14" s="30" t="s">
        <v>58</v>
      </c>
      <c r="I14" s="30" t="s">
        <v>59</v>
      </c>
      <c r="J14" s="30" t="s">
        <v>60</v>
      </c>
      <c r="K14" s="30" t="s">
        <v>61</v>
      </c>
      <c r="M14" s="30" t="s">
        <v>57</v>
      </c>
      <c r="N14" s="30" t="s">
        <v>58</v>
      </c>
      <c r="O14" s="30" t="s">
        <v>59</v>
      </c>
      <c r="P14" s="30" t="s">
        <v>60</v>
      </c>
      <c r="Q14" s="30" t="s">
        <v>61</v>
      </c>
      <c r="S14" s="30" t="s">
        <v>57</v>
      </c>
      <c r="T14" s="30" t="s">
        <v>58</v>
      </c>
      <c r="U14" s="30" t="s">
        <v>59</v>
      </c>
      <c r="V14" s="30" t="s">
        <v>60</v>
      </c>
      <c r="W14" s="30" t="s">
        <v>61</v>
      </c>
      <c r="Y14" s="30" t="s">
        <v>57</v>
      </c>
      <c r="Z14" s="30" t="s">
        <v>58</v>
      </c>
      <c r="AA14" s="30" t="s">
        <v>59</v>
      </c>
      <c r="AB14" s="30" t="s">
        <v>60</v>
      </c>
      <c r="AC14" s="30" t="s">
        <v>61</v>
      </c>
    </row>
    <row r="15" spans="1:29">
      <c r="A15" s="89" t="s">
        <v>62</v>
      </c>
      <c r="B15" s="89" t="s">
        <v>63</v>
      </c>
      <c r="C15" s="90" t="n">
        <v>2.31999999999999984</v>
      </c>
      <c r="D15" s="91" t="n">
        <v>1</v>
      </c>
      <c r="E15" s="92">
        <f>C15*D15</f>
        <v>2.31999999999999984</v>
      </c>
      <c r="G15" s="89" t="s">
        <v>62</v>
      </c>
      <c r="H15" s="89" t="s">
        <v>63</v>
      </c>
      <c r="I15" s="90" t="n">
        <v>4.32000000000000028</v>
      </c>
      <c r="J15" s="91" t="n">
        <v>1</v>
      </c>
      <c r="K15" s="92">
        <f>I15*J15</f>
        <v>4.32000000000000028</v>
      </c>
      <c r="M15" s="89" t="s">
        <v>62</v>
      </c>
      <c r="N15" s="89" t="s">
        <v>63</v>
      </c>
      <c r="O15" s="90" t="n">
        <v>1.40999999999999996</v>
      </c>
      <c r="P15" s="91" t="n">
        <v>1</v>
      </c>
      <c r="Q15" s="92">
        <f>O15*P15</f>
        <v>1.40999999999999996</v>
      </c>
      <c r="S15" s="89" t="s">
        <v>62</v>
      </c>
      <c r="T15" s="89" t="s">
        <v>63</v>
      </c>
      <c r="U15" s="90" t="n">
        <v>3.5</v>
      </c>
      <c r="V15" s="91" t="n">
        <v>1</v>
      </c>
      <c r="W15" s="92">
        <f>U15*V15</f>
        <v>3.5</v>
      </c>
      <c r="Y15" s="89" t="s">
        <v>62</v>
      </c>
      <c r="Z15" s="89" t="s">
        <v>63</v>
      </c>
      <c r="AA15" s="90" t="n">
        <v>2.08000000000000007</v>
      </c>
      <c r="AB15" s="91" t="n">
        <v>1</v>
      </c>
      <c r="AC15" s="92">
        <f>AA15*AB15</f>
        <v>2.08000000000000007</v>
      </c>
    </row>
    <row r="16" spans="1:29">
      <c r="A16" s="89" t="s">
        <v>64</v>
      </c>
      <c r="B16" s="89" t="s">
        <v>65</v>
      </c>
      <c r="C16" s="90" t="n">
        <v>1.08000000000000007</v>
      </c>
      <c r="D16" s="91" t="n">
        <v>0</v>
      </c>
      <c r="E16" s="92">
        <f>C16*D16</f>
        <v>0</v>
      </c>
      <c r="G16" s="89" t="s">
        <v>64</v>
      </c>
      <c r="H16" s="89" t="s">
        <v>65</v>
      </c>
      <c r="I16" s="90" t="n">
        <v>0.114000000000000012</v>
      </c>
      <c r="J16" s="91" t="n">
        <v>0</v>
      </c>
      <c r="K16" s="92">
        <f>I16*J16</f>
        <v>0</v>
      </c>
      <c r="M16" s="89" t="s">
        <v>64</v>
      </c>
      <c r="N16" s="89" t="s">
        <v>65</v>
      </c>
      <c r="O16" s="90" t="n">
        <v>0.195999999999999996</v>
      </c>
      <c r="P16" s="91" t="n">
        <v>0</v>
      </c>
      <c r="Q16" s="92">
        <f>O16*P16</f>
        <v>0</v>
      </c>
      <c r="S16" s="89" t="s">
        <v>64</v>
      </c>
      <c r="T16" s="89" t="s">
        <v>65</v>
      </c>
      <c r="U16" s="90" t="n">
        <v>0.8</v>
      </c>
      <c r="V16" s="91" t="n">
        <v>0</v>
      </c>
      <c r="W16" s="92">
        <f>U16*V16</f>
        <v>0</v>
      </c>
      <c r="Y16" s="89" t="s">
        <v>64</v>
      </c>
      <c r="Z16" s="89" t="s">
        <v>65</v>
      </c>
      <c r="AA16" s="90" t="n">
        <v>0.152000000000000002</v>
      </c>
      <c r="AB16" s="91" t="n">
        <v>0</v>
      </c>
      <c r="AC16" s="92">
        <f>AA16*AB16</f>
        <v>0</v>
      </c>
    </row>
    <row r="17" spans="1:29">
      <c r="A17" s="89" t="s">
        <v>66</v>
      </c>
      <c r="B17" s="89" t="s">
        <v>67</v>
      </c>
      <c r="C17" s="90" t="n">
        <v>14.1999999999999993</v>
      </c>
      <c r="D17" s="91" t="n">
        <v>0</v>
      </c>
      <c r="E17" s="92">
        <f>C17*D17</f>
        <v>0</v>
      </c>
      <c r="G17" s="89" t="s">
        <v>66</v>
      </c>
      <c r="H17" s="89" t="s">
        <v>67</v>
      </c>
      <c r="I17" s="90" t="n">
        <v>7.70000000000000018</v>
      </c>
      <c r="J17" s="91" t="n">
        <v>0</v>
      </c>
      <c r="K17" s="92">
        <f>I17*J17</f>
        <v>0</v>
      </c>
      <c r="M17" s="89" t="s">
        <v>66</v>
      </c>
      <c r="N17" s="89" t="s">
        <v>67</v>
      </c>
      <c r="O17" s="90" t="n">
        <v>15.4000000000000004</v>
      </c>
      <c r="P17" s="91" t="n">
        <v>0</v>
      </c>
      <c r="Q17" s="92">
        <f>O17*P17</f>
        <v>0</v>
      </c>
      <c r="S17" s="89" t="s">
        <v>66</v>
      </c>
      <c r="T17" s="89" t="s">
        <v>67</v>
      </c>
      <c r="U17" s="90" t="n">
        <v>17.1000000000000014</v>
      </c>
      <c r="V17" s="91" t="n">
        <v>0</v>
      </c>
      <c r="W17" s="92">
        <f>U17*V17</f>
        <v>0</v>
      </c>
      <c r="Y17" s="89" t="s">
        <v>66</v>
      </c>
      <c r="Z17" s="89" t="s">
        <v>67</v>
      </c>
      <c r="AA17" s="90" t="n">
        <v>13.0999999999999996</v>
      </c>
      <c r="AB17" s="91" t="n">
        <v>0</v>
      </c>
      <c r="AC17" s="92">
        <f>AA17*AB17</f>
        <v>0</v>
      </c>
    </row>
    <row r="18" spans="1:29">
      <c r="A18" s="89" t="s">
        <v>68</v>
      </c>
      <c r="B18" s="89" t="s">
        <v>69</v>
      </c>
      <c r="C18" s="90" t="n">
        <v>0.180100000000000016</v>
      </c>
      <c r="D18" s="91" t="n">
        <v>0</v>
      </c>
      <c r="E18" s="92">
        <f>C18*D18</f>
        <v>0</v>
      </c>
      <c r="G18" s="89" t="s">
        <v>68</v>
      </c>
      <c r="H18" s="89" t="s">
        <v>69</v>
      </c>
      <c r="I18" s="90" t="n">
        <v>0.420000000000000018</v>
      </c>
      <c r="J18" s="91" t="n">
        <v>0</v>
      </c>
      <c r="K18" s="92">
        <f>I18*J18</f>
        <v>0</v>
      </c>
      <c r="M18" s="89" t="s">
        <v>68</v>
      </c>
      <c r="N18" s="89" t="s">
        <v>69</v>
      </c>
      <c r="O18" s="90" t="n">
        <v>0.0105000000000000004</v>
      </c>
      <c r="P18" s="91" t="n">
        <v>0</v>
      </c>
      <c r="Q18" s="92">
        <f>O18*P18</f>
        <v>0</v>
      </c>
      <c r="S18" s="89" t="s">
        <v>68</v>
      </c>
      <c r="T18" s="89" t="s">
        <v>69</v>
      </c>
      <c r="U18" s="90" t="n">
        <v>0.0233000000000000007</v>
      </c>
      <c r="V18" s="91" t="n">
        <v>0</v>
      </c>
      <c r="W18" s="92">
        <f>U18*V18</f>
        <v>0</v>
      </c>
      <c r="Y18" s="89" t="s">
        <v>68</v>
      </c>
      <c r="Z18" s="89" t="s">
        <v>69</v>
      </c>
      <c r="AA18" s="90" t="n">
        <v>0.078100000000000005</v>
      </c>
      <c r="AB18" s="91" t="n">
        <v>0</v>
      </c>
      <c r="AC18" s="92">
        <f>AA18*AB18</f>
        <v>0</v>
      </c>
    </row>
    <row r="19" spans="1:29">
      <c r="A19" s="89" t="s">
        <v>70</v>
      </c>
      <c r="B19" s="89" t="s">
        <v>71</v>
      </c>
      <c r="C19" s="90"/>
      <c r="D19" s="91" t="n">
        <v>0</v>
      </c>
      <c r="E19" s="92">
        <f>C19*D19</f>
        <v>0</v>
      </c>
      <c r="G19" s="89" t="s">
        <v>70</v>
      </c>
      <c r="H19" s="89" t="s">
        <v>71</v>
      </c>
      <c r="I19" s="90"/>
      <c r="J19" s="91" t="n">
        <v>0</v>
      </c>
      <c r="K19" s="92">
        <f>I19*J19</f>
        <v>0</v>
      </c>
      <c r="M19" s="89" t="s">
        <v>70</v>
      </c>
      <c r="N19" s="89" t="s">
        <v>71</v>
      </c>
      <c r="O19" s="90"/>
      <c r="P19" s="91" t="n">
        <v>0</v>
      </c>
      <c r="Q19" s="92">
        <f>O19*P19</f>
        <v>0</v>
      </c>
      <c r="S19" s="89" t="s">
        <v>70</v>
      </c>
      <c r="T19" s="89" t="s">
        <v>71</v>
      </c>
      <c r="U19" s="90"/>
      <c r="V19" s="91" t="n">
        <v>0</v>
      </c>
      <c r="W19" s="92">
        <f>U19*V19</f>
        <v>0</v>
      </c>
      <c r="Y19" s="89" t="s">
        <v>70</v>
      </c>
      <c r="Z19" s="89" t="s">
        <v>71</v>
      </c>
      <c r="AA19" s="90"/>
      <c r="AB19" s="91" t="n">
        <v>0</v>
      </c>
      <c r="AC19" s="92">
        <f>AA19*AB19</f>
        <v>0</v>
      </c>
    </row>
    <row r="20" spans="1:29">
      <c r="A20" s="89" t="s">
        <v>72</v>
      </c>
      <c r="B20" s="89" t="s">
        <v>73</v>
      </c>
      <c r="C20" s="90"/>
      <c r="D20" s="91" t="n">
        <v>0</v>
      </c>
      <c r="E20" s="92">
        <f>C20*D20</f>
        <v>0</v>
      </c>
      <c r="G20" s="89" t="s">
        <v>72</v>
      </c>
      <c r="H20" s="89" t="s">
        <v>73</v>
      </c>
      <c r="I20" s="90"/>
      <c r="J20" s="91" t="n">
        <v>0</v>
      </c>
      <c r="K20" s="92">
        <f>I20*J20</f>
        <v>0</v>
      </c>
      <c r="M20" s="89" t="s">
        <v>72</v>
      </c>
      <c r="N20" s="89" t="s">
        <v>73</v>
      </c>
      <c r="O20" s="90"/>
      <c r="P20" s="91" t="n">
        <v>0</v>
      </c>
      <c r="Q20" s="92">
        <f>O20*P20</f>
        <v>0</v>
      </c>
      <c r="S20" s="89" t="s">
        <v>72</v>
      </c>
      <c r="T20" s="89" t="s">
        <v>73</v>
      </c>
      <c r="U20" s="90"/>
      <c r="V20" s="91" t="n">
        <v>0</v>
      </c>
      <c r="W20" s="92">
        <f>U20*V20</f>
        <v>0</v>
      </c>
      <c r="Y20" s="89" t="s">
        <v>72</v>
      </c>
      <c r="Z20" s="89" t="s">
        <v>73</v>
      </c>
      <c r="AA20" s="90"/>
      <c r="AB20" s="91" t="n">
        <v>0</v>
      </c>
      <c r="AC20" s="92">
        <f>AA20*AB20</f>
        <v>0</v>
      </c>
    </row>
    <row r="21" spans="1:29">
      <c r="A21" s="89" t="s">
        <v>74</v>
      </c>
      <c r="B21" s="89" t="s">
        <v>75</v>
      </c>
      <c r="C21" s="90"/>
      <c r="D21" s="91" t="n">
        <v>0</v>
      </c>
      <c r="E21" s="92">
        <f>C21*D21</f>
        <v>0</v>
      </c>
      <c r="G21" s="89" t="s">
        <v>74</v>
      </c>
      <c r="H21" s="89" t="s">
        <v>75</v>
      </c>
      <c r="I21" s="90"/>
      <c r="J21" s="91" t="n">
        <v>0</v>
      </c>
      <c r="K21" s="92">
        <f>I21*J21</f>
        <v>0</v>
      </c>
      <c r="M21" s="89" t="s">
        <v>74</v>
      </c>
      <c r="N21" s="89" t="s">
        <v>75</v>
      </c>
      <c r="O21" s="90"/>
      <c r="P21" s="91" t="n">
        <v>0</v>
      </c>
      <c r="Q21" s="92">
        <f>O21*P21</f>
        <v>0</v>
      </c>
      <c r="S21" s="89" t="s">
        <v>74</v>
      </c>
      <c r="T21" s="89" t="s">
        <v>75</v>
      </c>
      <c r="U21" s="90"/>
      <c r="V21" s="91" t="n">
        <v>0</v>
      </c>
      <c r="W21" s="92">
        <f>U21*V21</f>
        <v>0</v>
      </c>
      <c r="Y21" s="89" t="s">
        <v>74</v>
      </c>
      <c r="Z21" s="89" t="s">
        <v>75</v>
      </c>
      <c r="AA21" s="90"/>
      <c r="AB21" s="91" t="n">
        <v>0</v>
      </c>
      <c r="AC21" s="92">
        <f>AA21*AB21</f>
        <v>0</v>
      </c>
    </row>
    <row r="22" spans="1:29">
      <c r="A22" s="89" t="s">
        <v>76</v>
      </c>
      <c r="B22" s="89" t="s">
        <v>77</v>
      </c>
      <c r="C22" s="90"/>
      <c r="D22" s="91" t="n">
        <v>1</v>
      </c>
      <c r="E22" s="92">
        <f>C22*D22</f>
        <v>0</v>
      </c>
      <c r="G22" s="89" t="s">
        <v>76</v>
      </c>
      <c r="H22" s="89" t="s">
        <v>77</v>
      </c>
      <c r="I22" s="90"/>
      <c r="J22" s="91" t="n">
        <v>1</v>
      </c>
      <c r="K22" s="92">
        <f>I22*J22</f>
        <v>0</v>
      </c>
      <c r="M22" s="89" t="s">
        <v>76</v>
      </c>
      <c r="N22" s="89" t="s">
        <v>77</v>
      </c>
      <c r="O22" s="90"/>
      <c r="P22" s="91" t="n">
        <v>1</v>
      </c>
      <c r="Q22" s="92">
        <f>O22*P22</f>
        <v>0</v>
      </c>
      <c r="S22" s="89" t="s">
        <v>76</v>
      </c>
      <c r="T22" s="89" t="s">
        <v>77</v>
      </c>
      <c r="U22" s="90"/>
      <c r="V22" s="91" t="n">
        <v>1</v>
      </c>
      <c r="W22" s="92">
        <f>U22*V22</f>
        <v>0</v>
      </c>
      <c r="Y22" s="89" t="s">
        <v>76</v>
      </c>
      <c r="Z22" s="89" t="s">
        <v>77</v>
      </c>
      <c r="AA22" s="90"/>
      <c r="AB22" s="91" t="n">
        <v>1</v>
      </c>
      <c r="AC22" s="92">
        <f>AA22*AB22</f>
        <v>0</v>
      </c>
    </row>
    <row r="23" spans="1:29">
      <c r="A23" s="89" t="s">
        <v>78</v>
      </c>
      <c r="B23" s="89" t="s">
        <v>79</v>
      </c>
      <c r="C23" s="90" t="n">
        <v>58.1000000000000014</v>
      </c>
      <c r="D23" s="91" t="n">
        <v>1</v>
      </c>
      <c r="E23" s="92">
        <f>C23*D23</f>
        <v>58.1000000000000014</v>
      </c>
      <c r="G23" s="89" t="s">
        <v>78</v>
      </c>
      <c r="H23" s="89" t="s">
        <v>79</v>
      </c>
      <c r="I23" s="90" t="n">
        <v>39.6000000000000014</v>
      </c>
      <c r="J23" s="91" t="n">
        <v>1</v>
      </c>
      <c r="K23" s="92">
        <f>I23*J23</f>
        <v>39.6000000000000014</v>
      </c>
      <c r="M23" s="89" t="s">
        <v>78</v>
      </c>
      <c r="N23" s="89" t="s">
        <v>79</v>
      </c>
      <c r="O23" s="90" t="n">
        <v>64.2000000000000028</v>
      </c>
      <c r="P23" s="91" t="n">
        <v>1</v>
      </c>
      <c r="Q23" s="92">
        <f>O23*P23</f>
        <v>64.2000000000000028</v>
      </c>
      <c r="S23" s="89" t="s">
        <v>78</v>
      </c>
      <c r="T23" s="89" t="s">
        <v>79</v>
      </c>
      <c r="U23" s="90" t="n">
        <v>52.3999999999999986</v>
      </c>
      <c r="V23" s="91" t="n">
        <v>1</v>
      </c>
      <c r="W23" s="92">
        <f>U23*V23</f>
        <v>52.3999999999999986</v>
      </c>
      <c r="Y23" s="89" t="s">
        <v>78</v>
      </c>
      <c r="Z23" s="89" t="s">
        <v>79</v>
      </c>
      <c r="AA23" s="90" t="n">
        <v>59.2000000000000028</v>
      </c>
      <c r="AB23" s="91" t="n">
        <v>1</v>
      </c>
      <c r="AC23" s="92">
        <f>AA23*AB23</f>
        <v>59.2000000000000028</v>
      </c>
    </row>
    <row r="24" spans="1:29">
      <c r="A24" s="89" t="s">
        <v>80</v>
      </c>
      <c r="B24" s="89" t="s">
        <v>81</v>
      </c>
      <c r="C24" s="90" t="n">
        <v>11.8000000000000007</v>
      </c>
      <c r="D24" s="91" t="n">
        <v>2</v>
      </c>
      <c r="E24" s="92">
        <f>C24*D24</f>
        <v>23.6000000000000014</v>
      </c>
      <c r="G24" s="89" t="s">
        <v>80</v>
      </c>
      <c r="H24" s="89" t="s">
        <v>81</v>
      </c>
      <c r="I24" s="90" t="n">
        <v>16.6000000000000014</v>
      </c>
      <c r="J24" s="91" t="n">
        <v>2</v>
      </c>
      <c r="K24" s="92">
        <f>I24*J24</f>
        <v>33.2000000000000028</v>
      </c>
      <c r="M24" s="89" t="s">
        <v>80</v>
      </c>
      <c r="N24" s="89" t="s">
        <v>81</v>
      </c>
      <c r="O24" s="90" t="n">
        <v>10.4000000000000004</v>
      </c>
      <c r="P24" s="91" t="n">
        <v>2</v>
      </c>
      <c r="Q24" s="92">
        <f>O24*P24</f>
        <v>20.8000000000000007</v>
      </c>
      <c r="S24" s="89" t="s">
        <v>80</v>
      </c>
      <c r="T24" s="89" t="s">
        <v>81</v>
      </c>
      <c r="U24" s="90" t="n">
        <v>9.80000000000000071</v>
      </c>
      <c r="V24" s="91" t="n">
        <v>2</v>
      </c>
      <c r="W24" s="92">
        <f>U24*V24</f>
        <v>19.6000000000000014</v>
      </c>
      <c r="Y24" s="89" t="s">
        <v>80</v>
      </c>
      <c r="Z24" s="89" t="s">
        <v>81</v>
      </c>
      <c r="AA24" s="90" t="n">
        <v>12.0999999999999996</v>
      </c>
      <c r="AB24" s="91" t="n">
        <v>2</v>
      </c>
      <c r="AC24" s="92">
        <f>AA24*AB24</f>
        <v>24.1999999999999993</v>
      </c>
    </row>
    <row r="25" spans="1:29">
      <c r="A25" s="89" t="s">
        <v>82</v>
      </c>
      <c r="B25" s="89" t="s">
        <v>83</v>
      </c>
      <c r="C25" s="90" t="n">
        <v>8.30000000000000071</v>
      </c>
      <c r="D25" s="91" t="n">
        <v>3</v>
      </c>
      <c r="E25" s="92">
        <f>C25*D25</f>
        <v>24.8999999999999986</v>
      </c>
      <c r="G25" s="89" t="s">
        <v>82</v>
      </c>
      <c r="H25" s="89" t="s">
        <v>83</v>
      </c>
      <c r="I25" s="90" t="n">
        <v>19.6000000000000014</v>
      </c>
      <c r="J25" s="91" t="n">
        <v>3</v>
      </c>
      <c r="K25" s="92">
        <f>I25*J25</f>
        <v>58.7999999999999972</v>
      </c>
      <c r="M25" s="89" t="s">
        <v>82</v>
      </c>
      <c r="N25" s="89" t="s">
        <v>83</v>
      </c>
      <c r="O25" s="90" t="n">
        <v>6.40000000000000036</v>
      </c>
      <c r="P25" s="91" t="n">
        <v>3</v>
      </c>
      <c r="Q25" s="92">
        <f>O25*P25</f>
        <v>19.1999999999999993</v>
      </c>
      <c r="S25" s="89" t="s">
        <v>82</v>
      </c>
      <c r="T25" s="89" t="s">
        <v>83</v>
      </c>
      <c r="U25" s="90" t="n">
        <v>11.8000000000000007</v>
      </c>
      <c r="V25" s="91" t="n">
        <v>3</v>
      </c>
      <c r="W25" s="92">
        <f>U25*V25</f>
        <v>35.3999999999999986</v>
      </c>
      <c r="Y25" s="89" t="s">
        <v>82</v>
      </c>
      <c r="Z25" s="89" t="s">
        <v>83</v>
      </c>
      <c r="AA25" s="90" t="n">
        <v>9.40000000000000036</v>
      </c>
      <c r="AB25" s="91" t="n">
        <v>3</v>
      </c>
      <c r="AC25" s="92">
        <f>AA25*AB25</f>
        <v>28.1999999999999993</v>
      </c>
    </row>
    <row r="26" spans="1:29">
      <c r="A26" s="89" t="s">
        <v>84</v>
      </c>
      <c r="B26" s="89" t="s">
        <v>85</v>
      </c>
      <c r="C26" s="90" t="n">
        <v>1.27000000000000002</v>
      </c>
      <c r="D26" s="91" t="n">
        <v>4</v>
      </c>
      <c r="E26" s="92">
        <f>C26*D26</f>
        <v>5.08000000000000007</v>
      </c>
      <c r="G26" s="89" t="s">
        <v>84</v>
      </c>
      <c r="H26" s="89" t="s">
        <v>85</v>
      </c>
      <c r="I26" s="90" t="n">
        <v>3.41000000000000014</v>
      </c>
      <c r="J26" s="91" t="n">
        <v>4</v>
      </c>
      <c r="K26" s="92">
        <f>I26*J26</f>
        <v>13.6400000000000006</v>
      </c>
      <c r="M26" s="89" t="s">
        <v>84</v>
      </c>
      <c r="N26" s="89" t="s">
        <v>85</v>
      </c>
      <c r="O26" s="90" t="n">
        <v>0.9</v>
      </c>
      <c r="P26" s="91" t="n">
        <v>4</v>
      </c>
      <c r="Q26" s="92">
        <f>O26*P26</f>
        <v>3.60000000000000009</v>
      </c>
      <c r="S26" s="89" t="s">
        <v>84</v>
      </c>
      <c r="T26" s="89" t="s">
        <v>85</v>
      </c>
      <c r="U26" s="90" t="n">
        <v>1.61000000000000014</v>
      </c>
      <c r="V26" s="91" t="n">
        <v>4</v>
      </c>
      <c r="W26" s="92">
        <f>U26*V26</f>
        <v>6.44000000000000039</v>
      </c>
      <c r="Y26" s="89" t="s">
        <v>84</v>
      </c>
      <c r="Z26" s="89" t="s">
        <v>85</v>
      </c>
      <c r="AA26" s="90" t="n">
        <v>1.41999999999999993</v>
      </c>
      <c r="AB26" s="91" t="n">
        <v>4</v>
      </c>
      <c r="AC26" s="92">
        <f>AA26*AB26</f>
        <v>5.67999999999999972</v>
      </c>
    </row>
    <row r="27" spans="1:29">
      <c r="A27" s="89" t="s">
        <v>86</v>
      </c>
      <c r="B27" s="89" t="s">
        <v>87</v>
      </c>
      <c r="C27" s="90" t="n">
        <v>1.95</v>
      </c>
      <c r="D27" s="91" t="n">
        <v>4</v>
      </c>
      <c r="E27" s="92">
        <f>C27*D27</f>
        <v>7.79999999999999982</v>
      </c>
      <c r="G27" s="89" t="s">
        <v>86</v>
      </c>
      <c r="H27" s="89" t="s">
        <v>87</v>
      </c>
      <c r="I27" s="90" t="n">
        <v>6.20000000000000018</v>
      </c>
      <c r="J27" s="91" t="n">
        <v>4</v>
      </c>
      <c r="K27" s="92">
        <f>I27*J27</f>
        <v>24.8000000000000007</v>
      </c>
      <c r="M27" s="89" t="s">
        <v>86</v>
      </c>
      <c r="N27" s="89" t="s">
        <v>87</v>
      </c>
      <c r="O27" s="90" t="n">
        <v>0.920000000000000107</v>
      </c>
      <c r="P27" s="91" t="n">
        <v>4</v>
      </c>
      <c r="Q27" s="92">
        <f>O27*P27</f>
        <v>3.68000000000000016</v>
      </c>
      <c r="S27" s="89" t="s">
        <v>86</v>
      </c>
      <c r="T27" s="89" t="s">
        <v>87</v>
      </c>
      <c r="U27" s="90" t="n">
        <v>2.24000000000000021</v>
      </c>
      <c r="V27" s="91" t="n">
        <v>4</v>
      </c>
      <c r="W27" s="92">
        <f>U27*V27</f>
        <v>8.96000000000000085</v>
      </c>
      <c r="Y27" s="89" t="s">
        <v>86</v>
      </c>
      <c r="Z27" s="89" t="s">
        <v>87</v>
      </c>
      <c r="AA27" s="90" t="n">
        <v>1.95</v>
      </c>
      <c r="AB27" s="91" t="n">
        <v>4</v>
      </c>
      <c r="AC27" s="92">
        <f>AA27*AB27</f>
        <v>7.79999999999999982</v>
      </c>
    </row>
    <row r="28" spans="1:29">
      <c r="A28" s="89" t="s">
        <v>88</v>
      </c>
      <c r="B28" s="89" t="s">
        <v>89</v>
      </c>
      <c r="C28" s="90" t="n">
        <v>0.509999999999999964</v>
      </c>
      <c r="D28" s="91" t="n">
        <v>5</v>
      </c>
      <c r="E28" s="92">
        <f>C28*D28</f>
        <v>2.54999999999999982</v>
      </c>
      <c r="G28" s="89" t="s">
        <v>88</v>
      </c>
      <c r="H28" s="89" t="s">
        <v>89</v>
      </c>
      <c r="I28" s="90" t="n">
        <v>1.25</v>
      </c>
      <c r="J28" s="91" t="n">
        <v>5</v>
      </c>
      <c r="K28" s="92">
        <f>I28*J28</f>
        <v>6.25</v>
      </c>
      <c r="M28" s="89" t="s">
        <v>88</v>
      </c>
      <c r="N28" s="89" t="s">
        <v>89</v>
      </c>
      <c r="O28" s="90" t="n">
        <v>0.0359999999999999964</v>
      </c>
      <c r="P28" s="91" t="n">
        <v>5</v>
      </c>
      <c r="Q28" s="92">
        <f>O28*P28</f>
        <v>0.179999999999999982</v>
      </c>
      <c r="S28" s="89" t="s">
        <v>88</v>
      </c>
      <c r="T28" s="89" t="s">
        <v>89</v>
      </c>
      <c r="U28" s="90" t="n">
        <v>0.425</v>
      </c>
      <c r="V28" s="91" t="n">
        <v>5</v>
      </c>
      <c r="W28" s="92">
        <f>U28*V28</f>
        <v>2.125</v>
      </c>
      <c r="Y28" s="89" t="s">
        <v>88</v>
      </c>
      <c r="Z28" s="89" t="s">
        <v>89</v>
      </c>
      <c r="AA28" s="90" t="n">
        <v>0.33400000000000003</v>
      </c>
      <c r="AB28" s="91" t="n">
        <v>5</v>
      </c>
      <c r="AC28" s="92">
        <f>AA28*AB28</f>
        <v>1.66999999999999993</v>
      </c>
    </row>
    <row r="29" spans="1:29">
      <c r="A29" s="89" t="s">
        <v>90</v>
      </c>
      <c r="B29" s="89" t="s">
        <v>91</v>
      </c>
      <c r="C29" s="90" t="n">
        <v>0.0179000000000000004</v>
      </c>
      <c r="D29" s="91" t="n">
        <v>5</v>
      </c>
      <c r="E29" s="92">
        <f>C29*D29</f>
        <v>0.0894999999999999929</v>
      </c>
      <c r="G29" s="89" t="s">
        <v>90</v>
      </c>
      <c r="H29" s="89" t="s">
        <v>91</v>
      </c>
      <c r="I29" s="90" t="n">
        <v>0.759999999999999964</v>
      </c>
      <c r="J29" s="91" t="n">
        <v>5</v>
      </c>
      <c r="K29" s="92">
        <f>I29*J29</f>
        <v>3.79999999999999982</v>
      </c>
      <c r="M29" s="89" t="s">
        <v>90</v>
      </c>
      <c r="N29" s="89" t="s">
        <v>91</v>
      </c>
      <c r="O29" s="90" t="n">
        <v>0.125</v>
      </c>
      <c r="P29" s="91" t="n">
        <v>5</v>
      </c>
      <c r="Q29" s="92">
        <f>O29*P29</f>
        <v>0.625</v>
      </c>
      <c r="S29" s="89" t="s">
        <v>90</v>
      </c>
      <c r="T29" s="89" t="s">
        <v>91</v>
      </c>
      <c r="U29" s="90" t="n">
        <v>0.199000000000000021</v>
      </c>
      <c r="V29" s="91" t="n">
        <v>5</v>
      </c>
      <c r="W29" s="92">
        <f>U29*V29</f>
        <v>0.994999999999999929</v>
      </c>
      <c r="Y29" s="89" t="s">
        <v>90</v>
      </c>
      <c r="Z29" s="89" t="s">
        <v>91</v>
      </c>
      <c r="AA29" s="90" t="n">
        <v>0.179000000000000004</v>
      </c>
      <c r="AB29" s="91" t="n">
        <v>5</v>
      </c>
      <c r="AC29" s="92">
        <f>AA29*AB29</f>
        <v>0.894999999999999929</v>
      </c>
    </row>
    <row r="30" spans="1:29">
      <c r="A30" s="89" t="s">
        <v>92</v>
      </c>
      <c r="B30" s="89" t="s">
        <v>93</v>
      </c>
      <c r="C30" s="90" t="n">
        <v>0.002</v>
      </c>
      <c r="D30" s="91" t="n">
        <v>6</v>
      </c>
      <c r="E30" s="92">
        <f>C30*D30</f>
        <v>0.0119999999999999996</v>
      </c>
      <c r="G30" s="89" t="s">
        <v>92</v>
      </c>
      <c r="H30" s="89" t="s">
        <v>93</v>
      </c>
      <c r="I30" s="90" t="n">
        <v>0.0270000000000000018</v>
      </c>
      <c r="J30" s="91" t="n">
        <v>6</v>
      </c>
      <c r="K30" s="92">
        <f>I30*J30</f>
        <v>0.162000000000000011</v>
      </c>
      <c r="M30" s="89" t="s">
        <v>92</v>
      </c>
      <c r="N30" s="89" t="s">
        <v>93</v>
      </c>
      <c r="O30" s="90" t="n">
        <v>0.00280000000000000036</v>
      </c>
      <c r="P30" s="91" t="n">
        <v>6</v>
      </c>
      <c r="Q30" s="92">
        <f>O30*P30</f>
        <v>0.0167999999999999972</v>
      </c>
      <c r="S30" s="89" t="s">
        <v>92</v>
      </c>
      <c r="T30" s="89" t="s">
        <v>93</v>
      </c>
      <c r="U30" s="90" t="n">
        <v>0.0158000000000000025</v>
      </c>
      <c r="V30" s="91" t="n">
        <v>6</v>
      </c>
      <c r="W30" s="92">
        <f>U30*V30</f>
        <v>0.0948000000000000043</v>
      </c>
      <c r="Y30" s="89" t="s">
        <v>92</v>
      </c>
      <c r="Z30" s="89" t="s">
        <v>93</v>
      </c>
      <c r="AA30" s="90" t="n">
        <v>0.0117999999999999994</v>
      </c>
      <c r="AB30" s="91" t="n">
        <v>6</v>
      </c>
      <c r="AC30" s="92">
        <f>AA30*AB30</f>
        <v>0.0708000000000000007</v>
      </c>
    </row>
    <row r="31" spans="1:29">
      <c r="A31" s="89" t="s">
        <v>94</v>
      </c>
      <c r="B31" s="89" t="s">
        <v>95</v>
      </c>
      <c r="C31" s="90"/>
      <c r="D31" s="91" t="n">
        <v>7</v>
      </c>
      <c r="E31" s="92">
        <f>C31*D31</f>
        <v>0</v>
      </c>
      <c r="G31" s="89" t="s">
        <v>94</v>
      </c>
      <c r="H31" s="89" t="s">
        <v>95</v>
      </c>
      <c r="I31" s="90"/>
      <c r="J31" s="91" t="n">
        <v>7</v>
      </c>
      <c r="K31" s="92">
        <f>I31*J31</f>
        <v>0</v>
      </c>
      <c r="M31" s="89" t="s">
        <v>94</v>
      </c>
      <c r="N31" s="89" t="s">
        <v>95</v>
      </c>
      <c r="O31" s="90"/>
      <c r="P31" s="91" t="n">
        <v>7</v>
      </c>
      <c r="Q31" s="92">
        <f>O31*P31</f>
        <v>0</v>
      </c>
      <c r="S31" s="89" t="s">
        <v>94</v>
      </c>
      <c r="T31" s="89" t="s">
        <v>95</v>
      </c>
      <c r="U31" s="90"/>
      <c r="V31" s="91" t="n">
        <v>7</v>
      </c>
      <c r="W31" s="92">
        <f>U31*V31</f>
        <v>0</v>
      </c>
      <c r="Y31" s="89" t="s">
        <v>94</v>
      </c>
      <c r="Z31" s="89" t="s">
        <v>95</v>
      </c>
      <c r="AA31" s="90"/>
      <c r="AB31" s="91" t="n">
        <v>7</v>
      </c>
      <c r="AC31" s="92">
        <f>AA31*AB31</f>
        <v>0</v>
      </c>
    </row>
    <row r="32" spans="1:29">
      <c r="A32" s="89" t="s">
        <v>96</v>
      </c>
      <c r="B32" s="89" t="s">
        <v>97</v>
      </c>
      <c r="C32" s="90"/>
      <c r="D32" s="91" t="n">
        <v>8</v>
      </c>
      <c r="E32" s="92">
        <f>C32*D32</f>
        <v>0</v>
      </c>
      <c r="G32" s="89" t="s">
        <v>96</v>
      </c>
      <c r="H32" s="89" t="s">
        <v>97</v>
      </c>
      <c r="I32" s="90"/>
      <c r="J32" s="91" t="n">
        <v>8</v>
      </c>
      <c r="K32" s="92">
        <f>I32*J32</f>
        <v>0</v>
      </c>
      <c r="M32" s="89" t="s">
        <v>96</v>
      </c>
      <c r="N32" s="89" t="s">
        <v>97</v>
      </c>
      <c r="O32" s="90"/>
      <c r="P32" s="91" t="n">
        <v>8</v>
      </c>
      <c r="Q32" s="92">
        <f>O32*P32</f>
        <v>0</v>
      </c>
      <c r="S32" s="89" t="s">
        <v>96</v>
      </c>
      <c r="T32" s="89" t="s">
        <v>97</v>
      </c>
      <c r="U32" s="90"/>
      <c r="V32" s="91" t="n">
        <v>8</v>
      </c>
      <c r="W32" s="92">
        <f>U32*V32</f>
        <v>0</v>
      </c>
      <c r="Y32" s="89" t="s">
        <v>96</v>
      </c>
      <c r="Z32" s="89" t="s">
        <v>97</v>
      </c>
      <c r="AA32" s="90"/>
      <c r="AB32" s="91" t="n">
        <v>8</v>
      </c>
      <c r="AC32" s="92">
        <f>AA32*AB32</f>
        <v>0</v>
      </c>
    </row>
    <row r="33" spans="1:29">
      <c r="A33" s="89" t="s">
        <v>98</v>
      </c>
      <c r="B33" s="89" t="s">
        <v>99</v>
      </c>
      <c r="C33" s="90"/>
      <c r="D33" s="91" t="n">
        <v>9</v>
      </c>
      <c r="E33" s="92">
        <f>C33*D33</f>
        <v>0</v>
      </c>
      <c r="G33" s="89" t="s">
        <v>98</v>
      </c>
      <c r="H33" s="89" t="s">
        <v>99</v>
      </c>
      <c r="I33" s="90"/>
      <c r="J33" s="91" t="n">
        <v>9</v>
      </c>
      <c r="K33" s="92">
        <f>I33*J33</f>
        <v>0</v>
      </c>
      <c r="M33" s="89" t="s">
        <v>98</v>
      </c>
      <c r="N33" s="89" t="s">
        <v>99</v>
      </c>
      <c r="O33" s="90"/>
      <c r="P33" s="91" t="n">
        <v>9</v>
      </c>
      <c r="Q33" s="92">
        <f>O33*P33</f>
        <v>0</v>
      </c>
      <c r="S33" s="89" t="s">
        <v>98</v>
      </c>
      <c r="T33" s="89" t="s">
        <v>99</v>
      </c>
      <c r="U33" s="90"/>
      <c r="V33" s="91" t="n">
        <v>9</v>
      </c>
      <c r="W33" s="92">
        <f>U33*V33</f>
        <v>0</v>
      </c>
      <c r="Y33" s="89" t="s">
        <v>98</v>
      </c>
      <c r="Z33" s="89" t="s">
        <v>99</v>
      </c>
      <c r="AA33" s="90"/>
      <c r="AB33" s="91" t="n">
        <v>9</v>
      </c>
      <c r="AC33" s="92">
        <f>AA33*AB33</f>
        <v>0</v>
      </c>
    </row>
    <row r="34" spans="1:29">
      <c r="A34" s="89" t="s">
        <v>100</v>
      </c>
      <c r="B34" s="89" t="s">
        <v>101</v>
      </c>
      <c r="C34" s="90"/>
      <c r="D34" s="91" t="n">
        <v>10</v>
      </c>
      <c r="E34" s="92">
        <f>C34*D34</f>
        <v>0</v>
      </c>
      <c r="G34" s="89" t="s">
        <v>100</v>
      </c>
      <c r="H34" s="89" t="s">
        <v>101</v>
      </c>
      <c r="I34" s="90"/>
      <c r="J34" s="91" t="n">
        <v>10</v>
      </c>
      <c r="K34" s="92">
        <f>I34*J34</f>
        <v>0</v>
      </c>
      <c r="M34" s="89" t="s">
        <v>100</v>
      </c>
      <c r="N34" s="89" t="s">
        <v>101</v>
      </c>
      <c r="O34" s="90"/>
      <c r="P34" s="91" t="n">
        <v>10</v>
      </c>
      <c r="Q34" s="92">
        <f>O34*P34</f>
        <v>0</v>
      </c>
      <c r="S34" s="89" t="s">
        <v>100</v>
      </c>
      <c r="T34" s="89" t="s">
        <v>101</v>
      </c>
      <c r="U34" s="90"/>
      <c r="V34" s="91" t="n">
        <v>10</v>
      </c>
      <c r="W34" s="92">
        <f>U34*V34</f>
        <v>0</v>
      </c>
      <c r="Y34" s="89" t="s">
        <v>100</v>
      </c>
      <c r="Z34" s="89" t="s">
        <v>101</v>
      </c>
      <c r="AA34" s="90"/>
      <c r="AB34" s="91" t="n">
        <v>10</v>
      </c>
      <c r="AC34" s="92">
        <f>AA34*AB34</f>
        <v>0</v>
      </c>
    </row>
    <row r="35" spans="1:29" ht="33" customHeight="1">
      <c r="A35" s="24" t="s">
        <v>102</v>
      </c>
      <c r="B35" s="89" t="s">
        <v>81</v>
      </c>
      <c r="C35" s="90" t="n">
        <v>0.270000000000000018</v>
      </c>
      <c r="D35" s="91" t="n">
        <v>2</v>
      </c>
      <c r="E35" s="92">
        <f>C35*D35</f>
        <v>0.540000000000000036</v>
      </c>
      <c r="G35" s="24" t="s">
        <v>102</v>
      </c>
      <c r="H35" s="89" t="s">
        <v>81</v>
      </c>
      <c r="I35" s="90"/>
      <c r="J35" s="91" t="n">
        <v>2</v>
      </c>
      <c r="K35" s="92">
        <f>I35*J35</f>
        <v>0</v>
      </c>
      <c r="M35" s="24" t="s">
        <v>102</v>
      </c>
      <c r="N35" s="89" t="s">
        <v>81</v>
      </c>
      <c r="O35" s="90"/>
      <c r="P35" s="91" t="n">
        <v>2</v>
      </c>
      <c r="Q35" s="92">
        <f>O35*P35</f>
        <v>0</v>
      </c>
      <c r="S35" s="24" t="s">
        <v>102</v>
      </c>
      <c r="T35" s="89" t="s">
        <v>81</v>
      </c>
      <c r="U35" s="90" t="n">
        <v>0.086899999999999995</v>
      </c>
      <c r="V35" s="91" t="n">
        <v>2</v>
      </c>
      <c r="W35" s="92">
        <f>U35*V35</f>
        <v>0.173799999999999999</v>
      </c>
      <c r="Y35" s="24" t="s">
        <v>102</v>
      </c>
      <c r="Z35" s="89" t="s">
        <v>81</v>
      </c>
      <c r="AA35" s="90"/>
      <c r="AB35" s="91" t="n">
        <v>2</v>
      </c>
      <c r="AC35" s="92">
        <f>AA35*AB35</f>
        <v>0</v>
      </c>
    </row>
    <row r="36" spans="1:29">
      <c r="A36" s="85" t="s">
        <v>17</v>
      </c>
      <c r="B36" s="85"/>
      <c r="C36" s="93">
        <f>SUBTOTAL(109,'расчет_коэф._стацион.сжигание'!$C$15:$C$35)</f>
        <v>100</v>
      </c>
      <c r="D36" s="93"/>
      <c r="E36" s="94">
        <f>SUBTOTAL(109,'расчет_коэф._стацион.сжигание'!$E$15:$E$35)</f>
        <v>124.991500000000002</v>
      </c>
      <c r="G36" s="85" t="s">
        <v>17</v>
      </c>
      <c r="H36" s="85"/>
      <c r="I36" s="95">
        <f>SUBTOTAL(109,'расчет_коэф._стацион.сжигание'!$I$15:$I$35)</f>
        <v>100.001000000000005</v>
      </c>
      <c r="J36" s="93"/>
      <c r="K36" s="94">
        <f>SUBTOTAL(109,'расчет_коэф._стацион.сжигание'!$K$15:$K$35)</f>
        <v>184.572000000000003</v>
      </c>
      <c r="M36" s="85" t="s">
        <v>17</v>
      </c>
      <c r="N36" s="85"/>
      <c r="O36" s="96">
        <f>SUBTOTAL(109,'расчет_коэф._стацион.сжигание'!$O$15:$O$35)</f>
        <v>100.000299999999996</v>
      </c>
      <c r="P36" s="93"/>
      <c r="Q36" s="94">
        <f>SUBTOTAL(109,'расчет_коэф._стацион.сжигание'!$Q$15:$Q$35)</f>
        <v>113.711799999999997</v>
      </c>
      <c r="S36" s="85" t="s">
        <v>17</v>
      </c>
      <c r="T36" s="85"/>
      <c r="U36" s="97">
        <f>SUBTOTAL(109,'расчет_коэф._стацион.сжигание'!$U$15:$U$35)</f>
        <v>100</v>
      </c>
      <c r="V36" s="93"/>
      <c r="W36" s="94">
        <f>SUBTOTAL(109,'расчет_коэф._стацион.сжигание'!$W$15:$W$35)</f>
        <v>129.688600000000008</v>
      </c>
      <c r="Y36" s="85" t="s">
        <v>17</v>
      </c>
      <c r="Z36" s="85"/>
      <c r="AA36" s="116">
        <f>SUM(AA15:AA35)</f>
        <v>100.004900000000006</v>
      </c>
      <c r="AB36" s="93"/>
      <c r="AC36" s="94">
        <f>SUM(AC15:AC35)</f>
        <v>129.795800000000014</v>
      </c>
    </row>
    <row r="38" spans="1:26">
      <c r="A38" s="15" t="s">
        <v>103</v>
      </c>
      <c r="B38" s="31" t="n">
        <v>1.83929999999999989</v>
      </c>
      <c r="G38" s="15" t="s">
        <v>103</v>
      </c>
      <c r="H38" s="31" t="n">
        <v>1.83929999999999989</v>
      </c>
      <c r="M38" s="15" t="s">
        <v>103</v>
      </c>
      <c r="N38" s="31" t="n">
        <v>1.83929999999999989</v>
      </c>
      <c r="S38" s="15" t="s">
        <v>103</v>
      </c>
      <c r="T38" s="31" t="n">
        <v>1.83929999999999989</v>
      </c>
      <c r="U38" s="36"/>
      <c r="Y38" s="15" t="s">
        <v>103</v>
      </c>
      <c r="Z38" s="31" t="n">
        <v>1.83929999999999989</v>
      </c>
    </row>
    <row r="39" spans="1:26">
      <c r="A39" s="14"/>
      <c r="B39" s="17"/>
      <c r="G39" s="14"/>
      <c r="H39" s="17"/>
      <c r="M39" s="14"/>
      <c r="N39" s="17"/>
      <c r="S39" s="14"/>
      <c r="T39" s="17"/>
      <c r="Y39" s="14"/>
      <c r="Z39" s="17"/>
    </row>
    <row r="40" spans="1:26" ht="64.15" customHeight="1">
      <c r="A40" s="15" t="s">
        <v>104</v>
      </c>
      <c r="B40" s="31">
        <f>ROUND(E36*B38/100,4)</f>
        <v>2.29899999999999993</v>
      </c>
      <c r="G40" s="15" t="s">
        <v>104</v>
      </c>
      <c r="H40" s="31">
        <f>ROUND(K36*H38/100,4)</f>
        <v>3.39480000000000004</v>
      </c>
      <c r="M40" s="15" t="s">
        <v>104</v>
      </c>
      <c r="N40" s="31">
        <f>ROUND(Q36*N38/100,4)</f>
        <v>2.09149999999999991</v>
      </c>
      <c r="S40" s="15" t="s">
        <v>104</v>
      </c>
      <c r="T40" s="31">
        <f>ROUND(W36*T38/100,4)</f>
        <v>2.38540000000000019</v>
      </c>
      <c r="Y40" s="15" t="s">
        <v>104</v>
      </c>
      <c r="Z40" s="31">
        <f>ROUND(AC36*Z38/100,4)</f>
        <v>2.3873000000000002</v>
      </c>
    </row>
  </sheetData>
  <mergeCells count="1">
    <mergeCell ref="A2:E2"/>
  </mergeCell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N17"/>
  <sheetViews>
    <sheetView tabSelected="1" view="normal" zoomScale="80" workbookViewId="0">
      <selection activeCell="F11" sqref="F11"/>
    </sheetView>
  </sheetViews>
  <sheetFormatPr defaultRowHeight="13.45"/>
  <cols>
    <col min="1" max="1" width="11.144144" customWidth="1" style="6"/>
    <col min="2" max="5" width="17.855856" customWidth="1" style="6"/>
    <col min="6" max="7" width="22.711712" customWidth="1" style="6"/>
    <col min="8" max="14" width="17.855856" customWidth="1" style="6"/>
    <col min="15" max="16384" width="9.144144" style="6"/>
  </cols>
  <sheetData>
    <row r="2" spans="1:14">
      <c r="A2" s="21" t="str">
        <f>UPPER("Количественное определение ВПГ при сжигании углеводородной смеси (УВС) на факельных установках")</f>
        <v>КОЛИЧЕСТВЕННОЕ ОПРЕДЕЛЕНИЕ ВПГ ПРИ СЖИГАНИИ УГЛЕВОДОРОДНОЙ СМЕСИ (УВС) НА ФАКЕЛЬНЫХ УСТАНОВКАХ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5.10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8.60" customHeight="1">
      <c r="A4" s="128" t="s">
        <v>0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</row>
    <row r="5" spans="1:11" ht="5.10" customHeight="1">
      <c r="A5" s="8"/>
      <c r="B5" s="8"/>
      <c r="C5" s="10"/>
      <c r="D5" s="10"/>
      <c r="E5" s="10"/>
      <c r="F5" s="10"/>
      <c r="G5" s="10"/>
      <c r="H5" s="10"/>
      <c r="I5" s="10"/>
      <c r="J5" s="10"/>
      <c r="K5" s="10"/>
    </row>
    <row r="6" spans="1:14" ht="22.15" customHeight="1">
      <c r="A6" s="128" t="s">
        <v>1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</row>
    <row r="8" spans="1:14" ht="102" customHeight="1">
      <c r="A8" s="133" t="s">
        <v>105</v>
      </c>
      <c r="B8" s="133" t="s">
        <v>3</v>
      </c>
      <c r="C8" s="133" t="s">
        <v>4</v>
      </c>
      <c r="D8" s="133" t="s">
        <v>106</v>
      </c>
      <c r="E8" s="138" t="s">
        <v>107</v>
      </c>
      <c r="F8" s="133" t="s">
        <v>108</v>
      </c>
      <c r="G8" s="133" t="s">
        <v>109</v>
      </c>
      <c r="H8" s="139" t="s">
        <v>110</v>
      </c>
      <c r="I8" s="133" t="s">
        <v>111</v>
      </c>
      <c r="J8" s="138" t="s">
        <v>112</v>
      </c>
      <c r="K8" s="139"/>
      <c r="L8" s="138" t="s">
        <v>113</v>
      </c>
      <c r="M8" s="139"/>
      <c r="N8" s="133" t="s">
        <v>114</v>
      </c>
    </row>
    <row r="9" spans="1:14">
      <c r="A9" s="134"/>
      <c r="B9" s="134"/>
      <c r="C9" s="134"/>
      <c r="D9" s="134"/>
      <c r="E9" s="142"/>
      <c r="F9" s="134"/>
      <c r="G9" s="134"/>
      <c r="H9" s="143"/>
      <c r="I9" s="134"/>
      <c r="J9" s="140"/>
      <c r="K9" s="141"/>
      <c r="L9" s="140"/>
      <c r="M9" s="141"/>
      <c r="N9" s="134"/>
    </row>
    <row r="10" spans="1:14">
      <c r="A10" s="134"/>
      <c r="B10" s="134"/>
      <c r="C10" s="137"/>
      <c r="D10" s="137"/>
      <c r="E10" s="140"/>
      <c r="F10" s="137"/>
      <c r="G10" s="137"/>
      <c r="H10" s="141"/>
      <c r="I10" s="137"/>
      <c r="J10" s="20" t="s">
        <v>115</v>
      </c>
      <c r="K10" s="22" t="s">
        <v>116</v>
      </c>
      <c r="L10" s="20" t="s">
        <v>115</v>
      </c>
      <c r="M10" s="22" t="s">
        <v>116</v>
      </c>
      <c r="N10" s="137"/>
    </row>
    <row r="11" spans="1:14">
      <c r="A11" s="12"/>
      <c r="B11" s="12" t="s">
        <v>117</v>
      </c>
      <c r="C11" s="24" t="s">
        <v>12</v>
      </c>
      <c r="D11" s="24" t="s">
        <v>44</v>
      </c>
      <c r="E11" s="18" t="n">
        <v>1000</v>
      </c>
      <c r="F11" s="27">
        <f>'расчет коэф._факельное сжигание'!B44</f>
        <v>1.16910000000000003</v>
      </c>
      <c r="G11" s="27">
        <f>'расчет коэф._факельное сжигание'!B52</f>
        <v>0.00469999999999999929</v>
      </c>
      <c r="H11" s="32">
        <f>ROUND('факельное сжигание'!$E11*'факельное сжигание'!$F11,0)</f>
        <v>1169</v>
      </c>
      <c r="I11" s="32">
        <f>ROUND('факельное сжигание'!$E11*'факельное сжигание'!$G11,0)</f>
        <v>5</v>
      </c>
      <c r="J11" s="32" t="n">
        <v>1</v>
      </c>
      <c r="K11" s="32" t="n">
        <v>25</v>
      </c>
      <c r="L11" s="32">
        <f>ROUND('факельное сжигание'!$H11*'факельное сжигание'!$J11,0)</f>
        <v>1169</v>
      </c>
      <c r="M11" s="32">
        <f>ROUND('факельное сжигание'!$I11*'факельное сжигание'!$K11,0)</f>
        <v>125</v>
      </c>
      <c r="N11" s="98">
        <f>ROUND(('факельное сжигание'!$H11*'факельное сжигание'!$J11)+('факельное сжигание'!$I11*'факельное сжигание'!$K11),0)</f>
        <v>1294</v>
      </c>
    </row>
    <row r="12" spans="1:14">
      <c r="A12" s="12"/>
      <c r="B12" s="12" t="s">
        <v>117</v>
      </c>
      <c r="C12" s="24" t="s">
        <v>36</v>
      </c>
      <c r="D12" s="24" t="s">
        <v>44</v>
      </c>
      <c r="E12" s="18" t="n">
        <v>1000</v>
      </c>
      <c r="F12" s="27">
        <f>'расчет коэф._факельное сжигание'!H44</f>
        <v>2.6391</v>
      </c>
      <c r="G12" s="27">
        <f>'расчет коэф._факельное сжигание'!H52</f>
        <v>0.00710000000000000053</v>
      </c>
      <c r="H12" s="32">
        <f>ROUND('факельное сжигание'!$E12*'факельное сжигание'!$F12,0)</f>
        <v>2639</v>
      </c>
      <c r="I12" s="99">
        <f>ROUND('факельное сжигание'!$E12*'факельное сжигание'!$G12,0)</f>
        <v>7</v>
      </c>
      <c r="J12" s="32" t="n">
        <v>1</v>
      </c>
      <c r="K12" s="32" t="n">
        <v>25</v>
      </c>
      <c r="L12" s="32">
        <f>ROUND('факельное сжигание'!$H12*'факельное сжигание'!$J12,0)</f>
        <v>2639</v>
      </c>
      <c r="M12" s="32">
        <f>ROUND('факельное сжигание'!$I12*'факельное сжигание'!$K12,0)</f>
        <v>175</v>
      </c>
      <c r="N12" s="98">
        <f>ROUND(('факельное сжигание'!$H12*'факельное сжигание'!$J12)+('факельное сжигание'!$I12*'факельное сжигание'!$K12),0)</f>
        <v>2814</v>
      </c>
    </row>
    <row r="13" spans="1:14">
      <c r="A13" s="12"/>
      <c r="B13" s="12" t="s">
        <v>117</v>
      </c>
      <c r="C13" s="24" t="s">
        <v>118</v>
      </c>
      <c r="D13" s="24" t="s">
        <v>44</v>
      </c>
      <c r="E13" s="18" t="n">
        <v>1000</v>
      </c>
      <c r="F13" s="27">
        <f>'расчет коэф._факельное сжигание'!N44</f>
        <v>2.6391</v>
      </c>
      <c r="G13" s="27">
        <f>'расчет коэф._факельное сжигание'!N52</f>
        <v>0.00710000000000000053</v>
      </c>
      <c r="H13" s="32">
        <f>ROUND('факельное сжигание'!$E13*'факельное сжигание'!$F13,0)</f>
        <v>2639</v>
      </c>
      <c r="I13" s="99">
        <f>ROUND('факельное сжигание'!$E13*'факельное сжигание'!$G13,0)</f>
        <v>7</v>
      </c>
      <c r="J13" s="32" t="n">
        <v>1</v>
      </c>
      <c r="K13" s="32" t="n">
        <v>25</v>
      </c>
      <c r="L13" s="32">
        <f>ROUND('факельное сжигание'!$H13*'факельное сжигание'!$J13,0)</f>
        <v>2639</v>
      </c>
      <c r="M13" s="32">
        <f>ROUND('факельное сжигание'!$I13*'факельное сжигание'!$K13,0)</f>
        <v>175</v>
      </c>
      <c r="N13" s="98">
        <f>ROUND(('факельное сжигание'!$H13*'факельное сжигание'!$J13)+('факельное сжигание'!$I13*'факельное сжигание'!$K13),0)</f>
        <v>2814</v>
      </c>
    </row>
    <row r="14" spans="1:14">
      <c r="A14" s="12"/>
      <c r="B14" s="12" t="s">
        <v>117</v>
      </c>
      <c r="C14" s="24" t="s">
        <v>39</v>
      </c>
      <c r="D14" s="24" t="s">
        <v>44</v>
      </c>
      <c r="E14" s="18" t="n">
        <v>1000</v>
      </c>
      <c r="F14" s="27">
        <f>'расчет коэф._факельное сжигание'!T44</f>
        <v>1.69819999999999993</v>
      </c>
      <c r="G14" s="27">
        <f>'расчет коэф._факельное сжигание'!T52</f>
        <v>0.00809999999999999787</v>
      </c>
      <c r="H14" s="32">
        <f>ROUND('факельное сжигание'!$E14*'факельное сжигание'!$F14,0)</f>
        <v>1698</v>
      </c>
      <c r="I14" s="99">
        <f>ROUND('факельное сжигание'!$E14*'факельное сжигание'!$G14,0)</f>
        <v>8</v>
      </c>
      <c r="J14" s="32" t="n">
        <v>1</v>
      </c>
      <c r="K14" s="32" t="n">
        <v>25</v>
      </c>
      <c r="L14" s="32">
        <f>ROUND('факельное сжигание'!$H14*'факельное сжигание'!$J14,0)</f>
        <v>1698</v>
      </c>
      <c r="M14" s="32">
        <f>ROUND('факельное сжигание'!$I14*'факельное сжигание'!$K14,0)</f>
        <v>200</v>
      </c>
      <c r="N14" s="98">
        <f>ROUND(('факельное сжигание'!$H14*'факельное сжигание'!$J14)+('факельное сжигание'!$I14*'факельное сжигание'!$K14),0)</f>
        <v>1898</v>
      </c>
    </row>
    <row r="15" spans="1:14">
      <c r="A15" s="12"/>
      <c r="B15" s="12" t="s">
        <v>117</v>
      </c>
      <c r="C15" s="24" t="s">
        <v>119</v>
      </c>
      <c r="D15" s="24" t="s">
        <v>44</v>
      </c>
      <c r="E15" s="18" t="n">
        <v>1000</v>
      </c>
      <c r="F15" s="27">
        <f>'расчет коэф._факельное сжигание'!Z44</f>
        <v>1.95490000000000013</v>
      </c>
      <c r="G15" s="27">
        <f>'расчет коэф._факельное сжигание'!Z52</f>
        <v>0.00869999999999999929</v>
      </c>
      <c r="H15" s="32">
        <f>ROUND('факельное сжигание'!$E15*'факельное сжигание'!$F15,0)</f>
        <v>1955</v>
      </c>
      <c r="I15" s="99">
        <f>ROUND('факельное сжигание'!$E15*'факельное сжигание'!$G15,0)</f>
        <v>9</v>
      </c>
      <c r="J15" s="32" t="n">
        <v>1</v>
      </c>
      <c r="K15" s="32" t="n">
        <v>25</v>
      </c>
      <c r="L15" s="32">
        <f>ROUND('факельное сжигание'!$H15*'факельное сжигание'!$J15,0)</f>
        <v>1955</v>
      </c>
      <c r="M15" s="32">
        <f>ROUND('факельное сжигание'!$I15*'факельное сжигание'!$K15,0)</f>
        <v>225</v>
      </c>
      <c r="N15" s="98">
        <f>ROUND(('факельное сжигание'!$H15*'факельное сжигание'!$J15)+('факельное сжигание'!$I15*'факельное сжигание'!$K15),0)</f>
        <v>2180</v>
      </c>
    </row>
    <row r="16" spans="1:14">
      <c r="A16" s="83" t="s">
        <v>17</v>
      </c>
      <c r="B16" s="83"/>
      <c r="C16" s="83"/>
      <c r="D16" s="83"/>
      <c r="E16" s="100"/>
      <c r="F16" s="83"/>
      <c r="G16" s="83"/>
      <c r="H16" s="101"/>
      <c r="I16" s="101"/>
      <c r="J16" s="101"/>
      <c r="K16" s="101"/>
      <c r="L16" s="102"/>
      <c r="M16" s="102"/>
      <c r="N16" s="103">
        <f>SUBTOTAL(109,'факельное сжигание'!$N$11:$N$15)</f>
        <v>11000</v>
      </c>
    </row>
    <row r="17" spans="1:8">
      <c r="A17" s="8"/>
      <c r="B17" s="8"/>
      <c r="C17" s="8"/>
      <c r="D17" s="8"/>
      <c r="E17" s="8"/>
      <c r="F17" s="8"/>
      <c r="G17" s="8"/>
      <c r="H17"/>
    </row>
  </sheetData>
  <mergeCells count="15">
    <mergeCell ref="A2:N3"/>
    <mergeCell ref="A4:N4"/>
    <mergeCell ref="A6:N6"/>
    <mergeCell ref="J8:K9"/>
    <mergeCell ref="L8:M9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N8:N10"/>
  </mergeCells>
  <dataValidations count="1">
    <dataValidation sqref="E11:E15" type="decimal" operator="greaterThan" errorStyle="stop" allowBlank="1" showInputMessage="1" showErrorMessage="1" error="Данные вводятся в числовом формате (&gt;0)." view="0">
      <formula1>0</formula1>
      <formula2/>
    </dataValidation>
  </dataValidation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AC52"/>
  <sheetViews>
    <sheetView view="normal" zoomScale="60" workbookViewId="0">
      <selection activeCell="B44" sqref="B44"/>
    </sheetView>
  </sheetViews>
  <sheetFormatPr defaultRowHeight="13.45"/>
  <cols>
    <col min="1" max="1" width="41.423423" customWidth="1"/>
    <col min="2" max="5" width="20.711712" customWidth="1"/>
    <col min="7" max="7" width="41.423423" customWidth="1"/>
    <col min="8" max="11" width="20.711712" customWidth="1"/>
    <col min="13" max="13" width="40.855856" customWidth="1"/>
    <col min="14" max="17" width="20.711712" customWidth="1"/>
    <col min="19" max="19" width="40.855856" customWidth="1"/>
    <col min="20" max="23" width="20.711712" customWidth="1"/>
    <col min="25" max="25" width="40.855856" customWidth="1"/>
    <col min="26" max="29" width="20.711712" customWidth="1"/>
  </cols>
  <sheetData>
    <row r="2" spans="1:5">
      <c r="A2" s="21" t="s">
        <v>120</v>
      </c>
      <c r="B2" s="21"/>
      <c r="C2" s="21"/>
      <c r="D2" s="21"/>
      <c r="E2" s="21"/>
    </row>
    <row r="4" spans="1:26">
      <c r="A4" s="15" t="s">
        <v>43</v>
      </c>
      <c r="B4" s="28" t="s">
        <v>44</v>
      </c>
      <c r="G4" s="15" t="s">
        <v>43</v>
      </c>
      <c r="H4" s="28" t="s">
        <v>44</v>
      </c>
      <c r="M4" s="15" t="s">
        <v>43</v>
      </c>
      <c r="N4" s="28" t="s">
        <v>44</v>
      </c>
      <c r="S4" s="15" t="s">
        <v>43</v>
      </c>
      <c r="T4" s="28" t="s">
        <v>44</v>
      </c>
      <c r="Y4" s="15" t="s">
        <v>43</v>
      </c>
      <c r="Z4" s="28" t="s">
        <v>44</v>
      </c>
    </row>
    <row r="5" spans="1:26">
      <c r="A5" s="8"/>
      <c r="B5" s="16"/>
      <c r="G5" s="8"/>
      <c r="H5" s="16"/>
      <c r="M5" s="8"/>
      <c r="N5" s="16"/>
      <c r="S5" s="8"/>
      <c r="T5" s="16"/>
      <c r="Y5" s="8"/>
      <c r="Z5" s="16"/>
    </row>
    <row r="6" spans="1:26">
      <c r="A6" s="15" t="s">
        <v>45</v>
      </c>
      <c r="B6" s="28" t="s">
        <v>117</v>
      </c>
      <c r="G6" s="15" t="s">
        <v>45</v>
      </c>
      <c r="H6" s="28" t="s">
        <v>117</v>
      </c>
      <c r="M6" s="15" t="s">
        <v>45</v>
      </c>
      <c r="N6" s="28" t="s">
        <v>117</v>
      </c>
      <c r="S6" s="15" t="s">
        <v>45</v>
      </c>
      <c r="T6" s="28" t="s">
        <v>117</v>
      </c>
      <c r="Y6" s="15" t="s">
        <v>45</v>
      </c>
      <c r="Z6" s="28" t="s">
        <v>117</v>
      </c>
    </row>
    <row r="7" spans="1:26">
      <c r="A7" s="8"/>
      <c r="B7" s="16"/>
      <c r="G7" s="8"/>
      <c r="H7" s="16"/>
      <c r="M7" s="8"/>
      <c r="N7" s="16"/>
      <c r="S7" s="8"/>
      <c r="T7" s="16"/>
      <c r="Y7" s="8"/>
      <c r="Z7" s="16"/>
    </row>
    <row r="8" spans="1:26">
      <c r="A8" s="15" t="s">
        <v>50</v>
      </c>
      <c r="B8" s="28" t="s">
        <v>12</v>
      </c>
      <c r="G8" s="15" t="s">
        <v>50</v>
      </c>
      <c r="H8" s="28" t="s">
        <v>36</v>
      </c>
      <c r="M8" s="15" t="s">
        <v>50</v>
      </c>
      <c r="N8" s="28" t="s">
        <v>118</v>
      </c>
      <c r="S8" s="15" t="s">
        <v>50</v>
      </c>
      <c r="T8" s="28" t="s">
        <v>39</v>
      </c>
      <c r="Y8" s="15" t="s">
        <v>50</v>
      </c>
      <c r="Z8" s="28" t="s">
        <v>119</v>
      </c>
    </row>
    <row r="9" spans="1:26">
      <c r="A9" s="8"/>
      <c r="B9" s="16"/>
      <c r="G9" s="8"/>
      <c r="H9" s="16"/>
      <c r="M9" s="8"/>
      <c r="N9" s="16"/>
      <c r="S9" s="8"/>
      <c r="T9" s="16"/>
      <c r="Y9" s="8"/>
      <c r="Z9" s="16"/>
    </row>
    <row r="10" spans="1:26">
      <c r="A10" s="15" t="s">
        <v>51</v>
      </c>
      <c r="B10" s="29"/>
      <c r="G10" s="15" t="s">
        <v>51</v>
      </c>
      <c r="H10" s="29"/>
      <c r="M10" s="15" t="s">
        <v>51</v>
      </c>
      <c r="N10" s="28"/>
      <c r="S10" s="15" t="s">
        <v>51</v>
      </c>
      <c r="T10" s="28"/>
      <c r="Y10" s="15" t="s">
        <v>51</v>
      </c>
      <c r="Z10" s="28"/>
    </row>
    <row r="12" spans="1:25" s="6" customFormat="1">
      <c r="A12" s="6" t="s">
        <v>52</v>
      </c>
      <c r="G12" s="6" t="s">
        <v>53</v>
      </c>
      <c r="M12" s="6" t="s">
        <v>54</v>
      </c>
      <c r="S12" s="6" t="s">
        <v>55</v>
      </c>
      <c r="Y12" s="6" t="s">
        <v>56</v>
      </c>
    </row>
    <row r="13" spans="1:25">
      <c r="A13" s="11"/>
      <c r="G13" s="11"/>
      <c r="M13" s="11"/>
      <c r="S13" s="11"/>
      <c r="Y13" s="11"/>
    </row>
    <row r="14" spans="1:29">
      <c r="A14" s="30" t="s">
        <v>57</v>
      </c>
      <c r="B14" s="30" t="s">
        <v>58</v>
      </c>
      <c r="C14" s="30" t="s">
        <v>121</v>
      </c>
      <c r="D14" s="30" t="s">
        <v>122</v>
      </c>
      <c r="E14" s="30" t="s">
        <v>61</v>
      </c>
      <c r="G14" s="30" t="s">
        <v>57</v>
      </c>
      <c r="H14" s="30" t="s">
        <v>58</v>
      </c>
      <c r="I14" s="30" t="s">
        <v>121</v>
      </c>
      <c r="J14" s="30" t="s">
        <v>122</v>
      </c>
      <c r="K14" s="30" t="s">
        <v>61</v>
      </c>
      <c r="M14" s="30" t="s">
        <v>57</v>
      </c>
      <c r="N14" s="30" t="s">
        <v>58</v>
      </c>
      <c r="O14" s="30" t="s">
        <v>121</v>
      </c>
      <c r="P14" s="30" t="s">
        <v>122</v>
      </c>
      <c r="Q14" s="30" t="s">
        <v>61</v>
      </c>
      <c r="S14" s="30" t="s">
        <v>57</v>
      </c>
      <c r="T14" s="30" t="s">
        <v>58</v>
      </c>
      <c r="U14" s="30" t="s">
        <v>121</v>
      </c>
      <c r="V14" s="30" t="s">
        <v>122</v>
      </c>
      <c r="W14" s="30" t="s">
        <v>61</v>
      </c>
      <c r="Y14" s="30" t="s">
        <v>57</v>
      </c>
      <c r="Z14" s="30" t="s">
        <v>58</v>
      </c>
      <c r="AA14" s="30" t="s">
        <v>121</v>
      </c>
      <c r="AB14" s="30" t="s">
        <v>122</v>
      </c>
      <c r="AC14" s="30" t="s">
        <v>61</v>
      </c>
    </row>
    <row r="15" spans="1:29">
      <c r="A15" s="24" t="s">
        <v>62</v>
      </c>
      <c r="B15" s="89" t="s">
        <v>63</v>
      </c>
      <c r="C15" s="104" t="n">
        <v>1.29000000000000004</v>
      </c>
      <c r="D15" s="89" t="n">
        <v>1</v>
      </c>
      <c r="E15" s="58"/>
      <c r="G15" s="24" t="s">
        <v>62</v>
      </c>
      <c r="H15" s="89" t="s">
        <v>63</v>
      </c>
      <c r="I15" s="104" t="n">
        <v>3.22999999999999998</v>
      </c>
      <c r="J15" s="89" t="n">
        <v>1</v>
      </c>
      <c r="K15" s="58"/>
      <c r="M15" s="24" t="s">
        <v>62</v>
      </c>
      <c r="N15" s="89" t="s">
        <v>63</v>
      </c>
      <c r="O15" s="104" t="n">
        <v>3.22999999999999998</v>
      </c>
      <c r="P15" s="89" t="n">
        <v>1</v>
      </c>
      <c r="Q15" s="58"/>
      <c r="S15" s="24" t="s">
        <v>62</v>
      </c>
      <c r="T15" s="89" t="s">
        <v>63</v>
      </c>
      <c r="U15" s="104" t="n">
        <v>1.45</v>
      </c>
      <c r="V15" s="89" t="n">
        <v>1</v>
      </c>
      <c r="W15" s="58"/>
      <c r="Y15" s="24" t="s">
        <v>62</v>
      </c>
      <c r="Z15" s="89" t="s">
        <v>63</v>
      </c>
      <c r="AA15" s="104" t="n">
        <v>2.5</v>
      </c>
      <c r="AB15" s="89" t="n">
        <v>1</v>
      </c>
      <c r="AC15" s="58"/>
    </row>
    <row r="16" spans="1:29">
      <c r="A16" s="24" t="s">
        <v>64</v>
      </c>
      <c r="B16" s="89" t="s">
        <v>65</v>
      </c>
      <c r="C16" s="104" t="n">
        <v>10.4000000000000004</v>
      </c>
      <c r="D16" s="89" t="n">
        <v>0</v>
      </c>
      <c r="E16" s="58">
        <f>C16*D16</f>
        <v>0</v>
      </c>
      <c r="G16" s="24" t="s">
        <v>64</v>
      </c>
      <c r="H16" s="89" t="s">
        <v>65</v>
      </c>
      <c r="I16" s="104"/>
      <c r="J16" s="89" t="n">
        <v>0</v>
      </c>
      <c r="K16" s="58">
        <f>I16*J16</f>
        <v>0</v>
      </c>
      <c r="M16" s="24" t="s">
        <v>64</v>
      </c>
      <c r="N16" s="89" t="s">
        <v>65</v>
      </c>
      <c r="O16" s="104"/>
      <c r="P16" s="89" t="n">
        <v>0</v>
      </c>
      <c r="Q16" s="58">
        <f>O16*P16</f>
        <v>0</v>
      </c>
      <c r="S16" s="24" t="s">
        <v>64</v>
      </c>
      <c r="T16" s="89" t="s">
        <v>65</v>
      </c>
      <c r="U16" s="104"/>
      <c r="V16" s="89" t="n">
        <v>0</v>
      </c>
      <c r="W16" s="58">
        <f>U16*V16</f>
        <v>0</v>
      </c>
      <c r="Y16" s="24" t="s">
        <v>64</v>
      </c>
      <c r="Z16" s="89" t="s">
        <v>65</v>
      </c>
      <c r="AA16" s="104"/>
      <c r="AB16" s="89" t="n">
        <v>0</v>
      </c>
      <c r="AC16" s="58">
        <f>AA16*AB16</f>
        <v>0</v>
      </c>
    </row>
    <row r="17" spans="1:29">
      <c r="A17" s="24" t="s">
        <v>66</v>
      </c>
      <c r="B17" s="89" t="s">
        <v>67</v>
      </c>
      <c r="C17" s="104" t="n">
        <v>41.7000000000000028</v>
      </c>
      <c r="D17" s="89" t="n">
        <v>0</v>
      </c>
      <c r="E17" s="58">
        <f>C17*D17</f>
        <v>0</v>
      </c>
      <c r="G17" s="24" t="s">
        <v>66</v>
      </c>
      <c r="H17" s="89" t="s">
        <v>67</v>
      </c>
      <c r="I17" s="104" t="n">
        <v>12.3000000000000007</v>
      </c>
      <c r="J17" s="89" t="n">
        <v>0</v>
      </c>
      <c r="K17" s="58">
        <f>I17*J17</f>
        <v>0</v>
      </c>
      <c r="M17" s="24" t="s">
        <v>66</v>
      </c>
      <c r="N17" s="89" t="s">
        <v>67</v>
      </c>
      <c r="O17" s="104" t="n">
        <v>12.3000000000000007</v>
      </c>
      <c r="P17" s="89" t="n">
        <v>0</v>
      </c>
      <c r="Q17" s="58">
        <f>O17*P17</f>
        <v>0</v>
      </c>
      <c r="S17" s="24" t="s">
        <v>66</v>
      </c>
      <c r="T17" s="89" t="s">
        <v>67</v>
      </c>
      <c r="U17" s="104" t="n">
        <v>24.3000000000000007</v>
      </c>
      <c r="V17" s="89" t="n">
        <v>0</v>
      </c>
      <c r="W17" s="58">
        <f>U17*V17</f>
        <v>0</v>
      </c>
      <c r="Y17" s="24" t="s">
        <v>66</v>
      </c>
      <c r="Z17" s="89" t="s">
        <v>67</v>
      </c>
      <c r="AA17" s="104" t="n">
        <v>15.6999999999999993</v>
      </c>
      <c r="AB17" s="89" t="n">
        <v>0</v>
      </c>
      <c r="AC17" s="58">
        <f>AA17*AB17</f>
        <v>0</v>
      </c>
    </row>
    <row r="18" spans="1:29">
      <c r="A18" s="24" t="s">
        <v>68</v>
      </c>
      <c r="B18" s="89" t="s">
        <v>69</v>
      </c>
      <c r="C18" s="104" t="n">
        <v>0.329600000000000026</v>
      </c>
      <c r="D18" s="89" t="n">
        <v>0</v>
      </c>
      <c r="E18" s="58">
        <f>C18*D18</f>
        <v>0</v>
      </c>
      <c r="G18" s="24" t="s">
        <v>68</v>
      </c>
      <c r="H18" s="89" t="s">
        <v>69</v>
      </c>
      <c r="I18" s="104" t="n">
        <v>0.0485999999999999943</v>
      </c>
      <c r="J18" s="89" t="n">
        <v>0</v>
      </c>
      <c r="K18" s="58">
        <f>I18*J18</f>
        <v>0</v>
      </c>
      <c r="M18" s="24" t="s">
        <v>68</v>
      </c>
      <c r="N18" s="89" t="s">
        <v>69</v>
      </c>
      <c r="O18" s="104" t="n">
        <v>0.0485999999999999943</v>
      </c>
      <c r="P18" s="89" t="n">
        <v>0</v>
      </c>
      <c r="Q18" s="58">
        <f>O18*P18</f>
        <v>0</v>
      </c>
      <c r="S18" s="24" t="s">
        <v>68</v>
      </c>
      <c r="T18" s="89" t="s">
        <v>69</v>
      </c>
      <c r="U18" s="104" t="n">
        <v>0.19879999999999999</v>
      </c>
      <c r="V18" s="89" t="n">
        <v>0</v>
      </c>
      <c r="W18" s="58">
        <f>U18*V18</f>
        <v>0</v>
      </c>
      <c r="Y18" s="24" t="s">
        <v>68</v>
      </c>
      <c r="Z18" s="89" t="s">
        <v>69</v>
      </c>
      <c r="AA18" s="104" t="n">
        <v>0.0748999999999999755</v>
      </c>
      <c r="AB18" s="89" t="n">
        <v>0</v>
      </c>
      <c r="AC18" s="58">
        <f>AA18*AB18</f>
        <v>0</v>
      </c>
    </row>
    <row r="19" spans="1:29">
      <c r="A19" s="24" t="s">
        <v>70</v>
      </c>
      <c r="B19" s="89" t="s">
        <v>71</v>
      </c>
      <c r="C19" s="104"/>
      <c r="D19" s="89" t="n">
        <v>0</v>
      </c>
      <c r="E19" s="58">
        <f>C19*D19</f>
        <v>0</v>
      </c>
      <c r="G19" s="24" t="s">
        <v>70</v>
      </c>
      <c r="H19" s="89" t="s">
        <v>71</v>
      </c>
      <c r="I19" s="104"/>
      <c r="J19" s="89" t="n">
        <v>0</v>
      </c>
      <c r="K19" s="58">
        <f>I19*J19</f>
        <v>0</v>
      </c>
      <c r="M19" s="24" t="s">
        <v>70</v>
      </c>
      <c r="N19" s="89" t="s">
        <v>71</v>
      </c>
      <c r="O19" s="104"/>
      <c r="P19" s="89" t="n">
        <v>0</v>
      </c>
      <c r="Q19" s="58">
        <f>O19*P19</f>
        <v>0</v>
      </c>
      <c r="S19" s="24" t="s">
        <v>70</v>
      </c>
      <c r="T19" s="89" t="s">
        <v>71</v>
      </c>
      <c r="U19" s="104"/>
      <c r="V19" s="89" t="n">
        <v>0</v>
      </c>
      <c r="W19" s="58">
        <f>U19*V19</f>
        <v>0</v>
      </c>
      <c r="Y19" s="24" t="s">
        <v>70</v>
      </c>
      <c r="Z19" s="89" t="s">
        <v>71</v>
      </c>
      <c r="AA19" s="104"/>
      <c r="AB19" s="89" t="n">
        <v>0</v>
      </c>
      <c r="AC19" s="58">
        <f>AA19*AB19</f>
        <v>0</v>
      </c>
    </row>
    <row r="20" spans="1:29">
      <c r="A20" s="24" t="s">
        <v>72</v>
      </c>
      <c r="B20" s="89" t="s">
        <v>73</v>
      </c>
      <c r="C20" s="104"/>
      <c r="D20" s="89" t="n">
        <v>0</v>
      </c>
      <c r="E20" s="58">
        <f>C20*D20</f>
        <v>0</v>
      </c>
      <c r="G20" s="24" t="s">
        <v>72</v>
      </c>
      <c r="H20" s="89" t="s">
        <v>73</v>
      </c>
      <c r="I20" s="104"/>
      <c r="J20" s="89" t="n">
        <v>0</v>
      </c>
      <c r="K20" s="58">
        <f>I20*J20</f>
        <v>0</v>
      </c>
      <c r="M20" s="24" t="s">
        <v>72</v>
      </c>
      <c r="N20" s="89" t="s">
        <v>73</v>
      </c>
      <c r="O20" s="104"/>
      <c r="P20" s="89" t="n">
        <v>0</v>
      </c>
      <c r="Q20" s="58">
        <f>O20*P20</f>
        <v>0</v>
      </c>
      <c r="S20" s="24" t="s">
        <v>72</v>
      </c>
      <c r="T20" s="89" t="s">
        <v>73</v>
      </c>
      <c r="U20" s="104"/>
      <c r="V20" s="89" t="n">
        <v>0</v>
      </c>
      <c r="W20" s="58">
        <f>U20*V20</f>
        <v>0</v>
      </c>
      <c r="Y20" s="24" t="s">
        <v>72</v>
      </c>
      <c r="Z20" s="89" t="s">
        <v>73</v>
      </c>
      <c r="AA20" s="104"/>
      <c r="AB20" s="89" t="n">
        <v>0</v>
      </c>
      <c r="AC20" s="58">
        <f>AA20*AB20</f>
        <v>0</v>
      </c>
    </row>
    <row r="21" spans="1:29">
      <c r="A21" s="24" t="s">
        <v>74</v>
      </c>
      <c r="B21" s="89" t="s">
        <v>75</v>
      </c>
      <c r="C21" s="104"/>
      <c r="D21" s="89" t="n">
        <v>0</v>
      </c>
      <c r="E21" s="58">
        <f>C21*D21</f>
        <v>0</v>
      </c>
      <c r="G21" s="24" t="s">
        <v>74</v>
      </c>
      <c r="H21" s="89" t="s">
        <v>75</v>
      </c>
      <c r="I21" s="104"/>
      <c r="J21" s="89" t="n">
        <v>0</v>
      </c>
      <c r="K21" s="58">
        <f>I21*J21</f>
        <v>0</v>
      </c>
      <c r="M21" s="24" t="s">
        <v>74</v>
      </c>
      <c r="N21" s="89" t="s">
        <v>75</v>
      </c>
      <c r="O21" s="104"/>
      <c r="P21" s="89" t="n">
        <v>0</v>
      </c>
      <c r="Q21" s="58">
        <f>O21*P21</f>
        <v>0</v>
      </c>
      <c r="S21" s="24" t="s">
        <v>74</v>
      </c>
      <c r="T21" s="89" t="s">
        <v>75</v>
      </c>
      <c r="U21" s="104"/>
      <c r="V21" s="89" t="n">
        <v>0</v>
      </c>
      <c r="W21" s="58">
        <f>U21*V21</f>
        <v>0</v>
      </c>
      <c r="Y21" s="24" t="s">
        <v>74</v>
      </c>
      <c r="Z21" s="89" t="s">
        <v>75</v>
      </c>
      <c r="AA21" s="104"/>
      <c r="AB21" s="89" t="n">
        <v>0</v>
      </c>
      <c r="AC21" s="58">
        <f>AA21*AB21</f>
        <v>0</v>
      </c>
    </row>
    <row r="22" spans="1:29">
      <c r="A22" s="24" t="s">
        <v>76</v>
      </c>
      <c r="B22" s="89" t="s">
        <v>77</v>
      </c>
      <c r="C22" s="104"/>
      <c r="D22" s="89" t="n">
        <v>1</v>
      </c>
      <c r="E22" s="58">
        <f>C22*D22</f>
        <v>0</v>
      </c>
      <c r="G22" s="24" t="s">
        <v>76</v>
      </c>
      <c r="H22" s="89" t="s">
        <v>77</v>
      </c>
      <c r="I22" s="104"/>
      <c r="J22" s="89" t="n">
        <v>1</v>
      </c>
      <c r="K22" s="58">
        <f>I22*J22</f>
        <v>0</v>
      </c>
      <c r="M22" s="24" t="s">
        <v>76</v>
      </c>
      <c r="N22" s="89" t="s">
        <v>77</v>
      </c>
      <c r="O22" s="104"/>
      <c r="P22" s="89" t="n">
        <v>1</v>
      </c>
      <c r="Q22" s="58">
        <f>O22*P22</f>
        <v>0</v>
      </c>
      <c r="S22" s="24" t="s">
        <v>76</v>
      </c>
      <c r="T22" s="89" t="s">
        <v>77</v>
      </c>
      <c r="U22" s="104"/>
      <c r="V22" s="89" t="n">
        <v>1</v>
      </c>
      <c r="W22" s="58">
        <f>U22*V22</f>
        <v>0</v>
      </c>
      <c r="Y22" s="24" t="s">
        <v>76</v>
      </c>
      <c r="Z22" s="89" t="s">
        <v>77</v>
      </c>
      <c r="AA22" s="104"/>
      <c r="AB22" s="89" t="n">
        <v>1</v>
      </c>
      <c r="AC22" s="58">
        <f>AA22*AB22</f>
        <v>0</v>
      </c>
    </row>
    <row r="23" spans="1:29">
      <c r="A23" s="24" t="s">
        <v>78</v>
      </c>
      <c r="B23" s="89" t="s">
        <v>79</v>
      </c>
      <c r="C23" s="104" t="n">
        <v>35.2999999999999972</v>
      </c>
      <c r="D23" s="89" t="n">
        <v>1</v>
      </c>
      <c r="E23" s="58">
        <f>C23*D23</f>
        <v>35.2999999999999972</v>
      </c>
      <c r="G23" s="24" t="s">
        <v>78</v>
      </c>
      <c r="H23" s="89" t="s">
        <v>79</v>
      </c>
      <c r="I23" s="104" t="n">
        <v>53.2000000000000028</v>
      </c>
      <c r="J23" s="89" t="n">
        <v>1</v>
      </c>
      <c r="K23" s="58">
        <f>I23*J23</f>
        <v>53.2000000000000028</v>
      </c>
      <c r="M23" s="24" t="s">
        <v>78</v>
      </c>
      <c r="N23" s="89" t="s">
        <v>79</v>
      </c>
      <c r="O23" s="104" t="n">
        <v>53.2000000000000028</v>
      </c>
      <c r="P23" s="89" t="n">
        <v>1</v>
      </c>
      <c r="Q23" s="58">
        <f>O23*P23</f>
        <v>53.2000000000000028</v>
      </c>
      <c r="S23" s="24" t="s">
        <v>78</v>
      </c>
      <c r="T23" s="89" t="s">
        <v>79</v>
      </c>
      <c r="U23" s="104" t="n">
        <v>60.7999999999999972</v>
      </c>
      <c r="V23" s="89" t="n">
        <v>1</v>
      </c>
      <c r="W23" s="58">
        <f>U23*V23</f>
        <v>60.7999999999999972</v>
      </c>
      <c r="Y23" s="24" t="s">
        <v>78</v>
      </c>
      <c r="Z23" s="89" t="s">
        <v>79</v>
      </c>
      <c r="AA23" s="104" t="n">
        <v>65</v>
      </c>
      <c r="AB23" s="89" t="n">
        <v>1</v>
      </c>
      <c r="AC23" s="58">
        <f>AA23*AB23</f>
        <v>65</v>
      </c>
    </row>
    <row r="24" spans="1:29">
      <c r="A24" s="24" t="s">
        <v>80</v>
      </c>
      <c r="B24" s="89" t="s">
        <v>81</v>
      </c>
      <c r="C24" s="104" t="n">
        <v>5.70000000000000018</v>
      </c>
      <c r="D24" s="89" t="n">
        <v>2</v>
      </c>
      <c r="E24" s="58">
        <f>C24*D24</f>
        <v>11.4000000000000004</v>
      </c>
      <c r="G24" s="24" t="s">
        <v>80</v>
      </c>
      <c r="H24" s="89" t="s">
        <v>81</v>
      </c>
      <c r="I24" s="104" t="n">
        <v>11.6099999999999994</v>
      </c>
      <c r="J24" s="89" t="n">
        <v>2</v>
      </c>
      <c r="K24" s="58">
        <f>I24*J24</f>
        <v>23.2199999999999989</v>
      </c>
      <c r="M24" s="24" t="s">
        <v>80</v>
      </c>
      <c r="N24" s="89" t="s">
        <v>81</v>
      </c>
      <c r="O24" s="104" t="n">
        <v>11.6099999999999994</v>
      </c>
      <c r="P24" s="89" t="n">
        <v>2</v>
      </c>
      <c r="Q24" s="58">
        <f>O24*P24</f>
        <v>23.2199999999999989</v>
      </c>
      <c r="S24" s="24" t="s">
        <v>80</v>
      </c>
      <c r="T24" s="89" t="s">
        <v>81</v>
      </c>
      <c r="U24" s="104" t="n">
        <v>7.20000000000000018</v>
      </c>
      <c r="V24" s="89" t="n">
        <v>2</v>
      </c>
      <c r="W24" s="58">
        <f>U24*V24</f>
        <v>14.4000000000000004</v>
      </c>
      <c r="Y24" s="24" t="s">
        <v>80</v>
      </c>
      <c r="Z24" s="89" t="s">
        <v>81</v>
      </c>
      <c r="AA24" s="104" t="n">
        <v>9.90000000000000036</v>
      </c>
      <c r="AB24" s="89" t="n">
        <v>2</v>
      </c>
      <c r="AC24" s="58">
        <f>AA24*AB24</f>
        <v>19.8000000000000007</v>
      </c>
    </row>
    <row r="25" spans="1:29">
      <c r="A25" s="24" t="s">
        <v>82</v>
      </c>
      <c r="B25" s="89" t="s">
        <v>83</v>
      </c>
      <c r="C25" s="104" t="n">
        <v>4.20000000000000018</v>
      </c>
      <c r="D25" s="89" t="n">
        <v>3</v>
      </c>
      <c r="E25" s="58">
        <f>C25*D25</f>
        <v>12.5999999999999996</v>
      </c>
      <c r="G25" s="24" t="s">
        <v>82</v>
      </c>
      <c r="H25" s="89" t="s">
        <v>83</v>
      </c>
      <c r="I25" s="104" t="n">
        <v>12.8499999999999996</v>
      </c>
      <c r="J25" s="89" t="n">
        <v>3</v>
      </c>
      <c r="K25" s="58">
        <f>I25*J25</f>
        <v>38.5499999999999972</v>
      </c>
      <c r="M25" s="24" t="s">
        <v>82</v>
      </c>
      <c r="N25" s="89" t="s">
        <v>83</v>
      </c>
      <c r="O25" s="104" t="n">
        <v>12.8499999999999996</v>
      </c>
      <c r="P25" s="89" t="n">
        <v>3</v>
      </c>
      <c r="Q25" s="58">
        <f>O25*P25</f>
        <v>38.5499999999999972</v>
      </c>
      <c r="S25" s="24" t="s">
        <v>82</v>
      </c>
      <c r="T25" s="89" t="s">
        <v>83</v>
      </c>
      <c r="U25" s="104" t="n">
        <v>3.70000000000000018</v>
      </c>
      <c r="V25" s="89" t="n">
        <v>3</v>
      </c>
      <c r="W25" s="58">
        <f>U25*V25</f>
        <v>11.0999999999999996</v>
      </c>
      <c r="Y25" s="24" t="s">
        <v>82</v>
      </c>
      <c r="Z25" s="89" t="s">
        <v>83</v>
      </c>
      <c r="AA25" s="104" t="n">
        <v>4.91000000000000014</v>
      </c>
      <c r="AB25" s="89" t="n">
        <v>3</v>
      </c>
      <c r="AC25" s="58">
        <f>AA25*AB25</f>
        <v>14.7300000000000004</v>
      </c>
    </row>
    <row r="26" spans="1:29">
      <c r="A26" s="24" t="s">
        <v>84</v>
      </c>
      <c r="B26" s="89" t="s">
        <v>85</v>
      </c>
      <c r="C26" s="104" t="n">
        <v>0.5</v>
      </c>
      <c r="D26" s="89" t="n">
        <v>4</v>
      </c>
      <c r="E26" s="58">
        <f>C26*D26</f>
        <v>2</v>
      </c>
      <c r="G26" s="24" t="s">
        <v>84</v>
      </c>
      <c r="H26" s="89" t="s">
        <v>85</v>
      </c>
      <c r="I26" s="104" t="n">
        <v>5.40000000000000036</v>
      </c>
      <c r="J26" s="89" t="n">
        <v>4</v>
      </c>
      <c r="K26" s="58">
        <f>I26*J26</f>
        <v>21.6000000000000014</v>
      </c>
      <c r="M26" s="24" t="s">
        <v>84</v>
      </c>
      <c r="N26" s="89" t="s">
        <v>85</v>
      </c>
      <c r="O26" s="104" t="n">
        <v>5.40000000000000036</v>
      </c>
      <c r="P26" s="89" t="n">
        <v>4</v>
      </c>
      <c r="Q26" s="58">
        <f>O26*P26</f>
        <v>21.6000000000000014</v>
      </c>
      <c r="S26" s="24" t="s">
        <v>84</v>
      </c>
      <c r="T26" s="89" t="s">
        <v>85</v>
      </c>
      <c r="U26" s="104" t="n">
        <v>0.808000000000000007</v>
      </c>
      <c r="V26" s="89" t="n">
        <v>4</v>
      </c>
      <c r="W26" s="58">
        <f>U26*V26</f>
        <v>3.23200000000000021</v>
      </c>
      <c r="Y26" s="24" t="s">
        <v>84</v>
      </c>
      <c r="Z26" s="89" t="s">
        <v>85</v>
      </c>
      <c r="AA26" s="104" t="n">
        <v>1.12000000000000011</v>
      </c>
      <c r="AB26" s="89" t="n">
        <v>4</v>
      </c>
      <c r="AC26" s="58">
        <f>AA26*AB26</f>
        <v>4.48000000000000043</v>
      </c>
    </row>
    <row r="27" spans="1:29">
      <c r="A27" s="24" t="s">
        <v>86</v>
      </c>
      <c r="B27" s="89" t="s">
        <v>87</v>
      </c>
      <c r="C27" s="104" t="n">
        <v>0.479999999999999982</v>
      </c>
      <c r="D27" s="89" t="n">
        <v>4</v>
      </c>
      <c r="E27" s="58">
        <f>C27*D27</f>
        <v>1.91999999999999993</v>
      </c>
      <c r="G27" s="24" t="s">
        <v>86</v>
      </c>
      <c r="H27" s="89" t="s">
        <v>87</v>
      </c>
      <c r="I27" s="104"/>
      <c r="J27" s="89" t="n">
        <v>4</v>
      </c>
      <c r="K27" s="58">
        <f>I27*J27</f>
        <v>0</v>
      </c>
      <c r="M27" s="24" t="s">
        <v>86</v>
      </c>
      <c r="N27" s="89" t="s">
        <v>87</v>
      </c>
      <c r="O27" s="104"/>
      <c r="P27" s="89" t="n">
        <v>4</v>
      </c>
      <c r="Q27" s="58">
        <f>O27*P27</f>
        <v>0</v>
      </c>
      <c r="S27" s="24" t="s">
        <v>86</v>
      </c>
      <c r="T27" s="89" t="s">
        <v>87</v>
      </c>
      <c r="U27" s="104"/>
      <c r="V27" s="89" t="n">
        <v>4</v>
      </c>
      <c r="W27" s="58">
        <f>U27*V27</f>
        <v>0</v>
      </c>
      <c r="Y27" s="24" t="s">
        <v>86</v>
      </c>
      <c r="Z27" s="89" t="s">
        <v>87</v>
      </c>
      <c r="AA27" s="104"/>
      <c r="AB27" s="89" t="n">
        <v>4</v>
      </c>
      <c r="AC27" s="58">
        <f>AA27*AB27</f>
        <v>0</v>
      </c>
    </row>
    <row r="28" spans="1:29">
      <c r="A28" s="24" t="s">
        <v>88</v>
      </c>
      <c r="B28" s="89" t="s">
        <v>89</v>
      </c>
      <c r="C28" s="104" t="n">
        <v>0.0410000000000000053</v>
      </c>
      <c r="D28" s="89" t="n">
        <v>5</v>
      </c>
      <c r="E28" s="58">
        <f>C28*D28</f>
        <v>0.204999999999999982</v>
      </c>
      <c r="G28" s="24" t="s">
        <v>88</v>
      </c>
      <c r="H28" s="89" t="s">
        <v>89</v>
      </c>
      <c r="I28" s="104" t="n">
        <v>1.29000000000000004</v>
      </c>
      <c r="J28" s="89" t="n">
        <v>5</v>
      </c>
      <c r="K28" s="58">
        <f>I28*J28</f>
        <v>6.45000000000000018</v>
      </c>
      <c r="M28" s="24" t="s">
        <v>88</v>
      </c>
      <c r="N28" s="89" t="s">
        <v>89</v>
      </c>
      <c r="O28" s="104" t="n">
        <v>1.29000000000000004</v>
      </c>
      <c r="P28" s="89" t="n">
        <v>5</v>
      </c>
      <c r="Q28" s="58">
        <f>O28*P28</f>
        <v>6.45000000000000018</v>
      </c>
      <c r="S28" s="24" t="s">
        <v>88</v>
      </c>
      <c r="T28" s="89" t="s">
        <v>89</v>
      </c>
      <c r="U28" s="104" t="n">
        <v>0.0480999999999999961</v>
      </c>
      <c r="V28" s="89" t="n">
        <v>5</v>
      </c>
      <c r="W28" s="58">
        <f>U28*V28</f>
        <v>0.24049999999999998</v>
      </c>
      <c r="Y28" s="24" t="s">
        <v>88</v>
      </c>
      <c r="Z28" s="89" t="s">
        <v>89</v>
      </c>
      <c r="AA28" s="104" t="n">
        <v>0.112600000000000011</v>
      </c>
      <c r="AB28" s="89" t="n">
        <v>5</v>
      </c>
      <c r="AC28" s="58">
        <f>AA28*AB28</f>
        <v>0.562999999999999901</v>
      </c>
    </row>
    <row r="29" spans="1:29">
      <c r="A29" s="24" t="s">
        <v>90</v>
      </c>
      <c r="B29" s="89" t="s">
        <v>91</v>
      </c>
      <c r="C29" s="104" t="n">
        <v>0.008</v>
      </c>
      <c r="D29" s="89" t="n">
        <v>5</v>
      </c>
      <c r="E29" s="58">
        <f>C29*D29</f>
        <v>0.04</v>
      </c>
      <c r="G29" s="24" t="s">
        <v>90</v>
      </c>
      <c r="H29" s="89" t="s">
        <v>91</v>
      </c>
      <c r="I29" s="104"/>
      <c r="J29" s="89" t="n">
        <v>5</v>
      </c>
      <c r="K29" s="58">
        <f>I29*J29</f>
        <v>0</v>
      </c>
      <c r="M29" s="24" t="s">
        <v>90</v>
      </c>
      <c r="N29" s="89" t="s">
        <v>91</v>
      </c>
      <c r="O29" s="104"/>
      <c r="P29" s="89" t="n">
        <v>5</v>
      </c>
      <c r="Q29" s="58">
        <f>O29*P29</f>
        <v>0</v>
      </c>
      <c r="S29" s="24" t="s">
        <v>90</v>
      </c>
      <c r="T29" s="89" t="s">
        <v>91</v>
      </c>
      <c r="U29" s="104"/>
      <c r="V29" s="89" t="n">
        <v>5</v>
      </c>
      <c r="W29" s="58">
        <f>U29*V29</f>
        <v>0</v>
      </c>
      <c r="Y29" s="24" t="s">
        <v>90</v>
      </c>
      <c r="Z29" s="89" t="s">
        <v>91</v>
      </c>
      <c r="AA29" s="104"/>
      <c r="AB29" s="89" t="n">
        <v>5</v>
      </c>
      <c r="AC29" s="58">
        <f>AA29*AB29</f>
        <v>0</v>
      </c>
    </row>
    <row r="30" spans="1:29">
      <c r="A30" s="24" t="s">
        <v>92</v>
      </c>
      <c r="B30" s="89" t="s">
        <v>93</v>
      </c>
      <c r="C30" s="104" t="n">
        <v>0.0001</v>
      </c>
      <c r="D30" s="89" t="n">
        <v>6</v>
      </c>
      <c r="E30" s="58">
        <f>C30*D30</f>
        <v>0.000599999999999999822</v>
      </c>
      <c r="G30" s="24" t="s">
        <v>92</v>
      </c>
      <c r="H30" s="89" t="s">
        <v>93</v>
      </c>
      <c r="I30" s="104" t="n">
        <v>0.00469999999999999929</v>
      </c>
      <c r="J30" s="89" t="n">
        <v>6</v>
      </c>
      <c r="K30" s="58">
        <f>I30*J30</f>
        <v>0.0281999999999999993</v>
      </c>
      <c r="M30" s="24" t="s">
        <v>92</v>
      </c>
      <c r="N30" s="89" t="s">
        <v>93</v>
      </c>
      <c r="O30" s="104" t="n">
        <v>0.00469999999999999929</v>
      </c>
      <c r="P30" s="89" t="n">
        <v>6</v>
      </c>
      <c r="Q30" s="58">
        <f>O30*P30</f>
        <v>0.0281999999999999993</v>
      </c>
      <c r="S30" s="24" t="s">
        <v>92</v>
      </c>
      <c r="T30" s="89" t="s">
        <v>93</v>
      </c>
      <c r="U30" s="104" t="n">
        <v>0.0005</v>
      </c>
      <c r="V30" s="89" t="n">
        <v>6</v>
      </c>
      <c r="W30" s="58">
        <f>U30*V30</f>
        <v>0.003</v>
      </c>
      <c r="Y30" s="24" t="s">
        <v>92</v>
      </c>
      <c r="Z30" s="89" t="s">
        <v>93</v>
      </c>
      <c r="AA30" s="104" t="n">
        <v>0.00370000000000000062</v>
      </c>
      <c r="AB30" s="89" t="n">
        <v>6</v>
      </c>
      <c r="AC30" s="58">
        <f>AA30*AB30</f>
        <v>0.022200000000000002</v>
      </c>
    </row>
    <row r="31" spans="1:29">
      <c r="A31" s="24" t="s">
        <v>94</v>
      </c>
      <c r="B31" s="89" t="s">
        <v>95</v>
      </c>
      <c r="C31" s="104"/>
      <c r="D31" s="89" t="n">
        <v>7</v>
      </c>
      <c r="E31" s="58">
        <f>C31*D31</f>
        <v>0</v>
      </c>
      <c r="G31" s="24" t="s">
        <v>94</v>
      </c>
      <c r="H31" s="89" t="s">
        <v>95</v>
      </c>
      <c r="I31" s="104"/>
      <c r="J31" s="89" t="n">
        <v>7</v>
      </c>
      <c r="K31" s="58">
        <f>I31*J31</f>
        <v>0</v>
      </c>
      <c r="M31" s="24" t="s">
        <v>94</v>
      </c>
      <c r="N31" s="89" t="s">
        <v>95</v>
      </c>
      <c r="O31" s="104"/>
      <c r="P31" s="89" t="n">
        <v>7</v>
      </c>
      <c r="Q31" s="58">
        <f>O31*P31</f>
        <v>0</v>
      </c>
      <c r="S31" s="24" t="s">
        <v>94</v>
      </c>
      <c r="T31" s="89" t="s">
        <v>95</v>
      </c>
      <c r="U31" s="104"/>
      <c r="V31" s="89" t="n">
        <v>7</v>
      </c>
      <c r="W31" s="58">
        <f>U31*V31</f>
        <v>0</v>
      </c>
      <c r="Y31" s="24" t="s">
        <v>94</v>
      </c>
      <c r="Z31" s="89" t="s">
        <v>95</v>
      </c>
      <c r="AA31" s="104"/>
      <c r="AB31" s="89" t="n">
        <v>7</v>
      </c>
      <c r="AC31" s="58">
        <f>AA31*AB31</f>
        <v>0</v>
      </c>
    </row>
    <row r="32" spans="1:29">
      <c r="A32" s="24" t="s">
        <v>96</v>
      </c>
      <c r="B32" s="89" t="s">
        <v>97</v>
      </c>
      <c r="C32" s="104"/>
      <c r="D32" s="89" t="n">
        <v>8</v>
      </c>
      <c r="E32" s="58">
        <f>C32*D32</f>
        <v>0</v>
      </c>
      <c r="G32" s="24" t="s">
        <v>96</v>
      </c>
      <c r="H32" s="89" t="s">
        <v>97</v>
      </c>
      <c r="I32" s="104"/>
      <c r="J32" s="89" t="n">
        <v>8</v>
      </c>
      <c r="K32" s="58">
        <f>I32*J32</f>
        <v>0</v>
      </c>
      <c r="M32" s="24" t="s">
        <v>96</v>
      </c>
      <c r="N32" s="89" t="s">
        <v>97</v>
      </c>
      <c r="O32" s="104"/>
      <c r="P32" s="89" t="n">
        <v>8</v>
      </c>
      <c r="Q32" s="58">
        <f>O32*P32</f>
        <v>0</v>
      </c>
      <c r="S32" s="24" t="s">
        <v>96</v>
      </c>
      <c r="T32" s="89" t="s">
        <v>97</v>
      </c>
      <c r="U32" s="104"/>
      <c r="V32" s="89" t="n">
        <v>8</v>
      </c>
      <c r="W32" s="58">
        <f>U32*V32</f>
        <v>0</v>
      </c>
      <c r="Y32" s="24" t="s">
        <v>96</v>
      </c>
      <c r="Z32" s="89" t="s">
        <v>97</v>
      </c>
      <c r="AA32" s="104"/>
      <c r="AB32" s="89" t="n">
        <v>8</v>
      </c>
      <c r="AC32" s="58">
        <f>AA32*AB32</f>
        <v>0</v>
      </c>
    </row>
    <row r="33" spans="1:29">
      <c r="A33" s="24" t="s">
        <v>98</v>
      </c>
      <c r="B33" s="89" t="s">
        <v>99</v>
      </c>
      <c r="C33" s="104"/>
      <c r="D33" s="89" t="n">
        <v>9</v>
      </c>
      <c r="E33" s="58">
        <f>C33*D33</f>
        <v>0</v>
      </c>
      <c r="G33" s="24" t="s">
        <v>98</v>
      </c>
      <c r="H33" s="89" t="s">
        <v>99</v>
      </c>
      <c r="I33" s="104"/>
      <c r="J33" s="89" t="n">
        <v>9</v>
      </c>
      <c r="K33" s="58">
        <f>I33*J33</f>
        <v>0</v>
      </c>
      <c r="M33" s="24" t="s">
        <v>98</v>
      </c>
      <c r="N33" s="89" t="s">
        <v>99</v>
      </c>
      <c r="O33" s="104"/>
      <c r="P33" s="89" t="n">
        <v>9</v>
      </c>
      <c r="Q33" s="58">
        <f>O33*P33</f>
        <v>0</v>
      </c>
      <c r="S33" s="24" t="s">
        <v>98</v>
      </c>
      <c r="T33" s="89" t="s">
        <v>99</v>
      </c>
      <c r="U33" s="104"/>
      <c r="V33" s="89" t="n">
        <v>9</v>
      </c>
      <c r="W33" s="58">
        <f>U33*V33</f>
        <v>0</v>
      </c>
      <c r="Y33" s="24" t="s">
        <v>98</v>
      </c>
      <c r="Z33" s="89" t="s">
        <v>99</v>
      </c>
      <c r="AA33" s="104"/>
      <c r="AB33" s="89" t="n">
        <v>9</v>
      </c>
      <c r="AC33" s="58">
        <f>AA33*AB33</f>
        <v>0</v>
      </c>
    </row>
    <row r="34" spans="1:29">
      <c r="A34" s="24" t="s">
        <v>100</v>
      </c>
      <c r="B34" s="89" t="s">
        <v>101</v>
      </c>
      <c r="C34" s="104"/>
      <c r="D34" s="89" t="n">
        <v>10</v>
      </c>
      <c r="E34" s="58">
        <f>C34*D34</f>
        <v>0</v>
      </c>
      <c r="G34" s="24" t="s">
        <v>100</v>
      </c>
      <c r="H34" s="89" t="s">
        <v>101</v>
      </c>
      <c r="I34" s="104"/>
      <c r="J34" s="89" t="n">
        <v>10</v>
      </c>
      <c r="K34" s="58">
        <f>I34*J34</f>
        <v>0</v>
      </c>
      <c r="M34" s="24" t="s">
        <v>100</v>
      </c>
      <c r="N34" s="89" t="s">
        <v>101</v>
      </c>
      <c r="O34" s="104"/>
      <c r="P34" s="89" t="n">
        <v>10</v>
      </c>
      <c r="Q34" s="58">
        <f>O34*P34</f>
        <v>0</v>
      </c>
      <c r="S34" s="24" t="s">
        <v>100</v>
      </c>
      <c r="T34" s="89" t="s">
        <v>101</v>
      </c>
      <c r="U34" s="104"/>
      <c r="V34" s="89" t="n">
        <v>10</v>
      </c>
      <c r="W34" s="58">
        <f>U34*V34</f>
        <v>0</v>
      </c>
      <c r="Y34" s="24" t="s">
        <v>100</v>
      </c>
      <c r="Z34" s="89" t="s">
        <v>101</v>
      </c>
      <c r="AA34" s="104"/>
      <c r="AB34" s="89" t="n">
        <v>10</v>
      </c>
      <c r="AC34" s="58">
        <f>AA34*AB34</f>
        <v>0</v>
      </c>
    </row>
    <row r="35" spans="1:29">
      <c r="A35" s="24" t="s">
        <v>102</v>
      </c>
      <c r="B35" s="89" t="s">
        <v>81</v>
      </c>
      <c r="C35" s="104" t="n">
        <v>0.0512999999999999989</v>
      </c>
      <c r="D35" s="89" t="n">
        <v>2</v>
      </c>
      <c r="E35" s="58">
        <f>C35*D35</f>
        <v>0.102600000000000002</v>
      </c>
      <c r="G35" s="24" t="s">
        <v>102</v>
      </c>
      <c r="H35" s="89" t="s">
        <v>81</v>
      </c>
      <c r="I35" s="104" t="n">
        <v>0.0666999999999999904</v>
      </c>
      <c r="J35" s="89" t="n">
        <v>2</v>
      </c>
      <c r="K35" s="58">
        <f>I35*J35</f>
        <v>0.133399999999999985</v>
      </c>
      <c r="M35" s="24" t="s">
        <v>102</v>
      </c>
      <c r="N35" s="89" t="s">
        <v>81</v>
      </c>
      <c r="O35" s="104" t="n">
        <v>0.0666999999999999904</v>
      </c>
      <c r="P35" s="89" t="n">
        <v>2</v>
      </c>
      <c r="Q35" s="58">
        <f>O35*P35</f>
        <v>0.133399999999999985</v>
      </c>
      <c r="S35" s="24" t="s">
        <v>102</v>
      </c>
      <c r="T35" s="89" t="s">
        <v>81</v>
      </c>
      <c r="U35" s="104" t="n">
        <v>1.49459999999999997</v>
      </c>
      <c r="V35" s="89" t="n">
        <v>2</v>
      </c>
      <c r="W35" s="58">
        <f>U35*V35</f>
        <v>2.98919999999999995</v>
      </c>
      <c r="Y35" s="24" t="s">
        <v>102</v>
      </c>
      <c r="Z35" s="89" t="s">
        <v>81</v>
      </c>
      <c r="AA35" s="104" t="n">
        <v>0.678799999999999937</v>
      </c>
      <c r="AB35" s="89" t="n">
        <v>2</v>
      </c>
      <c r="AC35" s="58">
        <f>AA35*AB35</f>
        <v>1.35759999999999992</v>
      </c>
    </row>
    <row r="36" spans="1:29">
      <c r="A36" s="85" t="s">
        <v>17</v>
      </c>
      <c r="B36" s="85"/>
      <c r="C36" s="105">
        <f>SUBTOTAL(109,'расчет коэф._факельное сжигание'!$C$15:$C$35)</f>
        <v>100</v>
      </c>
      <c r="D36" s="85"/>
      <c r="E36" s="106">
        <f>SUBTOTAL(109,'расчет коэф._факельное сжигание'!$E$15:$E$35)</f>
        <v>63.5681999999999974</v>
      </c>
      <c r="G36" s="85" t="s">
        <v>17</v>
      </c>
      <c r="H36" s="85"/>
      <c r="I36" s="105">
        <f>SUBTOTAL(109,'расчет коэф._факельное сжигание'!$I$15:$I$35)</f>
        <v>100</v>
      </c>
      <c r="J36" s="85"/>
      <c r="K36" s="106">
        <f>SUBTOTAL(109,K15:K35)</f>
        <v>143.181600000000003</v>
      </c>
      <c r="M36" s="85" t="s">
        <v>17</v>
      </c>
      <c r="N36" s="85"/>
      <c r="O36" s="93">
        <f>SUBTOTAL(109,'расчет коэф._факельное сжигание'!$O$15:$O$35)</f>
        <v>100</v>
      </c>
      <c r="P36" s="85"/>
      <c r="Q36" s="106">
        <f>SUBTOTAL(109,'расчет коэф._факельное сжигание'!$Q$15:$Q$35)</f>
        <v>143.181600000000003</v>
      </c>
      <c r="S36" s="85" t="s">
        <v>17</v>
      </c>
      <c r="T36" s="85"/>
      <c r="U36" s="96">
        <f>SUBTOTAL(109,'расчет коэф._факельное сжигание'!$U$15:$U$35)</f>
        <v>100</v>
      </c>
      <c r="V36" s="85"/>
      <c r="W36" s="106">
        <f>SUBTOTAL(109,'расчет коэф._факельное сжигание'!$W$15:$W$35)</f>
        <v>92.7647000000000048</v>
      </c>
      <c r="Y36" s="85" t="s">
        <v>17</v>
      </c>
      <c r="Z36" s="85"/>
      <c r="AA36" s="107">
        <f>SUBTOTAL(109,'расчет коэф._факельное сжигание'!$AA$15:$AA$35)</f>
        <v>100</v>
      </c>
      <c r="AB36" s="85"/>
      <c r="AC36" s="106">
        <f>SUBTOTAL(109,'расчет коэф._факельное сжигание'!$AC$15:$AC$35)</f>
        <v>105.952799999999996</v>
      </c>
    </row>
    <row r="38" spans="1:26">
      <c r="A38" s="15" t="s">
        <v>123</v>
      </c>
      <c r="B38" s="31">
        <f>C15</f>
        <v>1.29000000000000004</v>
      </c>
      <c r="G38" s="15" t="s">
        <v>123</v>
      </c>
      <c r="H38" s="31">
        <f>I15</f>
        <v>3.22999999999999998</v>
      </c>
      <c r="M38" s="15" t="s">
        <v>123</v>
      </c>
      <c r="N38" s="31">
        <f>O15</f>
        <v>3.22999999999999998</v>
      </c>
      <c r="S38" s="15" t="s">
        <v>123</v>
      </c>
      <c r="T38" s="31">
        <f>U15</f>
        <v>1.45</v>
      </c>
      <c r="Y38" s="15" t="s">
        <v>123</v>
      </c>
      <c r="Z38" s="31">
        <f>AA15</f>
        <v>2.5</v>
      </c>
    </row>
    <row r="39" spans="1:26" ht="5.10" customHeight="1">
      <c r="A39" s="8"/>
      <c r="B39" s="16"/>
      <c r="G39" s="8"/>
      <c r="H39" s="16"/>
      <c r="M39" s="8"/>
      <c r="N39" s="16"/>
      <c r="S39" s="8"/>
      <c r="T39" s="16"/>
      <c r="Y39" s="8"/>
      <c r="Z39" s="16"/>
    </row>
    <row r="40" spans="1:26">
      <c r="A40" s="15" t="s">
        <v>103</v>
      </c>
      <c r="B40" s="33" t="n">
        <v>1.83929999999999989</v>
      </c>
      <c r="G40" s="15" t="s">
        <v>103</v>
      </c>
      <c r="H40" s="33" t="n">
        <v>1.83929999999999989</v>
      </c>
      <c r="M40" s="15" t="s">
        <v>103</v>
      </c>
      <c r="N40" s="33" t="n">
        <v>1.83929999999999989</v>
      </c>
      <c r="S40" s="15" t="s">
        <v>103</v>
      </c>
      <c r="T40" s="33" t="n">
        <v>1.83929999999999989</v>
      </c>
      <c r="Y40" s="15" t="s">
        <v>103</v>
      </c>
      <c r="Z40" s="33" t="n">
        <v>1.83929999999999989</v>
      </c>
    </row>
    <row r="41" spans="1:26" ht="5.10" customHeight="1">
      <c r="A41" s="8"/>
      <c r="B41" s="16"/>
      <c r="G41" s="8"/>
      <c r="H41" s="16"/>
      <c r="M41" s="8"/>
      <c r="N41" s="16"/>
      <c r="S41" s="8"/>
      <c r="T41" s="16"/>
      <c r="Y41" s="8"/>
      <c r="Z41" s="16"/>
    </row>
    <row r="42" spans="1:26">
      <c r="A42" s="15" t="s">
        <v>124</v>
      </c>
      <c r="B42" s="33" t="n">
        <v>0.02</v>
      </c>
      <c r="G42" s="15" t="s">
        <v>124</v>
      </c>
      <c r="H42" s="33" t="n">
        <v>0.02</v>
      </c>
      <c r="M42" s="15" t="s">
        <v>124</v>
      </c>
      <c r="N42" s="33" t="n">
        <v>0.02</v>
      </c>
      <c r="S42" s="15" t="s">
        <v>124</v>
      </c>
      <c r="T42" s="33" t="n">
        <v>0.02</v>
      </c>
      <c r="Y42" s="15" t="s">
        <v>124</v>
      </c>
      <c r="Z42" s="33" t="n">
        <v>0.02</v>
      </c>
    </row>
    <row r="43" spans="1:26" ht="5.10" customHeight="1">
      <c r="A43" s="8"/>
      <c r="B43" s="16"/>
      <c r="G43" s="8"/>
      <c r="H43" s="16"/>
      <c r="M43" s="8"/>
      <c r="N43" s="16"/>
      <c r="S43" s="8"/>
      <c r="T43" s="16"/>
      <c r="Y43" s="8"/>
      <c r="Z43" s="16"/>
    </row>
    <row r="44" spans="1:26">
      <c r="A44" s="15" t="s">
        <v>125</v>
      </c>
      <c r="B44" s="31">
        <f>ROUND((B38+'расчет коэф._факельное сжигание'!$E$36)*(1-B42)*B40/100,4)</f>
        <v>1.16910000000000003</v>
      </c>
      <c r="G44" s="15" t="s">
        <v>125</v>
      </c>
      <c r="H44" s="31">
        <f>ROUND((H38+'расчет коэф._факельное сжигание'!$K$36)*(1-H42)*H40/100,4)</f>
        <v>2.6391</v>
      </c>
      <c r="M44" s="15" t="s">
        <v>125</v>
      </c>
      <c r="N44" s="31">
        <f>ROUND((N38+'расчет коэф._факельное сжигание'!$Q$36)*(1-N42)*N40/100,4)</f>
        <v>2.6391</v>
      </c>
      <c r="S44" s="15" t="s">
        <v>125</v>
      </c>
      <c r="T44" s="31">
        <f>ROUND((T38+'расчет коэф._факельное сжигание'!$W$36)*(1-T42)*T40/100,4)</f>
        <v>1.69819999999999993</v>
      </c>
      <c r="Y44" s="15" t="s">
        <v>125</v>
      </c>
      <c r="Z44" s="31">
        <f>ROUND((Z38+'расчет коэф._факельное сжигание'!$AC$36)*(1-Z42)*Z40/100,4)</f>
        <v>1.95490000000000013</v>
      </c>
    </row>
    <row r="45" spans="1:26">
      <c r="A45" s="34"/>
      <c r="B45" s="35"/>
      <c r="G45" s="34"/>
      <c r="H45" s="35"/>
      <c r="M45" s="34"/>
      <c r="N45" s="35"/>
      <c r="S45" s="34"/>
      <c r="T45" s="35"/>
      <c r="Y45" s="34"/>
      <c r="Z45" s="35"/>
    </row>
    <row r="46" spans="1:26">
      <c r="A46" s="15" t="s">
        <v>126</v>
      </c>
      <c r="B46" s="31">
        <f>C23</f>
        <v>35.2999999999999972</v>
      </c>
      <c r="G46" s="15" t="s">
        <v>126</v>
      </c>
      <c r="H46" s="31">
        <f>I23</f>
        <v>53.2000000000000028</v>
      </c>
      <c r="M46" s="15" t="s">
        <v>126</v>
      </c>
      <c r="N46" s="31">
        <f>O23</f>
        <v>53.2000000000000028</v>
      </c>
      <c r="S46" s="15" t="s">
        <v>126</v>
      </c>
      <c r="T46" s="31">
        <f>U23</f>
        <v>60.7999999999999972</v>
      </c>
      <c r="Y46" s="15" t="s">
        <v>126</v>
      </c>
      <c r="Z46" s="31">
        <f>AA23</f>
        <v>65</v>
      </c>
    </row>
    <row r="47" spans="1:26" ht="5.10" customHeight="1">
      <c r="A47" s="8"/>
      <c r="B47" s="16"/>
      <c r="G47" s="8"/>
      <c r="H47" s="16"/>
      <c r="M47" s="8"/>
      <c r="N47" s="16"/>
      <c r="S47" s="8"/>
      <c r="T47" s="16"/>
      <c r="Y47" s="8"/>
      <c r="Z47" s="16"/>
    </row>
    <row r="48" spans="1:26">
      <c r="A48" s="15" t="s">
        <v>127</v>
      </c>
      <c r="B48" s="33" t="n">
        <v>0.66800000000000006</v>
      </c>
      <c r="G48" s="15" t="s">
        <v>127</v>
      </c>
      <c r="H48" s="33" t="n">
        <v>0.66800000000000006</v>
      </c>
      <c r="M48" s="15" t="s">
        <v>127</v>
      </c>
      <c r="N48" s="33" t="n">
        <v>0.66800000000000006</v>
      </c>
      <c r="S48" s="15" t="s">
        <v>127</v>
      </c>
      <c r="T48" s="33" t="n">
        <v>0.66800000000000006</v>
      </c>
      <c r="Y48" s="15" t="s">
        <v>127</v>
      </c>
      <c r="Z48" s="33" t="n">
        <v>0.66800000000000006</v>
      </c>
    </row>
    <row r="49" spans="1:26" ht="5.10" customHeight="1">
      <c r="A49" s="8"/>
      <c r="B49" s="16"/>
      <c r="G49" s="8"/>
      <c r="H49" s="16"/>
      <c r="M49" s="8"/>
      <c r="N49" s="16"/>
      <c r="S49" s="8"/>
      <c r="T49" s="16"/>
      <c r="Y49" s="8"/>
      <c r="Z49" s="16"/>
    </row>
    <row r="50" spans="1:26">
      <c r="A50" s="15" t="s">
        <v>128</v>
      </c>
      <c r="B50" s="33" t="n">
        <v>0.02</v>
      </c>
      <c r="G50" s="15" t="s">
        <v>128</v>
      </c>
      <c r="H50" s="33" t="n">
        <v>0.02</v>
      </c>
      <c r="M50" s="15" t="s">
        <v>128</v>
      </c>
      <c r="N50" s="33" t="n">
        <v>0.02</v>
      </c>
      <c r="S50" s="15" t="s">
        <v>128</v>
      </c>
      <c r="T50" s="33" t="n">
        <v>0.02</v>
      </c>
      <c r="Y50" s="15" t="s">
        <v>128</v>
      </c>
      <c r="Z50" s="33" t="n">
        <v>0.02</v>
      </c>
    </row>
    <row r="51" spans="1:26" ht="5.10" customHeight="1">
      <c r="A51" s="8"/>
      <c r="B51" s="16"/>
      <c r="G51" s="8"/>
      <c r="H51" s="16"/>
      <c r="M51" s="8"/>
      <c r="N51" s="16"/>
      <c r="S51" s="8"/>
      <c r="T51" s="16"/>
      <c r="Y51" s="8"/>
      <c r="Z51" s="16"/>
    </row>
    <row r="52" spans="1:26" ht="67.50" customHeight="1">
      <c r="A52" s="15" t="s">
        <v>129</v>
      </c>
      <c r="B52" s="31">
        <f>ROUND(B46*B50*B48/100,4)</f>
        <v>0.00469999999999999929</v>
      </c>
      <c r="G52" s="15" t="s">
        <v>129</v>
      </c>
      <c r="H52" s="31">
        <f>ROUND(H46*H50*H48/100,4)</f>
        <v>0.00710000000000000053</v>
      </c>
      <c r="M52" s="15" t="s">
        <v>129</v>
      </c>
      <c r="N52" s="31">
        <f>ROUND(N46*N50*N48/100,4)</f>
        <v>0.00710000000000000053</v>
      </c>
      <c r="S52" s="15" t="s">
        <v>129</v>
      </c>
      <c r="T52" s="31">
        <f>ROUND(T46*T50*T48/100,4)</f>
        <v>0.00809999999999999787</v>
      </c>
      <c r="Y52" s="15" t="s">
        <v>129</v>
      </c>
      <c r="Z52" s="31">
        <f>ROUND(Z46*Z50*Z48/100,4)</f>
        <v>0.00869999999999999929</v>
      </c>
    </row>
  </sheetData>
  <mergeCells count="1">
    <mergeCell ref="A2:E2"/>
  </mergeCell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Q13"/>
  <sheetViews>
    <sheetView view="normal" zoomScale="60" workbookViewId="0">
      <selection activeCell="F31" sqref="F31"/>
    </sheetView>
  </sheetViews>
  <sheetFormatPr defaultRowHeight="13.45"/>
  <cols>
    <col min="1" max="1" width="7.000000" customWidth="1" style="6"/>
    <col min="2" max="3" width="17.855856" customWidth="1" style="6"/>
    <col min="4" max="4" width="18.855856" customWidth="1" style="6"/>
    <col min="5" max="17" width="17.855856" customWidth="1" style="6"/>
    <col min="18" max="16384" width="9.144144" style="6"/>
  </cols>
  <sheetData>
    <row r="2" spans="1:11">
      <c r="A2" s="21" t="str">
        <f>UPPER("Количественное определение фугитивных ВПГ")</f>
        <v>КОЛИЧЕСТВЕННОЕ ОПРЕДЕЛЕНИЕ ФУГИТИВНЫХ ВПГ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9" ht="5.10" customHeight="1">
      <c r="A3" s="10"/>
      <c r="B3" s="10"/>
      <c r="C3" s="10"/>
      <c r="D3" s="10"/>
      <c r="E3" s="10"/>
      <c r="F3" s="10"/>
      <c r="G3" s="10"/>
      <c r="H3" s="10"/>
      <c r="I3" s="10"/>
    </row>
    <row r="4" spans="1:11" ht="21" customHeight="1">
      <c r="A4" s="128" t="s">
        <v>0</v>
      </c>
      <c r="B4" s="128"/>
      <c r="C4" s="129"/>
      <c r="D4" s="129"/>
      <c r="E4" s="129"/>
      <c r="F4" s="129"/>
      <c r="G4" s="129"/>
      <c r="H4" s="129"/>
      <c r="I4" s="129"/>
      <c r="J4" s="129"/>
      <c r="K4" s="129"/>
    </row>
    <row r="5" spans="1:11" ht="5.10" customHeight="1">
      <c r="A5" s="8"/>
      <c r="B5" s="8"/>
      <c r="C5" s="10"/>
      <c r="D5" s="10"/>
      <c r="E5" s="10"/>
      <c r="F5" s="10"/>
      <c r="G5" s="10"/>
      <c r="H5" s="10"/>
      <c r="I5" s="10"/>
      <c r="J5" s="10"/>
      <c r="K5" s="10"/>
    </row>
    <row r="6" spans="1:11" ht="15.60" customHeight="1">
      <c r="A6" s="128" t="s">
        <v>1</v>
      </c>
      <c r="B6" s="128"/>
      <c r="C6" s="130"/>
      <c r="D6" s="130"/>
      <c r="E6" s="130"/>
      <c r="F6" s="130"/>
      <c r="G6" s="130"/>
      <c r="H6" s="130"/>
      <c r="I6" s="130"/>
      <c r="J6" s="130"/>
      <c r="K6" s="130"/>
    </row>
    <row r="8" spans="1:17" ht="54.60" customHeight="1">
      <c r="A8" s="133" t="s">
        <v>105</v>
      </c>
      <c r="B8" s="133" t="s">
        <v>3</v>
      </c>
      <c r="C8" s="133" t="s">
        <v>4</v>
      </c>
      <c r="D8" s="133" t="s">
        <v>106</v>
      </c>
      <c r="E8" s="133" t="s">
        <v>130</v>
      </c>
      <c r="F8" s="138" t="s">
        <v>131</v>
      </c>
      <c r="G8" s="139"/>
      <c r="H8" s="144" t="s">
        <v>132</v>
      </c>
      <c r="I8" s="145"/>
      <c r="J8" s="146"/>
      <c r="K8" s="138" t="s">
        <v>133</v>
      </c>
      <c r="L8" s="139"/>
      <c r="M8" s="138" t="s">
        <v>112</v>
      </c>
      <c r="N8" s="139"/>
      <c r="O8" s="138" t="s">
        <v>134</v>
      </c>
      <c r="P8" s="139"/>
      <c r="Q8" s="133" t="s">
        <v>135</v>
      </c>
    </row>
    <row r="9" spans="1:17" ht="20.25" customHeight="1">
      <c r="A9" s="134"/>
      <c r="B9" s="134"/>
      <c r="C9" s="134"/>
      <c r="D9" s="134"/>
      <c r="E9" s="134"/>
      <c r="F9" s="140"/>
      <c r="G9" s="141"/>
      <c r="H9" s="147"/>
      <c r="I9" s="148"/>
      <c r="J9" s="149"/>
      <c r="K9" s="140"/>
      <c r="L9" s="141"/>
      <c r="M9" s="140"/>
      <c r="N9" s="141"/>
      <c r="O9" s="140"/>
      <c r="P9" s="141"/>
      <c r="Q9" s="134"/>
    </row>
    <row r="10" spans="1:17" ht="29.25" customHeight="1">
      <c r="A10" s="134"/>
      <c r="B10" s="134"/>
      <c r="C10" s="137"/>
      <c r="D10" s="137"/>
      <c r="E10" s="137"/>
      <c r="F10" s="20" t="s">
        <v>63</v>
      </c>
      <c r="G10" s="20" t="s">
        <v>79</v>
      </c>
      <c r="H10" s="20" t="s">
        <v>136</v>
      </c>
      <c r="I10" s="20" t="s">
        <v>63</v>
      </c>
      <c r="J10" s="20" t="s">
        <v>79</v>
      </c>
      <c r="K10" s="20" t="s">
        <v>63</v>
      </c>
      <c r="L10" s="20" t="s">
        <v>79</v>
      </c>
      <c r="M10" s="20" t="s">
        <v>115</v>
      </c>
      <c r="N10" s="22" t="s">
        <v>116</v>
      </c>
      <c r="O10" s="20" t="s">
        <v>115</v>
      </c>
      <c r="P10" s="22" t="s">
        <v>116</v>
      </c>
      <c r="Q10" s="137"/>
    </row>
    <row r="11" spans="1:17">
      <c r="A11" s="12"/>
      <c r="B11" s="12" t="s">
        <v>137</v>
      </c>
      <c r="C11" s="24" t="s">
        <v>138</v>
      </c>
      <c r="D11" s="24" t="s">
        <v>44</v>
      </c>
      <c r="E11" s="18" t="n">
        <v>10</v>
      </c>
      <c r="F11" s="25" t="n">
        <v>8.40000000000000036</v>
      </c>
      <c r="G11" s="25" t="n">
        <v>89.7999999999999972</v>
      </c>
      <c r="H11" s="25" t="s">
        <v>139</v>
      </c>
      <c r="I11" s="23" t="n">
        <v>1.83929999999999989</v>
      </c>
      <c r="J11" s="23" t="n">
        <v>0.66800000000000006</v>
      </c>
      <c r="K11" s="108">
        <f>ROUND('фугитивные выбросы'!$E11*'фугитивные выбросы'!$F11*'фугитивные выбросы'!$I11/100,0)</f>
        <v>2</v>
      </c>
      <c r="L11" s="108">
        <f>ROUND('фугитивные выбросы'!$E11*'фугитивные выбросы'!$G11*'фугитивные выбросы'!$J11/100,0)</f>
        <v>6</v>
      </c>
      <c r="M11" s="108" t="n">
        <v>1</v>
      </c>
      <c r="N11" s="108" t="n">
        <v>25</v>
      </c>
      <c r="O11" s="108">
        <f>ROUND('фугитивные выбросы'!$K11*'фугитивные выбросы'!$M11,0)</f>
        <v>2</v>
      </c>
      <c r="P11" s="108">
        <f>ROUND('фугитивные выбросы'!$L11*'фугитивные выбросы'!$N11,0)</f>
        <v>150</v>
      </c>
      <c r="Q11" s="81">
        <f>'фугитивные выбросы'!$O11+'фугитивные выбросы'!$P11</f>
        <v>152</v>
      </c>
    </row>
    <row r="12" spans="1:17">
      <c r="A12" s="83" t="s">
        <v>17</v>
      </c>
      <c r="B12" s="83"/>
      <c r="C12" s="83"/>
      <c r="D12" s="83"/>
      <c r="E12" s="109">
        <f>SUBTOTAL(109,'фугитивные выбросы'!$E$11)</f>
        <v>10</v>
      </c>
      <c r="F12" s="83"/>
      <c r="G12" s="83"/>
      <c r="H12" s="83"/>
      <c r="I12" s="93"/>
      <c r="J12" s="83"/>
      <c r="K12" s="110">
        <f>SUBTOTAL(109,'фугитивные выбросы'!$K$11)</f>
        <v>2</v>
      </c>
      <c r="L12" s="110">
        <f>SUBTOTAL(109,'фугитивные выбросы'!$L$11)</f>
        <v>6</v>
      </c>
      <c r="M12" s="110"/>
      <c r="N12" s="110"/>
      <c r="O12" s="110">
        <f>SUBTOTAL(109,'фугитивные выбросы'!$O$11)</f>
        <v>2</v>
      </c>
      <c r="P12" s="110">
        <f>SUBTOTAL(109,'фугитивные выбросы'!$P$11)</f>
        <v>150</v>
      </c>
      <c r="Q12" s="111">
        <f>SUBTOTAL(109,'фугитивные выбросы'!$Q$11)</f>
        <v>152</v>
      </c>
    </row>
    <row r="13" spans="1:9">
      <c r="A13" s="8"/>
      <c r="B13" s="8"/>
      <c r="C13" s="8"/>
      <c r="D13" s="8"/>
      <c r="E13" s="8"/>
      <c r="F13" s="8"/>
      <c r="G13" s="8"/>
      <c r="H13" s="8"/>
      <c r="I13"/>
    </row>
  </sheetData>
  <mergeCells count="15">
    <mergeCell ref="A2:I2"/>
    <mergeCell ref="J2:K2"/>
    <mergeCell ref="A4:K4"/>
    <mergeCell ref="A6:K6"/>
    <mergeCell ref="F8:G9"/>
    <mergeCell ref="H8:J9"/>
    <mergeCell ref="K8:L9"/>
    <mergeCell ref="M8:N9"/>
    <mergeCell ref="O8:P9"/>
    <mergeCell ref="A8:A10"/>
    <mergeCell ref="B8:B10"/>
    <mergeCell ref="C8:C10"/>
    <mergeCell ref="D8:D10"/>
    <mergeCell ref="E8:E10"/>
    <mergeCell ref="Q8:Q10"/>
  </mergeCells>
  <dataValidations count="1">
    <dataValidation sqref="E11:G11" type="decimal" operator="greaterThan" errorStyle="stop" allowBlank="1" showInputMessage="1" showErrorMessage="1" error="Данные вводятся в числовом формате (&gt;0)." view="0">
      <formula1>0</formula1>
      <formula2/>
    </dataValidation>
  </dataValidation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1:Y26"/>
  <sheetViews>
    <sheetView view="normal" workbookViewId="0">
      <selection activeCell="E32" sqref="E32"/>
    </sheetView>
  </sheetViews>
  <sheetFormatPr defaultRowHeight="15.80"/>
  <cols>
    <col min="1" max="1" width="9.144144" style="60"/>
    <col min="2" max="2" width="32.288288" customWidth="1" style="60"/>
    <col min="3" max="9" width="16.288288" customWidth="1" style="60"/>
    <col min="10" max="13" width="17.288288" customWidth="1" style="60"/>
    <col min="14" max="18" width="18.423423" customWidth="1" style="60"/>
    <col min="19" max="19" width="16.288288" customWidth="1" style="60"/>
    <col min="20" max="25" width="13.000000" customWidth="1" style="60"/>
    <col min="26" max="30" width="25.711712" customWidth="1" style="60"/>
    <col min="31" max="16384" width="9.144144" style="60"/>
  </cols>
  <sheetData>
    <row r="1" spans="2:3">
      <c r="B1" s="44"/>
      <c r="C1" s="44"/>
    </row>
    <row r="2" spans="2:12">
      <c r="B2" s="21" t="str">
        <f>UPPER("Очистка и сброс сточных вод")</f>
        <v>ОЧИСТКА И СБРОС СТОЧНЫХ ВОД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2">
      <c r="B3" s="128" t="s">
        <v>0</v>
      </c>
      <c r="C3" s="128"/>
      <c r="D3" s="129"/>
      <c r="E3" s="129"/>
      <c r="F3" s="129"/>
      <c r="G3" s="129"/>
      <c r="H3" s="129"/>
      <c r="I3" s="129"/>
      <c r="J3" s="129"/>
      <c r="K3" s="129"/>
      <c r="L3" s="129"/>
    </row>
    <row r="4" spans="2:12">
      <c r="B4" s="8"/>
      <c r="C4" s="8"/>
      <c r="D4" s="10"/>
      <c r="E4" s="10"/>
      <c r="F4" s="10"/>
      <c r="G4" s="10"/>
      <c r="H4" s="10"/>
      <c r="I4" s="10"/>
      <c r="J4" s="10"/>
      <c r="K4" s="10"/>
      <c r="L4" s="10"/>
    </row>
    <row r="5" spans="2:12">
      <c r="B5" s="128" t="s">
        <v>1</v>
      </c>
      <c r="C5" s="128"/>
      <c r="D5" s="130"/>
      <c r="E5" s="130"/>
      <c r="F5" s="130"/>
      <c r="G5" s="130"/>
      <c r="H5" s="130"/>
      <c r="I5" s="130"/>
      <c r="J5" s="130"/>
      <c r="K5" s="130"/>
      <c r="L5" s="130"/>
    </row>
    <row r="6" spans="2:3">
      <c r="B6" s="44"/>
      <c r="C6" s="44"/>
    </row>
    <row r="7" spans="2:25" ht="114.60" customHeight="1">
      <c r="B7" s="20" t="s">
        <v>4</v>
      </c>
      <c r="C7" s="20" t="s">
        <v>140</v>
      </c>
      <c r="D7" s="20" t="s">
        <v>141</v>
      </c>
      <c r="E7" s="20" t="s">
        <v>142</v>
      </c>
      <c r="F7" s="20" t="s">
        <v>143</v>
      </c>
      <c r="G7" s="20" t="s">
        <v>144</v>
      </c>
      <c r="H7" s="20" t="s">
        <v>145</v>
      </c>
      <c r="I7" s="20" t="s">
        <v>146</v>
      </c>
      <c r="J7" s="20" t="s">
        <v>147</v>
      </c>
      <c r="K7" s="20" t="s">
        <v>148</v>
      </c>
      <c r="L7" s="20" t="s">
        <v>149</v>
      </c>
      <c r="M7" s="20" t="s">
        <v>150</v>
      </c>
      <c r="N7" s="20" t="s">
        <v>151</v>
      </c>
      <c r="O7" s="20" t="s">
        <v>152</v>
      </c>
      <c r="P7" s="20" t="s">
        <v>153</v>
      </c>
      <c r="Q7" s="20" t="s">
        <v>154</v>
      </c>
      <c r="R7" s="20" t="s">
        <v>155</v>
      </c>
      <c r="S7" s="20" t="s">
        <v>156</v>
      </c>
      <c r="T7" s="20" t="s">
        <v>157</v>
      </c>
      <c r="U7" s="20" t="s">
        <v>158</v>
      </c>
      <c r="V7" s="20" t="s">
        <v>159</v>
      </c>
      <c r="W7" s="20" t="s">
        <v>160</v>
      </c>
      <c r="X7" s="20" t="s">
        <v>161</v>
      </c>
      <c r="Y7" s="20" t="s">
        <v>162</v>
      </c>
    </row>
    <row r="8" spans="2:25" s="6" customFormat="1" ht="13.45">
      <c r="B8" s="7" t="s">
        <v>12</v>
      </c>
      <c r="C8" s="7" t="n">
        <v>100</v>
      </c>
      <c r="D8" s="7" t="n">
        <v>500</v>
      </c>
      <c r="E8" s="7" t="n">
        <v>0</v>
      </c>
      <c r="F8" s="7" t="n">
        <v>0.6</v>
      </c>
      <c r="G8" s="7" t="n">
        <v>0.3</v>
      </c>
      <c r="H8" s="7">
        <f>F8*G8</f>
        <v>0.179999999999999982</v>
      </c>
      <c r="I8" s="61">
        <f>C8*D8*0.001</f>
        <v>50</v>
      </c>
      <c r="J8" s="7" t="n">
        <v>0</v>
      </c>
      <c r="K8" s="7" t="s">
        <v>163</v>
      </c>
      <c r="L8" s="7"/>
      <c r="M8" s="7"/>
      <c r="N8" s="7"/>
      <c r="O8" s="7"/>
      <c r="P8" s="7"/>
      <c r="Q8" s="7"/>
      <c r="R8" s="7"/>
      <c r="S8" s="61">
        <f>(I8-E8)*H8</f>
        <v>9</v>
      </c>
      <c r="T8" s="61"/>
      <c r="U8" s="61">
        <f>ROUND(S8/1000,0)</f>
        <v>0</v>
      </c>
      <c r="V8" s="7"/>
      <c r="W8" s="7">
        <f>ROUND(T8*298,0)</f>
        <v>0</v>
      </c>
      <c r="X8" s="7">
        <f>ROUND(U8*25,0)</f>
        <v>0</v>
      </c>
      <c r="Y8" s="7">
        <f>W8+X8</f>
        <v>0</v>
      </c>
    </row>
    <row r="9" spans="2:25" s="6" customFormat="1" ht="13.45">
      <c r="B9" s="7" t="s">
        <v>12</v>
      </c>
      <c r="C9" s="7" t="n">
        <v>50</v>
      </c>
      <c r="D9" s="7" t="n">
        <v>402</v>
      </c>
      <c r="E9" s="7" t="n">
        <v>0</v>
      </c>
      <c r="F9" s="7" t="n">
        <v>0.6</v>
      </c>
      <c r="G9" s="7" t="n">
        <v>0.3</v>
      </c>
      <c r="H9" s="7">
        <f>F9*G9</f>
        <v>0.179999999999999982</v>
      </c>
      <c r="I9" s="61">
        <f>C9*D9*0.001</f>
        <v>20.1000000000000014</v>
      </c>
      <c r="J9" s="7" t="n">
        <v>0</v>
      </c>
      <c r="K9" s="7" t="s">
        <v>163</v>
      </c>
      <c r="L9" s="7"/>
      <c r="M9" s="7"/>
      <c r="N9" s="7"/>
      <c r="O9" s="7"/>
      <c r="P9" s="7"/>
      <c r="Q9" s="7"/>
      <c r="R9" s="7"/>
      <c r="S9" s="61">
        <f>(I9-E9)*H9</f>
        <v>3.61799999999999988</v>
      </c>
      <c r="T9" s="61"/>
      <c r="U9" s="61">
        <f>ROUND(S9/1000,0)</f>
        <v>0</v>
      </c>
      <c r="V9" s="7"/>
      <c r="W9" s="7">
        <f>ROUND(T9*298,0)</f>
        <v>0</v>
      </c>
      <c r="X9" s="7">
        <f>ROUND(U9*25,0)</f>
        <v>0</v>
      </c>
      <c r="Y9" s="7">
        <f>W9+X9</f>
        <v>0</v>
      </c>
    </row>
    <row r="10" spans="2:25" s="6" customFormat="1" ht="13.45">
      <c r="B10" s="7" t="s">
        <v>12</v>
      </c>
      <c r="C10" s="7" t="n">
        <v>900</v>
      </c>
      <c r="D10" s="7" t="n">
        <v>172</v>
      </c>
      <c r="E10" s="7" t="n">
        <v>0</v>
      </c>
      <c r="F10" s="7" t="n">
        <v>0.6</v>
      </c>
      <c r="G10" s="7" t="n">
        <v>0.3</v>
      </c>
      <c r="H10" s="7">
        <f>F10*G10</f>
        <v>0.179999999999999982</v>
      </c>
      <c r="I10" s="61">
        <f>C10*D10*0.001</f>
        <v>154.800000000000011</v>
      </c>
      <c r="J10" s="7" t="n">
        <v>0</v>
      </c>
      <c r="K10" s="61">
        <f>C25</f>
        <v>300</v>
      </c>
      <c r="L10" s="7" t="n">
        <v>0.160000000000000009</v>
      </c>
      <c r="M10" s="7" t="n">
        <v>1.19999999999999996</v>
      </c>
      <c r="N10" s="7" t="n">
        <v>1.25</v>
      </c>
      <c r="O10" s="7" t="n">
        <v>0</v>
      </c>
      <c r="P10" s="7">
        <f>K10*L10*M10*N10-O10</f>
        <v>72</v>
      </c>
      <c r="Q10" s="7" t="n">
        <v>0.05</v>
      </c>
      <c r="R10" s="65" t="s">
        <v>164</v>
      </c>
      <c r="S10" s="61">
        <f>(I10-E10)*H10</f>
        <v>27.8640000000000008</v>
      </c>
      <c r="T10" s="61">
        <f>ROUND(P10*Q10*44/28,0)</f>
        <v>6</v>
      </c>
      <c r="U10" s="61">
        <f>ROUND(S10/1000,0)</f>
        <v>0</v>
      </c>
      <c r="V10" s="61">
        <f>ROUND(T10/1000,0)</f>
        <v>0</v>
      </c>
      <c r="W10" s="7">
        <f>ROUND(V10*298,0)</f>
        <v>0</v>
      </c>
      <c r="X10" s="7">
        <f>ROUND(U10*25,0)</f>
        <v>0</v>
      </c>
      <c r="Y10" s="7">
        <f>W10+X10</f>
        <v>0</v>
      </c>
    </row>
    <row r="11" spans="2:25" s="6" customFormat="1" ht="13.45">
      <c r="B11" s="7" t="s">
        <v>15</v>
      </c>
      <c r="C11" s="7" t="n">
        <v>1000</v>
      </c>
      <c r="D11" s="7" t="n">
        <v>152</v>
      </c>
      <c r="E11" s="7" t="n">
        <v>0</v>
      </c>
      <c r="F11" s="7" t="n">
        <v>0.6</v>
      </c>
      <c r="G11" s="7" t="n">
        <v>0.3</v>
      </c>
      <c r="H11" s="7">
        <f>F11*G11</f>
        <v>0.179999999999999982</v>
      </c>
      <c r="I11" s="61">
        <f>C11*D11*0.001</f>
        <v>152</v>
      </c>
      <c r="J11" s="7" t="n">
        <v>0</v>
      </c>
      <c r="K11" s="61">
        <f>C24</f>
        <v>300</v>
      </c>
      <c r="L11" s="7" t="n">
        <v>0.160000000000000009</v>
      </c>
      <c r="M11" s="7" t="n">
        <v>1.19999999999999996</v>
      </c>
      <c r="N11" s="7" t="n">
        <v>1.25</v>
      </c>
      <c r="O11" s="7" t="n">
        <v>0</v>
      </c>
      <c r="P11" s="7">
        <f>K11*L11*M11*N11-O11</f>
        <v>72</v>
      </c>
      <c r="Q11" s="7" t="n">
        <v>0.05</v>
      </c>
      <c r="R11" s="65" t="s">
        <v>164</v>
      </c>
      <c r="S11" s="61">
        <f>(I11-E11)*H11</f>
        <v>27.3599999999999994</v>
      </c>
      <c r="T11" s="61">
        <f>ROUND(P11*Q11*44/28,0)</f>
        <v>6</v>
      </c>
      <c r="U11" s="61">
        <f>ROUND(S11/1000,0)</f>
        <v>0</v>
      </c>
      <c r="V11" s="61">
        <f>ROUND(T11/1000,0)</f>
        <v>0</v>
      </c>
      <c r="W11" s="7">
        <f>ROUND(V11*298,0)</f>
        <v>0</v>
      </c>
      <c r="X11" s="7">
        <f>ROUND(U11*25,0)</f>
        <v>0</v>
      </c>
      <c r="Y11" s="7">
        <f>W11+X11</f>
        <v>0</v>
      </c>
    </row>
    <row r="12" spans="2:25" s="6" customFormat="1" ht="13.45">
      <c r="B12" s="7" t="s">
        <v>16</v>
      </c>
      <c r="C12" s="7" t="n">
        <v>1200</v>
      </c>
      <c r="D12" s="7" t="n">
        <v>239</v>
      </c>
      <c r="E12" s="7" t="n">
        <v>0</v>
      </c>
      <c r="F12" s="7" t="n">
        <v>0.6</v>
      </c>
      <c r="G12" s="7" t="n">
        <v>0.3</v>
      </c>
      <c r="H12" s="7">
        <f>F12*G12</f>
        <v>0.179999999999999982</v>
      </c>
      <c r="I12" s="61">
        <f>C12*D12*0.001</f>
        <v>286.800000000000011</v>
      </c>
      <c r="J12" s="7" t="n">
        <v>0</v>
      </c>
      <c r="K12" s="61">
        <f>C26</f>
        <v>200</v>
      </c>
      <c r="L12" s="7" t="n">
        <v>0.160000000000000009</v>
      </c>
      <c r="M12" s="7" t="n">
        <v>1.19999999999999996</v>
      </c>
      <c r="N12" s="7" t="n">
        <v>1.25</v>
      </c>
      <c r="O12" s="7" t="n">
        <v>0</v>
      </c>
      <c r="P12" s="7">
        <f>K12*L12*M12*N12-O12</f>
        <v>48</v>
      </c>
      <c r="Q12" s="7" t="n">
        <v>0.05</v>
      </c>
      <c r="R12" s="65" t="s">
        <v>164</v>
      </c>
      <c r="S12" s="61">
        <f>(I12-E12)*H12</f>
        <v>51.6240000000000023</v>
      </c>
      <c r="T12" s="61">
        <f>ROUND(P12*Q12*44/28,0)</f>
        <v>4</v>
      </c>
      <c r="U12" s="61">
        <f>ROUND(S12/1000,0)</f>
        <v>0</v>
      </c>
      <c r="V12" s="61">
        <f>ROUND(T12/1000,0)</f>
        <v>0</v>
      </c>
      <c r="W12" s="7">
        <f>ROUND(V12*298,0)</f>
        <v>0</v>
      </c>
      <c r="X12" s="7">
        <f>ROUND(U12*25,0)</f>
        <v>0</v>
      </c>
      <c r="Y12" s="7">
        <f>W12+X12</f>
        <v>0</v>
      </c>
    </row>
    <row r="13" spans="2:25" s="41" customFormat="1" ht="13.45">
      <c r="B13" s="42" t="s">
        <v>165</v>
      </c>
      <c r="C13" s="42">
        <f>SUM(C8:C12)</f>
        <v>3250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>
        <f>SUM(P10:P12)</f>
        <v>192</v>
      </c>
      <c r="Q13" s="42"/>
      <c r="R13" s="42"/>
      <c r="S13" s="42"/>
      <c r="T13" s="42"/>
      <c r="U13" s="76">
        <f>SUM(U8:U12)</f>
        <v>0</v>
      </c>
      <c r="V13" s="76">
        <f>SUM(V10:V12)</f>
        <v>0</v>
      </c>
      <c r="W13" s="42">
        <f>SUM(W8:W12)</f>
        <v>0</v>
      </c>
      <c r="X13" s="42">
        <f>SUM(X8:X12)</f>
        <v>0</v>
      </c>
      <c r="Y13" s="42">
        <f>SUM(Y8:Y12)</f>
        <v>0</v>
      </c>
    </row>
    <row r="14" spans="1:1" s="6" customFormat="1" ht="13.45"/>
    <row r="15" spans="1:1" s="6" customFormat="1" ht="13.45"/>
    <row r="18" spans="1:2" s="6" customFormat="1" ht="13.45">
      <c r="A18" s="6" t="s">
        <v>166</v>
      </c>
      <c r="B18" s="6" t="s">
        <v>167</v>
      </c>
    </row>
    <row r="19" spans="2:2" s="6" customFormat="1" ht="13.45">
      <c r="B19" s="6" t="s">
        <v>168</v>
      </c>
    </row>
    <row r="20" spans="1:2" s="6" customFormat="1" ht="13.45">
      <c r="A20" s="6" t="s">
        <v>169</v>
      </c>
      <c r="B20" s="6" t="s">
        <v>170</v>
      </c>
    </row>
    <row r="21" spans="2:2">
      <c r="B21" s="6" t="s">
        <v>171</v>
      </c>
    </row>
    <row r="23" spans="2:3">
      <c r="B23" s="77" t="s">
        <v>172</v>
      </c>
      <c r="C23" s="78" t="s">
        <v>173</v>
      </c>
    </row>
    <row r="24" spans="2:3">
      <c r="B24" s="7" t="s">
        <v>15</v>
      </c>
      <c r="C24" s="79" t="n">
        <v>300</v>
      </c>
    </row>
    <row r="25" spans="2:3">
      <c r="B25" s="7" t="s">
        <v>12</v>
      </c>
      <c r="C25" s="79" t="n">
        <v>300</v>
      </c>
    </row>
    <row r="26" spans="2:3">
      <c r="B26" s="7" t="s">
        <v>16</v>
      </c>
      <c r="C26" s="79" t="n">
        <v>200</v>
      </c>
    </row>
  </sheetData>
  <mergeCells count="4">
    <mergeCell ref="B2:I2"/>
    <mergeCell ref="J2:L2"/>
    <mergeCell ref="B3:L3"/>
    <mergeCell ref="B5:L5"/>
  </mergeCell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1:AL70"/>
  <sheetViews>
    <sheetView view="normal" zoomScale="85" workbookViewId="0">
      <selection activeCell="G36" sqref="G36"/>
    </sheetView>
  </sheetViews>
  <sheetFormatPr defaultRowHeight="13.45"/>
  <cols>
    <col min="1" max="1" width="9.144144" style="6"/>
    <col min="2" max="2" width="20.711712" customWidth="1" style="6"/>
    <col min="3" max="3" width="28.423423" customWidth="1" style="6"/>
    <col min="4" max="5" width="18.423423" customWidth="1" style="6"/>
    <col min="6" max="9" width="13.711712" customWidth="1" style="6"/>
    <col min="10" max="10" width="15.711712" customWidth="1" style="6"/>
    <col min="11" max="11" width="14.567568" customWidth="1" style="6"/>
    <col min="12" max="14" width="13.711712" customWidth="1" style="6"/>
    <col min="15" max="21" width="15.288288" customWidth="1" style="6"/>
    <col min="22" max="27" width="25.711712" customWidth="1" style="6"/>
    <col min="28" max="28" width="31.000000" customWidth="1" style="6"/>
    <col min="29" max="45" width="25.711712" customWidth="1" style="6"/>
    <col min="46" max="16384" width="9.144144" style="6"/>
  </cols>
  <sheetData>
    <row r="1" spans="2:4" s="46" customFormat="1">
      <c r="B1" s="45"/>
      <c r="C1" s="45"/>
      <c r="D1" s="45"/>
    </row>
    <row r="2" spans="2:12" s="46" customFormat="1">
      <c r="B2" s="153" t="str">
        <f>UPPER("сжигание отходов")</f>
        <v>СЖИГАНИЕ ОТХОДОВ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2:12" s="46" customFormat="1">
      <c r="B3" s="128" t="s">
        <v>0</v>
      </c>
      <c r="C3" s="128"/>
      <c r="D3" s="129"/>
      <c r="E3" s="129"/>
      <c r="F3" s="129"/>
      <c r="G3" s="129"/>
      <c r="H3" s="129"/>
      <c r="I3" s="129"/>
      <c r="J3" s="129"/>
      <c r="K3" s="129"/>
      <c r="L3" s="129"/>
    </row>
    <row r="4" spans="2:12" s="46" customFormat="1">
      <c r="B4" s="8"/>
      <c r="C4" s="8"/>
      <c r="D4" s="10"/>
      <c r="E4" s="10"/>
      <c r="F4" s="10"/>
      <c r="G4" s="10"/>
      <c r="H4" s="10"/>
      <c r="I4" s="10"/>
      <c r="J4" s="10"/>
      <c r="K4" s="10"/>
      <c r="L4" s="10"/>
    </row>
    <row r="5" spans="2:12" s="46" customFormat="1">
      <c r="B5" s="128" t="s">
        <v>1</v>
      </c>
      <c r="C5" s="128"/>
      <c r="D5" s="130"/>
      <c r="E5" s="130"/>
      <c r="F5" s="130"/>
      <c r="G5" s="130"/>
      <c r="H5" s="130"/>
      <c r="I5" s="130"/>
      <c r="J5" s="130"/>
      <c r="K5" s="130"/>
      <c r="L5" s="130"/>
    </row>
    <row r="6" spans="2:5" s="46" customFormat="1">
      <c r="B6" s="47"/>
      <c r="C6" s="47"/>
      <c r="D6" s="47"/>
      <c r="E6" s="47"/>
    </row>
    <row r="7" spans="2:5" s="46" customFormat="1">
      <c r="B7" s="153" t="str">
        <f>UPPER("ТКО")</f>
        <v>ТКО</v>
      </c>
      <c r="C7" s="153"/>
      <c r="D7" s="153"/>
      <c r="E7" s="153"/>
    </row>
    <row r="8" spans="2:4" s="46" customFormat="1">
      <c r="B8" s="45"/>
      <c r="C8" s="45"/>
      <c r="D8" s="45"/>
    </row>
    <row r="9" spans="1:5" s="46" customFormat="1" ht="82.15" customHeight="1">
      <c r="A9" s="127"/>
      <c r="B9" s="20" t="s">
        <v>174</v>
      </c>
      <c r="C9" s="20" t="s">
        <v>175</v>
      </c>
      <c r="D9" s="20" t="s">
        <v>176</v>
      </c>
      <c r="E9" s="20" t="s">
        <v>177</v>
      </c>
    </row>
    <row r="10" spans="2:5" s="46" customFormat="1">
      <c r="B10" s="48" t="s">
        <v>178</v>
      </c>
      <c r="C10" s="49" t="n">
        <v>0.75</v>
      </c>
      <c r="D10" s="7" t="n">
        <v>0.370000000000000018</v>
      </c>
      <c r="E10" s="49" t="n">
        <v>0.02</v>
      </c>
    </row>
    <row r="11" spans="2:5" s="46" customFormat="1">
      <c r="B11" s="48" t="s">
        <v>179</v>
      </c>
      <c r="C11" s="49" t="n">
        <v>0.8</v>
      </c>
      <c r="D11" s="7" t="n">
        <v>0.509999999999999964</v>
      </c>
      <c r="E11" s="49" t="n">
        <v>0.2</v>
      </c>
    </row>
    <row r="12" spans="2:5" s="46" customFormat="1">
      <c r="B12" s="48" t="s">
        <v>180</v>
      </c>
      <c r="C12" s="49" t="n">
        <v>0.280000000000000036</v>
      </c>
      <c r="D12" s="7" t="n">
        <v>0.45</v>
      </c>
      <c r="E12" s="49"/>
    </row>
    <row r="13" spans="2:5" s="46" customFormat="1">
      <c r="B13" s="48" t="s">
        <v>181</v>
      </c>
      <c r="C13" s="49" t="n">
        <v>0.8</v>
      </c>
      <c r="D13" s="7" t="n">
        <v>0.509999999999999964</v>
      </c>
      <c r="E13" s="49"/>
    </row>
    <row r="14" spans="2:5" s="46" customFormat="1">
      <c r="B14" s="48" t="s">
        <v>182</v>
      </c>
      <c r="C14" s="49" t="n">
        <v>0.95</v>
      </c>
      <c r="D14" s="7" t="n">
        <v>0.680000000000000071</v>
      </c>
      <c r="E14" s="49" t="n">
        <v>0.2</v>
      </c>
    </row>
    <row r="15" spans="2:5" s="46" customFormat="1">
      <c r="B15" s="48" t="s">
        <v>183</v>
      </c>
      <c r="C15" s="49" t="n">
        <v>0.920000000000000107</v>
      </c>
      <c r="D15" s="49" t="n">
        <v>0.6</v>
      </c>
      <c r="E15" s="49" t="n">
        <v>1</v>
      </c>
    </row>
    <row r="16" spans="2:5" s="46" customFormat="1">
      <c r="B16" s="48" t="s">
        <v>184</v>
      </c>
      <c r="C16" s="49" t="n">
        <v>1</v>
      </c>
      <c r="D16" s="7"/>
      <c r="E16" s="49"/>
    </row>
    <row r="17" spans="2:5" s="46" customFormat="1">
      <c r="B17" s="48" t="s">
        <v>185</v>
      </c>
      <c r="C17" s="49" t="n">
        <v>1</v>
      </c>
      <c r="D17" s="7"/>
      <c r="E17" s="49"/>
    </row>
    <row r="18" spans="2:5" s="46" customFormat="1">
      <c r="B18" s="48" t="s">
        <v>186</v>
      </c>
      <c r="C18" s="49" t="n">
        <v>0.920000000000000107</v>
      </c>
      <c r="D18" s="7" t="n">
        <v>0.509999999999999964</v>
      </c>
      <c r="E18" s="49" t="n">
        <v>1</v>
      </c>
    </row>
    <row r="19" spans="2:4" s="46" customFormat="1">
      <c r="B19" s="45"/>
      <c r="C19" s="45"/>
      <c r="D19" s="45"/>
    </row>
    <row r="20" spans="2:4" s="46" customFormat="1">
      <c r="B20" s="45"/>
      <c r="C20" s="45"/>
      <c r="D20" s="45"/>
    </row>
    <row r="21" spans="2:4">
      <c r="B21" s="50"/>
      <c r="C21" s="50"/>
      <c r="D21" s="50"/>
    </row>
    <row r="22" spans="2:24" ht="47.45" customHeight="1">
      <c r="B22" s="20" t="s">
        <v>4</v>
      </c>
      <c r="C22" s="20" t="s">
        <v>187</v>
      </c>
      <c r="D22" s="133" t="s">
        <v>188</v>
      </c>
      <c r="E22" s="20" t="s">
        <v>189</v>
      </c>
      <c r="F22" s="20" t="s">
        <v>178</v>
      </c>
      <c r="G22" s="20" t="s">
        <v>179</v>
      </c>
      <c r="H22" s="20" t="s">
        <v>180</v>
      </c>
      <c r="I22" s="20" t="s">
        <v>181</v>
      </c>
      <c r="J22" s="20" t="s">
        <v>182</v>
      </c>
      <c r="K22" s="20" t="s">
        <v>183</v>
      </c>
      <c r="L22" s="20" t="s">
        <v>184</v>
      </c>
      <c r="M22" s="20" t="s">
        <v>185</v>
      </c>
      <c r="N22" s="20" t="s">
        <v>186</v>
      </c>
      <c r="O22" s="133" t="s">
        <v>190</v>
      </c>
      <c r="P22" s="20" t="s">
        <v>191</v>
      </c>
      <c r="Q22" s="20" t="s">
        <v>192</v>
      </c>
      <c r="R22" s="20" t="s">
        <v>193</v>
      </c>
      <c r="S22" s="20" t="s">
        <v>194</v>
      </c>
      <c r="T22" s="20" t="s">
        <v>195</v>
      </c>
      <c r="U22" s="20" t="s">
        <v>196</v>
      </c>
      <c r="X22" s="51"/>
    </row>
    <row r="23" spans="2:21" ht="51" customHeight="1">
      <c r="B23" s="20"/>
      <c r="C23" s="20"/>
      <c r="D23" s="137"/>
      <c r="E23" s="20"/>
      <c r="F23" s="20" t="s">
        <v>197</v>
      </c>
      <c r="G23" s="20"/>
      <c r="H23" s="20"/>
      <c r="I23" s="20"/>
      <c r="J23" s="20"/>
      <c r="K23" s="20"/>
      <c r="L23" s="20"/>
      <c r="M23" s="20"/>
      <c r="N23" s="20"/>
      <c r="O23" s="137"/>
      <c r="P23" s="20"/>
      <c r="Q23" s="20"/>
      <c r="R23" s="20"/>
      <c r="S23" s="20"/>
      <c r="T23" s="20"/>
      <c r="U23" s="20"/>
    </row>
    <row r="24" spans="2:21">
      <c r="B24" s="7" t="s">
        <v>12</v>
      </c>
      <c r="C24" s="72" t="n">
        <v>0.01</v>
      </c>
      <c r="D24" s="150" t="s">
        <v>198</v>
      </c>
      <c r="E24" s="7" t="n">
        <v>1</v>
      </c>
      <c r="F24" s="72" t="n">
        <v>0.0152000000000000002</v>
      </c>
      <c r="G24" s="72" t="n">
        <v>0.00130000000000000004</v>
      </c>
      <c r="H24" s="72" t="n">
        <v>0.590899999999999981</v>
      </c>
      <c r="I24" s="72" t="n">
        <v>0.00729999999999999982</v>
      </c>
      <c r="J24" s="72" t="n">
        <v>0.00110000000000000009</v>
      </c>
      <c r="K24" s="72" t="n">
        <v>0.012200000000000002</v>
      </c>
      <c r="L24" s="72" t="n">
        <v>0.00530000000000000071</v>
      </c>
      <c r="M24" s="72" t="n">
        <v>0.00359999999999999964</v>
      </c>
      <c r="N24" s="72" t="n">
        <v>0.363200000000000012</v>
      </c>
      <c r="O24" s="7" t="n">
        <v>50</v>
      </c>
      <c r="P24" s="71">
        <f>$C24*($F24*$C$10*$D$10*$E$10*$E$24+$G24*$C$11*$D$11*$E$11*$E$24+$H24*$C$12*$D$12*$E$12*$E$24+$I24*$C$13*$D$13*$E$13+$J24*$C$14*$D$14*$E$14+$K24*$C$15*$D$15*$E$15+$L24*$C$16*$D$16*$E$16+$M24*$C$17*$D$17*$E$17+$N24*$C$18*$D$18*$E$18)*(44/12)</f>
        <v>0.00650761466666700006</v>
      </c>
      <c r="Q24" s="52">
        <f>C24*O24/10^6</f>
        <v>4.999999999999999774E-07</v>
      </c>
      <c r="R24" s="7">
        <f>ROUND(P24*1000,0)</f>
        <v>7</v>
      </c>
      <c r="S24" s="7">
        <f>ROUND(Q24*1000,0)</f>
        <v>0</v>
      </c>
      <c r="T24" s="7">
        <f>S24*298</f>
        <v>0</v>
      </c>
      <c r="U24" s="7">
        <f>ROUND(R24+T24,0)</f>
        <v>7</v>
      </c>
    </row>
    <row r="25" spans="2:22">
      <c r="B25" s="7" t="s">
        <v>15</v>
      </c>
      <c r="C25" s="72" t="n">
        <v>0.02</v>
      </c>
      <c r="D25" s="151"/>
      <c r="E25" s="7" t="n">
        <v>1</v>
      </c>
      <c r="F25" s="72" t="n">
        <v>0</v>
      </c>
      <c r="G25" s="72" t="n">
        <v>0</v>
      </c>
      <c r="H25" s="72" t="n">
        <v>0</v>
      </c>
      <c r="I25" s="72" t="n">
        <v>0</v>
      </c>
      <c r="J25" s="72" t="n">
        <v>0</v>
      </c>
      <c r="K25" s="72" t="n">
        <v>0</v>
      </c>
      <c r="L25" s="72" t="n">
        <v>0</v>
      </c>
      <c r="M25" s="72" t="n">
        <v>0</v>
      </c>
      <c r="N25" s="72" t="n">
        <v>1</v>
      </c>
      <c r="O25" s="7" t="n">
        <v>50</v>
      </c>
      <c r="P25" s="71">
        <f>$C25*($F25*$C$10*$D$10*$E$10*$E$24+$G25*$C$11*$D$11*$E$11*$E$24+$H25*$C$12*$D$12*$E$12*$E$24+$I25*$C$13*$D$13*$E$13+$J25*$C$14*$D$14*$E$14+$K25*$C$15*$D$15*$E$15+$L25*$C$16*$D$16*$E$16+$M25*$C$17*$D$17*$E$17+$N25*$C$18*$D$18*$E$18)*(44/12)</f>
        <v>0.0344079999999999986</v>
      </c>
      <c r="Q25" s="52">
        <f>C25*O25/10^6</f>
        <v>9.999999999999999547E-07</v>
      </c>
      <c r="R25" s="7">
        <f>ROUND(P25*1000,0)</f>
        <v>34</v>
      </c>
      <c r="S25" s="7">
        <f>ROUND(Q25*1000,0)</f>
        <v>0</v>
      </c>
      <c r="T25" s="7">
        <f>S25*298</f>
        <v>0</v>
      </c>
      <c r="U25" s="7">
        <f>ROUND(R25+T25,0)</f>
        <v>34</v>
      </c>
      <c r="V25" s="53"/>
    </row>
    <row r="26" spans="2:22">
      <c r="B26" s="7" t="s">
        <v>36</v>
      </c>
      <c r="C26" s="72" t="n">
        <v>0.03</v>
      </c>
      <c r="D26" s="151"/>
      <c r="E26" s="7" t="n">
        <v>1</v>
      </c>
      <c r="F26" s="72" t="n">
        <v>0.0249000000000000021</v>
      </c>
      <c r="G26" s="72" t="n">
        <v>0.0004</v>
      </c>
      <c r="H26" s="72" t="n">
        <v>0.417900000000000027</v>
      </c>
      <c r="I26" s="72" t="n">
        <v>0.0045</v>
      </c>
      <c r="J26" s="72" t="n">
        <v>0.0004</v>
      </c>
      <c r="K26" s="72" t="n">
        <v>0.0125</v>
      </c>
      <c r="L26" s="72" t="n">
        <v>0.00660000000000000053</v>
      </c>
      <c r="M26" s="72" t="n">
        <v>0</v>
      </c>
      <c r="N26" s="72" t="n">
        <v>0.532699999999999996</v>
      </c>
      <c r="O26" s="7" t="n">
        <v>50</v>
      </c>
      <c r="P26" s="71">
        <f>$C26*($F26*$C$10*$D$10*$E$10*$E$24+$G26*$C$11*$D$11*$E$11*$E$24+$H26*$C$12*$D$12*$E$12*$E$24+$I26*$C$13*$D$13*$E$13+$J26*$C$14*$D$14*$E$14+$K26*$C$15*$D$15*$E$15+$L26*$C$16*$D$16*$E$16+$M26*$C$17*$D$17*$E$17+$N26*$C$18*$D$18*$E$18)*(44/12)</f>
        <v>0.0282771890499999934</v>
      </c>
      <c r="Q26" s="52">
        <f>C26*O26/10^6</f>
        <v>1.500000000000000038E-06</v>
      </c>
      <c r="R26" s="7">
        <f>ROUND(P26*1000,0)</f>
        <v>28</v>
      </c>
      <c r="S26" s="7">
        <f>ROUND(Q26*1000,0)</f>
        <v>0</v>
      </c>
      <c r="T26" s="7">
        <f>S26*298</f>
        <v>0</v>
      </c>
      <c r="U26" s="7">
        <f>ROUND(R26+T26,0)</f>
        <v>28</v>
      </c>
      <c r="V26" s="53"/>
    </row>
    <row r="27" spans="2:22">
      <c r="B27" s="7" t="s">
        <v>39</v>
      </c>
      <c r="C27" s="72" t="n">
        <v>0.04</v>
      </c>
      <c r="D27" s="151"/>
      <c r="E27" s="7" t="n">
        <v>1</v>
      </c>
      <c r="F27" s="72" t="n">
        <v>0.0266000000000000014</v>
      </c>
      <c r="G27" s="72" t="n">
        <v>0.000700000000000000089</v>
      </c>
      <c r="H27" s="72" t="n">
        <v>0.439700000000000024</v>
      </c>
      <c r="I27" s="72" t="n">
        <v>0.0150999999999999996</v>
      </c>
      <c r="J27" s="72" t="n">
        <v>0.000700000000000000089</v>
      </c>
      <c r="K27" s="72" t="n">
        <v>0.0155</v>
      </c>
      <c r="L27" s="72" t="n">
        <v>0.0290000000000000036</v>
      </c>
      <c r="M27" s="72" t="n">
        <v>0</v>
      </c>
      <c r="N27" s="72" t="n">
        <v>0.472700000000000031</v>
      </c>
      <c r="O27" s="7" t="n">
        <v>50</v>
      </c>
      <c r="P27" s="71">
        <f>$C27*($F27*$C$10*$D$10*$E$10*$E$24+$G27*$C$11*$D$11*$E$11*$E$24+$H27*$C$12*$D$12*$E$12*$E$24+$I27*$C$13*$D$13*$E$13+$J27*$C$14*$D$14*$E$14+$K27*$C$15*$D$15*$E$15+$L27*$C$16*$D$16*$E$16+$M27*$C$17*$D$17*$E$17+$N27*$C$18*$D$18*$E$18)*(44/12)</f>
        <v>0.0338274977333329963</v>
      </c>
      <c r="Q27" s="52">
        <f>C27*O27/10^6</f>
        <v>1.999999999999999909E-06</v>
      </c>
      <c r="R27" s="7">
        <f>ROUND(P27*1000,0)</f>
        <v>34</v>
      </c>
      <c r="S27" s="7">
        <f>ROUND(Q27*1000,0)</f>
        <v>0</v>
      </c>
      <c r="T27" s="7">
        <f>S27*298</f>
        <v>0</v>
      </c>
      <c r="U27" s="7">
        <f>ROUND(R27+T27,0)</f>
        <v>34</v>
      </c>
      <c r="V27" s="53"/>
    </row>
    <row r="28" spans="2:21">
      <c r="B28" s="7" t="s">
        <v>16</v>
      </c>
      <c r="C28" s="72" t="n">
        <v>0.05</v>
      </c>
      <c r="D28" s="152"/>
      <c r="E28" s="7" t="n">
        <v>1</v>
      </c>
      <c r="F28" s="72" t="n">
        <v>0.0509999999999999964</v>
      </c>
      <c r="G28" s="72" t="n">
        <v>0.00579999999999999982</v>
      </c>
      <c r="H28" s="72" t="n">
        <v>0.764800000000000058</v>
      </c>
      <c r="I28" s="72" t="n">
        <v>0.0015</v>
      </c>
      <c r="J28" s="72" t="n">
        <v>0.0135000000000000009</v>
      </c>
      <c r="K28" s="72" t="n">
        <v>0.0416999999999999993</v>
      </c>
      <c r="L28" s="72" t="n">
        <v>0.0123999999999999999</v>
      </c>
      <c r="M28" s="72" t="n">
        <v>0.00350000000000000044</v>
      </c>
      <c r="N28" s="72" t="n">
        <v>0.105800000000000005</v>
      </c>
      <c r="O28" s="7" t="n">
        <v>50</v>
      </c>
      <c r="P28" s="71">
        <f>$C28*($F28*$C$10*$D$10*$E$10*$E$24+$G28*$C$11*$D$11*$E$11*$E$24+$H28*$C$12*$D$12*$E$12*$E$24+$I28*$C$13*$D$13*$E$13+$J28*$C$14*$D$14*$E$14+$K28*$C$15*$D$15*$E$15+$L28*$C$16*$D$16*$E$16+$M28*$C$17*$D$17*$E$17+$N28*$C$18*$D$18*$E$18)*(44/12)</f>
        <v>0.0137793865000000015</v>
      </c>
      <c r="Q28" s="52">
        <f>C28*O28/10^6</f>
        <v>2.500000000000000204E-06</v>
      </c>
      <c r="R28" s="7">
        <f>ROUND(P28*1000,0)</f>
        <v>14</v>
      </c>
      <c r="S28" s="7">
        <f>ROUND(Q28*1000,0)</f>
        <v>0</v>
      </c>
      <c r="T28" s="7">
        <f>S28*298</f>
        <v>0</v>
      </c>
      <c r="U28" s="58">
        <f>ROUND(R28+T28,0)</f>
        <v>14</v>
      </c>
    </row>
    <row r="29" spans="2:21" s="41" customFormat="1">
      <c r="B29" s="42" t="s">
        <v>165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57"/>
      <c r="U29" s="59">
        <f>SUM(U24:U28)</f>
        <v>117</v>
      </c>
    </row>
    <row r="31" spans="38:38">
      <c r="AL31" s="54"/>
    </row>
    <row r="32" spans="2:5">
      <c r="B32" s="153" t="str">
        <f>UPPER("Твердые нефтесодержащие отходы и осадки сточных вод")</f>
        <v>ТВЕРДЫЕ НЕФТЕСОДЕРЖАЩИЕ ОТХОДЫ И ОСАДКИ СТОЧНЫХ ВОД</v>
      </c>
      <c r="C32" s="153"/>
      <c r="D32" s="153"/>
      <c r="E32" s="153"/>
    </row>
    <row r="34" spans="2:16" ht="44.45" customHeight="1">
      <c r="B34" s="20" t="s">
        <v>4</v>
      </c>
      <c r="C34" s="131" t="s">
        <v>199</v>
      </c>
      <c r="D34" s="20" t="s">
        <v>200</v>
      </c>
      <c r="E34" s="133" t="s">
        <v>201</v>
      </c>
      <c r="F34" s="20" t="s">
        <v>202</v>
      </c>
      <c r="G34" s="133" t="s">
        <v>203</v>
      </c>
      <c r="H34" s="133" t="s">
        <v>204</v>
      </c>
      <c r="I34" s="133" t="s">
        <v>205</v>
      </c>
      <c r="J34" s="133" t="s">
        <v>190</v>
      </c>
      <c r="K34" s="20" t="s">
        <v>206</v>
      </c>
      <c r="L34" s="20" t="s">
        <v>207</v>
      </c>
      <c r="M34" s="20" t="s">
        <v>208</v>
      </c>
      <c r="N34" s="20" t="s">
        <v>209</v>
      </c>
      <c r="O34" s="20" t="s">
        <v>210</v>
      </c>
      <c r="P34" s="20" t="s">
        <v>196</v>
      </c>
    </row>
    <row r="35" spans="2:16" ht="78.60" customHeight="1">
      <c r="B35" s="20"/>
      <c r="C35" s="154"/>
      <c r="D35" s="20"/>
      <c r="E35" s="137"/>
      <c r="F35" s="20"/>
      <c r="G35" s="137"/>
      <c r="H35" s="137"/>
      <c r="I35" s="137"/>
      <c r="J35" s="137"/>
      <c r="K35" s="20"/>
      <c r="L35" s="20"/>
      <c r="M35" s="20"/>
      <c r="N35" s="20"/>
      <c r="O35" s="20"/>
      <c r="P35" s="20"/>
    </row>
    <row r="36" spans="2:16">
      <c r="B36" s="7" t="s">
        <v>12</v>
      </c>
      <c r="C36" s="55" t="s">
        <v>211</v>
      </c>
      <c r="D36" s="7" t="n">
        <v>0.01</v>
      </c>
      <c r="E36" s="150" t="s">
        <v>212</v>
      </c>
      <c r="F36" s="7" t="n">
        <v>1</v>
      </c>
      <c r="G36" s="7" t="e">
        <f>#REF!</f>
        <v>#REF!</v>
      </c>
      <c r="H36" s="7" t="n">
        <v>0.5</v>
      </c>
      <c r="I36" s="7" t="n">
        <v>0.9</v>
      </c>
      <c r="J36" s="7" t="n">
        <v>100</v>
      </c>
      <c r="K36" s="72" t="e">
        <f>D36*G36*H36*I36*F36*(44/12)</f>
        <v>#REF!</v>
      </c>
      <c r="L36" s="72">
        <f>D36*J36/10^6</f>
        <v>9.999999999999999547E-07</v>
      </c>
      <c r="M36" s="7" t="e">
        <f>ROUND(K36*1000,0)</f>
        <v>#REF!</v>
      </c>
      <c r="N36" s="7">
        <f>ROUND(L36*1000,0)</f>
        <v>0</v>
      </c>
      <c r="O36" s="7">
        <f>N36*298</f>
        <v>0</v>
      </c>
      <c r="P36" s="7" t="e">
        <f>ROUND(M36+O36,0)</f>
        <v>#REF!</v>
      </c>
    </row>
    <row r="37" spans="2:16">
      <c r="B37" s="7" t="s">
        <v>12</v>
      </c>
      <c r="C37" s="7" t="s">
        <v>213</v>
      </c>
      <c r="D37" s="7" t="n">
        <v>0.01</v>
      </c>
      <c r="E37" s="151"/>
      <c r="F37" s="7" t="n">
        <v>1</v>
      </c>
      <c r="G37" s="7">
        <f>0.4515</f>
        <v>0.451500000000000057</v>
      </c>
      <c r="H37" s="7" t="n">
        <v>0.330000000000000027</v>
      </c>
      <c r="I37" s="7" t="n">
        <v>0</v>
      </c>
      <c r="J37" s="7" t="n">
        <v>450</v>
      </c>
      <c r="K37" s="72">
        <f>D37*G37*H37*I37*F37*(44/12)</f>
        <v>0</v>
      </c>
      <c r="L37" s="72">
        <f>D37*J37/10^6</f>
        <v>4.500000000000000114E-06</v>
      </c>
      <c r="M37" s="7">
        <f>ROUND(K37*1000,0)</f>
        <v>0</v>
      </c>
      <c r="N37" s="7">
        <f>ROUND(L37*1000,0)</f>
        <v>0</v>
      </c>
      <c r="O37" s="7">
        <f>N37*298</f>
        <v>0</v>
      </c>
      <c r="P37" s="7">
        <f>ROUND(M37+O37,0)</f>
        <v>0</v>
      </c>
    </row>
    <row r="38" spans="2:16">
      <c r="B38" s="7" t="s">
        <v>15</v>
      </c>
      <c r="C38" s="55" t="s">
        <v>211</v>
      </c>
      <c r="D38" s="7" t="n">
        <v>0.01</v>
      </c>
      <c r="E38" s="151"/>
      <c r="F38" s="7" t="n">
        <v>1</v>
      </c>
      <c r="G38" s="7" t="e">
        <f>#REF!</f>
        <v>#REF!</v>
      </c>
      <c r="H38" s="7" t="n">
        <v>0.5</v>
      </c>
      <c r="I38" s="7" t="n">
        <v>0.9</v>
      </c>
      <c r="J38" s="7" t="n">
        <v>100</v>
      </c>
      <c r="K38" s="72" t="e">
        <f>D38*G38*H38*I38*F38*(44/12)</f>
        <v>#REF!</v>
      </c>
      <c r="L38" s="72">
        <f>D38*J38/10^6</f>
        <v>9.999999999999999547E-07</v>
      </c>
      <c r="M38" s="7" t="e">
        <f>ROUND(K38*1000,0)</f>
        <v>#REF!</v>
      </c>
      <c r="N38" s="7">
        <f>ROUND(L38*1000,0)</f>
        <v>0</v>
      </c>
      <c r="O38" s="7">
        <f>N38*298</f>
        <v>0</v>
      </c>
      <c r="P38" s="7" t="e">
        <f>ROUND(M38+O38,0)</f>
        <v>#REF!</v>
      </c>
    </row>
    <row r="39" spans="2:16">
      <c r="B39" s="7" t="s">
        <v>36</v>
      </c>
      <c r="C39" s="55" t="s">
        <v>211</v>
      </c>
      <c r="D39" s="7" t="n">
        <v>0.01</v>
      </c>
      <c r="E39" s="151"/>
      <c r="F39" s="7" t="n">
        <v>1</v>
      </c>
      <c r="G39" s="7" t="e">
        <f>#REF!</f>
        <v>#REF!</v>
      </c>
      <c r="H39" s="7" t="n">
        <v>0.5</v>
      </c>
      <c r="I39" s="7" t="n">
        <v>0.9</v>
      </c>
      <c r="J39" s="7" t="n">
        <v>100</v>
      </c>
      <c r="K39" s="72" t="e">
        <f>D39*G39*H39*I39*F39*(44/12)</f>
        <v>#REF!</v>
      </c>
      <c r="L39" s="72">
        <f>D39*J39/10^6</f>
        <v>9.999999999999999547E-07</v>
      </c>
      <c r="M39" s="7" t="e">
        <f>ROUND(K39*1000,0)</f>
        <v>#REF!</v>
      </c>
      <c r="N39" s="7">
        <f>ROUND(L39*1000,0)</f>
        <v>0</v>
      </c>
      <c r="O39" s="7">
        <f>N39*298</f>
        <v>0</v>
      </c>
      <c r="P39" s="7" t="e">
        <f>ROUND(M39+O39,0)</f>
        <v>#REF!</v>
      </c>
    </row>
    <row r="40" spans="2:16">
      <c r="B40" s="7" t="s">
        <v>36</v>
      </c>
      <c r="C40" s="7" t="s">
        <v>213</v>
      </c>
      <c r="D40" s="7" t="n">
        <v>0.01</v>
      </c>
      <c r="E40" s="151"/>
      <c r="F40" s="7" t="n">
        <v>1</v>
      </c>
      <c r="G40" s="7">
        <f>0.4515</f>
        <v>0.451500000000000057</v>
      </c>
      <c r="H40" s="7" t="n">
        <v>0.330000000000000027</v>
      </c>
      <c r="I40" s="7" t="n">
        <v>0</v>
      </c>
      <c r="J40" s="7" t="n">
        <v>450</v>
      </c>
      <c r="K40" s="72">
        <f>D40*G40*H40*I40*F40*(44/12)</f>
        <v>0</v>
      </c>
      <c r="L40" s="72"/>
      <c r="M40" s="7">
        <f>ROUND(K40*1000,0)</f>
        <v>0</v>
      </c>
      <c r="N40" s="7">
        <f>ROUND(L40*1000,0)</f>
        <v>0</v>
      </c>
      <c r="O40" s="7">
        <f>N40*298</f>
        <v>0</v>
      </c>
      <c r="P40" s="7">
        <f>ROUND(M40+O40,0)</f>
        <v>0</v>
      </c>
    </row>
    <row r="41" spans="2:16">
      <c r="B41" s="7" t="s">
        <v>39</v>
      </c>
      <c r="C41" s="55" t="s">
        <v>211</v>
      </c>
      <c r="D41" s="7" t="n">
        <v>0.02</v>
      </c>
      <c r="E41" s="151"/>
      <c r="F41" s="7" t="n">
        <v>1</v>
      </c>
      <c r="G41" s="7" t="e">
        <f>#REF!</f>
        <v>#REF!</v>
      </c>
      <c r="H41" s="7" t="n">
        <v>0.5</v>
      </c>
      <c r="I41" s="7" t="n">
        <v>0.9</v>
      </c>
      <c r="J41" s="7" t="n">
        <v>100</v>
      </c>
      <c r="K41" s="72" t="e">
        <f>D41*G41*H41*I41*F41*(44/12)</f>
        <v>#REF!</v>
      </c>
      <c r="L41" s="72">
        <f>D41*J41/10^6</f>
        <v>1.999999999999999909E-06</v>
      </c>
      <c r="M41" s="7" t="e">
        <f>ROUND(K41*1000,0)</f>
        <v>#REF!</v>
      </c>
      <c r="N41" s="7">
        <f>ROUND(L41*1000,0)</f>
        <v>0</v>
      </c>
      <c r="O41" s="7">
        <f>N41*298</f>
        <v>0</v>
      </c>
      <c r="P41" s="7" t="e">
        <f>ROUND(M41+O41,0)</f>
        <v>#REF!</v>
      </c>
    </row>
    <row r="42" spans="2:16">
      <c r="B42" s="7" t="s">
        <v>39</v>
      </c>
      <c r="C42" s="7" t="s">
        <v>213</v>
      </c>
      <c r="D42" s="7" t="n">
        <v>0.01</v>
      </c>
      <c r="E42" s="151"/>
      <c r="F42" s="7" t="n">
        <v>1</v>
      </c>
      <c r="G42" s="7">
        <f>0.4515</f>
        <v>0.451500000000000057</v>
      </c>
      <c r="H42" s="7" t="n">
        <v>0.330000000000000027</v>
      </c>
      <c r="I42" s="7" t="n">
        <v>0</v>
      </c>
      <c r="J42" s="7" t="n">
        <v>450</v>
      </c>
      <c r="K42" s="72">
        <f>D42*G42*H42*I42*F42*(44/12)</f>
        <v>0</v>
      </c>
      <c r="L42" s="72"/>
      <c r="M42" s="7">
        <f>ROUND(K42*1000,0)</f>
        <v>0</v>
      </c>
      <c r="N42" s="7">
        <f>ROUND(L42*1000,0)</f>
        <v>0</v>
      </c>
      <c r="O42" s="7">
        <f>N42*298</f>
        <v>0</v>
      </c>
      <c r="P42" s="7">
        <f>ROUND(M42+O42,0)</f>
        <v>0</v>
      </c>
    </row>
    <row r="43" spans="2:16">
      <c r="B43" s="7" t="s">
        <v>16</v>
      </c>
      <c r="C43" s="55" t="s">
        <v>211</v>
      </c>
      <c r="D43" s="7" t="n">
        <v>0.01</v>
      </c>
      <c r="E43" s="151"/>
      <c r="F43" s="7" t="n">
        <v>1</v>
      </c>
      <c r="G43" s="7" t="e">
        <f>#REF!</f>
        <v>#REF!</v>
      </c>
      <c r="H43" s="7" t="n">
        <v>0.5</v>
      </c>
      <c r="I43" s="7" t="n">
        <v>0.9</v>
      </c>
      <c r="J43" s="7" t="n">
        <v>100</v>
      </c>
      <c r="K43" s="72" t="e">
        <f>D43*G43*H43*I43*F43*(44/12)</f>
        <v>#REF!</v>
      </c>
      <c r="L43" s="72">
        <f>D43*J43/10^6</f>
        <v>9.999999999999999547E-07</v>
      </c>
      <c r="M43" s="7" t="e">
        <f>ROUND(K43*1000,0)</f>
        <v>#REF!</v>
      </c>
      <c r="N43" s="7">
        <f>ROUND(L43*1000,0)</f>
        <v>0</v>
      </c>
      <c r="O43" s="7">
        <f>N43*298</f>
        <v>0</v>
      </c>
      <c r="P43" s="7" t="e">
        <f>ROUND(M43+O43,0)</f>
        <v>#REF!</v>
      </c>
    </row>
    <row r="44" spans="2:16">
      <c r="B44" s="7" t="s">
        <v>16</v>
      </c>
      <c r="C44" s="7" t="s">
        <v>213</v>
      </c>
      <c r="D44" s="7" t="n">
        <v>0.01</v>
      </c>
      <c r="E44" s="152"/>
      <c r="F44" s="7" t="n">
        <v>1</v>
      </c>
      <c r="G44" s="7">
        <f>0.4515</f>
        <v>0.451500000000000057</v>
      </c>
      <c r="H44" s="7" t="n">
        <v>0.330000000000000027</v>
      </c>
      <c r="I44" s="7" t="n">
        <v>0</v>
      </c>
      <c r="J44" s="7" t="n">
        <v>450</v>
      </c>
      <c r="K44" s="72">
        <f>D44*G44*H44*I44*F44*(44/12)</f>
        <v>0</v>
      </c>
      <c r="L44" s="72">
        <f>D44*J44/10^6</f>
        <v>4.500000000000000114E-06</v>
      </c>
      <c r="M44" s="7">
        <f>ROUND(K44*1000,0)</f>
        <v>0</v>
      </c>
      <c r="N44" s="7">
        <f>ROUND(L44*1000,0)</f>
        <v>0</v>
      </c>
      <c r="O44" s="7">
        <f>N44*298</f>
        <v>0</v>
      </c>
      <c r="P44" s="7">
        <f>ROUND(M44+O44,0)</f>
        <v>0</v>
      </c>
    </row>
    <row r="45" spans="2:16">
      <c r="B45" s="42" t="s">
        <v>165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42" t="e">
        <f>SUM(P36:P44)</f>
        <v>#REF!</v>
      </c>
    </row>
    <row r="47" spans="2:5">
      <c r="B47" s="153" t="str">
        <f>UPPER("Жидкие нефтесодержащие отходы*")</f>
        <v>ЖИДКИЕ НЕФТЕСОДЕРЖАЩИЕ ОТХОДЫ*</v>
      </c>
      <c r="C47" s="153"/>
      <c r="D47" s="153"/>
      <c r="E47" s="153"/>
    </row>
    <row r="49" spans="2:14">
      <c r="B49" s="20" t="s">
        <v>4</v>
      </c>
      <c r="C49" s="131" t="s">
        <v>199</v>
      </c>
      <c r="D49" s="20" t="s">
        <v>214</v>
      </c>
      <c r="E49" s="133" t="s">
        <v>201</v>
      </c>
      <c r="F49" s="20" t="s">
        <v>215</v>
      </c>
      <c r="G49" s="133" t="s">
        <v>216</v>
      </c>
      <c r="H49" s="133" t="s">
        <v>217</v>
      </c>
      <c r="I49" s="20" t="s">
        <v>218</v>
      </c>
      <c r="J49" s="20" t="s">
        <v>219</v>
      </c>
      <c r="K49" s="20" t="s">
        <v>208</v>
      </c>
      <c r="L49" s="20" t="s">
        <v>209</v>
      </c>
      <c r="M49" s="20" t="s">
        <v>210</v>
      </c>
      <c r="N49" s="20" t="s">
        <v>196</v>
      </c>
    </row>
    <row r="50" spans="2:14" ht="99.60" customHeight="1">
      <c r="B50" s="20"/>
      <c r="C50" s="154"/>
      <c r="D50" s="20"/>
      <c r="E50" s="137"/>
      <c r="F50" s="20"/>
      <c r="G50" s="137"/>
      <c r="H50" s="137"/>
      <c r="I50" s="20"/>
      <c r="J50" s="20"/>
      <c r="K50" s="20"/>
      <c r="L50" s="20"/>
      <c r="M50" s="20"/>
      <c r="N50" s="20"/>
    </row>
    <row r="51" spans="2:14">
      <c r="B51" s="7" t="s">
        <v>220</v>
      </c>
      <c r="C51" s="55" t="s">
        <v>221</v>
      </c>
      <c r="D51" s="7" t="n">
        <v>0.1</v>
      </c>
      <c r="E51" s="150" t="s">
        <v>212</v>
      </c>
      <c r="F51" s="7" t="n">
        <v>1</v>
      </c>
      <c r="G51" s="7" t="n">
        <v>0.8</v>
      </c>
      <c r="H51" s="7" t="n">
        <v>100</v>
      </c>
      <c r="I51" s="7">
        <f>D51*G51*F51*(44/12)</f>
        <v>0.293333333333333979</v>
      </c>
      <c r="J51" s="52">
        <f>D51*H51/10^6</f>
        <v>0.00001</v>
      </c>
      <c r="K51" s="7">
        <f>ROUND(I51*1000,0)</f>
        <v>293</v>
      </c>
      <c r="L51" s="7">
        <f>ROUND(J51*1000,0)</f>
        <v>0</v>
      </c>
      <c r="M51" s="7">
        <f>L51*298</f>
        <v>0</v>
      </c>
      <c r="N51" s="7">
        <f>ROUND(K51+M51,0)</f>
        <v>293</v>
      </c>
    </row>
    <row r="52" spans="2:14">
      <c r="B52" s="7" t="s">
        <v>222</v>
      </c>
      <c r="C52" s="55" t="s">
        <v>221</v>
      </c>
      <c r="D52" s="7" t="n">
        <v>0.03</v>
      </c>
      <c r="E52" s="151"/>
      <c r="F52" s="7" t="n">
        <v>1</v>
      </c>
      <c r="G52" s="7" t="n">
        <v>0.8</v>
      </c>
      <c r="H52" s="7" t="n">
        <v>100</v>
      </c>
      <c r="I52" s="7">
        <f>D52*G52*F52*(44/12)</f>
        <v>0.0879999999999999893</v>
      </c>
      <c r="J52" s="52">
        <f>D52*H52/10^6</f>
        <v>3.000000000000000076E-06</v>
      </c>
      <c r="K52" s="7">
        <f>ROUND(I52*1000,0)</f>
        <v>88</v>
      </c>
      <c r="L52" s="7">
        <f>ROUND(J52*1000,0)</f>
        <v>0</v>
      </c>
      <c r="M52" s="7">
        <f>L52*298</f>
        <v>0</v>
      </c>
      <c r="N52" s="7">
        <f>ROUND(K52+M52,0)</f>
        <v>88</v>
      </c>
    </row>
    <row r="53" spans="2:14">
      <c r="B53" s="7" t="s">
        <v>223</v>
      </c>
      <c r="C53" s="55" t="s">
        <v>221</v>
      </c>
      <c r="D53" s="7" t="n">
        <v>0.01</v>
      </c>
      <c r="E53" s="151"/>
      <c r="F53" s="7" t="n">
        <v>1</v>
      </c>
      <c r="G53" s="7" t="n">
        <v>0.8</v>
      </c>
      <c r="H53" s="7" t="n">
        <v>100</v>
      </c>
      <c r="I53" s="7">
        <f>D53*G53*F53*(44/12)</f>
        <v>0.0293333333333329982</v>
      </c>
      <c r="J53" s="52">
        <f>D53*H53/10^6</f>
        <v>9.999999999999999547E-07</v>
      </c>
      <c r="K53" s="7">
        <f>ROUND(I53*1000,0)</f>
        <v>29</v>
      </c>
      <c r="L53" s="7">
        <f>ROUND(J53*1000,0)</f>
        <v>0</v>
      </c>
      <c r="M53" s="7">
        <f>L53*298</f>
        <v>0</v>
      </c>
      <c r="N53" s="7">
        <f>ROUND(K53+M53,0)</f>
        <v>29</v>
      </c>
    </row>
    <row r="54" spans="2:14">
      <c r="B54" s="42" t="s">
        <v>165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42">
        <f>SUM(N51:N53)</f>
        <v>410</v>
      </c>
    </row>
    <row r="56" spans="2:2">
      <c r="B56" s="6" t="s">
        <v>224</v>
      </c>
    </row>
    <row r="57" spans="2:2">
      <c r="B57" s="6" t="s">
        <v>225</v>
      </c>
    </row>
    <row r="60" spans="2:2">
      <c r="B60" s="44" t="s">
        <v>226</v>
      </c>
    </row>
    <row r="61" spans="2:2">
      <c r="B61" s="56" t="e">
        <f>SUM(P36,P38,P39,P41,P43,N54)</f>
        <v>#REF!</v>
      </c>
    </row>
    <row r="62" spans="2:2">
      <c r="B62" s="44" t="s">
        <v>227</v>
      </c>
    </row>
    <row r="63" spans="2:2">
      <c r="B63" s="56">
        <f>U29</f>
        <v>117</v>
      </c>
    </row>
    <row r="64" spans="3:4">
      <c r="C64" s="6" t="s">
        <v>115</v>
      </c>
      <c r="D64" s="6" t="s">
        <v>228</v>
      </c>
    </row>
    <row r="65" spans="2:4">
      <c r="B65" s="6" t="s">
        <v>220</v>
      </c>
      <c r="C65" s="6" t="e">
        <f>R24+P36+P37+N51</f>
        <v>#REF!</v>
      </c>
      <c r="D65" s="6" t="n">
        <v>0</v>
      </c>
    </row>
    <row r="66" spans="2:4">
      <c r="B66" s="6" t="s">
        <v>222</v>
      </c>
      <c r="C66" s="6" t="e">
        <f>U25+P38+N52</f>
        <v>#REF!</v>
      </c>
      <c r="D66" s="6" t="n">
        <v>0</v>
      </c>
    </row>
    <row r="67" spans="2:4">
      <c r="B67" s="6" t="s">
        <v>223</v>
      </c>
      <c r="C67" s="6" t="e">
        <f>U26+P39+P40+N53</f>
        <v>#REF!</v>
      </c>
      <c r="D67" s="6" t="n">
        <v>0</v>
      </c>
    </row>
    <row r="68" spans="2:4">
      <c r="B68" s="6" t="s">
        <v>229</v>
      </c>
      <c r="C68" s="6" t="e">
        <f>U27+P41+P42</f>
        <v>#REF!</v>
      </c>
      <c r="D68" s="6" t="n">
        <v>0</v>
      </c>
    </row>
    <row r="69" spans="2:4">
      <c r="B69" s="6" t="s">
        <v>230</v>
      </c>
      <c r="C69" s="6" t="e">
        <f>U28+P43+P44</f>
        <v>#REF!</v>
      </c>
      <c r="D69" s="6" t="n">
        <v>0</v>
      </c>
    </row>
    <row r="70" spans="3:3">
      <c r="C70" s="41" t="e">
        <f>SUM(C65:C69)</f>
        <v>#REF!</v>
      </c>
    </row>
  </sheetData>
  <mergeCells count="51">
    <mergeCell ref="B2:E2"/>
    <mergeCell ref="F2:I2"/>
    <mergeCell ref="J2:L2"/>
    <mergeCell ref="B3:L3"/>
    <mergeCell ref="B5:L5"/>
    <mergeCell ref="B7:E7"/>
    <mergeCell ref="B22:B23"/>
    <mergeCell ref="C22:C23"/>
    <mergeCell ref="D22:D23"/>
    <mergeCell ref="E22:E23"/>
    <mergeCell ref="O22:O23"/>
    <mergeCell ref="P22:P23"/>
    <mergeCell ref="Q22:Q23"/>
    <mergeCell ref="R22:R23"/>
    <mergeCell ref="S22:S23"/>
    <mergeCell ref="T22:T23"/>
    <mergeCell ref="U22:U23"/>
    <mergeCell ref="F23:N23"/>
    <mergeCell ref="D24:D28"/>
    <mergeCell ref="B32:E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E36:E44"/>
    <mergeCell ref="B47:E47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E51:E53"/>
  </mergeCell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B2:AJ16"/>
  <sheetViews>
    <sheetView view="normal" zoomScale="70" workbookViewId="0">
      <selection activeCell="J49" sqref="J49"/>
    </sheetView>
  </sheetViews>
  <sheetFormatPr defaultRowHeight="13.45"/>
  <cols>
    <col min="1" max="1" width="8.711712" style="6"/>
    <col min="2" max="2" width="22.000000" customWidth="1" style="6"/>
    <col min="3" max="3" width="14.423423" customWidth="1" style="6"/>
    <col min="4" max="4" width="22.567568" customWidth="1" style="6"/>
    <col min="5" max="5" width="23.423423" customWidth="1" style="6"/>
    <col min="6" max="6" width="17.855856" customWidth="1" style="6"/>
    <col min="7" max="7" width="21.855856" customWidth="1" style="6"/>
    <col min="8" max="8" width="22.288288" customWidth="1" style="6"/>
    <col min="9" max="9" width="18.288288" customWidth="1" style="6"/>
    <col min="10" max="16" width="16.423423" customWidth="1" style="6"/>
    <col min="17" max="23" width="25.711712" customWidth="1" style="6"/>
    <col min="24" max="16384" width="8.711712" style="6"/>
  </cols>
  <sheetData>
    <row r="2" spans="2:16">
      <c r="B2" s="37" t="str">
        <f>UPPER("количественное определение впг при сжигании топлива в транспорте")</f>
        <v>КОЛИЧЕСТВЕННОЕ ОПРЕДЕЛЕНИЕ ВПГ ПРИ СЖИГАНИИ ТОПЛИВА В ТРАНСПОРТЕ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115"/>
      <c r="N2" s="115"/>
      <c r="O2" s="115"/>
      <c r="P2" s="115"/>
    </row>
    <row r="3" spans="2:16">
      <c r="B3" s="128" t="s">
        <v>0</v>
      </c>
      <c r="C3" s="128"/>
      <c r="D3" s="129"/>
      <c r="E3" s="129"/>
      <c r="F3" s="129"/>
      <c r="G3" s="129"/>
      <c r="H3" s="129"/>
      <c r="I3" s="129"/>
      <c r="J3" s="129"/>
      <c r="K3" s="129"/>
      <c r="L3" s="129"/>
      <c r="M3" s="45"/>
      <c r="N3" s="45"/>
      <c r="O3" s="45"/>
      <c r="P3" s="45"/>
    </row>
    <row r="4" spans="2:16">
      <c r="B4" s="8"/>
      <c r="C4" s="8"/>
      <c r="D4" s="10"/>
      <c r="E4" s="10"/>
      <c r="F4" s="10"/>
      <c r="G4" s="10"/>
      <c r="H4" s="10"/>
      <c r="I4" s="10"/>
      <c r="J4" s="10"/>
      <c r="K4" s="10"/>
      <c r="L4" s="10"/>
      <c r="M4" s="45"/>
      <c r="N4" s="45"/>
      <c r="O4" s="45"/>
      <c r="P4" s="45"/>
    </row>
    <row r="5" spans="2:16">
      <c r="B5" s="128" t="s">
        <v>1</v>
      </c>
      <c r="C5" s="128"/>
      <c r="D5" s="130"/>
      <c r="E5" s="130"/>
      <c r="F5" s="130"/>
      <c r="G5" s="130"/>
      <c r="H5" s="130"/>
      <c r="I5" s="130"/>
      <c r="J5" s="130"/>
      <c r="K5" s="130"/>
      <c r="L5" s="130"/>
      <c r="M5" s="45"/>
      <c r="N5" s="45"/>
      <c r="O5" s="45"/>
      <c r="P5" s="45"/>
    </row>
    <row r="7" spans="2:16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</row>
    <row r="8" spans="2:9" s="39" customFormat="1">
      <c r="B8" s="20" t="s">
        <v>231</v>
      </c>
      <c r="C8" s="20" t="s">
        <v>232</v>
      </c>
      <c r="D8" s="20" t="s">
        <v>5</v>
      </c>
      <c r="E8" s="20" t="s">
        <v>233</v>
      </c>
      <c r="F8" s="20" t="s">
        <v>234</v>
      </c>
      <c r="G8" s="20" t="s">
        <v>235</v>
      </c>
      <c r="H8" s="20" t="s">
        <v>236</v>
      </c>
      <c r="I8" s="20" t="s">
        <v>237</v>
      </c>
    </row>
    <row r="9" spans="2:9">
      <c r="B9" s="7" t="s">
        <v>238</v>
      </c>
      <c r="C9" s="7" t="s">
        <v>239</v>
      </c>
      <c r="D9" s="40" t="s">
        <v>240</v>
      </c>
      <c r="E9" s="63" t="n">
        <v>100000</v>
      </c>
      <c r="F9" s="64" t="n">
        <v>0.840000000000000036</v>
      </c>
      <c r="G9" s="68">
        <f>ROUND(E9*F9/1000,1)</f>
        <v>84</v>
      </c>
      <c r="H9" s="65" t="n">
        <v>3.14900000000000002</v>
      </c>
      <c r="I9" s="69">
        <f>ROUND(G9*H9,0)</f>
        <v>265</v>
      </c>
    </row>
    <row r="10" spans="2:9">
      <c r="B10" s="7"/>
      <c r="C10" s="7" t="s">
        <v>241</v>
      </c>
      <c r="D10" s="40" t="s">
        <v>240</v>
      </c>
      <c r="E10" s="63" t="n">
        <v>50000</v>
      </c>
      <c r="F10" s="64" t="n">
        <v>0.840000000000000036</v>
      </c>
      <c r="G10" s="68">
        <f>ROUND(E10*F10/1000,1)</f>
        <v>42</v>
      </c>
      <c r="H10" s="66" t="n">
        <v>3.14900000000000002</v>
      </c>
      <c r="I10" s="69">
        <f>ROUND(G10*H10,0)</f>
        <v>132</v>
      </c>
    </row>
    <row r="11" spans="2:9">
      <c r="B11" s="7"/>
      <c r="C11" s="7"/>
      <c r="D11" s="40" t="s">
        <v>242</v>
      </c>
      <c r="E11" s="63" t="n">
        <v>30000</v>
      </c>
      <c r="F11" s="64" t="n">
        <v>0.75</v>
      </c>
      <c r="G11" s="68">
        <f>ROUND(E11*F11/1000,1)</f>
        <v>22.5</v>
      </c>
      <c r="H11" s="66" t="n">
        <v>3.0259999999999998</v>
      </c>
      <c r="I11" s="69">
        <f>ROUND(G11*H11,0)</f>
        <v>68</v>
      </c>
    </row>
    <row r="12" spans="2:9">
      <c r="B12" s="7"/>
      <c r="C12" s="7" t="s">
        <v>243</v>
      </c>
      <c r="D12" s="40" t="s">
        <v>240</v>
      </c>
      <c r="E12" s="63" t="n">
        <v>20000</v>
      </c>
      <c r="F12" s="64" t="n">
        <v>0.840000000000000036</v>
      </c>
      <c r="G12" s="68">
        <f>ROUND(E12*F12/1000,1)</f>
        <v>16.8000000000000007</v>
      </c>
      <c r="H12" s="65" t="n">
        <v>3.14900000000000002</v>
      </c>
      <c r="I12" s="69">
        <f>ROUND(G12*H12,0)</f>
        <v>53</v>
      </c>
    </row>
    <row r="13" spans="2:36" s="41" customFormat="1">
      <c r="B13" s="42" t="s">
        <v>165</v>
      </c>
      <c r="C13" s="42"/>
      <c r="D13" s="43"/>
      <c r="E13" s="67"/>
      <c r="F13" s="67"/>
      <c r="G13" s="67"/>
      <c r="H13" s="67"/>
      <c r="I13" s="70">
        <f>SUM(I9:I12)</f>
        <v>518</v>
      </c>
      <c r="AJ13" s="62"/>
    </row>
    <row r="14" spans="2:9">
      <c r="B14" s="7" t="s">
        <v>244</v>
      </c>
      <c r="C14" s="7" t="s">
        <v>239</v>
      </c>
      <c r="D14" s="40"/>
      <c r="E14" s="65"/>
      <c r="F14" s="65"/>
      <c r="G14" s="65"/>
      <c r="H14" s="65"/>
      <c r="I14" s="159">
        <f>I9</f>
        <v>265</v>
      </c>
    </row>
    <row r="15" spans="2:9">
      <c r="B15" s="7"/>
      <c r="C15" s="7" t="s">
        <v>241</v>
      </c>
      <c r="D15" s="40"/>
      <c r="E15" s="65"/>
      <c r="F15" s="65"/>
      <c r="G15" s="65"/>
      <c r="H15" s="65"/>
      <c r="I15" s="65">
        <f>I10+I11</f>
        <v>200</v>
      </c>
    </row>
    <row r="16" spans="2:9">
      <c r="B16" s="7"/>
      <c r="C16" s="7" t="s">
        <v>243</v>
      </c>
      <c r="D16" s="40"/>
      <c r="E16" s="65"/>
      <c r="F16" s="65"/>
      <c r="G16" s="65"/>
      <c r="H16" s="65"/>
      <c r="I16" s="159">
        <f>I12</f>
        <v>53</v>
      </c>
    </row>
  </sheetData>
  <mergeCells count="2">
    <mergeCell ref="B3:L3"/>
    <mergeCell ref="B5:L5"/>
  </mergeCell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drawing r:id="rId1"/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H24"/>
  <sheetViews>
    <sheetView view="normal" zoomScale="90" workbookViewId="0">
      <selection activeCell="F26" sqref="F26"/>
    </sheetView>
  </sheetViews>
  <sheetFormatPr defaultRowHeight="13.45"/>
  <cols>
    <col min="1" max="1" width="11.144144" customWidth="1" style="6"/>
    <col min="2" max="6" width="17.855856" customWidth="1" style="6"/>
    <col min="7" max="7" width="20.711712" customWidth="1" style="6"/>
    <col min="8" max="8" width="19.288288" customWidth="1" style="6"/>
    <col min="9" max="16384" width="9.144144" style="6"/>
  </cols>
  <sheetData>
    <row r="2" spans="1:8">
      <c r="A2" s="21" t="str">
        <f>UPPER("Количественное определение объема косвенных энергетических выбросов парниковых газов")</f>
        <v>КОЛИЧЕСТВЕННОЕ ОПРЕДЕЛЕНИЕ ОБЪЕМА КОСВЕННЫХ ЭНЕРГЕТИЧЕСКИХ ВЫБРОСОВ ПАРНИКОВЫХ ГАЗОВ</v>
      </c>
      <c r="B2" s="21"/>
      <c r="C2" s="21"/>
      <c r="D2" s="21"/>
      <c r="E2" s="21"/>
      <c r="F2" s="21"/>
      <c r="G2" s="21"/>
      <c r="H2" s="21"/>
    </row>
    <row r="3" spans="1:8" ht="5.10" customHeight="1">
      <c r="A3" s="10"/>
      <c r="B3" s="10"/>
      <c r="C3" s="10"/>
      <c r="D3" s="10"/>
      <c r="E3" s="10"/>
      <c r="F3" s="10"/>
      <c r="G3" s="10"/>
      <c r="H3" s="10"/>
    </row>
    <row r="4" spans="1:8" ht="34.90" customHeight="1">
      <c r="A4" s="128" t="s">
        <v>245</v>
      </c>
      <c r="B4" s="129"/>
      <c r="C4" s="129"/>
      <c r="D4" s="129"/>
      <c r="E4" s="129"/>
      <c r="F4" s="129"/>
      <c r="G4" s="129"/>
      <c r="H4" s="129"/>
    </row>
    <row r="5" spans="1:8" ht="5.10" customHeight="1">
      <c r="A5" s="8"/>
      <c r="B5" s="10"/>
      <c r="C5" s="10"/>
      <c r="D5" s="10"/>
      <c r="E5" s="10"/>
      <c r="F5" s="10"/>
      <c r="G5" s="10"/>
      <c r="H5" s="10"/>
    </row>
    <row r="6" spans="1:8" ht="42.75" customHeight="1">
      <c r="A6" s="128" t="s">
        <v>246</v>
      </c>
      <c r="B6" s="129"/>
      <c r="C6" s="129"/>
      <c r="D6" s="129"/>
      <c r="E6" s="129"/>
      <c r="F6" s="129"/>
      <c r="G6" s="129"/>
      <c r="H6" s="129"/>
    </row>
    <row r="8" spans="1:8" ht="91.50" customHeight="1">
      <c r="A8" s="20" t="s">
        <v>247</v>
      </c>
      <c r="B8" s="20" t="s">
        <v>4</v>
      </c>
      <c r="C8" s="20" t="s">
        <v>248</v>
      </c>
      <c r="D8" s="20" t="s">
        <v>249</v>
      </c>
      <c r="E8" s="20" t="s">
        <v>250</v>
      </c>
      <c r="F8" s="20" t="s">
        <v>251</v>
      </c>
      <c r="G8" s="133" t="s">
        <v>252</v>
      </c>
      <c r="H8" s="133" t="s">
        <v>253</v>
      </c>
    </row>
    <row r="9" spans="1:8">
      <c r="A9" s="20"/>
      <c r="B9" s="20"/>
      <c r="C9" s="20"/>
      <c r="D9" s="20"/>
      <c r="E9" s="20"/>
      <c r="F9" s="20"/>
      <c r="G9" s="137"/>
      <c r="H9" s="137"/>
    </row>
    <row r="10" spans="1:8">
      <c r="A10" s="32">
        <f>ROW(A1)</f>
        <v>1</v>
      </c>
      <c r="B10" s="12"/>
      <c r="C10" s="12" t="s">
        <v>254</v>
      </c>
      <c r="D10" s="12" t="s">
        <v>255</v>
      </c>
      <c r="E10" s="112" t="n">
        <v>10</v>
      </c>
      <c r="F10" s="9" t="s">
        <v>256</v>
      </c>
      <c r="G10" s="125">
        <f>'Расчет региональных коэфф.'!C37</f>
        <v>1.04600000000000004</v>
      </c>
      <c r="H10" s="113">
        <f>ROUND('Приобретенная энергия'!$E10*'Приобретенная энергия'!$G10,0)</f>
        <v>10</v>
      </c>
    </row>
    <row r="11" spans="1:8">
      <c r="A11" s="32">
        <f>ROW(A2)</f>
        <v>2</v>
      </c>
      <c r="B11" s="12"/>
      <c r="C11" s="12" t="s">
        <v>254</v>
      </c>
      <c r="D11" s="12" t="s">
        <v>257</v>
      </c>
      <c r="E11" s="112" t="n">
        <v>15</v>
      </c>
      <c r="F11" s="9" t="s">
        <v>258</v>
      </c>
      <c r="G11" s="123" t="n">
        <v>0.30299999999999998</v>
      </c>
      <c r="H11" s="113">
        <f>ROUND('Приобретенная энергия'!$E11*'Приобретенная энергия'!$G11,0)</f>
        <v>5</v>
      </c>
    </row>
    <row r="12" spans="1:8">
      <c r="A12" s="32">
        <f>ROW(A3)</f>
        <v>3</v>
      </c>
      <c r="B12" s="12"/>
      <c r="C12" s="12" t="s">
        <v>254</v>
      </c>
      <c r="D12" s="12" t="s">
        <v>257</v>
      </c>
      <c r="E12" s="112" t="n">
        <v>5</v>
      </c>
      <c r="F12" s="9" t="s">
        <v>258</v>
      </c>
      <c r="G12" s="125">
        <f>'Расчет региональных коэфф.'!C43</f>
        <v>0.264000000000000012</v>
      </c>
      <c r="H12" s="113">
        <f>ROUND('Приобретенная энергия'!$E12*'Приобретенная энергия'!$G12,0)</f>
        <v>1</v>
      </c>
    </row>
    <row r="13" spans="1:8">
      <c r="A13" s="32">
        <f>ROW(A4)</f>
        <v>4</v>
      </c>
      <c r="B13" s="12"/>
      <c r="C13" s="12" t="s">
        <v>254</v>
      </c>
      <c r="D13" s="12" t="s">
        <v>255</v>
      </c>
      <c r="E13" s="112" t="n">
        <v>20</v>
      </c>
      <c r="F13" s="9" t="s">
        <v>256</v>
      </c>
      <c r="G13" s="123" t="n">
        <v>0.453000000000000025</v>
      </c>
      <c r="H13" s="113">
        <f>ROUND('Приобретенная энергия'!$E13*'Приобретенная энергия'!$G13,0)</f>
        <v>9</v>
      </c>
    </row>
    <row r="14" spans="1:8">
      <c r="A14" s="32">
        <f>ROW(A5)</f>
        <v>5</v>
      </c>
      <c r="B14" s="12"/>
      <c r="C14" s="12" t="s">
        <v>254</v>
      </c>
      <c r="D14" s="12" t="s">
        <v>255</v>
      </c>
      <c r="E14" s="112" t="n">
        <v>1</v>
      </c>
      <c r="F14" s="9" t="s">
        <v>256</v>
      </c>
      <c r="G14" s="123" t="n">
        <v>0.453000000000000025</v>
      </c>
      <c r="H14" s="113">
        <f>ROUND('Приобретенная энергия'!$E14*'Приобретенная энергия'!$G14,0)</f>
        <v>0</v>
      </c>
    </row>
    <row r="15" spans="1:8">
      <c r="A15" s="83" t="s">
        <v>17</v>
      </c>
      <c r="B15" s="83"/>
      <c r="C15" s="83"/>
      <c r="D15" s="83"/>
      <c r="E15" s="84">
        <f>E10+E13+E14</f>
        <v>31</v>
      </c>
      <c r="F15" s="83"/>
      <c r="G15" s="83"/>
      <c r="H15" s="114">
        <f>SUBTOTAL(109,'Приобретенная энергия'!$H$10:$H$14)</f>
        <v>25</v>
      </c>
    </row>
    <row r="16" spans="1:8">
      <c r="A16" s="8"/>
      <c r="B16" s="8"/>
      <c r="C16" s="8"/>
      <c r="D16" s="8"/>
      <c r="E16" s="8"/>
      <c r="F16" s="8"/>
      <c r="G16" s="8"/>
      <c r="H16" s="8"/>
    </row>
    <row r="17" spans="8:8">
      <c r="H17" s="19"/>
    </row>
    <row r="18" spans="2:3">
      <c r="B18" s="124"/>
      <c r="C18" s="6" t="s">
        <v>259</v>
      </c>
    </row>
    <row r="19" spans="2:3">
      <c r="B19" s="126"/>
      <c r="C19" s="6" t="s">
        <v>260</v>
      </c>
    </row>
    <row r="23" spans="5:5">
      <c r="E23" s="122"/>
    </row>
    <row r="24" spans="5:5">
      <c r="E24" s="121"/>
    </row>
  </sheetData>
  <mergeCells count="11">
    <mergeCell ref="A2:H2"/>
    <mergeCell ref="A4:H4"/>
    <mergeCell ref="A6:H6"/>
    <mergeCell ref="A8:A9"/>
    <mergeCell ref="B8:B9"/>
    <mergeCell ref="C8:C9"/>
    <mergeCell ref="D8:D9"/>
    <mergeCell ref="E8:E9"/>
    <mergeCell ref="F8:F9"/>
    <mergeCell ref="G8:G9"/>
    <mergeCell ref="H8:H9"/>
  </mergeCells>
  <conditionalFormatting sqref="E10:H14">
    <cfRule type="expression" dxfId="0" priority="1">
      <formula>ISNUMBER($C$10)</formula>
    </cfRule>
  </conditionalFormatting>
  <dataValidations count="3">
    <dataValidation sqref="C10:C14" type="none" operator="greaterThan" errorStyle="stop" allowBlank="1" showInputMessage="1" showErrorMessage="1" error="Данные вводятся в числовом формате (&gt;0)." view="0">
      <formula1/>
      <formula2/>
    </dataValidation>
    <dataValidation sqref="E10:E14" type="decimal" operator="greaterThan" errorStyle="stop" allowBlank="1" showInputMessage="1" showErrorMessage="1" error="Данные вводятся в числовом формате (&gt;0). " view="0">
      <formula1>0</formula1>
      <formula2/>
    </dataValidation>
    <dataValidation sqref="F10:F14" type="none" operator="greaterThan" errorStyle="stop" allowBlank="1" showInputMessage="1" showErrorMessage="1" view="0">
      <formula1/>
      <formula2/>
    </dataValidation>
  </dataValidation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49"/>
  <sheetViews>
    <sheetView view="normal" workbookViewId="0">
      <selection activeCell="Q57" sqref="Q57"/>
    </sheetView>
  </sheetViews>
  <sheetFormatPr defaultRowHeight="13.45"/>
  <cols>
    <col min="2" max="2" width="14.711712" customWidth="1"/>
    <col min="3" max="3" width="24.711712" customWidth="1"/>
    <col min="4" max="13" width="14.711712" customWidth="1"/>
  </cols>
  <sheetData>
    <row r="1" spans="1:13">
      <c r="A1" s="74" t="s">
        <v>247</v>
      </c>
      <c r="B1" s="74" t="s">
        <v>261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>
      <c r="A2" s="74"/>
      <c r="B2" s="74" t="s">
        <v>4</v>
      </c>
      <c r="C2" s="74" t="s">
        <v>262</v>
      </c>
      <c r="D2" s="74" t="s">
        <v>263</v>
      </c>
      <c r="E2" s="74" t="s">
        <v>264</v>
      </c>
      <c r="F2" s="74"/>
      <c r="G2" s="74" t="s">
        <v>265</v>
      </c>
      <c r="H2" s="74"/>
      <c r="I2" s="74" t="s">
        <v>266</v>
      </c>
      <c r="J2" s="74" t="s">
        <v>267</v>
      </c>
      <c r="K2" s="74" t="s">
        <v>268</v>
      </c>
      <c r="L2" s="74" t="s">
        <v>269</v>
      </c>
      <c r="M2" s="74" t="s">
        <v>270</v>
      </c>
    </row>
    <row r="3" spans="1:13" ht="33" customHeight="1">
      <c r="A3" s="74"/>
      <c r="B3" s="74"/>
      <c r="C3" s="74"/>
      <c r="D3" s="74"/>
      <c r="E3" s="74" t="s">
        <v>271</v>
      </c>
      <c r="F3" s="74" t="s">
        <v>272</v>
      </c>
      <c r="G3" s="74" t="s">
        <v>271</v>
      </c>
      <c r="H3" s="74" t="s">
        <v>272</v>
      </c>
      <c r="I3" s="74"/>
      <c r="J3" s="74"/>
      <c r="K3" s="74"/>
      <c r="L3" s="74"/>
      <c r="M3" s="74"/>
    </row>
    <row r="4" spans="1:13">
      <c r="A4" s="73" t="s">
        <v>273</v>
      </c>
      <c r="B4" s="156"/>
      <c r="C4" s="73"/>
      <c r="D4" s="73"/>
      <c r="E4" s="73"/>
      <c r="F4" s="73"/>
      <c r="G4" s="73"/>
      <c r="H4" s="73"/>
      <c r="I4" s="73"/>
      <c r="J4" s="157">
        <f>SUM(D4:D21)</f>
        <v>0</v>
      </c>
      <c r="K4" s="157">
        <f>SUM(E4:E20)</f>
        <v>0</v>
      </c>
      <c r="L4" s="157">
        <f>SUM(G4:G20)</f>
        <v>0</v>
      </c>
      <c r="M4" s="157">
        <f>SUM(I4:I21)</f>
        <v>0</v>
      </c>
    </row>
    <row r="5" spans="1:13">
      <c r="A5" s="73" t="s">
        <v>274</v>
      </c>
      <c r="B5" s="156"/>
      <c r="C5" s="73"/>
      <c r="D5" s="73"/>
      <c r="E5" s="73"/>
      <c r="F5" s="73"/>
      <c r="G5" s="73"/>
      <c r="H5" s="73"/>
      <c r="I5" s="73"/>
      <c r="J5" s="157"/>
      <c r="K5" s="157"/>
      <c r="L5" s="157"/>
      <c r="M5" s="157"/>
    </row>
    <row r="6" spans="1:13">
      <c r="A6" s="73" t="s">
        <v>275</v>
      </c>
      <c r="B6" s="156"/>
      <c r="C6" s="73"/>
      <c r="D6" s="73"/>
      <c r="E6" s="73"/>
      <c r="F6" s="73"/>
      <c r="G6" s="73"/>
      <c r="H6" s="73"/>
      <c r="I6" s="73"/>
      <c r="J6" s="157"/>
      <c r="K6" s="157"/>
      <c r="L6" s="157"/>
      <c r="M6" s="157"/>
    </row>
    <row r="7" spans="1:13">
      <c r="A7" s="73" t="s">
        <v>276</v>
      </c>
      <c r="B7" s="156"/>
      <c r="C7" s="73"/>
      <c r="D7" s="73"/>
      <c r="E7" s="73"/>
      <c r="F7" s="73"/>
      <c r="G7" s="73"/>
      <c r="H7" s="73"/>
      <c r="I7" s="73"/>
      <c r="J7" s="157"/>
      <c r="K7" s="157"/>
      <c r="L7" s="157"/>
      <c r="M7" s="157"/>
    </row>
    <row r="8" spans="1:13">
      <c r="A8" s="73" t="s">
        <v>277</v>
      </c>
      <c r="B8" s="156"/>
      <c r="C8" s="73"/>
      <c r="D8" s="73"/>
      <c r="E8" s="73"/>
      <c r="F8" s="73"/>
      <c r="G8" s="73"/>
      <c r="H8" s="73"/>
      <c r="I8" s="73"/>
      <c r="J8" s="157"/>
      <c r="K8" s="157"/>
      <c r="L8" s="157"/>
      <c r="M8" s="157"/>
    </row>
    <row r="9" spans="1:13">
      <c r="A9" s="73" t="s">
        <v>278</v>
      </c>
      <c r="B9" s="156"/>
      <c r="C9" s="73"/>
      <c r="D9" s="73"/>
      <c r="E9" s="73"/>
      <c r="F9" s="73"/>
      <c r="G9" s="73"/>
      <c r="H9" s="73"/>
      <c r="I9" s="73"/>
      <c r="J9" s="157"/>
      <c r="K9" s="157"/>
      <c r="L9" s="157"/>
      <c r="M9" s="157"/>
    </row>
    <row r="10" spans="1:13">
      <c r="A10" s="73" t="s">
        <v>279</v>
      </c>
      <c r="B10" s="156"/>
      <c r="C10" s="73"/>
      <c r="D10" s="73"/>
      <c r="E10" s="73"/>
      <c r="F10" s="73"/>
      <c r="G10" s="73"/>
      <c r="H10" s="73"/>
      <c r="I10" s="73"/>
      <c r="J10" s="157"/>
      <c r="K10" s="157"/>
      <c r="L10" s="157"/>
      <c r="M10" s="157"/>
    </row>
    <row r="11" spans="1:13">
      <c r="A11" s="73" t="s">
        <v>280</v>
      </c>
      <c r="B11" s="156"/>
      <c r="C11" s="73"/>
      <c r="D11" s="73"/>
      <c r="E11" s="73"/>
      <c r="F11" s="73"/>
      <c r="G11" s="73"/>
      <c r="H11" s="73"/>
      <c r="I11" s="73"/>
      <c r="J11" s="157"/>
      <c r="K11" s="157"/>
      <c r="L11" s="157"/>
      <c r="M11" s="157"/>
    </row>
    <row r="12" spans="1:13">
      <c r="A12" s="73" t="s">
        <v>281</v>
      </c>
      <c r="B12" s="156"/>
      <c r="C12" s="73"/>
      <c r="D12" s="73"/>
      <c r="E12" s="73"/>
      <c r="F12" s="73"/>
      <c r="G12" s="73"/>
      <c r="H12" s="73"/>
      <c r="I12" s="73"/>
      <c r="J12" s="157"/>
      <c r="K12" s="157"/>
      <c r="L12" s="157"/>
      <c r="M12" s="157"/>
    </row>
    <row r="13" spans="1:13">
      <c r="A13" s="73" t="s">
        <v>282</v>
      </c>
      <c r="B13" s="156"/>
      <c r="C13" s="73"/>
      <c r="D13" s="73"/>
      <c r="E13" s="73"/>
      <c r="F13" s="73"/>
      <c r="G13" s="73"/>
      <c r="H13" s="73"/>
      <c r="I13" s="73"/>
      <c r="J13" s="157"/>
      <c r="K13" s="157"/>
      <c r="L13" s="157"/>
      <c r="M13" s="157"/>
    </row>
    <row r="14" spans="1:13">
      <c r="A14" s="73" t="s">
        <v>283</v>
      </c>
      <c r="B14" s="156"/>
      <c r="C14" s="73"/>
      <c r="D14" s="73"/>
      <c r="E14" s="73"/>
      <c r="F14" s="73"/>
      <c r="G14" s="73"/>
      <c r="H14" s="73"/>
      <c r="I14" s="73"/>
      <c r="J14" s="157"/>
      <c r="K14" s="157"/>
      <c r="L14" s="157"/>
      <c r="M14" s="157"/>
    </row>
    <row r="15" spans="1:13">
      <c r="A15" s="73" t="s">
        <v>284</v>
      </c>
      <c r="B15" s="156"/>
      <c r="C15" s="73"/>
      <c r="D15" s="73"/>
      <c r="E15" s="73"/>
      <c r="F15" s="73"/>
      <c r="G15" s="73"/>
      <c r="H15" s="73"/>
      <c r="I15" s="73"/>
      <c r="J15" s="157"/>
      <c r="K15" s="157"/>
      <c r="L15" s="157"/>
      <c r="M15" s="157"/>
    </row>
    <row r="16" spans="1:13">
      <c r="A16" s="73" t="s">
        <v>285</v>
      </c>
      <c r="B16" s="156"/>
      <c r="C16" s="73"/>
      <c r="D16" s="73"/>
      <c r="E16" s="73"/>
      <c r="F16" s="73"/>
      <c r="G16" s="73"/>
      <c r="H16" s="73"/>
      <c r="I16" s="73"/>
      <c r="J16" s="157"/>
      <c r="K16" s="157"/>
      <c r="L16" s="157"/>
      <c r="M16" s="157"/>
    </row>
    <row r="17" spans="1:13">
      <c r="A17" s="73" t="s">
        <v>286</v>
      </c>
      <c r="B17" s="156"/>
      <c r="C17" s="73"/>
      <c r="D17" s="73"/>
      <c r="E17" s="73"/>
      <c r="F17" s="73"/>
      <c r="G17" s="73"/>
      <c r="H17" s="73"/>
      <c r="I17" s="73"/>
      <c r="J17" s="157"/>
      <c r="K17" s="157"/>
      <c r="L17" s="157"/>
      <c r="M17" s="157"/>
    </row>
    <row r="18" spans="1:13">
      <c r="A18" s="73" t="s">
        <v>287</v>
      </c>
      <c r="B18" s="156"/>
      <c r="C18" s="73"/>
      <c r="D18" s="73"/>
      <c r="E18" s="73"/>
      <c r="F18" s="73"/>
      <c r="G18" s="73"/>
      <c r="H18" s="73"/>
      <c r="I18" s="73"/>
      <c r="J18" s="157"/>
      <c r="K18" s="157"/>
      <c r="L18" s="157"/>
      <c r="M18" s="157"/>
    </row>
    <row r="19" spans="1:13">
      <c r="A19" s="73" t="s">
        <v>288</v>
      </c>
      <c r="B19" s="156"/>
      <c r="C19" s="73"/>
      <c r="D19" s="73"/>
      <c r="E19" s="73"/>
      <c r="F19" s="73"/>
      <c r="G19" s="73"/>
      <c r="H19" s="73"/>
      <c r="I19" s="73"/>
      <c r="J19" s="157"/>
      <c r="K19" s="157"/>
      <c r="L19" s="157"/>
      <c r="M19" s="157"/>
    </row>
    <row r="20" spans="1:13">
      <c r="A20" s="73" t="s">
        <v>289</v>
      </c>
      <c r="B20" s="156"/>
      <c r="C20" s="73"/>
      <c r="D20" s="73"/>
      <c r="E20" s="73"/>
      <c r="F20" s="73"/>
      <c r="G20" s="73"/>
      <c r="H20" s="73"/>
      <c r="I20" s="73"/>
      <c r="J20" s="157"/>
      <c r="K20" s="157"/>
      <c r="L20" s="157"/>
      <c r="M20" s="157"/>
    </row>
    <row r="21" spans="1:13">
      <c r="A21" s="73"/>
      <c r="B21" s="156"/>
      <c r="C21" s="73"/>
      <c r="D21" s="73"/>
      <c r="E21" s="73"/>
      <c r="F21" s="73"/>
      <c r="G21" s="73"/>
      <c r="H21" s="73"/>
      <c r="I21" s="73"/>
      <c r="J21" s="157"/>
      <c r="K21" s="157"/>
      <c r="L21" s="157"/>
      <c r="M21" s="157"/>
    </row>
    <row r="22" spans="1:13">
      <c r="A22" s="73" t="s">
        <v>290</v>
      </c>
      <c r="B22" s="73"/>
      <c r="C22" s="73"/>
      <c r="D22" s="73"/>
      <c r="E22" s="73"/>
      <c r="F22" s="73"/>
      <c r="G22" s="73"/>
      <c r="H22" s="73"/>
      <c r="I22" s="73"/>
      <c r="J22" s="158">
        <f>SUM(D22:D26)</f>
        <v>0</v>
      </c>
      <c r="K22" s="158">
        <f>SUM(E22:E26)</f>
        <v>0</v>
      </c>
      <c r="L22" s="158">
        <f>SUM(G22:G26)</f>
        <v>0</v>
      </c>
      <c r="M22" s="158">
        <f>SUM(I22:I26)</f>
        <v>0</v>
      </c>
    </row>
    <row r="23" spans="1:13">
      <c r="A23" s="73" t="s">
        <v>291</v>
      </c>
      <c r="B23" s="73"/>
      <c r="C23" s="73"/>
      <c r="D23" s="73"/>
      <c r="E23" s="73"/>
      <c r="F23" s="73"/>
      <c r="G23" s="73"/>
      <c r="H23" s="73"/>
      <c r="I23" s="73"/>
      <c r="J23" s="158"/>
      <c r="K23" s="158"/>
      <c r="L23" s="158"/>
      <c r="M23" s="158"/>
    </row>
    <row r="24" spans="1:13">
      <c r="A24" s="73" t="s">
        <v>292</v>
      </c>
      <c r="B24" s="73"/>
      <c r="C24" s="73"/>
      <c r="D24" s="73"/>
      <c r="E24" s="73"/>
      <c r="F24" s="73"/>
      <c r="G24" s="73"/>
      <c r="H24" s="73"/>
      <c r="I24" s="73"/>
      <c r="J24" s="158"/>
      <c r="K24" s="158"/>
      <c r="L24" s="158"/>
      <c r="M24" s="158"/>
    </row>
    <row r="25" spans="1:13">
      <c r="A25" s="73" t="s">
        <v>293</v>
      </c>
      <c r="B25" s="73"/>
      <c r="C25" s="73"/>
      <c r="D25" s="73"/>
      <c r="E25" s="73"/>
      <c r="F25" s="73"/>
      <c r="G25" s="73"/>
      <c r="H25" s="73"/>
      <c r="I25" s="73"/>
      <c r="J25" s="158"/>
      <c r="K25" s="158"/>
      <c r="L25" s="158"/>
      <c r="M25" s="158"/>
    </row>
    <row r="26" spans="1:13">
      <c r="A26" s="73" t="s">
        <v>294</v>
      </c>
      <c r="B26" s="73"/>
      <c r="C26" s="73"/>
      <c r="D26" s="73"/>
      <c r="E26" s="73"/>
      <c r="F26" s="73"/>
      <c r="G26" s="73"/>
      <c r="H26" s="73"/>
      <c r="I26" s="73"/>
      <c r="J26" s="158"/>
      <c r="K26" s="158"/>
      <c r="L26" s="158"/>
      <c r="M26" s="158"/>
    </row>
    <row r="27" spans="1:13">
      <c r="A27" s="73" t="s">
        <v>295</v>
      </c>
      <c r="B27" s="73"/>
      <c r="C27" s="73"/>
      <c r="D27" s="73"/>
      <c r="E27" s="73"/>
      <c r="F27" s="73"/>
      <c r="G27" s="73"/>
      <c r="H27" s="73"/>
      <c r="I27" s="73"/>
      <c r="J27" s="73">
        <f>SUM(D27:D33)</f>
        <v>0</v>
      </c>
      <c r="K27" s="73">
        <f>SUM(E27:E33)</f>
        <v>0</v>
      </c>
      <c r="L27" s="73">
        <f>SUM(G27:G33)</f>
        <v>0</v>
      </c>
      <c r="M27" s="73">
        <f>SUM(I27:I33)</f>
        <v>0</v>
      </c>
    </row>
    <row r="28" spans="1:13">
      <c r="A28" s="73" t="s">
        <v>296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</row>
    <row r="29" spans="1:13">
      <c r="A29" s="73" t="s">
        <v>297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</row>
    <row r="30" spans="1:13">
      <c r="A30" s="73" t="s">
        <v>298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</row>
    <row r="31" spans="1:13">
      <c r="A31" s="73" t="s">
        <v>299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</row>
    <row r="32" spans="1:13">
      <c r="A32" s="73" t="s">
        <v>300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</row>
    <row r="33" spans="1:13">
      <c r="A33" s="73" t="s">
        <v>301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</row>
    <row r="34" spans="1:13">
      <c r="A34" s="73" t="s">
        <v>302</v>
      </c>
      <c r="B34" s="73"/>
      <c r="C34" s="73"/>
      <c r="D34" s="73"/>
      <c r="E34" s="73"/>
      <c r="F34" s="73"/>
      <c r="G34" s="73"/>
      <c r="H34" s="73"/>
      <c r="I34" s="73"/>
      <c r="J34" s="73">
        <f>SUM(D34:D36)</f>
        <v>0</v>
      </c>
      <c r="K34" s="73">
        <f>SUM(E34:E36)</f>
        <v>0</v>
      </c>
      <c r="L34" s="73">
        <f>SUM(G34:G36)</f>
        <v>0</v>
      </c>
      <c r="M34" s="73">
        <f>SUM(I34:I36)</f>
        <v>0</v>
      </c>
    </row>
    <row r="35" spans="1:13">
      <c r="A35" s="73" t="s">
        <v>303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</row>
    <row r="36" spans="1:13">
      <c r="A36" s="73" t="s">
        <v>304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</row>
    <row r="37" spans="1:13">
      <c r="A37" s="73" t="s">
        <v>305</v>
      </c>
      <c r="B37" s="73"/>
      <c r="C37" s="73"/>
      <c r="D37" s="73"/>
      <c r="E37" s="73"/>
      <c r="F37" s="73"/>
      <c r="G37" s="73"/>
      <c r="H37" s="73"/>
      <c r="I37" s="73"/>
      <c r="J37" s="73">
        <f>SUM(D37:D45)</f>
        <v>0</v>
      </c>
      <c r="K37" s="73">
        <f>SUM(E37:E45)</f>
        <v>0</v>
      </c>
      <c r="L37" s="73">
        <f>SUM(G37:G45)</f>
        <v>0</v>
      </c>
      <c r="M37" s="73">
        <f>SUM(I37:I45)</f>
        <v>0</v>
      </c>
    </row>
    <row r="38" spans="1:13">
      <c r="A38" s="73" t="s">
        <v>306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</row>
    <row r="39" spans="1:13">
      <c r="A39" s="73" t="s">
        <v>307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</row>
    <row r="40" spans="1:13">
      <c r="A40" s="73" t="s">
        <v>308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</row>
    <row r="41" spans="1:13">
      <c r="A41" s="73" t="s">
        <v>309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</row>
    <row r="42" spans="1:13">
      <c r="A42" s="73" t="s">
        <v>310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</row>
    <row r="43" spans="1:13">
      <c r="A43" s="73" t="s">
        <v>311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</row>
    <row r="44" spans="1:13">
      <c r="A44" s="73" t="s">
        <v>312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</row>
    <row r="45" spans="1:13">
      <c r="A45" s="73" t="s">
        <v>313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</row>
    <row r="46" spans="1:13">
      <c r="A46" s="155" t="s">
        <v>165</v>
      </c>
      <c r="B46" s="155"/>
      <c r="C46" s="155"/>
      <c r="D46" s="155"/>
      <c r="E46" s="155"/>
      <c r="F46" s="155"/>
      <c r="G46" s="155"/>
      <c r="H46" s="155"/>
      <c r="I46" s="155"/>
      <c r="J46" s="75">
        <f>SUM(J4:J45)</f>
        <v>0</v>
      </c>
      <c r="K46" s="75">
        <f>SUM(K4:K45)</f>
        <v>0</v>
      </c>
      <c r="L46" s="75">
        <f>SUM(L4:L45)</f>
        <v>0</v>
      </c>
      <c r="M46" s="75">
        <f>SUM(M4:M45)</f>
        <v>0</v>
      </c>
    </row>
    <row r="49" spans="10:13">
      <c r="J49" s="118"/>
      <c r="M49" s="118"/>
    </row>
  </sheetData>
  <mergeCells count="38">
    <mergeCell ref="B1:M1"/>
    <mergeCell ref="A1:A3"/>
    <mergeCell ref="E2:F2"/>
    <mergeCell ref="G2:H2"/>
    <mergeCell ref="B2:B3"/>
    <mergeCell ref="C2:C3"/>
    <mergeCell ref="D2:D3"/>
    <mergeCell ref="I2:I3"/>
    <mergeCell ref="J2:J3"/>
    <mergeCell ref="K2:K3"/>
    <mergeCell ref="L2:L3"/>
    <mergeCell ref="M2:M3"/>
    <mergeCell ref="B4:B21"/>
    <mergeCell ref="J4:J21"/>
    <mergeCell ref="K4:K21"/>
    <mergeCell ref="L4:L21"/>
    <mergeCell ref="M4:M21"/>
    <mergeCell ref="B22:B26"/>
    <mergeCell ref="J22:J26"/>
    <mergeCell ref="K22:K26"/>
    <mergeCell ref="L22:L26"/>
    <mergeCell ref="M22:M26"/>
    <mergeCell ref="B27:B33"/>
    <mergeCell ref="J27:J33"/>
    <mergeCell ref="K27:K33"/>
    <mergeCell ref="L27:L33"/>
    <mergeCell ref="M27:M33"/>
    <mergeCell ref="B34:B36"/>
    <mergeCell ref="J34:J36"/>
    <mergeCell ref="K34:K36"/>
    <mergeCell ref="L34:L36"/>
    <mergeCell ref="M34:M36"/>
    <mergeCell ref="B37:B45"/>
    <mergeCell ref="J37:J45"/>
    <mergeCell ref="K37:K45"/>
    <mergeCell ref="L37:L45"/>
    <mergeCell ref="M37:M45"/>
    <mergeCell ref="A46:I46"/>
  </mergeCell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 s="6"/>
      <c r="B2" s="21" t="s">
        <v>42</v>
      </c>
      <c r="C2" s="21"/>
      <c r="D2" s="21"/>
      <c r="E2" s="21"/>
      <c r="F2" s="21"/>
      <c r="G2" s="21"/>
    </row>
    <row r="4" spans="2:4">
      <c r="B4" s="15" t="s">
        <v>43</v>
      </c>
      <c r="C4" s="28" t="s">
        <v>314</v>
      </c>
      <c r="D4" s="6"/>
    </row>
    <row r="5" spans="2:3">
      <c r="B5" s="8"/>
      <c r="C5" s="16"/>
    </row>
    <row r="6" spans="2:6">
      <c r="B6" s="30" t="s">
        <v>57</v>
      </c>
      <c r="C6" s="30" t="s">
        <v>58</v>
      </c>
      <c r="D6" s="30" t="s">
        <v>59</v>
      </c>
      <c r="E6" s="30" t="s">
        <v>60</v>
      </c>
      <c r="F6" s="30" t="s">
        <v>61</v>
      </c>
    </row>
    <row r="7" spans="2:6">
      <c r="B7" s="89" t="s">
        <v>62</v>
      </c>
      <c r="C7" s="89" t="s">
        <v>63</v>
      </c>
      <c r="D7" s="90" t="n">
        <v>0.716000000000000014</v>
      </c>
      <c r="E7" s="91" t="n">
        <v>1</v>
      </c>
      <c r="F7" s="92">
        <f>D7*E7</f>
        <v>0.716000000000000014</v>
      </c>
    </row>
    <row r="8" spans="2:6">
      <c r="B8" s="89" t="s">
        <v>64</v>
      </c>
      <c r="C8" s="89" t="s">
        <v>65</v>
      </c>
      <c r="D8" s="90" t="n">
        <v>0.00700000000000000089</v>
      </c>
      <c r="E8" s="91" t="n">
        <v>0</v>
      </c>
      <c r="F8" s="92">
        <f>D8*E8</f>
        <v>0</v>
      </c>
    </row>
    <row r="9" spans="2:6">
      <c r="B9" s="89" t="s">
        <v>66</v>
      </c>
      <c r="C9" s="89" t="s">
        <v>67</v>
      </c>
      <c r="D9" s="90" t="n">
        <v>0</v>
      </c>
      <c r="E9" s="91" t="n">
        <v>0</v>
      </c>
      <c r="F9" s="92">
        <f>D9*E9</f>
        <v>0</v>
      </c>
    </row>
    <row r="10" spans="2:6">
      <c r="B10" s="89" t="s">
        <v>68</v>
      </c>
      <c r="C10" s="89" t="s">
        <v>69</v>
      </c>
      <c r="D10" s="90"/>
      <c r="E10" s="91" t="n">
        <v>0</v>
      </c>
      <c r="F10" s="92">
        <f>D10*E10</f>
        <v>0</v>
      </c>
    </row>
    <row r="11" spans="2:6">
      <c r="B11" s="89" t="s">
        <v>70</v>
      </c>
      <c r="C11" s="89" t="s">
        <v>71</v>
      </c>
      <c r="D11" s="90"/>
      <c r="E11" s="91" t="n">
        <v>0</v>
      </c>
      <c r="F11" s="92">
        <f>D11*E11</f>
        <v>0</v>
      </c>
    </row>
    <row r="12" spans="2:6">
      <c r="B12" s="89" t="s">
        <v>72</v>
      </c>
      <c r="C12" s="89" t="s">
        <v>73</v>
      </c>
      <c r="D12" s="90"/>
      <c r="E12" s="91" t="n">
        <v>0</v>
      </c>
      <c r="F12" s="92">
        <f>D12*E12</f>
        <v>0</v>
      </c>
    </row>
    <row r="13" spans="2:6">
      <c r="B13" s="89" t="s">
        <v>74</v>
      </c>
      <c r="C13" s="89" t="s">
        <v>75</v>
      </c>
      <c r="D13" s="90"/>
      <c r="E13" s="91" t="n">
        <v>0</v>
      </c>
      <c r="F13" s="92">
        <f>D13*E13</f>
        <v>0</v>
      </c>
    </row>
    <row r="14" spans="2:6">
      <c r="B14" s="89" t="s">
        <v>76</v>
      </c>
      <c r="C14" s="89" t="s">
        <v>77</v>
      </c>
      <c r="D14" s="90"/>
      <c r="E14" s="91" t="n">
        <v>1</v>
      </c>
      <c r="F14" s="92">
        <f>D14*E14</f>
        <v>0</v>
      </c>
    </row>
    <row r="15" spans="2:6">
      <c r="B15" s="89" t="s">
        <v>78</v>
      </c>
      <c r="C15" s="89" t="s">
        <v>79</v>
      </c>
      <c r="D15" s="90" t="n">
        <v>93.2999999999999972</v>
      </c>
      <c r="E15" s="91" t="n">
        <v>1</v>
      </c>
      <c r="F15" s="92">
        <f>D15*E15</f>
        <v>93.2999999999999972</v>
      </c>
    </row>
    <row r="16" spans="2:6">
      <c r="B16" s="89" t="s">
        <v>80</v>
      </c>
      <c r="C16" s="89" t="s">
        <v>81</v>
      </c>
      <c r="D16" s="90" t="n">
        <v>1.49000000000000004</v>
      </c>
      <c r="E16" s="91" t="n">
        <v>2</v>
      </c>
      <c r="F16" s="92">
        <f>D16*E16</f>
        <v>2.98000000000000007</v>
      </c>
    </row>
    <row r="17" spans="2:6">
      <c r="B17" s="89" t="s">
        <v>82</v>
      </c>
      <c r="C17" s="89" t="s">
        <v>83</v>
      </c>
      <c r="D17" s="90" t="n">
        <v>0.540000000000000036</v>
      </c>
      <c r="E17" s="91" t="n">
        <v>3</v>
      </c>
      <c r="F17" s="92">
        <f>D17*E17</f>
        <v>1.62000000000000011</v>
      </c>
    </row>
    <row r="18" spans="2:6">
      <c r="B18" s="89" t="s">
        <v>84</v>
      </c>
      <c r="C18" s="89" t="s">
        <v>85</v>
      </c>
      <c r="D18" s="90" t="n">
        <v>0.09</v>
      </c>
      <c r="E18" s="91" t="n">
        <v>4</v>
      </c>
      <c r="F18" s="92">
        <f>D18*E18</f>
        <v>0.359999999999999964</v>
      </c>
    </row>
    <row r="19" spans="2:6">
      <c r="B19" s="89" t="s">
        <v>86</v>
      </c>
      <c r="C19" s="89" t="s">
        <v>87</v>
      </c>
      <c r="D19" s="90" t="n">
        <v>0.220999999999999996</v>
      </c>
      <c r="E19" s="91" t="n">
        <v>4</v>
      </c>
      <c r="F19" s="92">
        <f>D19*E19</f>
        <v>0.883999999999999986</v>
      </c>
    </row>
    <row r="20" spans="2:6">
      <c r="B20" s="89" t="s">
        <v>88</v>
      </c>
      <c r="C20" s="89" t="s">
        <v>89</v>
      </c>
      <c r="D20" s="90" t="n">
        <v>0.0670000000000000018</v>
      </c>
      <c r="E20" s="91" t="n">
        <v>5</v>
      </c>
      <c r="F20" s="92">
        <f>D20*E20</f>
        <v>0.335000000000000009</v>
      </c>
    </row>
    <row r="21" spans="2:6">
      <c r="B21" s="89" t="s">
        <v>90</v>
      </c>
      <c r="C21" s="89" t="s">
        <v>91</v>
      </c>
      <c r="D21" s="90" t="n">
        <v>0.08</v>
      </c>
      <c r="E21" s="91" t="n">
        <v>5</v>
      </c>
      <c r="F21" s="92">
        <f>D21*E21</f>
        <v>0.4</v>
      </c>
    </row>
    <row r="22" spans="2:6">
      <c r="B22" s="89" t="s">
        <v>92</v>
      </c>
      <c r="C22" s="89" t="s">
        <v>93</v>
      </c>
      <c r="D22" s="90" t="n">
        <v>0.101000000000000001</v>
      </c>
      <c r="E22" s="91" t="n">
        <v>6</v>
      </c>
      <c r="F22" s="92">
        <f>D22*E22</f>
        <v>0.605999999999999961</v>
      </c>
    </row>
    <row r="23" spans="2:6">
      <c r="B23" s="89" t="s">
        <v>94</v>
      </c>
      <c r="C23" s="89" t="s">
        <v>95</v>
      </c>
      <c r="D23" s="90"/>
      <c r="E23" s="91" t="n">
        <v>7</v>
      </c>
      <c r="F23" s="92">
        <f>D23*E23</f>
        <v>0</v>
      </c>
    </row>
    <row r="24" spans="2:6">
      <c r="B24" s="89" t="s">
        <v>96</v>
      </c>
      <c r="C24" s="89" t="s">
        <v>97</v>
      </c>
      <c r="D24" s="90"/>
      <c r="E24" s="91" t="n">
        <v>8</v>
      </c>
      <c r="F24" s="92">
        <f>D24*E24</f>
        <v>0</v>
      </c>
    </row>
    <row r="25" spans="2:6">
      <c r="B25" s="89" t="s">
        <v>98</v>
      </c>
      <c r="C25" s="89" t="s">
        <v>99</v>
      </c>
      <c r="D25" s="90"/>
      <c r="E25" s="91" t="n">
        <v>9</v>
      </c>
      <c r="F25" s="92">
        <f>D25*E25</f>
        <v>0</v>
      </c>
    </row>
    <row r="26" spans="2:6">
      <c r="B26" s="89" t="s">
        <v>100</v>
      </c>
      <c r="C26" s="89" t="s">
        <v>101</v>
      </c>
      <c r="D26" s="90"/>
      <c r="E26" s="91" t="n">
        <v>10</v>
      </c>
      <c r="F26" s="92">
        <f>D26*E26</f>
        <v>0</v>
      </c>
    </row>
    <row r="27" spans="2:6">
      <c r="B27" s="24" t="s">
        <v>102</v>
      </c>
      <c r="C27" s="89" t="s">
        <v>81</v>
      </c>
      <c r="D27" s="90"/>
      <c r="E27" s="91" t="n">
        <v>2</v>
      </c>
      <c r="F27" s="92">
        <f>D27*E27</f>
        <v>0</v>
      </c>
    </row>
    <row r="28" spans="2:6">
      <c r="B28" s="85" t="s">
        <v>17</v>
      </c>
      <c r="C28" s="85"/>
      <c r="D28" s="93">
        <f>SUM(D7:D27)</f>
        <v>96.6119999999999948</v>
      </c>
      <c r="E28" s="93"/>
      <c r="F28" s="94">
        <f>SUM(F7:F27)</f>
        <v>101.200999999999993</v>
      </c>
    </row>
    <row r="30" spans="2:3">
      <c r="B30" s="15" t="s">
        <v>103</v>
      </c>
      <c r="C30" s="31" t="n">
        <v>1.83929999999999989</v>
      </c>
    </row>
    <row r="31" spans="2:3">
      <c r="B31" s="14"/>
      <c r="C31" s="17"/>
    </row>
    <row r="32" spans="2:3">
      <c r="B32" s="15" t="s">
        <v>104</v>
      </c>
      <c r="C32" s="31">
        <f>ROUND(F28*C30/100,4)</f>
        <v>1.8613999999999999</v>
      </c>
    </row>
    <row r="34" spans="2:7">
      <c r="B34" s="21"/>
      <c r="C34" s="21"/>
      <c r="D34" s="21"/>
      <c r="E34" s="21"/>
      <c r="F34" s="21"/>
      <c r="G34" s="21"/>
    </row>
    <row r="35" spans="2:3">
      <c r="B35" s="6" t="s">
        <v>315</v>
      </c>
      <c r="C35" t="n">
        <v>1.39531999999999989</v>
      </c>
    </row>
    <row r="36" spans="2:3">
      <c r="B36" s="6" t="s">
        <v>316</v>
      </c>
      <c r="C36" s="120">
        <f>C35*$C$32</f>
        <v>2.59724864799999988</v>
      </c>
    </row>
    <row r="37" spans="2:3">
      <c r="B37" s="41" t="s">
        <v>317</v>
      </c>
      <c r="C37" s="41">
        <f>ROUND(C36/2.482,3)</f>
        <v>1.04600000000000004</v>
      </c>
    </row>
    <row r="39" spans="2:7">
      <c r="B39" s="21"/>
      <c r="C39" s="21"/>
      <c r="D39" s="21"/>
      <c r="E39" s="21"/>
      <c r="F39" s="21"/>
      <c r="G39" s="21"/>
    </row>
    <row r="40" spans="2:3">
      <c r="B40" s="6" t="s">
        <v>315</v>
      </c>
      <c r="C40" t="n">
        <v>30466.0360000000001</v>
      </c>
    </row>
    <row r="41" spans="2:3">
      <c r="B41" s="6" t="s">
        <v>316</v>
      </c>
      <c r="C41" s="120">
        <f>C40*$C$32</f>
        <v>56709.479410400003</v>
      </c>
    </row>
    <row r="42" spans="2:3">
      <c r="B42" s="6" t="s">
        <v>318</v>
      </c>
      <c r="C42" s="120" t="n">
        <v>214908.478999999992</v>
      </c>
    </row>
    <row r="43" spans="2:3">
      <c r="B43" s="41" t="s">
        <v>319</v>
      </c>
      <c r="C43" s="41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280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280891" l="56" r="56" t="56" b="56" borderId="0" fillId="0" vertical="0"/>
        <pm:footer xmlns:pm="smNativeData" id="1695280891" l="56" r="56" t="56" b="56" borderId="0" fillId="0" vertical="2"/>
      </ext>
    </extLst>
  </headerFooter>
  <extLst>
    <ext uri="smNativeData">
      <pm:sheetPrefs xmlns:pm="smNativeData" day="1695280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2013-07-02T10:22:26Z</cp:lastPrinted>
  <dcterms:created xsi:type="dcterms:W3CDTF">1996-10-08T23:32:33Z</dcterms:created>
  <dcterms:modified xsi:type="dcterms:W3CDTF">2023-09-21T07:21:31Z</dcterms:modified>
</cp:coreProperties>
</file>