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ЭтаКнига"/>
  <mc:AlternateContent>
    <mc:Choice Requires="x15">
      <x15ac:absPath xmlns:x15ac="http://schemas.microsoft.com/office/spreadsheetml/2010/11/ac" url="R:\_Проектные группы\Устойчивое развитие и декарбонизация\59. Хакатон\"/>
    </mc:Choice>
  </mc:AlternateContent>
  <bookViews>
    <workbookView xWindow="-105" yWindow="-105" windowWidth="23250" windowHeight="12570" tabRatio="902" firstSheet="4" activeTab="10"/>
  </bookViews>
  <sheets>
    <sheet name="стац.сжиг._дизтопливо" sheetId="39" r:id="rId1"/>
    <sheet name="стац.сжиг._топл.газ" sheetId="41" r:id="rId2"/>
    <sheet name="Расчет_коэф._стацион.сжигание" sheetId="42" r:id="rId3"/>
    <sheet name="факельное сжигание" sheetId="46" r:id="rId4"/>
    <sheet name="Расчет коэф._факельное сжигание" sheetId="47" r:id="rId5"/>
    <sheet name="фугитивные выбросы" sheetId="48" r:id="rId6"/>
    <sheet name="транспорт" sheetId="63" r:id="rId7"/>
    <sheet name="Приобретенная энергия" sheetId="62" r:id="rId8"/>
    <sheet name="Вспомогательный лист_ТС" sheetId="64" r:id="rId9"/>
    <sheet name="Результат" sheetId="65" r:id="rId10"/>
    <sheet name="Результат для занесения в форму" sheetId="66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46" l="1"/>
  <c r="D25" i="63"/>
  <c r="E13" i="39" l="1"/>
  <c r="A10" i="62" l="1"/>
  <c r="H10" i="62"/>
  <c r="G10" i="39" l="1"/>
  <c r="E12" i="48" l="1"/>
  <c r="D12" i="41"/>
  <c r="G22" i="64" l="1"/>
  <c r="I22" i="64" s="1"/>
  <c r="D20" i="63" s="1"/>
  <c r="I21" i="64"/>
  <c r="G11" i="63" s="1"/>
  <c r="I20" i="64"/>
  <c r="B2" i="63"/>
  <c r="H20" i="63" l="1"/>
  <c r="D22" i="63"/>
  <c r="R15" i="64"/>
  <c r="R11" i="64"/>
  <c r="R16" i="64"/>
  <c r="G10" i="63" s="1"/>
  <c r="I10" i="63" s="1"/>
  <c r="R12" i="64"/>
  <c r="R7" i="64"/>
  <c r="R10" i="64"/>
  <c r="S13" i="64" s="1"/>
  <c r="G12" i="63"/>
  <c r="I12" i="63" s="1"/>
  <c r="I16" i="63" s="1"/>
  <c r="I11" i="63"/>
  <c r="R17" i="64" l="1"/>
  <c r="R14" i="64"/>
  <c r="S17" i="64" s="1"/>
  <c r="R13" i="64"/>
  <c r="T13" i="64" s="1"/>
  <c r="I15" i="63"/>
  <c r="G9" i="63"/>
  <c r="G17" i="63" l="1"/>
  <c r="T17" i="64"/>
  <c r="G22" i="63"/>
  <c r="I9" i="63"/>
  <c r="I14" i="63" s="1"/>
  <c r="I17" i="63" s="1"/>
  <c r="G11" i="48"/>
  <c r="F11" i="48"/>
  <c r="G12" i="39"/>
  <c r="G11" i="39"/>
  <c r="H11" i="39"/>
  <c r="H12" i="39"/>
  <c r="E16" i="47"/>
  <c r="E17" i="47"/>
  <c r="E18" i="47"/>
  <c r="E19" i="47"/>
  <c r="E20" i="47"/>
  <c r="E23" i="47"/>
  <c r="E24" i="47"/>
  <c r="E25" i="47"/>
  <c r="E26" i="47"/>
  <c r="E27" i="47"/>
  <c r="E28" i="47"/>
  <c r="E29" i="47"/>
  <c r="E30" i="47"/>
  <c r="L11" i="48" l="1"/>
  <c r="J12" i="39"/>
  <c r="K11" i="48"/>
  <c r="O11" i="48" s="1"/>
  <c r="J11" i="39"/>
  <c r="E69" i="42"/>
  <c r="E67" i="42"/>
  <c r="E65" i="42"/>
  <c r="E60" i="42"/>
  <c r="E58" i="42"/>
  <c r="E56" i="42"/>
  <c r="E55" i="42"/>
  <c r="C76" i="42"/>
  <c r="E75" i="42"/>
  <c r="E74" i="42"/>
  <c r="E73" i="42"/>
  <c r="E72" i="42"/>
  <c r="E71" i="42"/>
  <c r="E70" i="42"/>
  <c r="E68" i="42"/>
  <c r="E66" i="42"/>
  <c r="E64" i="42"/>
  <c r="E63" i="42"/>
  <c r="E62" i="42"/>
  <c r="E61" i="42"/>
  <c r="E59" i="42"/>
  <c r="E57" i="42"/>
  <c r="E76" i="42" l="1"/>
  <c r="B80" i="42" s="1"/>
  <c r="F11" i="41" s="1"/>
  <c r="C36" i="47" l="1"/>
  <c r="B46" i="47"/>
  <c r="B52" i="47" l="1"/>
  <c r="G12" i="46" s="1"/>
  <c r="E13" i="46"/>
  <c r="G14" i="46" l="1"/>
  <c r="C36" i="42"/>
  <c r="E11" i="41" l="1"/>
  <c r="H10" i="39"/>
  <c r="J10" i="39" l="1"/>
  <c r="A2" i="62"/>
  <c r="H11" i="62" l="1"/>
  <c r="B38" i="47" l="1"/>
  <c r="A2" i="41"/>
  <c r="A2" i="48"/>
  <c r="E35" i="47"/>
  <c r="E34" i="47"/>
  <c r="E33" i="47"/>
  <c r="E32" i="47"/>
  <c r="E31" i="47"/>
  <c r="E22" i="47"/>
  <c r="E21" i="47"/>
  <c r="A2" i="46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0" i="41"/>
  <c r="A2" i="39"/>
  <c r="E36" i="47" l="1"/>
  <c r="B44" i="47" s="1"/>
  <c r="F12" i="46" s="1"/>
  <c r="E36" i="42"/>
  <c r="B40" i="42" s="1"/>
  <c r="F10" i="41" s="1"/>
  <c r="G10" i="41" s="1"/>
  <c r="P11" i="48"/>
  <c r="Q11" i="48" s="1"/>
  <c r="J13" i="39"/>
  <c r="O12" i="48"/>
  <c r="H12" i="46" l="1"/>
  <c r="M12" i="46"/>
  <c r="G11" i="41"/>
  <c r="P12" i="48"/>
  <c r="Q12" i="48"/>
  <c r="L12" i="46" l="1"/>
  <c r="N12" i="46"/>
  <c r="I24" i="65"/>
  <c r="G24" i="65"/>
  <c r="G12" i="41"/>
  <c r="N13" i="46"/>
  <c r="H24" i="65" l="1"/>
</calcChain>
</file>

<file path=xl/sharedStrings.xml><?xml version="1.0" encoding="utf-8"?>
<sst xmlns="http://schemas.openxmlformats.org/spreadsheetml/2006/main" count="408" uniqueCount="215">
  <si>
    <t>СН4</t>
  </si>
  <si>
    <t>1</t>
  </si>
  <si>
    <t>№ источника (по ПДВ)</t>
  </si>
  <si>
    <t>2</t>
  </si>
  <si>
    <t>3</t>
  </si>
  <si>
    <t>4</t>
  </si>
  <si>
    <t>5</t>
  </si>
  <si>
    <t>0001</t>
  </si>
  <si>
    <t>Название источника</t>
  </si>
  <si>
    <t>Название газа</t>
  </si>
  <si>
    <t>Кислород</t>
  </si>
  <si>
    <t>O2</t>
  </si>
  <si>
    <t>Азот</t>
  </si>
  <si>
    <t>N2</t>
  </si>
  <si>
    <t>Диоксид углерода</t>
  </si>
  <si>
    <t>CO2</t>
  </si>
  <si>
    <t>Сероводород</t>
  </si>
  <si>
    <t>H2S</t>
  </si>
  <si>
    <t>Водород</t>
  </si>
  <si>
    <t>H2</t>
  </si>
  <si>
    <t>Гелий</t>
  </si>
  <si>
    <t>He</t>
  </si>
  <si>
    <t>Аргон</t>
  </si>
  <si>
    <t>Ar</t>
  </si>
  <si>
    <t>Оксид углерода</t>
  </si>
  <si>
    <t>CO</t>
  </si>
  <si>
    <t>Метан</t>
  </si>
  <si>
    <t>CH4</t>
  </si>
  <si>
    <t>Этан</t>
  </si>
  <si>
    <t>C2H6</t>
  </si>
  <si>
    <t>Пропан</t>
  </si>
  <si>
    <t>C3H8</t>
  </si>
  <si>
    <t>изо-Бутан</t>
  </si>
  <si>
    <t>i-C4H10</t>
  </si>
  <si>
    <t>н-Бутан</t>
  </si>
  <si>
    <t>n-C4H10</t>
  </si>
  <si>
    <t>изо-Пентан</t>
  </si>
  <si>
    <t>i-C5H12</t>
  </si>
  <si>
    <t>н-Пентан</t>
  </si>
  <si>
    <t>n-C5H12</t>
  </si>
  <si>
    <t>н-Гексан</t>
  </si>
  <si>
    <t>n-C6H14</t>
  </si>
  <si>
    <t>н-Гептан</t>
  </si>
  <si>
    <t>n-C7H16</t>
  </si>
  <si>
    <t>н-Октан</t>
  </si>
  <si>
    <t>n-C8H18</t>
  </si>
  <si>
    <t>н-Нонан</t>
  </si>
  <si>
    <t>n-C9H20</t>
  </si>
  <si>
    <t>н-Декан</t>
  </si>
  <si>
    <t>n-C10H22</t>
  </si>
  <si>
    <t>Неопределяемые компоненты (консервативно принимаются на основе этана )</t>
  </si>
  <si>
    <t>№ п/п</t>
  </si>
  <si>
    <t>Название цеха/ промплощадки (номер технологической линии)</t>
  </si>
  <si>
    <t>Вид топлива</t>
  </si>
  <si>
    <t>СО2</t>
  </si>
  <si>
    <r>
      <t xml:space="preserve">Расход топлива в натуральном выражении, </t>
    </r>
    <r>
      <rPr>
        <b/>
        <sz val="10"/>
        <rFont val="Arial"/>
        <family val="2"/>
        <charset val="204"/>
      </rPr>
      <t>FC'j,y</t>
    </r>
    <r>
      <rPr>
        <sz val="10"/>
        <rFont val="Arial"/>
        <family val="2"/>
        <charset val="204"/>
      </rPr>
      <t>, тыс.м3</t>
    </r>
  </si>
  <si>
    <r>
      <rPr>
        <sz val="10"/>
        <rFont val="Arial"/>
        <family val="2"/>
        <charset val="204"/>
      </rPr>
      <t xml:space="preserve">Коэффициент выбросов СО2 от сжигания топлива за период у, </t>
    </r>
    <r>
      <rPr>
        <b/>
        <sz val="10"/>
        <rFont val="Arial"/>
        <family val="2"/>
        <charset val="204"/>
      </rPr>
      <t>EFCO2,j,y</t>
    </r>
    <r>
      <rPr>
        <sz val="10"/>
        <rFont val="Arial"/>
        <family val="2"/>
        <charset val="204"/>
      </rPr>
      <t>, тCO2/ТДж</t>
    </r>
  </si>
  <si>
    <r>
      <t xml:space="preserve">Коэффициент окисления топлива j, </t>
    </r>
    <r>
      <rPr>
        <b/>
        <sz val="10"/>
        <rFont val="Arial"/>
        <family val="2"/>
        <charset val="204"/>
      </rPr>
      <t>OFj,y</t>
    </r>
    <r>
      <rPr>
        <sz val="10"/>
        <rFont val="Arial"/>
        <family val="2"/>
        <charset val="204"/>
      </rPr>
      <t>, доля</t>
    </r>
  </si>
  <si>
    <r>
      <t xml:space="preserve">Расход j-УВС на факельной установке за период у, </t>
    </r>
    <r>
      <rPr>
        <b/>
        <sz val="10"/>
        <rFont val="Arial"/>
        <family val="2"/>
        <charset val="204"/>
      </rPr>
      <t>FCj,y</t>
    </r>
    <r>
      <rPr>
        <sz val="10"/>
        <rFont val="Arial"/>
        <family val="2"/>
        <charset val="204"/>
      </rPr>
      <t>, тыс.м3</t>
    </r>
  </si>
  <si>
    <r>
      <rPr>
        <sz val="8"/>
        <rFont val="Arial"/>
        <family val="2"/>
        <charset val="204"/>
      </rPr>
      <t>Содержание i-компонента (кроме СО2) в j-УВС,</t>
    </r>
    <r>
      <rPr>
        <b/>
        <sz val="8"/>
        <rFont val="Arial"/>
        <family val="2"/>
        <charset val="204"/>
      </rPr>
      <t xml:space="preserve"> Wi,j,y, </t>
    </r>
    <r>
      <rPr>
        <sz val="8"/>
        <rFont val="Arial"/>
        <family val="2"/>
        <charset val="204"/>
      </rPr>
      <t>% об.</t>
    </r>
  </si>
  <si>
    <t>Химическая формула</t>
  </si>
  <si>
    <t>Компонент</t>
  </si>
  <si>
    <r>
      <t xml:space="preserve">Количество молей углерода на моль i-компонента углеводородной смеси, </t>
    </r>
    <r>
      <rPr>
        <b/>
        <sz val="8"/>
        <rFont val="Arial"/>
        <family val="2"/>
        <charset val="204"/>
      </rPr>
      <t>nC,i</t>
    </r>
  </si>
  <si>
    <t>Wi,j,y × nC,i</t>
  </si>
  <si>
    <r>
      <t xml:space="preserve">Выбросы СО2 от сжигания УВС на факельной установке за период y, </t>
    </r>
    <r>
      <rPr>
        <b/>
        <sz val="10"/>
        <rFont val="Arial"/>
        <family val="2"/>
        <charset val="204"/>
      </rPr>
      <t>ECO2,y</t>
    </r>
    <r>
      <rPr>
        <sz val="10"/>
        <rFont val="Arial"/>
        <family val="2"/>
        <charset val="204"/>
      </rPr>
      <t>, т</t>
    </r>
  </si>
  <si>
    <r>
      <t xml:space="preserve">Выбросы СН4 от сжигания УВС на факельной установке за период y, </t>
    </r>
    <r>
      <rPr>
        <b/>
        <sz val="10"/>
        <rFont val="Arial"/>
        <family val="2"/>
        <charset val="204"/>
      </rPr>
      <t>ECН4,y</t>
    </r>
    <r>
      <rPr>
        <sz val="10"/>
        <rFont val="Arial"/>
        <family val="2"/>
        <charset val="204"/>
      </rPr>
      <t>, т</t>
    </r>
  </si>
  <si>
    <t>Потенциал глобального потепления (GWPi )</t>
  </si>
  <si>
    <r>
      <t xml:space="preserve">Количество молей углерода на моль i-компонента газообразного топлива, </t>
    </r>
    <r>
      <rPr>
        <b/>
        <sz val="8"/>
        <rFont val="Arial"/>
        <family val="2"/>
        <charset val="204"/>
      </rPr>
      <t>nC,i</t>
    </r>
  </si>
  <si>
    <r>
      <t xml:space="preserve">Расход j-УВС на технологические операции (объем отведения без сжигания) за период у, </t>
    </r>
    <r>
      <rPr>
        <b/>
        <sz val="10"/>
        <rFont val="Arial"/>
        <family val="2"/>
        <charset val="204"/>
      </rPr>
      <t>FCj,y</t>
    </r>
    <r>
      <rPr>
        <sz val="10"/>
        <rFont val="Arial"/>
        <family val="2"/>
        <charset val="204"/>
      </rPr>
      <t>, тыс.м3</t>
    </r>
  </si>
  <si>
    <r>
      <t xml:space="preserve">Содержание i-парникового газа в j-УВС за период у, </t>
    </r>
    <r>
      <rPr>
        <b/>
        <sz val="10"/>
        <rFont val="Arial"/>
        <family val="2"/>
        <charset val="204"/>
      </rPr>
      <t>Wi,j,y</t>
    </r>
    <r>
      <rPr>
        <sz val="10"/>
        <rFont val="Arial"/>
        <family val="2"/>
        <charset val="204"/>
      </rPr>
      <t xml:space="preserve">, % об. </t>
    </r>
  </si>
  <si>
    <r>
      <rPr>
        <sz val="10"/>
        <rFont val="Arial"/>
        <family val="2"/>
        <charset val="204"/>
      </rPr>
      <t xml:space="preserve">Плотность i-парникового газа, </t>
    </r>
    <r>
      <rPr>
        <b/>
        <sz val="10"/>
        <rFont val="Calibri"/>
        <family val="2"/>
        <charset val="204"/>
      </rPr>
      <t xml:space="preserve">ρi, </t>
    </r>
    <r>
      <rPr>
        <sz val="10"/>
        <rFont val="Arial"/>
        <family val="2"/>
        <charset val="204"/>
      </rPr>
      <t>кг/м3</t>
    </r>
  </si>
  <si>
    <r>
      <t xml:space="preserve">Итого выбросы ПГ при сжигании УВС в факелах,  
тСО2-экв
</t>
    </r>
    <r>
      <rPr>
        <b/>
        <sz val="10"/>
        <rFont val="Arial"/>
        <family val="2"/>
        <charset val="204"/>
      </rPr>
      <t>(ECO2e,y=∑(Ei,y × GWPi))</t>
    </r>
  </si>
  <si>
    <r>
      <t xml:space="preserve">Выбросы ПГ при сжигании УВС в факелах, ECO2e,y, 
тСО2-экв
</t>
    </r>
    <r>
      <rPr>
        <b/>
        <sz val="10"/>
        <rFont val="Arial"/>
        <family val="2"/>
        <charset val="204"/>
      </rPr>
      <t>(ECO2e,y=Ei,y × GWPi)</t>
    </r>
  </si>
  <si>
    <t>Фугитивные выбросы i-парникового газа за период у, т СО2-экв*</t>
  </si>
  <si>
    <r>
      <t xml:space="preserve">Фугитивные выбросы газа за период у, </t>
    </r>
    <r>
      <rPr>
        <b/>
        <sz val="10"/>
        <rFont val="Arial"/>
        <family val="2"/>
        <charset val="204"/>
      </rPr>
      <t>Ey</t>
    </r>
    <r>
      <rPr>
        <sz val="10"/>
        <rFont val="Arial"/>
        <family val="2"/>
        <charset val="204"/>
      </rPr>
      <t>, 
т CО2-экв*</t>
    </r>
  </si>
  <si>
    <r>
      <t xml:space="preserve">Выбросы СО2 от стационарного сжигания топлива за период у,  тСО2**
</t>
    </r>
    <r>
      <rPr>
        <b/>
        <sz val="10"/>
        <rFont val="Arial"/>
        <family val="2"/>
        <charset val="204"/>
      </rPr>
      <t>ECO2,y=FCj,y * EFCO2,j,y * OFj,y</t>
    </r>
  </si>
  <si>
    <t>Итог</t>
  </si>
  <si>
    <t>Топливо дизельное</t>
  </si>
  <si>
    <r>
      <t>Объемная доля i-компонента  в газообразного топлива за период у,</t>
    </r>
    <r>
      <rPr>
        <b/>
        <sz val="10"/>
        <rFont val="Arial"/>
        <family val="2"/>
        <charset val="204"/>
      </rPr>
      <t xml:space="preserve"> Wi,j,y, </t>
    </r>
    <r>
      <rPr>
        <sz val="10"/>
        <rFont val="Arial"/>
        <family val="2"/>
        <charset val="204"/>
      </rPr>
      <t>% об.</t>
    </r>
  </si>
  <si>
    <t>Согласно данным Заказчика</t>
  </si>
  <si>
    <t>Попутный нефтяной газ</t>
  </si>
  <si>
    <t>Условия измерений</t>
  </si>
  <si>
    <t>293,15 К (20°С); 101,325 кПа</t>
  </si>
  <si>
    <t>Фугитивные выбросы i-парникового газа за период у, Ei,y=FCj,y × Wi,j,y × ρi × 10^(-2), т*</t>
  </si>
  <si>
    <t>Расчет коэффициента выбросов СО2 при сжигании топлива на стационарных источниках по компонентному составу</t>
  </si>
  <si>
    <t>Название источника выбросов газа</t>
  </si>
  <si>
    <t>Месторасположение источника выбросов, номер, регистрационные данные и т.д.</t>
  </si>
  <si>
    <t>Плотность газа или смеси (при t=20 C и P=101325 Pa), кг/м3</t>
  </si>
  <si>
    <t>Компонентный состав газа 1 (полный)</t>
  </si>
  <si>
    <t>Расчет коэффициента выбросов СО2 при сжигании углеводородной смеси (УВС) на факельной установке</t>
  </si>
  <si>
    <r>
      <t xml:space="preserve">Содержание СН4 в j-углеводородной смеси за период y, </t>
    </r>
    <r>
      <rPr>
        <b/>
        <sz val="8"/>
        <rFont val="Arial"/>
        <family val="2"/>
        <charset val="204"/>
      </rPr>
      <t>WCH4,j,y</t>
    </r>
    <r>
      <rPr>
        <sz val="10"/>
        <rFont val="Arial"/>
        <family val="2"/>
        <charset val="204"/>
      </rPr>
      <t>, % об.</t>
    </r>
  </si>
  <si>
    <r>
      <t xml:space="preserve">Коэффициент выбросов СО2 от сжигания j-УВС на факельной установке за период у, </t>
    </r>
    <r>
      <rPr>
        <b/>
        <sz val="10"/>
        <rFont val="Arial"/>
        <family val="2"/>
        <charset val="204"/>
      </rPr>
      <t>EFCO2,j,y</t>
    </r>
    <r>
      <rPr>
        <sz val="10"/>
        <rFont val="Arial"/>
        <family val="2"/>
        <charset val="204"/>
      </rPr>
      <t>, тСО2/тыс.м3 (</t>
    </r>
    <r>
      <rPr>
        <b/>
        <sz val="10"/>
        <rFont val="Arial"/>
        <family val="2"/>
        <charset val="204"/>
      </rPr>
      <t>EFCO2,j,y=(WCO2,j,y+∑(Wi,j,y × nC,i) × (1-CFj,y)) × ρCO2 × 10^(-2)</t>
    </r>
    <r>
      <rPr>
        <sz val="10"/>
        <rFont val="Arial"/>
        <family val="2"/>
        <charset val="204"/>
      </rPr>
      <t>)</t>
    </r>
  </si>
  <si>
    <r>
      <t xml:space="preserve">Содержание СО2 в j-УВС, </t>
    </r>
    <r>
      <rPr>
        <b/>
        <sz val="10"/>
        <rFont val="Arial"/>
        <family val="2"/>
        <charset val="204"/>
      </rPr>
      <t>WСО2,j,y</t>
    </r>
    <r>
      <rPr>
        <sz val="10"/>
        <rFont val="Arial"/>
        <family val="2"/>
        <charset val="204"/>
      </rPr>
      <t>, % об.</t>
    </r>
  </si>
  <si>
    <r>
      <t xml:space="preserve">Плотность СО2, </t>
    </r>
    <r>
      <rPr>
        <b/>
        <sz val="10"/>
        <rFont val="Arial"/>
        <family val="2"/>
        <charset val="204"/>
      </rPr>
      <t>ρCO2</t>
    </r>
    <r>
      <rPr>
        <sz val="10"/>
        <rFont val="Arial"/>
        <family val="2"/>
        <charset val="204"/>
      </rPr>
      <t>, кг/м3</t>
    </r>
  </si>
  <si>
    <r>
      <t>Коэффициент недожога j-УВС на факельной установке за период j,</t>
    </r>
    <r>
      <rPr>
        <b/>
        <sz val="10"/>
        <rFont val="Arial"/>
        <family val="2"/>
        <charset val="204"/>
      </rPr>
      <t xml:space="preserve"> CFj,y</t>
    </r>
    <r>
      <rPr>
        <sz val="10"/>
        <rFont val="Arial"/>
        <family val="2"/>
        <charset val="204"/>
      </rPr>
      <t>, доля</t>
    </r>
  </si>
  <si>
    <r>
      <t xml:space="preserve">Плотность метана, </t>
    </r>
    <r>
      <rPr>
        <b/>
        <sz val="10"/>
        <rFont val="Arial"/>
        <family val="2"/>
        <charset val="204"/>
      </rPr>
      <t>ρСН4</t>
    </r>
    <r>
      <rPr>
        <sz val="10"/>
        <rFont val="Arial"/>
        <family val="2"/>
        <charset val="204"/>
      </rPr>
      <t>, кг/м3</t>
    </r>
  </si>
  <si>
    <r>
      <t>Коэффициент недожога j-УВС на факельной установке за период j,</t>
    </r>
    <r>
      <rPr>
        <b/>
        <sz val="10"/>
        <rFont val="Arial"/>
        <family val="2"/>
        <charset val="204"/>
      </rPr>
      <t xml:space="preserve"> CFj,y</t>
    </r>
    <r>
      <rPr>
        <sz val="10"/>
        <rFont val="Arial"/>
        <family val="2"/>
        <charset val="204"/>
      </rPr>
      <t xml:space="preserve">, доля </t>
    </r>
  </si>
  <si>
    <r>
      <t xml:space="preserve">Коэффициент выбросов CH4 от сжигания j-углеводородной смеси на факельной установке за период y, </t>
    </r>
    <r>
      <rPr>
        <b/>
        <sz val="10"/>
        <rFont val="Arial"/>
        <family val="2"/>
        <charset val="204"/>
      </rPr>
      <t>EFCH4,j,y</t>
    </r>
    <r>
      <rPr>
        <sz val="10"/>
        <rFont val="Arial"/>
        <family val="2"/>
        <charset val="204"/>
      </rPr>
      <t>, т СН /тыс.м3 (</t>
    </r>
    <r>
      <rPr>
        <b/>
        <sz val="10"/>
        <rFont val="Arial"/>
        <family val="2"/>
        <charset val="204"/>
      </rPr>
      <t xml:space="preserve">EFCH4,j,y=WCH4,j,y </t>
    </r>
    <r>
      <rPr>
        <b/>
        <sz val="10"/>
        <rFont val="Calibri"/>
        <family val="2"/>
        <charset val="204"/>
      </rPr>
      <t>×</t>
    </r>
    <r>
      <rPr>
        <b/>
        <sz val="10"/>
        <rFont val="Arial"/>
        <family val="2"/>
        <charset val="204"/>
      </rPr>
      <t xml:space="preserve"> CFj,y </t>
    </r>
    <r>
      <rPr>
        <b/>
        <sz val="10"/>
        <rFont val="Calibri"/>
        <family val="2"/>
        <charset val="204"/>
      </rPr>
      <t>×</t>
    </r>
    <r>
      <rPr>
        <b/>
        <sz val="10"/>
        <rFont val="Arial"/>
        <family val="2"/>
        <charset val="204"/>
      </rPr>
      <t xml:space="preserve"> ρСН4 </t>
    </r>
    <r>
      <rPr>
        <b/>
        <sz val="10"/>
        <rFont val="Calibri"/>
        <family val="2"/>
        <charset val="204"/>
      </rPr>
      <t>× 10^(-2)</t>
    </r>
    <r>
      <rPr>
        <sz val="10"/>
        <rFont val="Calibri"/>
        <family val="2"/>
        <charset val="204"/>
      </rPr>
      <t>)</t>
    </r>
  </si>
  <si>
    <r>
      <t xml:space="preserve">Коэффициент выбросов СО2 от сжигания газообразного топлива j за период у, </t>
    </r>
    <r>
      <rPr>
        <b/>
        <sz val="10"/>
        <rFont val="Arial"/>
        <family val="2"/>
        <charset val="204"/>
      </rPr>
      <t>EFCO2,j,y</t>
    </r>
    <r>
      <rPr>
        <sz val="10"/>
        <rFont val="Arial"/>
        <family val="2"/>
        <charset val="204"/>
      </rPr>
      <t>, тСО2/тыс.м3</t>
    </r>
    <r>
      <rPr>
        <sz val="8"/>
        <rFont val="Arial"/>
        <family val="2"/>
        <charset val="204"/>
      </rPr>
      <t xml:space="preserve"> (</t>
    </r>
    <r>
      <rPr>
        <b/>
        <sz val="8"/>
        <rFont val="Arial"/>
        <family val="2"/>
        <charset val="204"/>
      </rPr>
      <t>EFCO2,j,y=∑(Wi,j,y × nC,i) × ρCO2 × 10^(-2)</t>
    </r>
    <r>
      <rPr>
        <sz val="8"/>
        <rFont val="Arial"/>
        <family val="2"/>
        <charset val="204"/>
      </rPr>
      <t>)</t>
    </r>
  </si>
  <si>
    <t>Вид приобретенной энергии</t>
  </si>
  <si>
    <r>
      <t xml:space="preserve">Потребление энергии, полученной от внешних генерирующих объектов, </t>
    </r>
    <r>
      <rPr>
        <b/>
        <sz val="10"/>
        <rFont val="Arial"/>
        <family val="2"/>
        <charset val="204"/>
      </rPr>
      <t>ЕСk,y(HСk,y)</t>
    </r>
  </si>
  <si>
    <t>Единицы измерения потребляемой энергии</t>
  </si>
  <si>
    <t>Электрическая</t>
  </si>
  <si>
    <r>
      <t xml:space="preserve">Региональный коэффициент косвенных энергетических выбросов </t>
    </r>
    <r>
      <rPr>
        <b/>
        <sz val="10"/>
        <rFont val="Arial"/>
        <family val="2"/>
        <charset val="204"/>
      </rPr>
      <t>EFрегСО2,элек,k,y (EFрегСО2,тепло,k,y)</t>
    </r>
  </si>
  <si>
    <r>
      <t xml:space="preserve">Объем косвенных энергетических выбросов при потреблении энергии </t>
    </r>
    <r>
      <rPr>
        <b/>
        <sz val="10"/>
        <rFont val="Arial"/>
        <family val="2"/>
        <charset val="204"/>
      </rPr>
      <t xml:space="preserve">EрегСО2,элек,k,y (EрегСО2,тепло,k,y), тСО2  </t>
    </r>
  </si>
  <si>
    <r>
      <t xml:space="preserve">Расход топлива в натуральном выражении, </t>
    </r>
    <r>
      <rPr>
        <b/>
        <sz val="10"/>
        <rFont val="Arial"/>
        <family val="2"/>
        <charset val="204"/>
      </rPr>
      <t>FC'j,y</t>
    </r>
    <r>
      <rPr>
        <sz val="10"/>
        <rFont val="Arial"/>
        <family val="2"/>
        <charset val="204"/>
      </rPr>
      <t>, тыс.т</t>
    </r>
  </si>
  <si>
    <r>
      <t xml:space="preserve">Расход топлива в энергетическом эквиваленте за период y, ТДж, 
</t>
    </r>
    <r>
      <rPr>
        <b/>
        <sz val="10"/>
        <rFont val="Arial"/>
        <family val="2"/>
        <charset val="204"/>
      </rPr>
      <t>FCj,y = FC'j,y * NCVj,y</t>
    </r>
  </si>
  <si>
    <t>Топливный газ</t>
  </si>
  <si>
    <t xml:space="preserve">Технологические потери </t>
  </si>
  <si>
    <r>
      <t xml:space="preserve">Коэффициент выбросов СО2 от сжигания j-УВС на факельной установке за период у, </t>
    </r>
    <r>
      <rPr>
        <b/>
        <sz val="10"/>
        <rFont val="Arial"/>
        <family val="2"/>
        <charset val="204"/>
      </rPr>
      <t>EFCO2,j,y</t>
    </r>
    <r>
      <rPr>
        <sz val="10"/>
        <rFont val="Arial"/>
        <family val="2"/>
        <charset val="204"/>
      </rPr>
      <t>, тСО2/тыс.м3
Расчетный способ</t>
    </r>
  </si>
  <si>
    <r>
      <t xml:space="preserve">Коэффициент выбросов CH4 от сжигания j-углеводородной смеси на факельной установке за период y, </t>
    </r>
    <r>
      <rPr>
        <b/>
        <sz val="10"/>
        <rFont val="Arial"/>
        <family val="2"/>
        <charset val="204"/>
      </rPr>
      <t>EFCH4,j,y</t>
    </r>
    <r>
      <rPr>
        <sz val="10"/>
        <rFont val="Arial"/>
        <family val="2"/>
        <charset val="204"/>
      </rPr>
      <t>, т СН /тыс.м3
Расчетный способ</t>
    </r>
  </si>
  <si>
    <t>МВт</t>
  </si>
  <si>
    <t>Вид УВС</t>
  </si>
  <si>
    <t>Дизельные электростанции</t>
  </si>
  <si>
    <t>Тепловые пушки</t>
  </si>
  <si>
    <t>Насос дизельный</t>
  </si>
  <si>
    <t>Вид транспорта</t>
  </si>
  <si>
    <t>Тип транспорта</t>
  </si>
  <si>
    <r>
      <t xml:space="preserve">Плотность топлива вида j, </t>
    </r>
    <r>
      <rPr>
        <b/>
        <sz val="10"/>
        <color theme="1"/>
        <rFont val="Calibri"/>
        <family val="2"/>
        <charset val="204"/>
      </rPr>
      <t>ρ</t>
    </r>
    <r>
      <rPr>
        <b/>
        <sz val="10"/>
        <color theme="1"/>
        <rFont val="Arial"/>
        <family val="2"/>
        <charset val="204"/>
      </rPr>
      <t>j</t>
    </r>
    <r>
      <rPr>
        <sz val="10"/>
        <color theme="1"/>
        <rFont val="Arial"/>
        <family val="2"/>
        <charset val="204"/>
      </rPr>
      <t>, кг/л</t>
    </r>
  </si>
  <si>
    <r>
      <t xml:space="preserve">Расход топлива вида j транспортным средством типа b за период y, выраженный в объемной величине, </t>
    </r>
    <r>
      <rPr>
        <b/>
        <sz val="10"/>
        <color theme="1"/>
        <rFont val="Arial"/>
        <family val="2"/>
        <charset val="204"/>
      </rPr>
      <t>FC'j,b,y</t>
    </r>
    <r>
      <rPr>
        <sz val="10"/>
        <color theme="1"/>
        <rFont val="Arial"/>
        <family val="2"/>
        <charset val="204"/>
      </rPr>
      <t>, л</t>
    </r>
  </si>
  <si>
    <r>
      <t xml:space="preserve">Расход топлива вида j транспортным средством типа b за период y, </t>
    </r>
    <r>
      <rPr>
        <b/>
        <sz val="10"/>
        <color theme="1"/>
        <rFont val="Arial"/>
        <family val="2"/>
        <charset val="204"/>
      </rPr>
      <t>FCj,b,y=</t>
    </r>
    <r>
      <rPr>
        <sz val="10"/>
        <color theme="1"/>
        <rFont val="Arial"/>
        <family val="2"/>
        <charset val="204"/>
      </rPr>
      <t xml:space="preserve">Ʃ(FC'j,b,y x </t>
    </r>
    <r>
      <rPr>
        <sz val="10"/>
        <color theme="1"/>
        <rFont val="Calibri"/>
        <family val="2"/>
        <charset val="204"/>
      </rPr>
      <t>ρ</t>
    </r>
    <r>
      <rPr>
        <sz val="10"/>
        <color theme="1"/>
        <rFont val="Arial"/>
        <family val="2"/>
        <charset val="204"/>
      </rPr>
      <t>j) x 10^(-3), т</t>
    </r>
  </si>
  <si>
    <r>
      <t>Коэффициент выбросов СО</t>
    </r>
    <r>
      <rPr>
        <vertAlign val="sub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 xml:space="preserve"> при использовании в транспортном средстве типа b вида топлива j, </t>
    </r>
    <r>
      <rPr>
        <b/>
        <sz val="10"/>
        <color theme="1"/>
        <rFont val="Arial"/>
        <family val="2"/>
        <charset val="204"/>
      </rPr>
      <t>EFj,b</t>
    </r>
    <r>
      <rPr>
        <sz val="10"/>
        <color theme="1"/>
        <rFont val="Arial"/>
        <family val="2"/>
        <charset val="204"/>
      </rPr>
      <t>, т СО</t>
    </r>
    <r>
      <rPr>
        <vertAlign val="sub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>/т</t>
    </r>
  </si>
  <si>
    <t>Автомобильный</t>
  </si>
  <si>
    <t>Грузовой</t>
  </si>
  <si>
    <t>Пассажирский</t>
  </si>
  <si>
    <t>Легковой</t>
  </si>
  <si>
    <t>Дизельное топливо (зимнее)</t>
  </si>
  <si>
    <t>Бензин АИ-92</t>
  </si>
  <si>
    <t>ИТОГО:</t>
  </si>
  <si>
    <t>плотность, кг/м3</t>
  </si>
  <si>
    <t>грузовые</t>
  </si>
  <si>
    <t>ИТОГО в год</t>
  </si>
  <si>
    <t>грузовой (л)</t>
  </si>
  <si>
    <t>пассажирский (л)</t>
  </si>
  <si>
    <t>легковой (л)</t>
  </si>
  <si>
    <t>ИТОГО (л)</t>
  </si>
  <si>
    <t>грузовой (т)</t>
  </si>
  <si>
    <t>пассажирский (т)</t>
  </si>
  <si>
    <t>легковой (т)</t>
  </si>
  <si>
    <t>ИТОГО (т)</t>
  </si>
  <si>
    <t>плотность (т\м3)</t>
  </si>
  <si>
    <t>расход (т/год)</t>
  </si>
  <si>
    <t>диз топливо зимнее (л/год)</t>
  </si>
  <si>
    <t>бензин АИ-92 (л/год)</t>
  </si>
  <si>
    <t>снегоходы 2 ед,</t>
  </si>
  <si>
    <t>легковой</t>
  </si>
  <si>
    <t>792 л / год</t>
  </si>
  <si>
    <t>лодки - 2 ед.</t>
  </si>
  <si>
    <t>водный транспорт</t>
  </si>
  <si>
    <t>Водный</t>
  </si>
  <si>
    <r>
      <t xml:space="preserve">Расход топлива вида j на судне типа b при внутренних перевозках  внутренним водным транспортом за период y, </t>
    </r>
    <r>
      <rPr>
        <b/>
        <sz val="10"/>
        <color theme="1"/>
        <rFont val="Arial"/>
        <family val="2"/>
        <charset val="204"/>
      </rPr>
      <t>FC</t>
    </r>
    <r>
      <rPr>
        <b/>
        <vertAlign val="subscript"/>
        <sz val="10"/>
        <color theme="1"/>
        <rFont val="Arial"/>
        <family val="2"/>
        <charset val="204"/>
      </rPr>
      <t>INT</t>
    </r>
    <r>
      <rPr>
        <b/>
        <sz val="10"/>
        <color theme="1"/>
        <rFont val="Arial"/>
        <family val="2"/>
        <charset val="204"/>
      </rPr>
      <t>, j,b,y</t>
    </r>
    <r>
      <rPr>
        <sz val="10"/>
        <color theme="1"/>
        <rFont val="Arial"/>
        <family val="2"/>
        <charset val="204"/>
      </rPr>
      <t>, т</t>
    </r>
  </si>
  <si>
    <r>
      <t xml:space="preserve">Коэффициент пересчета в тонны условного топлива в угольном эквиваленте по виду топлива j, </t>
    </r>
    <r>
      <rPr>
        <b/>
        <sz val="10"/>
        <color theme="1"/>
        <rFont val="Arial"/>
        <family val="2"/>
        <charset val="204"/>
      </rPr>
      <t>CF</t>
    </r>
    <r>
      <rPr>
        <b/>
        <vertAlign val="subscript"/>
        <sz val="10"/>
        <color theme="1"/>
        <rFont val="Arial"/>
        <family val="2"/>
        <charset val="204"/>
      </rPr>
      <t>TCE</t>
    </r>
    <r>
      <rPr>
        <b/>
        <sz val="10"/>
        <color theme="1"/>
        <rFont val="Arial"/>
        <family val="2"/>
        <charset val="204"/>
      </rPr>
      <t>,j</t>
    </r>
    <r>
      <rPr>
        <sz val="10"/>
        <color theme="1"/>
        <rFont val="Arial"/>
        <family val="2"/>
        <charset val="204"/>
      </rPr>
      <t>, т.у.т/т</t>
    </r>
  </si>
  <si>
    <r>
      <t xml:space="preserve">Коэффициент пересчета в теплотворную способность топлива по виду топлива, </t>
    </r>
    <r>
      <rPr>
        <b/>
        <sz val="10"/>
        <color theme="1"/>
        <rFont val="Arial"/>
        <family val="2"/>
        <charset val="204"/>
      </rPr>
      <t>CF</t>
    </r>
    <r>
      <rPr>
        <b/>
        <vertAlign val="subscript"/>
        <sz val="10"/>
        <color theme="1"/>
        <rFont val="Arial"/>
        <family val="2"/>
        <charset val="204"/>
      </rPr>
      <t>NCV</t>
    </r>
    <r>
      <rPr>
        <b/>
        <sz val="10"/>
        <color theme="1"/>
        <rFont val="Arial"/>
        <family val="2"/>
        <charset val="204"/>
      </rPr>
      <t>,j</t>
    </r>
    <r>
      <rPr>
        <sz val="10"/>
        <color theme="1"/>
        <rFont val="Arial"/>
        <family val="2"/>
        <charset val="204"/>
      </rPr>
      <t>, ТДж/т.у.т</t>
    </r>
  </si>
  <si>
    <r>
      <t>Коэффициент выбросов СО</t>
    </r>
    <r>
      <rPr>
        <vertAlign val="sub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 xml:space="preserve"> при использовании на судне типа b вида топлива j, </t>
    </r>
    <r>
      <rPr>
        <b/>
        <sz val="10"/>
        <color theme="1"/>
        <rFont val="Arial"/>
        <family val="2"/>
        <charset val="204"/>
      </rPr>
      <t>EFj,b</t>
    </r>
    <r>
      <rPr>
        <sz val="10"/>
        <color theme="1"/>
        <rFont val="Arial"/>
        <family val="2"/>
        <charset val="204"/>
      </rPr>
      <t>, кг/ТДж</t>
    </r>
  </si>
  <si>
    <r>
      <t xml:space="preserve">Выбросы СО2 от сжигания топлива в двигателях автотранспортных средств за период y, </t>
    </r>
    <r>
      <rPr>
        <b/>
        <sz val="10"/>
        <color theme="1"/>
        <rFont val="Arial"/>
        <family val="2"/>
        <charset val="204"/>
      </rPr>
      <t>Е</t>
    </r>
    <r>
      <rPr>
        <b/>
        <vertAlign val="subscript"/>
        <sz val="10"/>
        <color theme="1"/>
        <rFont val="Arial"/>
        <family val="2"/>
        <charset val="204"/>
      </rPr>
      <t>СО2</t>
    </r>
    <r>
      <rPr>
        <b/>
        <sz val="10"/>
        <color theme="1"/>
        <rFont val="Arial"/>
        <family val="2"/>
        <charset val="204"/>
      </rPr>
      <t>,y=</t>
    </r>
    <r>
      <rPr>
        <sz val="10"/>
        <color theme="1"/>
        <rFont val="Arial"/>
        <family val="2"/>
        <charset val="204"/>
      </rPr>
      <t>Ʃj,b,y(FCj,b,y x EFj,b), т СО</t>
    </r>
    <r>
      <rPr>
        <vertAlign val="subscript"/>
        <sz val="10"/>
        <color theme="1"/>
        <rFont val="Arial"/>
        <family val="2"/>
        <charset val="204"/>
      </rPr>
      <t>2</t>
    </r>
  </si>
  <si>
    <r>
      <t>Выбросы СО</t>
    </r>
    <r>
      <rPr>
        <vertAlign val="sub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 xml:space="preserve"> от сжигания моторного топлива на речном транспорте, </t>
    </r>
    <r>
      <rPr>
        <b/>
        <sz val="10"/>
        <color theme="1"/>
        <rFont val="Arial"/>
        <family val="2"/>
        <charset val="204"/>
      </rPr>
      <t>Е</t>
    </r>
    <r>
      <rPr>
        <b/>
        <vertAlign val="subscript"/>
        <sz val="10"/>
        <color theme="1"/>
        <rFont val="Arial"/>
        <family val="2"/>
        <charset val="204"/>
      </rPr>
      <t>СО2</t>
    </r>
    <r>
      <rPr>
        <b/>
        <sz val="10"/>
        <color theme="1"/>
        <rFont val="Arial"/>
        <family val="2"/>
        <charset val="204"/>
      </rPr>
      <t>,y=</t>
    </r>
    <r>
      <rPr>
        <sz val="10"/>
        <color theme="1"/>
        <rFont val="Arial"/>
        <family val="2"/>
        <charset val="204"/>
      </rPr>
      <t>Ʃ</t>
    </r>
    <r>
      <rPr>
        <vertAlign val="subscript"/>
        <sz val="10"/>
        <color theme="1"/>
        <rFont val="Arial"/>
        <family val="2"/>
        <charset val="204"/>
      </rPr>
      <t>INT</t>
    </r>
    <r>
      <rPr>
        <sz val="10"/>
        <color theme="1"/>
        <rFont val="Arial"/>
        <family val="2"/>
        <charset val="204"/>
      </rPr>
      <t>,j,b,y(FC</t>
    </r>
    <r>
      <rPr>
        <vertAlign val="subscript"/>
        <sz val="10"/>
        <color theme="1"/>
        <rFont val="Arial"/>
        <family val="2"/>
        <charset val="204"/>
      </rPr>
      <t>INT</t>
    </r>
    <r>
      <rPr>
        <sz val="10"/>
        <color theme="1"/>
        <rFont val="Arial"/>
        <family val="2"/>
        <charset val="204"/>
      </rPr>
      <t>,j,b,y x CF</t>
    </r>
    <r>
      <rPr>
        <vertAlign val="subscript"/>
        <sz val="10"/>
        <color theme="1"/>
        <rFont val="Arial"/>
        <family val="2"/>
        <charset val="204"/>
      </rPr>
      <t>TCE</t>
    </r>
    <r>
      <rPr>
        <sz val="10"/>
        <color theme="1"/>
        <rFont val="Arial"/>
        <family val="2"/>
        <charset val="204"/>
      </rPr>
      <t>,j x CF</t>
    </r>
    <r>
      <rPr>
        <vertAlign val="subscript"/>
        <sz val="10"/>
        <color theme="1"/>
        <rFont val="Arial"/>
        <family val="2"/>
        <charset val="204"/>
      </rPr>
      <t>NCV</t>
    </r>
    <r>
      <rPr>
        <sz val="10"/>
        <color theme="1"/>
        <rFont val="Arial"/>
        <family val="2"/>
        <charset val="204"/>
      </rPr>
      <t>,j x EFj,b) x 10^(-3), т СО</t>
    </r>
    <r>
      <rPr>
        <vertAlign val="subscript"/>
        <sz val="10"/>
        <color theme="1"/>
        <rFont val="Arial"/>
        <family val="2"/>
        <charset val="204"/>
      </rPr>
      <t>2</t>
    </r>
  </si>
  <si>
    <t>Производственные процессы и виды деятельности</t>
  </si>
  <si>
    <t>Показатели производственных процессов и видов деятельности за отчетный период</t>
  </si>
  <si>
    <t>значение показателя</t>
  </si>
  <si>
    <t>значение коэффициента</t>
  </si>
  <si>
    <t>Масса выбросов по парниковым газа</t>
  </si>
  <si>
    <t>тонн</t>
  </si>
  <si>
    <r>
      <t>Конверсионный коэффициент, тонн СО</t>
    </r>
    <r>
      <rPr>
        <vertAlign val="sub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>-экв на единицу потреляемого ресурса, производимой продукции</t>
    </r>
  </si>
  <si>
    <r>
      <t>Общая масса выбросов парниковых газов, тонн СО</t>
    </r>
    <r>
      <rPr>
        <vertAlign val="sub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>-экв</t>
    </r>
  </si>
  <si>
    <r>
      <t>тонн СО</t>
    </r>
    <r>
      <rPr>
        <vertAlign val="sub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>-экв</t>
    </r>
  </si>
  <si>
    <t>наименование показателя</t>
  </si>
  <si>
    <t>газ попутный нефтяной (нефтяные месторождения)</t>
  </si>
  <si>
    <t>суммарный расход
топлива,
млн.куб.м</t>
  </si>
  <si>
    <t>дизельное топливо</t>
  </si>
  <si>
    <t>суммарный расход топлива,
тыс. тонн</t>
  </si>
  <si>
    <t>попутный нефтяной газ</t>
  </si>
  <si>
    <t>суммарный расход
попутного нефтяного газа,
тыс.куб.м</t>
  </si>
  <si>
    <t>Сжигание топлива в транспорте</t>
  </si>
  <si>
    <t>бензин (АИ-92) в автотранспорте</t>
  </si>
  <si>
    <t>суммарный расход,
тыс. тонн</t>
  </si>
  <si>
    <t>дизельное топливо (зимнее) в автотранспорте</t>
  </si>
  <si>
    <t>бензин АИ-92 (внутренний водный транспорт)</t>
  </si>
  <si>
    <t>парниковый газ</t>
  </si>
  <si>
    <r>
      <rPr>
        <sz val="10"/>
        <rFont val="Arial"/>
        <family val="2"/>
        <charset val="204"/>
      </rPr>
      <t xml:space="preserve">Коэффициент выбросов СО2 от сжигания топлива за период у, </t>
    </r>
    <r>
      <rPr>
        <b/>
        <sz val="10"/>
        <rFont val="Arial"/>
        <family val="2"/>
        <charset val="204"/>
      </rPr>
      <t>EFCO2,j,y</t>
    </r>
    <r>
      <rPr>
        <sz val="10"/>
        <rFont val="Arial"/>
        <family val="2"/>
        <charset val="204"/>
      </rPr>
      <t>, тCO2/тыс.м3</t>
    </r>
  </si>
  <si>
    <t>ИТОГО от стационарного сжигания топлива:</t>
  </si>
  <si>
    <r>
      <t>СН</t>
    </r>
    <r>
      <rPr>
        <vertAlign val="subscript"/>
        <sz val="10"/>
        <rFont val="Arial"/>
        <family val="2"/>
        <charset val="204"/>
      </rPr>
      <t>4</t>
    </r>
  </si>
  <si>
    <t>Сжигание на факельных установках</t>
  </si>
  <si>
    <t>ИТОГО от сжигания на факельных установках:</t>
  </si>
  <si>
    <t xml:space="preserve">Проведение технологических операций, осуществляемых при разведке, добыче, переработке, подготовке, транспортировке, хранении нефти и газа
</t>
  </si>
  <si>
    <t>ИТОГО от проведения технологических операций:</t>
  </si>
  <si>
    <t>объем технологических потерь</t>
  </si>
  <si>
    <t>объем потерь, тыс. куб. м</t>
  </si>
  <si>
    <t>ИТОГО от сжигания топлива в транспорте:</t>
  </si>
  <si>
    <t>Стационарное сжигание газообразного, жидкого и твердого топлива</t>
  </si>
  <si>
    <r>
      <t xml:space="preserve">Низшая теплота сгорания (коэффициент перевода в энергетические единицы), </t>
    </r>
    <r>
      <rPr>
        <b/>
        <sz val="10"/>
        <rFont val="Arial"/>
        <family val="2"/>
        <charset val="204"/>
      </rPr>
      <t>NCVj,y</t>
    </r>
    <r>
      <rPr>
        <sz val="10"/>
        <rFont val="Arial"/>
        <family val="2"/>
        <charset val="204"/>
      </rPr>
      <t>, ТДж/тыс.т
Согласно Методики №371</t>
    </r>
  </si>
  <si>
    <r>
      <t>Примечание: значения количества выбросов CO</t>
    </r>
    <r>
      <rPr>
        <vertAlign val="sub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 и CH</t>
    </r>
    <r>
      <rPr>
        <vertAlign val="subscript"/>
        <sz val="10"/>
        <rFont val="Arial"/>
        <family val="2"/>
        <charset val="204"/>
      </rPr>
      <t>4</t>
    </r>
    <r>
      <rPr>
        <sz val="10"/>
        <rFont val="Arial"/>
        <family val="2"/>
        <charset val="204"/>
      </rPr>
      <t>, а также выбросов парниковых газов, выраженные в т CO</t>
    </r>
    <r>
      <rPr>
        <vertAlign val="sub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>-эквивалента, указываются с точностью до 1 тонны.</t>
    </r>
  </si>
  <si>
    <t>Источник: Методика количественного определения объема выбросов парниковых газов, утв. приказом Министерства природных ресурсов и экологии РФ от 27 мая 2022 г. № 371</t>
  </si>
  <si>
    <t>Примечание: значение объема косвенных энергетических выбросов приводятся с точностью до 1 тонны (п.8 МУ №330).</t>
  </si>
  <si>
    <t>Источник: Приказ Минприроды России от 29 июня 2017 года № 330 «Об утверждении методических указаний по количественному определению объема косвенных энергетических выбросов парниковых газов»</t>
  </si>
  <si>
    <t>Примечание: значения количества выбросов CO2 и CH4, а также выбросов парниковых газов, выраженные в т CO2-эквивалента, указываются с точностью до 1 тонны.</t>
  </si>
  <si>
    <r>
      <t>Примечание: значения количества выбросов CO</t>
    </r>
    <r>
      <rPr>
        <vertAlign val="subscript"/>
        <sz val="10"/>
        <rFont val="Arial"/>
        <family val="2"/>
        <charset val="204"/>
      </rPr>
      <t xml:space="preserve">2 </t>
    </r>
    <r>
      <rPr>
        <sz val="10"/>
        <rFont val="Arial"/>
        <family val="2"/>
        <charset val="204"/>
      </rPr>
      <t>и CH</t>
    </r>
    <r>
      <rPr>
        <vertAlign val="subscript"/>
        <sz val="10"/>
        <rFont val="Arial"/>
        <family val="2"/>
        <charset val="204"/>
      </rPr>
      <t>4</t>
    </r>
    <r>
      <rPr>
        <sz val="10"/>
        <rFont val="Arial"/>
        <family val="2"/>
        <charset val="204"/>
      </rPr>
      <t>, а также выбросов парниковых газов, выраженные в т CO</t>
    </r>
    <r>
      <rPr>
        <vertAlign val="sub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-эквивалента, указываются с точностью до 1 тонны.
</t>
    </r>
  </si>
  <si>
    <t>всего  на дт, т</t>
  </si>
  <si>
    <t>Объединенная энергетическая система региона России</t>
  </si>
  <si>
    <t>ОЭС Северо-Запада</t>
  </si>
  <si>
    <t>Эл/эн</t>
  </si>
  <si>
    <t>миниавтобус (как грузовой)</t>
  </si>
  <si>
    <t>л/год</t>
  </si>
  <si>
    <t>л</t>
  </si>
  <si>
    <t>т</t>
  </si>
  <si>
    <t>Объекты предприятия №2</t>
  </si>
  <si>
    <t>ИТОГО по предприятия №2:</t>
  </si>
  <si>
    <t xml:space="preserve">Газотурбинные электрогенераторы </t>
  </si>
  <si>
    <t>Печи</t>
  </si>
  <si>
    <t>объекты предприятия №2</t>
  </si>
  <si>
    <t xml:space="preserve">Печи </t>
  </si>
  <si>
    <t>Факельная установка</t>
  </si>
  <si>
    <t xml:space="preserve">Факельная установка </t>
  </si>
  <si>
    <t xml:space="preserve">Пушка тепловая </t>
  </si>
  <si>
    <t>Пушка тепловая</t>
  </si>
  <si>
    <t>предприятие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</si>
</sst>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-* #,##0.00\ _₽_-;\-* #,##0.00\ _₽_-;_-* &quot;-&quot;??\ _₽_-;_-@_-"/>
    <numFmt numFmtId="165" formatCode="0.000"/>
    <numFmt numFmtId="166" formatCode="0.000000"/>
    <numFmt numFmtId="167" formatCode="0.0000"/>
    <numFmt numFmtId="168" formatCode="#,##0.0000"/>
    <numFmt numFmtId="169" formatCode="#,##0.000"/>
    <numFmt numFmtId="170" formatCode="#,##0.00000"/>
    <numFmt numFmtId="171" formatCode="#,##0.000000"/>
    <numFmt numFmtId="172" formatCode="_-* #,##0\ _₽_-;\-* #,##0\ _₽_-;_-* &quot;-&quot;??\ _₽_-;_-@_-"/>
    <numFmt numFmtId="173" formatCode="0.00000"/>
    <numFmt numFmtId="174" formatCode="0.0"/>
    <numFmt numFmtId="175" formatCode="_-* #,##0.000\ _₽_-;\-* #,##0.000\ _₽_-;_-* &quot;-&quot;??\ _₽_-;_-@_-"/>
    <numFmt numFmtId="176" formatCode="_-* #,##0.0000\ _₽_-;\-* #,##0.0000\ _₽_-;_-* &quot;-&quot;??\ _₽_-;_-@_-"/>
    <numFmt numFmtId="177" formatCode="#,##0.000000000"/>
    <numFmt numFmtId="178" formatCode="#,##0.00000000000"/>
    <numFmt numFmtId="179" formatCode="_-* #,##0.000\ _₽_-;\-* #,##0.000\ _₽_-;_-* &quot;-&quot;???\ _₽_-;_-@_-"/>
    <numFmt numFmtId="180" formatCode="_-* #,##0\ _₽_-;\-* #,##0\ _₽_-;_-* &quot;-&quot;???\ _₽_-;_-@_-"/>
  </numFmts>
  <fonts count="32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1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8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indexed="8"/>
      <name val="Arial"/>
      <family val="2"/>
    </font>
    <font>
      <vertAlign val="subscript"/>
      <sz val="10"/>
      <name val="Arial"/>
      <family val="2"/>
      <charset val="204"/>
    </font>
    <font>
      <sz val="10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vertAlign val="subscript"/>
      <sz val="10"/>
      <color theme="1"/>
      <name val="Arial"/>
      <family val="2"/>
      <charset val="204"/>
    </font>
    <font>
      <b/>
      <vertAlign val="subscript"/>
      <sz val="10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2"/>
      <name val="Arial Black"/>
      <family val="2"/>
      <charset val="204"/>
    </font>
    <font>
      <b/>
      <sz val="10"/>
      <color theme="8" tint="-0.249977111117893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theme="0"/>
      </patternFill>
    </fill>
    <fill>
      <patternFill patternType="solid">
        <fgColor rgb="FFE5E5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F3B7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000000"/>
      </right>
      <top style="double">
        <color theme="1"/>
      </top>
      <bottom style="thin">
        <color rgb="FF000000"/>
      </bottom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double">
        <color theme="1"/>
      </top>
      <bottom style="thin">
        <color rgb="FF000000"/>
      </bottom>
      <diagonal/>
    </border>
    <border>
      <left style="thin">
        <color theme="1"/>
      </left>
      <right/>
      <top style="double">
        <color theme="1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double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</borders>
  <cellStyleXfs count="6">
    <xf numFmtId="0" fontId="0" fillId="0" borderId="0"/>
    <xf numFmtId="0" fontId="6" fillId="2" borderId="0" applyNumberFormat="0" applyBorder="0" applyAlignment="0" applyProtection="0"/>
    <xf numFmtId="164" fontId="12" fillId="0" borderId="0" applyFont="0" applyFill="0" applyBorder="0" applyAlignment="0" applyProtection="0"/>
    <xf numFmtId="0" fontId="13" fillId="0" borderId="0"/>
    <xf numFmtId="0" fontId="16" fillId="0" borderId="0"/>
    <xf numFmtId="9" fontId="29" fillId="0" borderId="0" applyFont="0" applyFill="0" applyBorder="0" applyAlignment="0" applyProtection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49" fontId="7" fillId="0" borderId="14" xfId="0" applyNumberFormat="1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4" fontId="7" fillId="0" borderId="14" xfId="0" applyNumberFormat="1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2" fontId="7" fillId="0" borderId="14" xfId="0" applyNumberFormat="1" applyFont="1" applyBorder="1" applyAlignment="1">
      <alignment horizontal="left" vertical="top" wrapText="1"/>
    </xf>
    <xf numFmtId="49" fontId="1" fillId="4" borderId="15" xfId="0" applyNumberFormat="1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 applyAlignment="1">
      <alignment horizontal="center" vertical="center"/>
    </xf>
    <xf numFmtId="0" fontId="8" fillId="0" borderId="0" xfId="0" applyFont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167" fontId="1" fillId="0" borderId="1" xfId="1" applyNumberFormat="1" applyFont="1" applyFill="1" applyBorder="1" applyProtection="1">
      <protection locked="0"/>
    </xf>
    <xf numFmtId="167" fontId="1" fillId="0" borderId="1" xfId="0" applyNumberFormat="1" applyFont="1" applyBorder="1"/>
    <xf numFmtId="167" fontId="1" fillId="0" borderId="6" xfId="0" applyNumberFormat="1" applyFont="1" applyBorder="1"/>
    <xf numFmtId="167" fontId="1" fillId="0" borderId="2" xfId="0" applyNumberFormat="1" applyFont="1" applyBorder="1"/>
    <xf numFmtId="167" fontId="1" fillId="0" borderId="7" xfId="0" applyNumberFormat="1" applyFont="1" applyBorder="1"/>
    <xf numFmtId="167" fontId="7" fillId="0" borderId="14" xfId="0" applyNumberFormat="1" applyFont="1" applyBorder="1" applyAlignment="1">
      <alignment horizontal="left" vertical="top" wrapText="1"/>
    </xf>
    <xf numFmtId="0" fontId="3" fillId="0" borderId="0" xfId="0" applyFont="1"/>
    <xf numFmtId="0" fontId="1" fillId="0" borderId="4" xfId="0" applyFont="1" applyBorder="1" applyAlignment="1">
      <alignment horizontal="left" vertical="top" wrapText="1"/>
    </xf>
    <xf numFmtId="167" fontId="1" fillId="0" borderId="2" xfId="1" applyNumberFormat="1" applyFont="1" applyFill="1" applyBorder="1" applyProtection="1">
      <protection locked="0"/>
    </xf>
    <xf numFmtId="0" fontId="1" fillId="0" borderId="18" xfId="0" applyFont="1" applyBorder="1"/>
    <xf numFmtId="0" fontId="1" fillId="0" borderId="19" xfId="0" applyFont="1" applyBorder="1"/>
    <xf numFmtId="167" fontId="1" fillId="0" borderId="19" xfId="0" applyNumberFormat="1" applyFont="1" applyBorder="1"/>
    <xf numFmtId="167" fontId="1" fillId="0" borderId="20" xfId="0" applyNumberFormat="1" applyFont="1" applyBorder="1"/>
    <xf numFmtId="0" fontId="4" fillId="0" borderId="0" xfId="0" applyFont="1"/>
    <xf numFmtId="168" fontId="7" fillId="0" borderId="14" xfId="0" applyNumberFormat="1" applyFont="1" applyBorder="1" applyAlignment="1">
      <alignment horizontal="left" vertical="top" wrapText="1"/>
    </xf>
    <xf numFmtId="169" fontId="7" fillId="0" borderId="14" xfId="0" applyNumberFormat="1" applyFont="1" applyBorder="1" applyAlignment="1">
      <alignment horizontal="left" vertical="top" wrapText="1"/>
    </xf>
    <xf numFmtId="172" fontId="1" fillId="0" borderId="0" xfId="0" applyNumberFormat="1" applyFont="1"/>
    <xf numFmtId="0" fontId="1" fillId="3" borderId="5" xfId="0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left" vertical="center"/>
    </xf>
    <xf numFmtId="167" fontId="2" fillId="0" borderId="16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left" vertical="center" wrapText="1"/>
    </xf>
    <xf numFmtId="3" fontId="7" fillId="0" borderId="14" xfId="0" applyNumberFormat="1" applyFont="1" applyBorder="1" applyAlignment="1">
      <alignment horizontal="left" vertical="top" wrapText="1"/>
    </xf>
    <xf numFmtId="167" fontId="2" fillId="0" borderId="15" xfId="0" applyNumberFormat="1" applyFont="1" applyBorder="1" applyAlignment="1">
      <alignment horizontal="left" vertical="center" wrapText="1"/>
    </xf>
    <xf numFmtId="49" fontId="2" fillId="7" borderId="1" xfId="0" applyNumberFormat="1" applyFont="1" applyFill="1" applyBorder="1" applyAlignment="1">
      <alignment horizontal="left" vertical="center" wrapText="1"/>
    </xf>
    <xf numFmtId="165" fontId="2" fillId="7" borderId="1" xfId="0" applyNumberFormat="1" applyFont="1" applyFill="1" applyBorder="1" applyAlignment="1">
      <alignment horizontal="left" vertical="center" wrapText="1"/>
    </xf>
    <xf numFmtId="166" fontId="1" fillId="0" borderId="19" xfId="0" applyNumberFormat="1" applyFont="1" applyBorder="1" applyProtection="1">
      <protection locked="0"/>
    </xf>
    <xf numFmtId="0" fontId="10" fillId="8" borderId="0" xfId="0" applyFont="1" applyFill="1"/>
    <xf numFmtId="0" fontId="7" fillId="0" borderId="0" xfId="0" applyFont="1"/>
    <xf numFmtId="0" fontId="7" fillId="0" borderId="0" xfId="0" applyFont="1" applyAlignment="1">
      <alignment horizontal="left" wrapText="1"/>
    </xf>
    <xf numFmtId="0" fontId="7" fillId="0" borderId="0" xfId="0" applyFont="1" applyProtection="1">
      <protection locked="0"/>
    </xf>
    <xf numFmtId="0" fontId="7" fillId="5" borderId="0" xfId="0" applyFont="1" applyFill="1" applyAlignment="1">
      <alignment vertical="center" wrapText="1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169" fontId="7" fillId="0" borderId="1" xfId="0" applyNumberFormat="1" applyFont="1" applyBorder="1"/>
    <xf numFmtId="0" fontId="22" fillId="0" borderId="0" xfId="0" applyFont="1"/>
    <xf numFmtId="0" fontId="22" fillId="9" borderId="0" xfId="0" applyFont="1" applyFill="1" applyAlignment="1">
      <alignment horizontal="left" vertical="top"/>
    </xf>
    <xf numFmtId="0" fontId="22" fillId="9" borderId="0" xfId="0" applyFont="1" applyFill="1"/>
    <xf numFmtId="0" fontId="22" fillId="9" borderId="0" xfId="0" applyFont="1" applyFill="1" applyAlignment="1">
      <alignment wrapText="1"/>
    </xf>
    <xf numFmtId="0" fontId="22" fillId="0" borderId="6" xfId="0" applyFont="1" applyBorder="1" applyAlignment="1">
      <alignment horizontal="left"/>
    </xf>
    <xf numFmtId="0" fontId="22" fillId="0" borderId="21" xfId="0" applyFont="1" applyBorder="1" applyAlignment="1">
      <alignment horizontal="center"/>
    </xf>
    <xf numFmtId="0" fontId="22" fillId="0" borderId="1" xfId="0" applyFont="1" applyBorder="1"/>
    <xf numFmtId="0" fontId="22" fillId="7" borderId="7" xfId="0" applyFont="1" applyFill="1" applyBorder="1" applyAlignment="1">
      <alignment horizontal="left"/>
    </xf>
    <xf numFmtId="0" fontId="22" fillId="7" borderId="2" xfId="0" applyFont="1" applyFill="1" applyBorder="1" applyAlignment="1">
      <alignment horizontal="center" vertical="center"/>
    </xf>
    <xf numFmtId="0" fontId="22" fillId="9" borderId="2" xfId="0" applyFont="1" applyFill="1" applyBorder="1"/>
    <xf numFmtId="0" fontId="22" fillId="0" borderId="0" xfId="0" applyFont="1" applyAlignment="1">
      <alignment wrapText="1"/>
    </xf>
    <xf numFmtId="174" fontId="22" fillId="0" borderId="1" xfId="0" applyNumberFormat="1" applyFont="1" applyBorder="1" applyAlignment="1">
      <alignment horizontal="center" vertical="center"/>
    </xf>
    <xf numFmtId="174" fontId="22" fillId="7" borderId="1" xfId="0" applyNumberFormat="1" applyFont="1" applyFill="1" applyBorder="1" applyAlignment="1">
      <alignment horizontal="center" vertical="center"/>
    </xf>
    <xf numFmtId="1" fontId="22" fillId="7" borderId="1" xfId="0" applyNumberFormat="1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wrapText="1"/>
    </xf>
    <xf numFmtId="174" fontId="22" fillId="10" borderId="1" xfId="0" applyNumberFormat="1" applyFont="1" applyFill="1" applyBorder="1" applyAlignment="1">
      <alignment horizontal="center" vertical="center"/>
    </xf>
    <xf numFmtId="174" fontId="23" fillId="7" borderId="1" xfId="0" applyNumberFormat="1" applyFont="1" applyFill="1" applyBorder="1" applyAlignment="1">
      <alignment horizontal="center" vertical="center"/>
    </xf>
    <xf numFmtId="174" fontId="22" fillId="0" borderId="0" xfId="0" applyNumberFormat="1" applyFont="1"/>
    <xf numFmtId="174" fontId="22" fillId="7" borderId="9" xfId="0" applyNumberFormat="1" applyFont="1" applyFill="1" applyBorder="1" applyAlignment="1">
      <alignment horizontal="center" vertical="center"/>
    </xf>
    <xf numFmtId="174" fontId="22" fillId="7" borderId="0" xfId="0" applyNumberFormat="1" applyFont="1" applyFill="1" applyAlignment="1">
      <alignment horizontal="center" vertical="center"/>
    </xf>
    <xf numFmtId="0" fontId="25" fillId="0" borderId="0" xfId="0" applyFont="1"/>
    <xf numFmtId="0" fontId="25" fillId="9" borderId="0" xfId="0" applyFont="1" applyFill="1" applyAlignment="1">
      <alignment horizontal="left" vertical="top"/>
    </xf>
    <xf numFmtId="0" fontId="25" fillId="9" borderId="0" xfId="0" applyFont="1" applyFill="1"/>
    <xf numFmtId="0" fontId="25" fillId="9" borderId="0" xfId="0" applyFont="1" applyFill="1" applyAlignment="1">
      <alignment wrapText="1"/>
    </xf>
    <xf numFmtId="174" fontId="25" fillId="7" borderId="8" xfId="0" applyNumberFormat="1" applyFont="1" applyFill="1" applyBorder="1" applyAlignment="1">
      <alignment horizontal="center" vertical="center"/>
    </xf>
    <xf numFmtId="174" fontId="22" fillId="7" borderId="8" xfId="0" applyNumberFormat="1" applyFont="1" applyFill="1" applyBorder="1" applyAlignment="1">
      <alignment horizontal="center" vertical="center"/>
    </xf>
    <xf numFmtId="174" fontId="22" fillId="7" borderId="1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left"/>
    </xf>
    <xf numFmtId="0" fontId="22" fillId="9" borderId="1" xfId="0" applyFont="1" applyFill="1" applyBorder="1"/>
    <xf numFmtId="0" fontId="22" fillId="9" borderId="1" xfId="0" applyFont="1" applyFill="1" applyBorder="1" applyAlignment="1">
      <alignment vertical="top" wrapText="1"/>
    </xf>
    <xf numFmtId="0" fontId="22" fillId="9" borderId="8" xfId="0" applyFont="1" applyFill="1" applyBorder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0" fontId="22" fillId="9" borderId="1" xfId="0" applyFont="1" applyFill="1" applyBorder="1" applyAlignment="1">
      <alignment horizontal="left" vertical="center"/>
    </xf>
    <xf numFmtId="173" fontId="22" fillId="0" borderId="1" xfId="0" applyNumberFormat="1" applyFont="1" applyBorder="1"/>
    <xf numFmtId="4" fontId="22" fillId="0" borderId="0" xfId="0" applyNumberFormat="1" applyFont="1" applyAlignment="1">
      <alignment horizontal="center" vertical="center"/>
    </xf>
    <xf numFmtId="165" fontId="7" fillId="0" borderId="1" xfId="0" applyNumberFormat="1" applyFont="1" applyBorder="1"/>
    <xf numFmtId="0" fontId="2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wrapText="1"/>
    </xf>
    <xf numFmtId="0" fontId="15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75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164" fontId="0" fillId="0" borderId="1" xfId="2" applyFont="1" applyBorder="1" applyAlignment="1">
      <alignment vertical="center"/>
    </xf>
    <xf numFmtId="172" fontId="0" fillId="0" borderId="1" xfId="2" applyNumberFormat="1" applyFont="1" applyBorder="1" applyAlignment="1">
      <alignment vertical="center"/>
    </xf>
    <xf numFmtId="171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71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72" fontId="2" fillId="0" borderId="1" xfId="2" applyNumberFormat="1" applyFont="1" applyBorder="1" applyAlignment="1">
      <alignment vertical="center"/>
    </xf>
    <xf numFmtId="172" fontId="2" fillId="0" borderId="1" xfId="0" applyNumberFormat="1" applyFont="1" applyBorder="1" applyAlignment="1">
      <alignment vertical="center"/>
    </xf>
    <xf numFmtId="172" fontId="0" fillId="0" borderId="1" xfId="0" applyNumberFormat="1" applyBorder="1" applyAlignment="1">
      <alignment vertical="center"/>
    </xf>
    <xf numFmtId="169" fontId="0" fillId="0" borderId="1" xfId="0" applyNumberFormat="1" applyBorder="1" applyAlignment="1">
      <alignment vertical="center"/>
    </xf>
    <xf numFmtId="169" fontId="2" fillId="0" borderId="1" xfId="0" applyNumberFormat="1" applyFont="1" applyBorder="1" applyAlignment="1">
      <alignment vertical="center"/>
    </xf>
    <xf numFmtId="168" fontId="2" fillId="0" borderId="1" xfId="0" applyNumberFormat="1" applyFont="1" applyBorder="1" applyAlignment="1">
      <alignment vertical="center"/>
    </xf>
    <xf numFmtId="164" fontId="2" fillId="0" borderId="1" xfId="2" applyFont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172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0" fontId="0" fillId="0" borderId="1" xfId="0" applyNumberFormat="1" applyBorder="1" applyAlignment="1">
      <alignment vertical="center"/>
    </xf>
    <xf numFmtId="176" fontId="0" fillId="0" borderId="1" xfId="2" applyNumberFormat="1" applyFont="1" applyBorder="1" applyAlignment="1">
      <alignment vertical="center"/>
    </xf>
    <xf numFmtId="172" fontId="2" fillId="3" borderId="1" xfId="2" applyNumberFormat="1" applyFont="1" applyFill="1" applyBorder="1" applyAlignment="1">
      <alignment vertical="center"/>
    </xf>
    <xf numFmtId="165" fontId="22" fillId="0" borderId="0" xfId="0" applyNumberFormat="1" applyFont="1"/>
    <xf numFmtId="0" fontId="1" fillId="3" borderId="2" xfId="0" applyFont="1" applyFill="1" applyBorder="1" applyAlignment="1">
      <alignment horizontal="center" vertical="center" wrapText="1"/>
    </xf>
    <xf numFmtId="178" fontId="1" fillId="0" borderId="0" xfId="0" applyNumberFormat="1" applyFont="1"/>
    <xf numFmtId="165" fontId="7" fillId="0" borderId="0" xfId="0" applyNumberFormat="1" applyFont="1"/>
    <xf numFmtId="173" fontId="22" fillId="0" borderId="0" xfId="0" applyNumberFormat="1" applyFont="1"/>
    <xf numFmtId="0" fontId="8" fillId="0" borderId="1" xfId="0" applyFont="1" applyBorder="1"/>
    <xf numFmtId="172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5" fontId="0" fillId="0" borderId="1" xfId="0" applyNumberFormat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172" fontId="0" fillId="0" borderId="1" xfId="2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72" fontId="2" fillId="0" borderId="1" xfId="0" applyNumberFormat="1" applyFont="1" applyBorder="1" applyAlignment="1">
      <alignment vertical="center" wrapText="1"/>
    </xf>
    <xf numFmtId="172" fontId="2" fillId="3" borderId="1" xfId="0" applyNumberFormat="1" applyFont="1" applyFill="1" applyBorder="1" applyAlignment="1">
      <alignment vertical="center" wrapText="1"/>
    </xf>
    <xf numFmtId="169" fontId="0" fillId="0" borderId="1" xfId="0" applyNumberFormat="1" applyBorder="1" applyAlignment="1">
      <alignment vertical="center" wrapText="1"/>
    </xf>
    <xf numFmtId="172" fontId="0" fillId="0" borderId="1" xfId="0" applyNumberFormat="1" applyBorder="1" applyAlignment="1">
      <alignment vertical="center" wrapText="1"/>
    </xf>
    <xf numFmtId="176" fontId="0" fillId="0" borderId="1" xfId="2" applyNumberFormat="1" applyFont="1" applyBorder="1" applyAlignment="1">
      <alignment vertical="center" wrapText="1"/>
    </xf>
    <xf numFmtId="172" fontId="2" fillId="0" borderId="0" xfId="0" applyNumberFormat="1" applyFont="1" applyAlignment="1">
      <alignment wrapText="1"/>
    </xf>
    <xf numFmtId="0" fontId="10" fillId="0" borderId="0" xfId="0" applyFont="1" applyAlignment="1">
      <alignment horizontal="left" vertical="top"/>
    </xf>
    <xf numFmtId="0" fontId="10" fillId="0" borderId="0" xfId="0" applyFont="1"/>
    <xf numFmtId="165" fontId="1" fillId="0" borderId="1" xfId="0" applyNumberFormat="1" applyFont="1" applyBorder="1"/>
    <xf numFmtId="169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49" fontId="7" fillId="0" borderId="23" xfId="0" applyNumberFormat="1" applyFont="1" applyBorder="1" applyAlignment="1">
      <alignment horizontal="left" vertical="top" wrapText="1"/>
    </xf>
    <xf numFmtId="1" fontId="9" fillId="0" borderId="24" xfId="0" applyNumberFormat="1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3" fontId="9" fillId="0" borderId="25" xfId="0" applyNumberFormat="1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 wrapText="1"/>
    </xf>
    <xf numFmtId="0" fontId="15" fillId="0" borderId="27" xfId="0" applyFont="1" applyBorder="1" applyAlignment="1">
      <alignment horizontal="left" vertical="top" wrapText="1"/>
    </xf>
    <xf numFmtId="170" fontId="15" fillId="0" borderId="27" xfId="0" applyNumberFormat="1" applyFont="1" applyBorder="1" applyAlignment="1">
      <alignment horizontal="left" vertical="top" wrapText="1"/>
    </xf>
    <xf numFmtId="167" fontId="28" fillId="0" borderId="27" xfId="0" applyNumberFormat="1" applyFont="1" applyBorder="1"/>
    <xf numFmtId="3" fontId="15" fillId="0" borderId="22" xfId="0" applyNumberFormat="1" applyFont="1" applyBorder="1" applyAlignment="1">
      <alignment horizontal="left" vertical="top" wrapText="1"/>
    </xf>
    <xf numFmtId="3" fontId="7" fillId="0" borderId="28" xfId="0" applyNumberFormat="1" applyFont="1" applyBorder="1" applyAlignment="1">
      <alignment horizontal="left" vertical="top" wrapText="1"/>
    </xf>
    <xf numFmtId="169" fontId="7" fillId="0" borderId="7" xfId="0" applyNumberFormat="1" applyFont="1" applyBorder="1" applyAlignment="1">
      <alignment horizontal="left" vertical="top" wrapText="1"/>
    </xf>
    <xf numFmtId="3" fontId="7" fillId="0" borderId="29" xfId="0" applyNumberFormat="1" applyFont="1" applyBorder="1" applyAlignment="1">
      <alignment horizontal="left" vertical="top" wrapText="1"/>
    </xf>
    <xf numFmtId="0" fontId="15" fillId="0" borderId="3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/>
    <xf numFmtId="0" fontId="7" fillId="0" borderId="2" xfId="0" applyFont="1" applyBorder="1"/>
    <xf numFmtId="0" fontId="28" fillId="0" borderId="32" xfId="0" applyFont="1" applyBorder="1"/>
    <xf numFmtId="0" fontId="28" fillId="0" borderId="31" xfId="0" applyFont="1" applyBorder="1"/>
    <xf numFmtId="169" fontId="15" fillId="0" borderId="27" xfId="0" applyNumberFormat="1" applyFont="1" applyBorder="1" applyAlignment="1">
      <alignment horizontal="left" vertical="top" wrapText="1"/>
    </xf>
    <xf numFmtId="0" fontId="28" fillId="0" borderId="27" xfId="0" applyFont="1" applyBorder="1"/>
    <xf numFmtId="164" fontId="15" fillId="0" borderId="27" xfId="0" applyNumberFormat="1" applyFont="1" applyBorder="1" applyAlignment="1">
      <alignment horizontal="left" vertical="top" wrapText="1"/>
    </xf>
    <xf numFmtId="167" fontId="7" fillId="0" borderId="7" xfId="0" applyNumberFormat="1" applyFont="1" applyBorder="1"/>
    <xf numFmtId="167" fontId="7" fillId="0" borderId="2" xfId="0" applyNumberFormat="1" applyFont="1" applyBorder="1"/>
    <xf numFmtId="0" fontId="15" fillId="0" borderId="32" xfId="0" applyFont="1" applyBorder="1"/>
    <xf numFmtId="173" fontId="15" fillId="0" borderId="32" xfId="0" applyNumberFormat="1" applyFont="1" applyBorder="1"/>
    <xf numFmtId="167" fontId="15" fillId="0" borderId="32" xfId="0" applyNumberFormat="1" applyFont="1" applyBorder="1"/>
    <xf numFmtId="167" fontId="15" fillId="0" borderId="31" xfId="0" applyNumberFormat="1" applyFont="1" applyBorder="1"/>
    <xf numFmtId="172" fontId="7" fillId="0" borderId="29" xfId="2" applyNumberFormat="1" applyFont="1" applyBorder="1" applyAlignment="1">
      <alignment horizontal="left" vertical="top" wrapText="1"/>
    </xf>
    <xf numFmtId="175" fontId="15" fillId="0" borderId="27" xfId="0" applyNumberFormat="1" applyFont="1" applyBorder="1" applyAlignment="1">
      <alignment horizontal="left" vertical="top" wrapText="1"/>
    </xf>
    <xf numFmtId="167" fontId="15" fillId="0" borderId="27" xfId="0" applyNumberFormat="1" applyFont="1" applyBorder="1" applyAlignment="1">
      <alignment horizontal="left" vertical="top" wrapText="1"/>
    </xf>
    <xf numFmtId="172" fontId="15" fillId="0" borderId="22" xfId="0" applyNumberFormat="1" applyFont="1" applyBorder="1"/>
    <xf numFmtId="165" fontId="7" fillId="0" borderId="14" xfId="0" applyNumberFormat="1" applyFont="1" applyBorder="1" applyAlignment="1">
      <alignment horizontal="left" vertical="top" wrapText="1"/>
    </xf>
    <xf numFmtId="1" fontId="7" fillId="0" borderId="29" xfId="0" applyNumberFormat="1" applyFont="1" applyBorder="1" applyAlignment="1">
      <alignment horizontal="left" vertical="top" wrapText="1"/>
    </xf>
    <xf numFmtId="177" fontId="15" fillId="0" borderId="27" xfId="0" applyNumberFormat="1" applyFont="1" applyBorder="1" applyAlignment="1">
      <alignment horizontal="right" vertical="top" wrapText="1"/>
    </xf>
    <xf numFmtId="167" fontId="1" fillId="0" borderId="7" xfId="1" applyNumberFormat="1" applyFont="1" applyFill="1" applyBorder="1"/>
    <xf numFmtId="167" fontId="7" fillId="0" borderId="7" xfId="0" applyNumberFormat="1" applyFont="1" applyFill="1" applyBorder="1"/>
    <xf numFmtId="166" fontId="1" fillId="0" borderId="7" xfId="1" applyNumberFormat="1" applyFont="1" applyFill="1" applyBorder="1"/>
    <xf numFmtId="165" fontId="0" fillId="0" borderId="0" xfId="0" applyNumberFormat="1"/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/>
    <xf numFmtId="3" fontId="0" fillId="0" borderId="0" xfId="0" applyNumberFormat="1"/>
    <xf numFmtId="9" fontId="0" fillId="0" borderId="0" xfId="5" applyFont="1"/>
    <xf numFmtId="0" fontId="30" fillId="0" borderId="0" xfId="0" applyFont="1"/>
    <xf numFmtId="173" fontId="2" fillId="0" borderId="16" xfId="0" applyNumberFormat="1" applyFont="1" applyBorder="1" applyAlignment="1">
      <alignment horizontal="left" vertical="center"/>
    </xf>
    <xf numFmtId="167" fontId="7" fillId="0" borderId="0" xfId="0" applyNumberFormat="1" applyFont="1" applyAlignment="1">
      <alignment horizontal="left" vertical="top" wrapText="1"/>
    </xf>
    <xf numFmtId="172" fontId="0" fillId="0" borderId="0" xfId="0" applyNumberFormat="1" applyAlignment="1">
      <alignment wrapText="1"/>
    </xf>
    <xf numFmtId="174" fontId="0" fillId="0" borderId="0" xfId="0" applyNumberFormat="1"/>
    <xf numFmtId="1" fontId="24" fillId="0" borderId="1" xfId="0" applyNumberFormat="1" applyFont="1" applyFill="1" applyBorder="1" applyAlignment="1">
      <alignment horizontal="center" vertical="center"/>
    </xf>
    <xf numFmtId="174" fontId="22" fillId="0" borderId="1" xfId="0" applyNumberFormat="1" applyFont="1" applyFill="1" applyBorder="1" applyAlignment="1">
      <alignment horizontal="center" vertical="center"/>
    </xf>
    <xf numFmtId="174" fontId="24" fillId="0" borderId="1" xfId="0" applyNumberFormat="1" applyFont="1" applyFill="1" applyBorder="1" applyAlignment="1">
      <alignment horizontal="center" vertical="center"/>
    </xf>
    <xf numFmtId="0" fontId="22" fillId="0" borderId="0" xfId="0" applyFont="1" applyFill="1"/>
    <xf numFmtId="174" fontId="22" fillId="11" borderId="0" xfId="0" applyNumberFormat="1" applyFont="1" applyFill="1"/>
    <xf numFmtId="165" fontId="22" fillId="11" borderId="0" xfId="0" applyNumberFormat="1" applyFont="1" applyFill="1"/>
    <xf numFmtId="173" fontId="26" fillId="11" borderId="0" xfId="0" applyNumberFormat="1" applyFont="1" applyFill="1" applyBorder="1"/>
    <xf numFmtId="0" fontId="22" fillId="11" borderId="1" xfId="0" applyFont="1" applyFill="1" applyBorder="1"/>
    <xf numFmtId="170" fontId="7" fillId="11" borderId="14" xfId="0" applyNumberFormat="1" applyFont="1" applyFill="1" applyBorder="1" applyAlignment="1">
      <alignment horizontal="left" vertical="top" wrapText="1"/>
    </xf>
    <xf numFmtId="0" fontId="22" fillId="0" borderId="0" xfId="0" applyFont="1" applyFill="1" applyAlignment="1">
      <alignment horizontal="left" vertical="top"/>
    </xf>
    <xf numFmtId="0" fontId="22" fillId="0" borderId="0" xfId="0" applyFont="1" applyFill="1" applyAlignment="1">
      <alignment wrapText="1"/>
    </xf>
    <xf numFmtId="0" fontId="0" fillId="12" borderId="1" xfId="0" applyFill="1" applyBorder="1" applyAlignment="1">
      <alignment vertical="center"/>
    </xf>
    <xf numFmtId="10" fontId="0" fillId="0" borderId="0" xfId="5" applyNumberFormat="1" applyFont="1" applyAlignment="1">
      <alignment vertical="center"/>
    </xf>
    <xf numFmtId="172" fontId="2" fillId="12" borderId="1" xfId="0" applyNumberFormat="1" applyFont="1" applyFill="1" applyBorder="1" applyAlignment="1">
      <alignment vertical="center"/>
    </xf>
    <xf numFmtId="179" fontId="31" fillId="0" borderId="0" xfId="0" applyNumberFormat="1" applyFont="1" applyAlignment="1">
      <alignment wrapText="1"/>
    </xf>
    <xf numFmtId="0" fontId="31" fillId="0" borderId="0" xfId="0" applyFont="1" applyAlignment="1">
      <alignment wrapText="1"/>
    </xf>
    <xf numFmtId="172" fontId="31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0" fillId="6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3" borderId="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2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wrapText="1"/>
    </xf>
    <xf numFmtId="0" fontId="22" fillId="0" borderId="8" xfId="0" applyFont="1" applyBorder="1" applyAlignment="1">
      <alignment horizontal="center" wrapText="1"/>
    </xf>
    <xf numFmtId="0" fontId="22" fillId="9" borderId="2" xfId="0" applyFont="1" applyFill="1" applyBorder="1" applyAlignment="1">
      <alignment horizontal="left" vertical="top"/>
    </xf>
    <xf numFmtId="0" fontId="22" fillId="9" borderId="8" xfId="0" applyFont="1" applyFill="1" applyBorder="1" applyAlignment="1">
      <alignment horizontal="left" vertical="top"/>
    </xf>
    <xf numFmtId="0" fontId="22" fillId="9" borderId="2" xfId="0" applyFont="1" applyFill="1" applyBorder="1" applyAlignment="1">
      <alignment horizontal="left" vertical="center"/>
    </xf>
    <xf numFmtId="0" fontId="22" fillId="9" borderId="8" xfId="0" applyFont="1" applyFill="1" applyBorder="1" applyAlignment="1">
      <alignment horizontal="left" vertical="center"/>
    </xf>
    <xf numFmtId="0" fontId="22" fillId="9" borderId="2" xfId="0" applyFont="1" applyFill="1" applyBorder="1" applyAlignment="1">
      <alignment horizontal="center" vertical="center" wrapText="1"/>
    </xf>
    <xf numFmtId="0" fontId="22" fillId="9" borderId="8" xfId="0" applyFont="1" applyFill="1" applyBorder="1" applyAlignment="1">
      <alignment horizontal="center" vertical="center" wrapText="1"/>
    </xf>
    <xf numFmtId="1" fontId="2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6">
    <cellStyle name="20% — акцент3" xfId="1" builtinId="38"/>
    <cellStyle name="Normal_Stationary_combustion_tool_GL1" xfId="4"/>
    <cellStyle name="Обычный" xfId="0" builtinId="0"/>
    <cellStyle name="Обычный 4" xfId="3"/>
    <cellStyle name="Процентный" xfId="5" builtinId="5"/>
    <cellStyle name="Финансовый" xfId="2" builtinId="3"/>
  </cellStyles>
  <dxfs count="26">
    <dxf>
      <fill>
        <patternFill patternType="gray125">
          <f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0.0000"/>
      <border diagonalUp="0" diagonalDown="0" outline="0">
        <left style="thin">
          <color indexed="64"/>
        </left>
        <right/>
        <top style="double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0.0000"/>
      <border diagonalUp="0" diagonalDown="0" outline="0">
        <left style="thin">
          <color indexed="64"/>
        </left>
        <right style="thin">
          <color indexed="64"/>
        </right>
        <top style="double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00000"/>
      <border diagonalUp="0" diagonalDown="0" outline="0">
        <left style="thin">
          <color indexed="64"/>
        </left>
        <right style="thin">
          <color indexed="64"/>
        </right>
        <top style="double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double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/>
        <right style="thin">
          <color indexed="64"/>
        </right>
        <top style="double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double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color auto="1"/>
      </font>
      <fill>
        <patternFill patternType="solid">
          <fgColor theme="0"/>
          <bgColor theme="0" tint="-0.14996795556505021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9" defaultPivotStyle="PivotStyleLight16">
    <tableStyle name="Стационарное сжигание_газ природный" pivot="0" count="9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secondRowStripe" dxfId="19"/>
      <tableStyleElement type="firstColumnStripe" dxfId="18"/>
      <tableStyleElement type="secondColumnStripe" dxfId="17"/>
    </tableStyle>
  </tableStyles>
  <colors>
    <mruColors>
      <color rgb="FFFFEEB9"/>
      <color rgb="FFFFE5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1009650</xdr:colOff>
      <xdr:row>22</xdr:row>
      <xdr:rowOff>147637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105900" y="2871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1009650</xdr:colOff>
      <xdr:row>62</xdr:row>
      <xdr:rowOff>147637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159829" y="54544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123825</xdr:rowOff>
    </xdr:from>
    <xdr:to>
      <xdr:col>1</xdr:col>
      <xdr:colOff>255270</xdr:colOff>
      <xdr:row>27</xdr:row>
      <xdr:rowOff>88582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4099"/>
            </a:ext>
            <a:ext uri="{FF2B5EF4-FFF2-40B4-BE49-F238E27FC236}">
              <a16:creationId xmlns:a16="http://schemas.microsoft.com/office/drawing/2014/main" id="{1121099C-49D7-4924-8FA3-16616C6BCE7D}"/>
            </a:ext>
          </a:extLst>
        </xdr:cNvPr>
        <xdr:cNvSpPr/>
      </xdr:nvSpPr>
      <xdr:spPr bwMode="auto">
        <a:xfrm>
          <a:off x="0" y="7004685"/>
          <a:ext cx="864870" cy="300037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КоэффициентСтационарногоСжигания2" displayName="КоэффициентСтационарногоСжигания2" ref="A54:E76" totalsRowCount="1" headerRowDxfId="16" dataDxfId="14" totalsRowDxfId="12" headerRowBorderDxfId="15" tableBorderDxfId="13" totalsRowBorderDxfId="11">
  <autoFilter ref="A54:E75"/>
  <tableColumns count="5">
    <tableColumn id="1" name="1" totalsRowLabel="Итог" dataDxfId="10" totalsRowDxfId="9"/>
    <tableColumn id="2" name="2" dataDxfId="8" totalsRowDxfId="7"/>
    <tableColumn id="6" name="3" totalsRowFunction="sum" dataDxfId="6" totalsRowDxfId="5"/>
    <tableColumn id="7" name="4" dataDxfId="4" totalsRowDxfId="3"/>
    <tableColumn id="8" name="5" totalsRowFunction="sum" dataDxfId="2" totalsRowDxfId="1">
      <calculatedColumnFormula>C55*D55</calculatedColumnFormula>
    </tableColumn>
  </tableColumns>
  <tableStyleInfo name="Стационарное сжигание_газ природный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tables/table1.xml" Type="http://schemas.openxmlformats.org/officeDocument/2006/relationships/table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J15"/>
  <sheetViews>
    <sheetView zoomScale="80" zoomScaleNormal="80" workbookViewId="0">
      <pane ySplit="9" topLeftCell="A10" activePane="bottomLeft" state="frozen"/>
      <selection pane="bottomLeft" activeCell="F20" sqref="F20"/>
    </sheetView>
  </sheetViews>
  <sheetFormatPr defaultColWidth="9.140625" defaultRowHeight="12.75" x14ac:dyDescent="0.2"/>
  <cols>
    <col min="1" max="1" customWidth="true" style="1" width="11.140625" collapsed="false"/>
    <col min="2" max="2" customWidth="true" style="1" width="17.85546875" collapsed="false"/>
    <col min="3" max="3" customWidth="true" style="1" width="23.42578125" collapsed="false"/>
    <col min="4" max="5" customWidth="true" style="1" width="17.85546875" collapsed="false"/>
    <col min="6" max="7" customWidth="true" style="1" width="22.7109375" collapsed="false"/>
    <col min="8" max="10" customWidth="true" style="1" width="17.85546875" collapsed="false"/>
    <col min="11" max="16384" style="1" width="9.140625" collapsed="false"/>
  </cols>
  <sheetData>
    <row r="2" spans="1:10" x14ac:dyDescent="0.2">
      <c r="A2" s="221" t="str">
        <f>UPPER("Количественное определение ВПГ при стационарном сжигании дизельного топлива")</f>
        <v>КОЛИЧЕСТВЕННОЕ ОПРЕДЕЛЕНИЕ ВПГ ПРИ СТАЦИОНАРНОМ СЖИГАНИИ ДИЗЕЛЬНОГО ТОПЛИВА</v>
      </c>
      <c r="B2" s="221"/>
      <c r="C2" s="221"/>
      <c r="D2" s="221"/>
      <c r="E2" s="221"/>
      <c r="F2" s="221"/>
      <c r="G2" s="221"/>
      <c r="H2" s="221"/>
      <c r="I2" s="221"/>
      <c r="J2" s="221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0" x14ac:dyDescent="0.2">
      <c r="A4" s="222" t="s">
        <v>194</v>
      </c>
      <c r="B4" s="223"/>
      <c r="C4" s="223"/>
      <c r="D4" s="223"/>
      <c r="E4" s="223"/>
      <c r="F4" s="223"/>
      <c r="G4" s="223"/>
      <c r="H4" s="223"/>
      <c r="I4" s="223"/>
      <c r="J4" s="223"/>
    </row>
    <row r="5" spans="1:10" x14ac:dyDescent="0.2">
      <c r="A5" s="5"/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">
      <c r="A6" s="222" t="s">
        <v>191</v>
      </c>
      <c r="B6" s="224"/>
      <c r="C6" s="224"/>
      <c r="D6" s="224"/>
      <c r="E6" s="224"/>
      <c r="F6" s="224"/>
      <c r="G6" s="224"/>
      <c r="H6" s="224"/>
      <c r="I6" s="224"/>
      <c r="J6" s="224"/>
    </row>
    <row r="8" spans="1:10" ht="91.5" customHeight="1" x14ac:dyDescent="0.2">
      <c r="A8" s="225" t="s">
        <v>2</v>
      </c>
      <c r="B8" s="225" t="s">
        <v>8</v>
      </c>
      <c r="C8" s="225" t="s">
        <v>52</v>
      </c>
      <c r="D8" s="225" t="s">
        <v>53</v>
      </c>
      <c r="E8" s="225" t="s">
        <v>105</v>
      </c>
      <c r="F8" s="229" t="s">
        <v>189</v>
      </c>
      <c r="G8" s="225" t="s">
        <v>106</v>
      </c>
      <c r="H8" s="225" t="s">
        <v>57</v>
      </c>
      <c r="I8" s="227" t="s">
        <v>56</v>
      </c>
      <c r="J8" s="225" t="s">
        <v>75</v>
      </c>
    </row>
    <row r="9" spans="1:10" x14ac:dyDescent="0.2">
      <c r="A9" s="226"/>
      <c r="B9" s="226"/>
      <c r="C9" s="226"/>
      <c r="D9" s="226"/>
      <c r="E9" s="226"/>
      <c r="F9" s="230"/>
      <c r="G9" s="226"/>
      <c r="H9" s="226"/>
      <c r="I9" s="228"/>
      <c r="J9" s="226"/>
    </row>
    <row r="10" spans="1:10" ht="55.5" customHeight="1" x14ac:dyDescent="0.2">
      <c r="A10" s="154"/>
      <c r="B10" s="6" t="s">
        <v>113</v>
      </c>
      <c r="C10" s="7" t="s">
        <v>204</v>
      </c>
      <c r="D10" s="7" t="s">
        <v>77</v>
      </c>
      <c r="E10" s="37">
        <v>0.05</v>
      </c>
      <c r="F10" s="11">
        <v>42.5</v>
      </c>
      <c r="G10" s="185">
        <f>стац.сжиг._дизтопливо!$E10*стац.сжиг._дизтопливо!$F10</f>
        <v>2.125</v>
      </c>
      <c r="H10" s="7">
        <f>1</f>
        <v>1</v>
      </c>
      <c r="I10" s="7">
        <v>74.099999999999994</v>
      </c>
      <c r="J10" s="186">
        <f>ROUND(стац.сжиг._дизтопливо!$G10*стац.сжиг._дизтопливо!$H10*стац.сжиг._дизтопливо!$I10,0)</f>
        <v>157</v>
      </c>
    </row>
    <row r="11" spans="1:10" ht="26.25" customHeight="1" x14ac:dyDescent="0.2">
      <c r="A11" s="154"/>
      <c r="B11" s="6" t="s">
        <v>114</v>
      </c>
      <c r="C11" s="7" t="s">
        <v>204</v>
      </c>
      <c r="D11" s="7" t="s">
        <v>77</v>
      </c>
      <c r="E11" s="37">
        <v>0.01</v>
      </c>
      <c r="F11" s="11">
        <v>42.5</v>
      </c>
      <c r="G11" s="185">
        <f>стац.сжиг._дизтопливо!$E11*стац.сжиг._дизтопливо!$F11</f>
        <v>0.42499999999999999</v>
      </c>
      <c r="H11" s="7">
        <f>1</f>
        <v>1</v>
      </c>
      <c r="I11" s="7">
        <v>74.099999999999994</v>
      </c>
      <c r="J11" s="186">
        <f>ROUND(стац.сжиг._дизтопливо!$G11*стац.сжиг._дизтопливо!$H11*стац.сжиг._дизтопливо!$I11,0)</f>
        <v>31</v>
      </c>
    </row>
    <row r="12" spans="1:10" ht="26.25" customHeight="1" thickBot="1" x14ac:dyDescent="0.25">
      <c r="A12" s="154"/>
      <c r="B12" s="6" t="s">
        <v>115</v>
      </c>
      <c r="C12" s="7" t="s">
        <v>204</v>
      </c>
      <c r="D12" s="7" t="s">
        <v>77</v>
      </c>
      <c r="E12" s="36">
        <v>2E-3</v>
      </c>
      <c r="F12" s="11">
        <v>42.5</v>
      </c>
      <c r="G12" s="185">
        <f>стац.сжиг._дизтопливо!$E12*стац.сжиг._дизтопливо!$F12</f>
        <v>8.5000000000000006E-2</v>
      </c>
      <c r="H12" s="7">
        <f>1</f>
        <v>1</v>
      </c>
      <c r="I12" s="7">
        <v>74.099999999999994</v>
      </c>
      <c r="J12" s="186">
        <f>ROUND(стац.сжиг._дизтопливо!$G12*стац.сжиг._дизтопливо!$H12*стац.сжиг._дизтопливо!$I12,0)</f>
        <v>6</v>
      </c>
    </row>
    <row r="13" spans="1:10" ht="13.5" thickTop="1" x14ac:dyDescent="0.2">
      <c r="A13" s="158" t="s">
        <v>76</v>
      </c>
      <c r="B13" s="159"/>
      <c r="C13" s="159"/>
      <c r="D13" s="159"/>
      <c r="E13" s="187">
        <f>SUBTOTAL(109,стац.сжиг._дизтопливо!$E$10:$E$12)</f>
        <v>6.2000000000000006E-2</v>
      </c>
      <c r="F13" s="159"/>
      <c r="G13" s="173"/>
      <c r="H13" s="159"/>
      <c r="I13" s="159"/>
      <c r="J13" s="184">
        <f>SUBTOTAL(109,стац.сжиг._дизтопливо!$J$10:$J$12)</f>
        <v>194</v>
      </c>
    </row>
    <row r="14" spans="1:10" x14ac:dyDescent="0.2">
      <c r="A14" s="9"/>
      <c r="B14" s="9"/>
      <c r="C14" s="9"/>
      <c r="D14" s="9"/>
      <c r="E14" s="9"/>
      <c r="F14" s="9"/>
      <c r="G14"/>
      <c r="H14" s="9"/>
      <c r="I14" s="9"/>
      <c r="J14"/>
    </row>
    <row r="15" spans="1:10" x14ac:dyDescent="0.2">
      <c r="E15" s="130"/>
      <c r="J15" s="38"/>
    </row>
  </sheetData>
  <mergeCells count="13">
    <mergeCell ref="A2:J2"/>
    <mergeCell ref="A4:J4"/>
    <mergeCell ref="A6:J6"/>
    <mergeCell ref="A8:A9"/>
    <mergeCell ref="B8:B9"/>
    <mergeCell ref="C8:C9"/>
    <mergeCell ref="D8:D9"/>
    <mergeCell ref="E8:E9"/>
    <mergeCell ref="G8:G9"/>
    <mergeCell ref="H8:H9"/>
    <mergeCell ref="I8:I9"/>
    <mergeCell ref="J8:J9"/>
    <mergeCell ref="F8:F9"/>
  </mergeCells>
  <phoneticPr fontId="14" type="noConversion"/>
  <dataValidations count="2">
    <dataValidation type="whole" operator="equal" allowBlank="1" showInputMessage="1" showErrorMessage="1" error="Принимается для всех видов газообразного, жидкого и твердого топлива по умолчанию равным 1,0 (соответствует 100% окислению топлива) независимо от применяемых процессов стационарного сжигания топлива, кроме факельного." sqref="H10:H12">
      <formula1>1</formula1>
    </dataValidation>
    <dataValidation type="decimal" operator="greaterThan" allowBlank="1" showInputMessage="1" showErrorMessage="1" error="Данные вводятся в числовом формате (&gt;0)." sqref="E10:E12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3:K33"/>
  <sheetViews>
    <sheetView zoomScale="85" zoomScaleNormal="85" workbookViewId="0">
      <selection activeCell="L27" sqref="L27"/>
    </sheetView>
  </sheetViews>
  <sheetFormatPr defaultRowHeight="12.75" x14ac:dyDescent="0.2"/>
  <cols>
    <col min="1" max="1" style="101" width="8.85546875" collapsed="false"/>
    <col min="2" max="2" customWidth="true" style="95" width="26.7109375" collapsed="false"/>
    <col min="3" max="9" customWidth="true" style="95" width="18.28515625" collapsed="false"/>
    <col min="10" max="10" customWidth="true" width="15.5703125" collapsed="false"/>
  </cols>
  <sheetData>
    <row r="3" spans="1:10" x14ac:dyDescent="0.2">
      <c r="B3" s="94"/>
    </row>
    <row r="4" spans="1:10" ht="47.45" customHeight="1" x14ac:dyDescent="0.2">
      <c r="A4" s="265" t="s">
        <v>51</v>
      </c>
      <c r="B4" s="267" t="s">
        <v>156</v>
      </c>
      <c r="C4" s="267" t="s">
        <v>157</v>
      </c>
      <c r="D4" s="267"/>
      <c r="E4" s="268" t="s">
        <v>162</v>
      </c>
      <c r="F4" s="268"/>
      <c r="G4" s="268" t="s">
        <v>160</v>
      </c>
      <c r="H4" s="268"/>
      <c r="I4" s="268" t="s">
        <v>163</v>
      </c>
    </row>
    <row r="5" spans="1:10" ht="25.5" x14ac:dyDescent="0.4">
      <c r="A5" s="266"/>
      <c r="B5" s="267"/>
      <c r="C5" s="96" t="s">
        <v>165</v>
      </c>
      <c r="D5" s="96" t="s">
        <v>158</v>
      </c>
      <c r="E5" s="96" t="s">
        <v>177</v>
      </c>
      <c r="F5" s="96" t="s">
        <v>159</v>
      </c>
      <c r="G5" s="96" t="s">
        <v>161</v>
      </c>
      <c r="H5" s="96" t="s">
        <v>164</v>
      </c>
      <c r="I5" s="268"/>
      <c r="J5" s="197"/>
    </row>
    <row r="6" spans="1:10" s="100" customFormat="1" ht="38.25" x14ac:dyDescent="0.2">
      <c r="A6" s="122">
        <v>1</v>
      </c>
      <c r="B6" s="119" t="s">
        <v>188</v>
      </c>
      <c r="C6" s="120"/>
      <c r="D6" s="120"/>
      <c r="E6" s="120"/>
      <c r="F6" s="120"/>
      <c r="G6" s="120"/>
      <c r="H6" s="120"/>
      <c r="I6" s="120"/>
    </row>
    <row r="7" spans="1:10" ht="38.25" x14ac:dyDescent="0.2">
      <c r="A7" s="123"/>
      <c r="B7" s="102" t="s">
        <v>166</v>
      </c>
      <c r="C7" s="102" t="s">
        <v>167</v>
      </c>
      <c r="D7" s="104"/>
      <c r="E7" s="105"/>
      <c r="F7" s="106"/>
      <c r="G7" s="107"/>
      <c r="H7" s="107"/>
      <c r="I7" s="103"/>
    </row>
    <row r="8" spans="1:10" ht="38.25" x14ac:dyDescent="0.2">
      <c r="A8" s="123"/>
      <c r="B8" s="102"/>
      <c r="C8" s="102" t="s">
        <v>167</v>
      </c>
      <c r="D8" s="104"/>
      <c r="E8" s="105"/>
      <c r="F8" s="106"/>
      <c r="G8" s="107"/>
      <c r="H8" s="107"/>
      <c r="I8" s="103"/>
    </row>
    <row r="9" spans="1:10" ht="38.25" x14ac:dyDescent="0.2">
      <c r="A9" s="123"/>
      <c r="B9" s="103" t="s">
        <v>168</v>
      </c>
      <c r="C9" s="102" t="s">
        <v>169</v>
      </c>
      <c r="D9" s="108"/>
      <c r="E9" s="105"/>
      <c r="F9" s="106"/>
      <c r="G9" s="107"/>
      <c r="H9" s="107"/>
      <c r="I9" s="103"/>
    </row>
    <row r="10" spans="1:10" s="100" customFormat="1" ht="25.5" x14ac:dyDescent="0.2">
      <c r="A10" s="124"/>
      <c r="B10" s="109" t="s">
        <v>179</v>
      </c>
      <c r="C10" s="109"/>
      <c r="D10" s="110"/>
      <c r="E10" s="111"/>
      <c r="F10" s="111"/>
      <c r="G10" s="112"/>
      <c r="H10" s="112"/>
      <c r="I10" s="113"/>
      <c r="J10" s="194"/>
    </row>
    <row r="11" spans="1:10" s="100" customFormat="1" ht="25.5" x14ac:dyDescent="0.2">
      <c r="A11" s="122">
        <v>2</v>
      </c>
      <c r="B11" s="119" t="s">
        <v>181</v>
      </c>
      <c r="C11" s="120"/>
      <c r="D11" s="120"/>
      <c r="E11" s="120"/>
      <c r="F11" s="120"/>
      <c r="G11" s="121"/>
      <c r="H11" s="121"/>
      <c r="I11" s="121"/>
    </row>
    <row r="12" spans="1:10" ht="51" x14ac:dyDescent="0.2">
      <c r="A12" s="123"/>
      <c r="B12" s="105" t="s">
        <v>170</v>
      </c>
      <c r="C12" s="102" t="s">
        <v>171</v>
      </c>
      <c r="D12" s="115"/>
      <c r="E12" s="105"/>
      <c r="F12" s="106"/>
      <c r="G12" s="107"/>
      <c r="H12" s="107"/>
      <c r="I12" s="114"/>
    </row>
    <row r="13" spans="1:10" x14ac:dyDescent="0.2">
      <c r="A13" s="123"/>
      <c r="B13" s="105"/>
      <c r="C13" s="102"/>
      <c r="D13" s="115"/>
      <c r="E13" s="105"/>
      <c r="F13" s="126"/>
      <c r="G13" s="107"/>
      <c r="H13" s="107"/>
      <c r="I13" s="113"/>
    </row>
    <row r="14" spans="1:10" s="100" customFormat="1" ht="25.5" x14ac:dyDescent="0.2">
      <c r="A14" s="124"/>
      <c r="B14" s="109" t="s">
        <v>182</v>
      </c>
      <c r="C14" s="109"/>
      <c r="D14" s="116"/>
      <c r="E14" s="111"/>
      <c r="F14" s="117"/>
      <c r="G14" s="118"/>
      <c r="H14" s="118"/>
      <c r="I14" s="113"/>
      <c r="J14" s="194"/>
    </row>
    <row r="15" spans="1:10" s="100" customFormat="1" ht="103.5" customHeight="1" x14ac:dyDescent="0.2">
      <c r="A15" s="122">
        <v>3</v>
      </c>
      <c r="B15" s="119" t="s">
        <v>183</v>
      </c>
      <c r="C15" s="119"/>
      <c r="D15" s="120"/>
      <c r="E15" s="120"/>
      <c r="F15" s="120"/>
      <c r="G15" s="120"/>
      <c r="H15" s="120"/>
      <c r="I15" s="120"/>
    </row>
    <row r="16" spans="1:10" ht="25.5" x14ac:dyDescent="0.2">
      <c r="A16" s="123"/>
      <c r="B16" s="102" t="s">
        <v>185</v>
      </c>
      <c r="C16" s="102" t="s">
        <v>186</v>
      </c>
      <c r="D16" s="125"/>
      <c r="E16" s="105"/>
      <c r="F16" s="106"/>
      <c r="G16" s="103"/>
      <c r="H16" s="107"/>
      <c r="I16" s="103"/>
    </row>
    <row r="17" spans="1:11" x14ac:dyDescent="0.2">
      <c r="A17" s="123"/>
      <c r="B17" s="102"/>
      <c r="C17" s="102"/>
      <c r="D17" s="125"/>
      <c r="E17" s="105"/>
      <c r="F17" s="106"/>
      <c r="G17" s="103"/>
      <c r="H17" s="107"/>
      <c r="I17" s="103"/>
    </row>
    <row r="18" spans="1:11" ht="38.25" x14ac:dyDescent="0.2">
      <c r="A18" s="123"/>
      <c r="B18" s="109" t="s">
        <v>184</v>
      </c>
      <c r="C18" s="102"/>
      <c r="D18" s="103"/>
      <c r="E18" s="103"/>
      <c r="F18" s="103"/>
      <c r="G18" s="103"/>
      <c r="H18" s="103"/>
      <c r="I18" s="113"/>
    </row>
    <row r="19" spans="1:11" ht="25.5" x14ac:dyDescent="0.2">
      <c r="A19" s="122">
        <v>10</v>
      </c>
      <c r="B19" s="119" t="s">
        <v>172</v>
      </c>
      <c r="C19" s="120"/>
      <c r="D19" s="120"/>
      <c r="E19" s="120"/>
      <c r="F19" s="120"/>
      <c r="G19" s="120"/>
      <c r="H19" s="120"/>
      <c r="I19" s="120"/>
    </row>
    <row r="20" spans="1:11" ht="38.25" x14ac:dyDescent="0.2">
      <c r="A20" s="123"/>
      <c r="B20" s="102" t="s">
        <v>173</v>
      </c>
      <c r="C20" s="102" t="s">
        <v>174</v>
      </c>
      <c r="D20" s="103"/>
      <c r="E20" s="105"/>
      <c r="F20" s="106"/>
      <c r="G20" s="103"/>
      <c r="H20" s="107"/>
      <c r="I20" s="103"/>
    </row>
    <row r="21" spans="1:11" ht="38.25" x14ac:dyDescent="0.2">
      <c r="A21" s="123"/>
      <c r="B21" s="102" t="s">
        <v>175</v>
      </c>
      <c r="C21" s="102" t="s">
        <v>174</v>
      </c>
      <c r="D21" s="213"/>
      <c r="E21" s="105"/>
      <c r="F21" s="106"/>
      <c r="G21" s="103"/>
      <c r="H21" s="107"/>
      <c r="I21" s="103"/>
    </row>
    <row r="22" spans="1:11" ht="38.25" x14ac:dyDescent="0.2">
      <c r="A22" s="123"/>
      <c r="B22" s="102" t="s">
        <v>176</v>
      </c>
      <c r="C22" s="102" t="s">
        <v>174</v>
      </c>
      <c r="D22" s="103"/>
      <c r="E22" s="105"/>
      <c r="F22" s="106"/>
      <c r="G22" s="103"/>
      <c r="H22" s="107"/>
      <c r="I22" s="103"/>
    </row>
    <row r="23" spans="1:11" s="100" customFormat="1" ht="25.5" x14ac:dyDescent="0.2">
      <c r="A23" s="124"/>
      <c r="B23" s="109" t="s">
        <v>187</v>
      </c>
      <c r="C23" s="109"/>
      <c r="D23" s="111"/>
      <c r="E23" s="111"/>
      <c r="F23" s="111"/>
      <c r="G23" s="111"/>
      <c r="H23" s="111"/>
      <c r="I23" s="215"/>
    </row>
    <row r="24" spans="1:11" x14ac:dyDescent="0.2">
      <c r="A24" s="122"/>
      <c r="B24" s="120" t="s">
        <v>205</v>
      </c>
      <c r="C24" s="120"/>
      <c r="D24" s="120"/>
      <c r="E24" s="120"/>
      <c r="F24" s="127"/>
      <c r="G24" s="127">
        <f>SUM(G7:G23)-G13-G17</f>
        <v>0</v>
      </c>
      <c r="H24" s="127">
        <f>SUM(H6:H23)</f>
        <v>0</v>
      </c>
      <c r="I24" s="127">
        <f>SUM(I6:I23)</f>
        <v>0</v>
      </c>
      <c r="J24" s="127"/>
    </row>
    <row r="26" spans="1:11" x14ac:dyDescent="0.2">
      <c r="B26" s="192" t="s">
        <v>199</v>
      </c>
      <c r="G26" s="134"/>
      <c r="H26" s="193"/>
      <c r="I26" s="193"/>
      <c r="J26" s="195"/>
    </row>
    <row r="27" spans="1:11" x14ac:dyDescent="0.2">
      <c r="G27" s="134"/>
      <c r="H27" s="134"/>
      <c r="I27" s="134"/>
      <c r="J27" s="134"/>
      <c r="K27" s="196"/>
    </row>
    <row r="28" spans="1:11" x14ac:dyDescent="0.2">
      <c r="F28" s="105"/>
      <c r="G28" s="114"/>
      <c r="H28" s="114"/>
    </row>
    <row r="29" spans="1:11" x14ac:dyDescent="0.2">
      <c r="F29" s="105"/>
      <c r="G29" s="114"/>
      <c r="H29" s="114"/>
    </row>
    <row r="30" spans="1:11" x14ac:dyDescent="0.2">
      <c r="H30" s="134"/>
    </row>
    <row r="31" spans="1:11" x14ac:dyDescent="0.2">
      <c r="I31" s="134"/>
    </row>
    <row r="33" spans="9:9" x14ac:dyDescent="0.2">
      <c r="I33" s="214"/>
    </row>
  </sheetData>
  <mergeCells count="6">
    <mergeCell ref="A4:A5"/>
    <mergeCell ref="C4:D4"/>
    <mergeCell ref="E4:F4"/>
    <mergeCell ref="G4:H4"/>
    <mergeCell ref="I4:I5"/>
    <mergeCell ref="B4:B5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4:I18"/>
  <sheetViews>
    <sheetView tabSelected="1" zoomScale="80" zoomScaleNormal="80" workbookViewId="0">
      <selection activeCell="E17" sqref="E17"/>
    </sheetView>
  </sheetViews>
  <sheetFormatPr defaultColWidth="8.85546875" defaultRowHeight="12.75" x14ac:dyDescent="0.2"/>
  <cols>
    <col min="1" max="1" style="135" width="8.85546875" collapsed="false"/>
    <col min="2" max="9" customWidth="true" style="135" width="16.28515625" collapsed="false"/>
    <col min="10" max="16384" style="135" width="8.85546875" collapsed="false"/>
  </cols>
  <sheetData>
    <row r="4" spans="1:9" ht="66" customHeight="1" x14ac:dyDescent="0.2">
      <c r="A4" s="268" t="s">
        <v>51</v>
      </c>
      <c r="B4" s="267" t="s">
        <v>156</v>
      </c>
      <c r="C4" s="267" t="s">
        <v>157</v>
      </c>
      <c r="D4" s="267"/>
      <c r="E4" s="268" t="s">
        <v>162</v>
      </c>
      <c r="F4" s="268"/>
      <c r="G4" s="268" t="s">
        <v>160</v>
      </c>
      <c r="H4" s="268"/>
      <c r="I4" s="268" t="s">
        <v>163</v>
      </c>
    </row>
    <row r="5" spans="1:9" ht="25.5" x14ac:dyDescent="0.2">
      <c r="A5" s="269"/>
      <c r="B5" s="267"/>
      <c r="C5" s="96" t="s">
        <v>165</v>
      </c>
      <c r="D5" s="96" t="s">
        <v>158</v>
      </c>
      <c r="E5" s="96" t="s">
        <v>177</v>
      </c>
      <c r="F5" s="96" t="s">
        <v>159</v>
      </c>
      <c r="G5" s="96" t="s">
        <v>161</v>
      </c>
      <c r="H5" s="96" t="s">
        <v>164</v>
      </c>
      <c r="I5" s="268"/>
    </row>
    <row r="6" spans="1:9" ht="76.5" x14ac:dyDescent="0.2">
      <c r="A6" s="137">
        <v>1</v>
      </c>
      <c r="B6" s="119" t="s">
        <v>188</v>
      </c>
      <c r="C6" s="119"/>
      <c r="D6" s="119"/>
      <c r="E6" s="119"/>
      <c r="F6" s="119"/>
      <c r="G6" s="119"/>
      <c r="H6" s="119"/>
      <c r="I6" s="143"/>
    </row>
    <row r="7" spans="1:9" ht="51" x14ac:dyDescent="0.2">
      <c r="A7" s="136"/>
      <c r="B7" s="102" t="s">
        <v>166</v>
      </c>
      <c r="C7" s="102"/>
      <c r="D7" s="138"/>
      <c r="E7" s="102"/>
      <c r="F7" s="139"/>
      <c r="G7" s="140"/>
      <c r="H7" s="140"/>
      <c r="I7" s="141"/>
    </row>
    <row r="8" spans="1:9" x14ac:dyDescent="0.2">
      <c r="A8" s="136"/>
      <c r="B8" s="102"/>
      <c r="C8" s="102"/>
      <c r="D8" s="138"/>
      <c r="E8" s="102"/>
      <c r="F8" s="139"/>
      <c r="G8" s="140"/>
      <c r="H8" s="140"/>
      <c r="I8" s="141"/>
    </row>
    <row r="9" spans="1:9" ht="38.25" x14ac:dyDescent="0.2">
      <c r="A9" s="137">
        <v>2</v>
      </c>
      <c r="B9" s="119" t="s">
        <v>181</v>
      </c>
      <c r="C9" s="119"/>
      <c r="D9" s="119"/>
      <c r="E9" s="119"/>
      <c r="F9" s="119"/>
      <c r="G9" s="143"/>
      <c r="H9" s="143"/>
      <c r="I9" s="143"/>
    </row>
    <row r="10" spans="1:9" ht="25.5" x14ac:dyDescent="0.2">
      <c r="A10" s="136"/>
      <c r="B10" s="102" t="s">
        <v>170</v>
      </c>
      <c r="C10" s="102"/>
      <c r="D10" s="144"/>
      <c r="E10" s="102"/>
      <c r="F10" s="146"/>
      <c r="G10" s="140"/>
      <c r="H10" s="140"/>
      <c r="I10" s="145"/>
    </row>
    <row r="11" spans="1:9" ht="15.75" x14ac:dyDescent="0.2">
      <c r="A11" s="136"/>
      <c r="B11" s="102"/>
      <c r="C11" s="102"/>
      <c r="D11" s="144"/>
      <c r="E11" s="102" t="s">
        <v>180</v>
      </c>
      <c r="F11" s="146"/>
      <c r="G11" s="140"/>
      <c r="H11" s="140"/>
      <c r="I11" s="142"/>
    </row>
    <row r="12" spans="1:9" x14ac:dyDescent="0.2">
      <c r="I12" s="147"/>
    </row>
    <row r="13" spans="1:9" x14ac:dyDescent="0.2">
      <c r="G13" s="200"/>
    </row>
    <row r="17" spans="1:8" x14ac:dyDescent="0.2">
      <c r="A17" s="137"/>
      <c r="B17" s="220"/>
      <c r="D17" s="216"/>
      <c r="E17" s="217"/>
      <c r="F17" s="217"/>
      <c r="G17" s="218"/>
      <c r="H17" s="218"/>
    </row>
    <row r="18" spans="1:8" x14ac:dyDescent="0.2">
      <c r="G18" s="219"/>
    </row>
  </sheetData>
  <mergeCells count="6">
    <mergeCell ref="I4:I5"/>
    <mergeCell ref="A4:A5"/>
    <mergeCell ref="B4:B5"/>
    <mergeCell ref="C4:D4"/>
    <mergeCell ref="E4:F4"/>
    <mergeCell ref="G4:H4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G13"/>
  <sheetViews>
    <sheetView workbookViewId="0">
      <selection activeCell="E34" sqref="E34"/>
    </sheetView>
  </sheetViews>
  <sheetFormatPr defaultColWidth="9.140625" defaultRowHeight="12.75" x14ac:dyDescent="0.2"/>
  <cols>
    <col min="1" max="1" customWidth="true" style="1" width="11.140625" collapsed="false"/>
    <col min="2" max="2" customWidth="true" style="1" width="17.85546875" collapsed="false"/>
    <col min="3" max="3" customWidth="true" style="1" width="21.85546875" collapsed="false"/>
    <col min="4" max="7" customWidth="true" style="1" width="17.85546875" collapsed="false"/>
    <col min="8" max="16384" style="1" width="9.140625" collapsed="false"/>
  </cols>
  <sheetData>
    <row r="2" spans="1:7" x14ac:dyDescent="0.2">
      <c r="A2" s="221" t="str">
        <f>UPPER("Количественное определение ВПГ при стационарном сжигании топлива")</f>
        <v>КОЛИЧЕСТВЕННОЕ ОПРЕДЕЛЕНИЕ ВПГ ПРИ СТАЦИОНАРНОМ СЖИГАНИИ ТОПЛИВА</v>
      </c>
      <c r="B2" s="221"/>
      <c r="C2" s="221"/>
      <c r="D2" s="221"/>
      <c r="E2" s="221"/>
      <c r="F2" s="221"/>
      <c r="G2" s="221"/>
    </row>
    <row r="3" spans="1:7" ht="5.0999999999999996" customHeight="1" x14ac:dyDescent="0.2">
      <c r="A3" s="10"/>
      <c r="B3" s="10"/>
      <c r="C3" s="10"/>
      <c r="D3" s="10"/>
      <c r="E3" s="10"/>
      <c r="F3" s="10"/>
      <c r="G3" s="10"/>
    </row>
    <row r="4" spans="1:7" ht="33.6" customHeight="1" x14ac:dyDescent="0.2">
      <c r="A4" s="222" t="s">
        <v>195</v>
      </c>
      <c r="B4" s="223"/>
      <c r="C4" s="223"/>
      <c r="D4" s="223"/>
      <c r="E4" s="223"/>
      <c r="F4" s="223"/>
      <c r="G4" s="223"/>
    </row>
    <row r="5" spans="1:7" ht="5.0999999999999996" customHeight="1" x14ac:dyDescent="0.2">
      <c r="A5" s="5"/>
      <c r="B5" s="10"/>
      <c r="C5" s="10"/>
      <c r="D5" s="10"/>
      <c r="E5" s="10"/>
      <c r="F5" s="10"/>
      <c r="G5" s="10"/>
    </row>
    <row r="6" spans="1:7" ht="42.75" customHeight="1" x14ac:dyDescent="0.2">
      <c r="A6" s="222" t="s">
        <v>191</v>
      </c>
      <c r="B6" s="223"/>
      <c r="C6" s="223"/>
      <c r="D6" s="223"/>
      <c r="E6" s="223"/>
      <c r="F6" s="223"/>
      <c r="G6" s="223"/>
    </row>
    <row r="8" spans="1:7" ht="102" customHeight="1" x14ac:dyDescent="0.2">
      <c r="A8" s="225" t="s">
        <v>2</v>
      </c>
      <c r="B8" s="225" t="s">
        <v>8</v>
      </c>
      <c r="C8" s="225" t="s">
        <v>52</v>
      </c>
      <c r="D8" s="225" t="s">
        <v>55</v>
      </c>
      <c r="E8" s="225" t="s">
        <v>57</v>
      </c>
      <c r="F8" s="227" t="s">
        <v>178</v>
      </c>
      <c r="G8" s="225" t="s">
        <v>75</v>
      </c>
    </row>
    <row r="9" spans="1:7" x14ac:dyDescent="0.2">
      <c r="A9" s="226"/>
      <c r="B9" s="226"/>
      <c r="C9" s="226"/>
      <c r="D9" s="226"/>
      <c r="E9" s="226"/>
      <c r="F9" s="228"/>
      <c r="G9" s="226"/>
    </row>
    <row r="10" spans="1:7" ht="25.5" x14ac:dyDescent="0.2">
      <c r="A10" s="154"/>
      <c r="B10" s="7" t="s">
        <v>206</v>
      </c>
      <c r="C10" s="7" t="s">
        <v>208</v>
      </c>
      <c r="D10" s="8">
        <v>60000</v>
      </c>
      <c r="E10" s="8">
        <f>1</f>
        <v>1</v>
      </c>
      <c r="F10" s="27">
        <f>Расчет_коэф._стацион.сжигание!B40</f>
        <v>2.2414999999999998</v>
      </c>
      <c r="G10" s="181">
        <f>ROUND(стац.сжиг._топл.газ!$D10*стац.сжиг._топл.газ!$E10*стац.сжиг._топл.газ!$F10,0)</f>
        <v>134490</v>
      </c>
    </row>
    <row r="11" spans="1:7" ht="26.25" thickBot="1" x14ac:dyDescent="0.25">
      <c r="A11" s="154"/>
      <c r="B11" s="7" t="s">
        <v>207</v>
      </c>
      <c r="C11" s="7" t="s">
        <v>208</v>
      </c>
      <c r="D11" s="8">
        <v>20000</v>
      </c>
      <c r="E11" s="8">
        <f>1</f>
        <v>1</v>
      </c>
      <c r="F11" s="27">
        <f>Расчет_коэф._стацион.сжигание!B80</f>
        <v>2.2442000000000002</v>
      </c>
      <c r="G11" s="181">
        <f>ROUND(стац.сжиг._топл.газ!$D11*стац.сжиг._топл.газ!$E11*стац.сжиг._топл.газ!$F11,0)</f>
        <v>44884</v>
      </c>
    </row>
    <row r="12" spans="1:7" ht="13.5" thickTop="1" x14ac:dyDescent="0.2">
      <c r="A12" s="158" t="s">
        <v>76</v>
      </c>
      <c r="B12" s="159"/>
      <c r="C12" s="159"/>
      <c r="D12" s="182">
        <f>SUBTOTAL(109,стац.сжиг._топл.газ!$D$10:$D$11)</f>
        <v>80000</v>
      </c>
      <c r="E12" s="183"/>
      <c r="F12" s="183"/>
      <c r="G12" s="184">
        <f>SUBTOTAL(109,стац.сжиг._топл.газ!$G$10:$G$11)</f>
        <v>179374</v>
      </c>
    </row>
    <row r="13" spans="1:7" x14ac:dyDescent="0.2">
      <c r="A13" s="9"/>
      <c r="B13" s="9"/>
      <c r="C13" s="9"/>
      <c r="D13" s="9"/>
      <c r="E13" s="9"/>
      <c r="F13" s="9"/>
      <c r="G13"/>
    </row>
  </sheetData>
  <mergeCells count="10">
    <mergeCell ref="G8:G9"/>
    <mergeCell ref="E8:E9"/>
    <mergeCell ref="F8:F9"/>
    <mergeCell ref="A2:G2"/>
    <mergeCell ref="A4:G4"/>
    <mergeCell ref="A6:G6"/>
    <mergeCell ref="A8:A9"/>
    <mergeCell ref="B8:B9"/>
    <mergeCell ref="C8:C9"/>
    <mergeCell ref="D8:D9"/>
  </mergeCells>
  <phoneticPr fontId="3" type="noConversion"/>
  <dataValidations count="2">
    <dataValidation type="whole" operator="equal" allowBlank="1" showInputMessage="1" showErrorMessage="1" error="Принимается для всех видов газообразного, жидкого и твердого топлива по умолчанию равным 1,0 (соответствует 100% окислению топлива) независимо от применяемых процессов стационарного сжигания топлива, кроме факельного." sqref="E10:E11">
      <formula1>1</formula1>
    </dataValidation>
    <dataValidation type="decimal" operator="greaterThan" allowBlank="1" showInputMessage="1" showErrorMessage="1" error="Данные вводятся в числовом формате (&gt;0)." sqref="D10:D11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E80"/>
  <sheetViews>
    <sheetView zoomScale="85" zoomScaleNormal="85" workbookViewId="0">
      <selection activeCell="J50" sqref="J50"/>
    </sheetView>
  </sheetViews>
  <sheetFormatPr defaultRowHeight="12.75" x14ac:dyDescent="0.2"/>
  <cols>
    <col min="1" max="1" customWidth="true" width="41.42578125" collapsed="false"/>
    <col min="2" max="5" customWidth="true" width="20.7109375" collapsed="false"/>
  </cols>
  <sheetData>
    <row r="2" spans="1:5" x14ac:dyDescent="0.2">
      <c r="A2" s="221" t="s">
        <v>84</v>
      </c>
      <c r="B2" s="221"/>
      <c r="C2" s="221"/>
      <c r="D2" s="221"/>
      <c r="E2" s="221"/>
    </row>
    <row r="3" spans="1:5" ht="5.0999999999999996" customHeight="1" x14ac:dyDescent="0.2"/>
    <row r="4" spans="1:5" x14ac:dyDescent="0.2">
      <c r="A4" s="18" t="s">
        <v>9</v>
      </c>
      <c r="B4" s="42" t="s">
        <v>107</v>
      </c>
    </row>
    <row r="5" spans="1:5" ht="5.0999999999999996" customHeight="1" x14ac:dyDescent="0.2">
      <c r="A5" s="5"/>
      <c r="B5" s="20"/>
    </row>
    <row r="6" spans="1:5" ht="25.5" x14ac:dyDescent="0.2">
      <c r="A6" s="18" t="s">
        <v>85</v>
      </c>
      <c r="B6" s="42" t="s">
        <v>206</v>
      </c>
    </row>
    <row r="7" spans="1:5" ht="5.0999999999999996" customHeight="1" x14ac:dyDescent="0.2">
      <c r="A7" s="5"/>
      <c r="B7" s="20"/>
    </row>
    <row r="8" spans="1:5" ht="25.5" x14ac:dyDescent="0.2">
      <c r="A8" s="18" t="s">
        <v>86</v>
      </c>
      <c r="B8" s="42" t="s">
        <v>208</v>
      </c>
    </row>
    <row r="9" spans="1:5" ht="5.0999999999999996" customHeight="1" x14ac:dyDescent="0.2">
      <c r="A9" s="5"/>
      <c r="B9" s="20"/>
    </row>
    <row r="10" spans="1:5" ht="25.5" x14ac:dyDescent="0.2">
      <c r="A10" s="18" t="s">
        <v>87</v>
      </c>
      <c r="B10" s="43"/>
    </row>
    <row r="11" spans="1:5" x14ac:dyDescent="0.2">
      <c r="A11" s="19"/>
      <c r="B11" s="19"/>
    </row>
    <row r="12" spans="1:5" s="1" customFormat="1" x14ac:dyDescent="0.2">
      <c r="A12" s="1" t="s">
        <v>88</v>
      </c>
    </row>
    <row r="14" spans="1:5" ht="63" customHeight="1" x14ac:dyDescent="0.2">
      <c r="A14" s="12" t="s">
        <v>61</v>
      </c>
      <c r="B14" s="12" t="s">
        <v>60</v>
      </c>
      <c r="C14" s="12" t="s">
        <v>78</v>
      </c>
      <c r="D14" s="12" t="s">
        <v>67</v>
      </c>
      <c r="E14" s="12" t="s">
        <v>63</v>
      </c>
    </row>
    <row r="15" spans="1:5" x14ac:dyDescent="0.2">
      <c r="A15" s="168" t="s">
        <v>14</v>
      </c>
      <c r="B15" s="168" t="s">
        <v>15</v>
      </c>
      <c r="C15" s="188">
        <v>1.329</v>
      </c>
      <c r="D15" s="175">
        <v>1</v>
      </c>
      <c r="E15" s="176">
        <f>C15*D15</f>
        <v>1.329</v>
      </c>
    </row>
    <row r="16" spans="1:5" x14ac:dyDescent="0.2">
      <c r="A16" s="168" t="s">
        <v>10</v>
      </c>
      <c r="B16" s="168" t="s">
        <v>11</v>
      </c>
      <c r="C16" s="188">
        <v>2.1000000000000001E-2</v>
      </c>
      <c r="D16" s="175">
        <v>0</v>
      </c>
      <c r="E16" s="176">
        <f>C16*D16</f>
        <v>0</v>
      </c>
    </row>
    <row r="17" spans="1:5" x14ac:dyDescent="0.2">
      <c r="A17" s="168" t="s">
        <v>12</v>
      </c>
      <c r="B17" s="168" t="s">
        <v>13</v>
      </c>
      <c r="C17" s="188">
        <v>8.923</v>
      </c>
      <c r="D17" s="175">
        <v>0</v>
      </c>
      <c r="E17" s="176">
        <f t="shared" ref="E17:E35" si="0">C17*D17</f>
        <v>0</v>
      </c>
    </row>
    <row r="18" spans="1:5" x14ac:dyDescent="0.2">
      <c r="A18" s="168" t="s">
        <v>16</v>
      </c>
      <c r="B18" s="168" t="s">
        <v>17</v>
      </c>
      <c r="C18" s="188">
        <v>0.48799999999999999</v>
      </c>
      <c r="D18" s="175">
        <v>0</v>
      </c>
      <c r="E18" s="176">
        <f t="shared" si="0"/>
        <v>0</v>
      </c>
    </row>
    <row r="19" spans="1:5" x14ac:dyDescent="0.2">
      <c r="A19" s="168" t="s">
        <v>18</v>
      </c>
      <c r="B19" s="168" t="s">
        <v>19</v>
      </c>
      <c r="C19" s="188">
        <v>2E-3</v>
      </c>
      <c r="D19" s="175">
        <v>0</v>
      </c>
      <c r="E19" s="176">
        <f t="shared" si="0"/>
        <v>0</v>
      </c>
    </row>
    <row r="20" spans="1:5" x14ac:dyDescent="0.2">
      <c r="A20" s="168" t="s">
        <v>20</v>
      </c>
      <c r="B20" s="168" t="s">
        <v>21</v>
      </c>
      <c r="C20" s="188">
        <v>3.6999999999999998E-2</v>
      </c>
      <c r="D20" s="175">
        <v>0</v>
      </c>
      <c r="E20" s="176">
        <f t="shared" si="0"/>
        <v>0</v>
      </c>
    </row>
    <row r="21" spans="1:5" x14ac:dyDescent="0.2">
      <c r="A21" s="168" t="s">
        <v>22</v>
      </c>
      <c r="B21" s="168" t="s">
        <v>23</v>
      </c>
      <c r="C21" s="188"/>
      <c r="D21" s="175">
        <v>0</v>
      </c>
      <c r="E21" s="176">
        <f t="shared" si="0"/>
        <v>0</v>
      </c>
    </row>
    <row r="22" spans="1:5" x14ac:dyDescent="0.2">
      <c r="A22" s="168" t="s">
        <v>24</v>
      </c>
      <c r="B22" s="168" t="s">
        <v>25</v>
      </c>
      <c r="C22" s="188"/>
      <c r="D22" s="175">
        <v>1</v>
      </c>
      <c r="E22" s="176">
        <f t="shared" si="0"/>
        <v>0</v>
      </c>
    </row>
    <row r="23" spans="1:5" x14ac:dyDescent="0.2">
      <c r="A23" s="168" t="s">
        <v>26</v>
      </c>
      <c r="B23" s="168" t="s">
        <v>27</v>
      </c>
      <c r="C23" s="189">
        <v>70.037999999999997</v>
      </c>
      <c r="D23" s="175">
        <v>1</v>
      </c>
      <c r="E23" s="176">
        <f t="shared" si="0"/>
        <v>70.037999999999997</v>
      </c>
    </row>
    <row r="24" spans="1:5" x14ac:dyDescent="0.2">
      <c r="A24" s="168" t="s">
        <v>28</v>
      </c>
      <c r="B24" s="168" t="s">
        <v>29</v>
      </c>
      <c r="C24" s="189">
        <v>10.845000000000001</v>
      </c>
      <c r="D24" s="175">
        <v>2</v>
      </c>
      <c r="E24" s="176">
        <f t="shared" si="0"/>
        <v>21.69</v>
      </c>
    </row>
    <row r="25" spans="1:5" x14ac:dyDescent="0.2">
      <c r="A25" s="168" t="s">
        <v>30</v>
      </c>
      <c r="B25" s="168" t="s">
        <v>31</v>
      </c>
      <c r="C25" s="189">
        <v>5.5780000000000003</v>
      </c>
      <c r="D25" s="175">
        <v>3</v>
      </c>
      <c r="E25" s="176">
        <f t="shared" si="0"/>
        <v>16.734000000000002</v>
      </c>
    </row>
    <row r="26" spans="1:5" x14ac:dyDescent="0.2">
      <c r="A26" s="168" t="s">
        <v>32</v>
      </c>
      <c r="B26" s="168" t="s">
        <v>33</v>
      </c>
      <c r="C26" s="189">
        <v>1.8979999999999999</v>
      </c>
      <c r="D26" s="175">
        <v>4</v>
      </c>
      <c r="E26" s="176">
        <f t="shared" si="0"/>
        <v>7.5919999999999996</v>
      </c>
    </row>
    <row r="27" spans="1:5" x14ac:dyDescent="0.2">
      <c r="A27" s="168" t="s">
        <v>34</v>
      </c>
      <c r="B27" s="168" t="s">
        <v>35</v>
      </c>
      <c r="C27" s="189"/>
      <c r="D27" s="175">
        <v>4</v>
      </c>
      <c r="E27" s="176">
        <f t="shared" si="0"/>
        <v>0</v>
      </c>
    </row>
    <row r="28" spans="1:5" x14ac:dyDescent="0.2">
      <c r="A28" s="168" t="s">
        <v>36</v>
      </c>
      <c r="B28" s="168" t="s">
        <v>37</v>
      </c>
      <c r="C28" s="189">
        <v>0.56399999999999995</v>
      </c>
      <c r="D28" s="175">
        <v>5</v>
      </c>
      <c r="E28" s="176">
        <f t="shared" si="0"/>
        <v>2.82</v>
      </c>
    </row>
    <row r="29" spans="1:5" x14ac:dyDescent="0.2">
      <c r="A29" s="168" t="s">
        <v>38</v>
      </c>
      <c r="B29" s="168" t="s">
        <v>39</v>
      </c>
      <c r="C29" s="189"/>
      <c r="D29" s="175">
        <v>5</v>
      </c>
      <c r="E29" s="176">
        <f t="shared" si="0"/>
        <v>0</v>
      </c>
    </row>
    <row r="30" spans="1:5" x14ac:dyDescent="0.2">
      <c r="A30" s="168" t="s">
        <v>40</v>
      </c>
      <c r="B30" s="168" t="s">
        <v>41</v>
      </c>
      <c r="C30" s="189">
        <v>0.27700000000000002</v>
      </c>
      <c r="D30" s="175">
        <v>6</v>
      </c>
      <c r="E30" s="176">
        <f t="shared" si="0"/>
        <v>1.6620000000000001</v>
      </c>
    </row>
    <row r="31" spans="1:5" x14ac:dyDescent="0.2">
      <c r="A31" s="168" t="s">
        <v>42</v>
      </c>
      <c r="B31" s="168" t="s">
        <v>43</v>
      </c>
      <c r="C31" s="188"/>
      <c r="D31" s="175">
        <v>7</v>
      </c>
      <c r="E31" s="176">
        <f t="shared" si="0"/>
        <v>0</v>
      </c>
    </row>
    <row r="32" spans="1:5" x14ac:dyDescent="0.2">
      <c r="A32" s="168" t="s">
        <v>44</v>
      </c>
      <c r="B32" s="168" t="s">
        <v>45</v>
      </c>
      <c r="C32" s="188"/>
      <c r="D32" s="175">
        <v>8</v>
      </c>
      <c r="E32" s="176">
        <f t="shared" si="0"/>
        <v>0</v>
      </c>
    </row>
    <row r="33" spans="1:5" x14ac:dyDescent="0.2">
      <c r="A33" s="168" t="s">
        <v>46</v>
      </c>
      <c r="B33" s="168" t="s">
        <v>47</v>
      </c>
      <c r="C33" s="188"/>
      <c r="D33" s="175">
        <v>9</v>
      </c>
      <c r="E33" s="176">
        <f t="shared" si="0"/>
        <v>0</v>
      </c>
    </row>
    <row r="34" spans="1:5" x14ac:dyDescent="0.2">
      <c r="A34" s="168" t="s">
        <v>48</v>
      </c>
      <c r="B34" s="168" t="s">
        <v>49</v>
      </c>
      <c r="C34" s="188"/>
      <c r="D34" s="175">
        <v>10</v>
      </c>
      <c r="E34" s="176">
        <f t="shared" si="0"/>
        <v>0</v>
      </c>
    </row>
    <row r="35" spans="1:5" ht="39" thickBot="1" x14ac:dyDescent="0.25">
      <c r="A35" s="167" t="s">
        <v>50</v>
      </c>
      <c r="B35" s="168" t="s">
        <v>29</v>
      </c>
      <c r="C35" s="188"/>
      <c r="D35" s="175">
        <v>2</v>
      </c>
      <c r="E35" s="176">
        <f t="shared" si="0"/>
        <v>0</v>
      </c>
    </row>
    <row r="36" spans="1:5" ht="13.5" thickTop="1" x14ac:dyDescent="0.2">
      <c r="A36" s="177" t="s">
        <v>76</v>
      </c>
      <c r="B36" s="177"/>
      <c r="C36" s="178">
        <f>SUBTOTAL(109,Расчет_коэф._стацион.сжигание!$C$15:$C$35)</f>
        <v>99.999999999999986</v>
      </c>
      <c r="D36" s="179"/>
      <c r="E36" s="180">
        <f>SUBTOTAL(109,Расчет_коэф._стацион.сжигание!$E$15:$E$35)</f>
        <v>121.86499999999999</v>
      </c>
    </row>
    <row r="38" spans="1:5" x14ac:dyDescent="0.2">
      <c r="A38" s="18" t="s">
        <v>93</v>
      </c>
      <c r="B38" s="40">
        <v>1.8392999999999999</v>
      </c>
    </row>
    <row r="39" spans="1:5" ht="5.0999999999999996" customHeight="1" x14ac:dyDescent="0.2">
      <c r="A39" s="17"/>
      <c r="B39" s="21"/>
    </row>
    <row r="40" spans="1:5" ht="49.5" x14ac:dyDescent="0.2">
      <c r="A40" s="18" t="s">
        <v>98</v>
      </c>
      <c r="B40" s="41">
        <f>ROUND(E36*B38/100,4)</f>
        <v>2.2414999999999998</v>
      </c>
    </row>
    <row r="43" spans="1:5" x14ac:dyDescent="0.2">
      <c r="A43" s="18" t="s">
        <v>9</v>
      </c>
      <c r="B43" s="42" t="s">
        <v>107</v>
      </c>
    </row>
    <row r="44" spans="1:5" x14ac:dyDescent="0.2">
      <c r="A44" s="5"/>
      <c r="B44" s="20"/>
    </row>
    <row r="45" spans="1:5" x14ac:dyDescent="0.2">
      <c r="A45" s="18" t="s">
        <v>85</v>
      </c>
      <c r="B45" s="42" t="s">
        <v>209</v>
      </c>
    </row>
    <row r="46" spans="1:5" x14ac:dyDescent="0.2">
      <c r="A46" s="5"/>
      <c r="B46" s="20"/>
    </row>
    <row r="47" spans="1:5" ht="25.5" x14ac:dyDescent="0.2">
      <c r="A47" s="18" t="s">
        <v>86</v>
      </c>
      <c r="B47" s="42" t="s">
        <v>208</v>
      </c>
    </row>
    <row r="48" spans="1:5" x14ac:dyDescent="0.2">
      <c r="A48" s="5"/>
      <c r="B48" s="20"/>
    </row>
    <row r="49" spans="1:5" ht="25.5" x14ac:dyDescent="0.2">
      <c r="A49" s="18" t="s">
        <v>87</v>
      </c>
      <c r="B49" s="43"/>
    </row>
    <row r="50" spans="1:5" x14ac:dyDescent="0.2">
      <c r="A50" s="19"/>
      <c r="B50" s="19"/>
    </row>
    <row r="51" spans="1:5" x14ac:dyDescent="0.2">
      <c r="A51" s="1" t="s">
        <v>88</v>
      </c>
      <c r="B51" s="1"/>
      <c r="C51" s="1"/>
      <c r="D51" s="1"/>
      <c r="E51" s="1"/>
    </row>
    <row r="53" spans="1:5" ht="63.75" x14ac:dyDescent="0.2">
      <c r="A53" s="12" t="s">
        <v>61</v>
      </c>
      <c r="B53" s="12" t="s">
        <v>60</v>
      </c>
      <c r="C53" s="12" t="s">
        <v>78</v>
      </c>
      <c r="D53" s="12" t="s">
        <v>67</v>
      </c>
      <c r="E53" s="12" t="s">
        <v>63</v>
      </c>
    </row>
    <row r="54" spans="1:5" ht="12.75" customHeight="1" x14ac:dyDescent="0.2">
      <c r="A54" s="15" t="s">
        <v>1</v>
      </c>
      <c r="B54" s="15" t="s">
        <v>3</v>
      </c>
      <c r="C54" s="39" t="s">
        <v>4</v>
      </c>
      <c r="D54" s="39" t="s">
        <v>5</v>
      </c>
      <c r="E54" s="39" t="s">
        <v>6</v>
      </c>
    </row>
    <row r="55" spans="1:5" x14ac:dyDescent="0.2">
      <c r="A55" s="13" t="s">
        <v>14</v>
      </c>
      <c r="B55" s="2" t="s">
        <v>15</v>
      </c>
      <c r="C55" s="22">
        <v>1.210444325629066</v>
      </c>
      <c r="D55" s="23">
        <v>1</v>
      </c>
      <c r="E55" s="24">
        <f>C55*D55</f>
        <v>1.210444325629066</v>
      </c>
    </row>
    <row r="56" spans="1:5" x14ac:dyDescent="0.2">
      <c r="A56" s="13" t="s">
        <v>10</v>
      </c>
      <c r="B56" s="2" t="s">
        <v>11</v>
      </c>
      <c r="C56" s="22">
        <v>2.3926738431090184E-2</v>
      </c>
      <c r="D56" s="23">
        <v>0</v>
      </c>
      <c r="E56" s="24">
        <f>C56*D56</f>
        <v>0</v>
      </c>
    </row>
    <row r="57" spans="1:5" x14ac:dyDescent="0.2">
      <c r="A57" s="13" t="s">
        <v>12</v>
      </c>
      <c r="B57" s="2" t="s">
        <v>13</v>
      </c>
      <c r="C57" s="22">
        <v>9.0036110768997837</v>
      </c>
      <c r="D57" s="23">
        <v>0</v>
      </c>
      <c r="E57" s="24">
        <f t="shared" ref="E57:E75" si="1">C57*D57</f>
        <v>0</v>
      </c>
    </row>
    <row r="58" spans="1:5" x14ac:dyDescent="0.2">
      <c r="A58" s="13" t="s">
        <v>16</v>
      </c>
      <c r="B58" s="2" t="s">
        <v>17</v>
      </c>
      <c r="C58" s="22">
        <v>0.34965253296665111</v>
      </c>
      <c r="D58" s="23">
        <v>0</v>
      </c>
      <c r="E58" s="24">
        <f t="shared" si="1"/>
        <v>0</v>
      </c>
    </row>
    <row r="59" spans="1:5" x14ac:dyDescent="0.2">
      <c r="A59" s="13" t="s">
        <v>18</v>
      </c>
      <c r="B59" s="2" t="s">
        <v>19</v>
      </c>
      <c r="C59" s="22">
        <v>2.9670308052526643E-3</v>
      </c>
      <c r="D59" s="23">
        <v>0</v>
      </c>
      <c r="E59" s="24">
        <f t="shared" si="1"/>
        <v>0</v>
      </c>
    </row>
    <row r="60" spans="1:5" x14ac:dyDescent="0.2">
      <c r="A60" s="13" t="s">
        <v>20</v>
      </c>
      <c r="B60" s="2" t="s">
        <v>21</v>
      </c>
      <c r="C60" s="22">
        <v>3.6515109664500098E-2</v>
      </c>
      <c r="D60" s="23">
        <v>0</v>
      </c>
      <c r="E60" s="24">
        <f t="shared" si="1"/>
        <v>0</v>
      </c>
    </row>
    <row r="61" spans="1:5" x14ac:dyDescent="0.2">
      <c r="A61" s="13" t="s">
        <v>22</v>
      </c>
      <c r="B61" s="2" t="s">
        <v>23</v>
      </c>
      <c r="C61" s="22"/>
      <c r="D61" s="23">
        <v>0</v>
      </c>
      <c r="E61" s="24">
        <f t="shared" si="1"/>
        <v>0</v>
      </c>
    </row>
    <row r="62" spans="1:5" x14ac:dyDescent="0.2">
      <c r="A62" s="13" t="s">
        <v>24</v>
      </c>
      <c r="B62" s="2" t="s">
        <v>25</v>
      </c>
      <c r="C62" s="22"/>
      <c r="D62" s="23">
        <v>1</v>
      </c>
      <c r="E62" s="24">
        <f t="shared" si="1"/>
        <v>0</v>
      </c>
    </row>
    <row r="63" spans="1:5" x14ac:dyDescent="0.2">
      <c r="A63" s="13" t="s">
        <v>26</v>
      </c>
      <c r="B63" s="2" t="s">
        <v>27</v>
      </c>
      <c r="C63" s="23">
        <v>70.13851672966662</v>
      </c>
      <c r="D63" s="23">
        <v>1</v>
      </c>
      <c r="E63" s="24">
        <f t="shared" si="1"/>
        <v>70.13851672966662</v>
      </c>
    </row>
    <row r="64" spans="1:5" x14ac:dyDescent="0.2">
      <c r="A64" s="13" t="s">
        <v>28</v>
      </c>
      <c r="B64" s="2" t="s">
        <v>29</v>
      </c>
      <c r="C64" s="23">
        <v>10.906577853564727</v>
      </c>
      <c r="D64" s="23">
        <v>2</v>
      </c>
      <c r="E64" s="24">
        <f t="shared" si="1"/>
        <v>21.813155707129454</v>
      </c>
    </row>
    <row r="65" spans="1:5" x14ac:dyDescent="0.2">
      <c r="A65" s="13" t="s">
        <v>30</v>
      </c>
      <c r="B65" s="2" t="s">
        <v>31</v>
      </c>
      <c r="C65" s="23">
        <v>5.585670014664899</v>
      </c>
      <c r="D65" s="23">
        <v>3</v>
      </c>
      <c r="E65" s="24">
        <f t="shared" si="1"/>
        <v>16.757010043994697</v>
      </c>
    </row>
    <row r="66" spans="1:5" x14ac:dyDescent="0.2">
      <c r="A66" s="13" t="s">
        <v>32</v>
      </c>
      <c r="B66" s="2" t="s">
        <v>33</v>
      </c>
      <c r="C66" s="23">
        <v>1.8981361805855801</v>
      </c>
      <c r="D66" s="23">
        <v>4</v>
      </c>
      <c r="E66" s="24">
        <f t="shared" si="1"/>
        <v>7.5925447223423204</v>
      </c>
    </row>
    <row r="67" spans="1:5" x14ac:dyDescent="0.2">
      <c r="A67" s="13" t="s">
        <v>34</v>
      </c>
      <c r="B67" s="2" t="s">
        <v>35</v>
      </c>
      <c r="C67" s="23"/>
      <c r="D67" s="23">
        <v>4</v>
      </c>
      <c r="E67" s="24">
        <f t="shared" si="1"/>
        <v>0</v>
      </c>
    </row>
    <row r="68" spans="1:5" x14ac:dyDescent="0.2">
      <c r="A68" s="13" t="s">
        <v>36</v>
      </c>
      <c r="B68" s="2" t="s">
        <v>37</v>
      </c>
      <c r="C68" s="23">
        <v>0.56363274885241565</v>
      </c>
      <c r="D68" s="23">
        <v>5</v>
      </c>
      <c r="E68" s="24">
        <f t="shared" si="1"/>
        <v>2.8181637442620784</v>
      </c>
    </row>
    <row r="69" spans="1:5" x14ac:dyDescent="0.2">
      <c r="A69" s="13" t="s">
        <v>38</v>
      </c>
      <c r="B69" s="2" t="s">
        <v>39</v>
      </c>
      <c r="C69" s="23"/>
      <c r="D69" s="23">
        <v>5</v>
      </c>
      <c r="E69" s="24">
        <f t="shared" si="1"/>
        <v>0</v>
      </c>
    </row>
    <row r="70" spans="1:5" x14ac:dyDescent="0.2">
      <c r="A70" s="13" t="s">
        <v>40</v>
      </c>
      <c r="B70" s="2" t="s">
        <v>41</v>
      </c>
      <c r="C70" s="23">
        <v>0.28034965826941877</v>
      </c>
      <c r="D70" s="23">
        <v>6</v>
      </c>
      <c r="E70" s="24">
        <f t="shared" si="1"/>
        <v>1.6820979496165127</v>
      </c>
    </row>
    <row r="71" spans="1:5" x14ac:dyDescent="0.2">
      <c r="A71" s="13" t="s">
        <v>42</v>
      </c>
      <c r="B71" s="2" t="s">
        <v>43</v>
      </c>
      <c r="C71" s="22"/>
      <c r="D71" s="23">
        <v>7</v>
      </c>
      <c r="E71" s="24">
        <f t="shared" si="1"/>
        <v>0</v>
      </c>
    </row>
    <row r="72" spans="1:5" x14ac:dyDescent="0.2">
      <c r="A72" s="13" t="s">
        <v>44</v>
      </c>
      <c r="B72" s="2" t="s">
        <v>45</v>
      </c>
      <c r="C72" s="22"/>
      <c r="D72" s="23">
        <v>8</v>
      </c>
      <c r="E72" s="24">
        <f t="shared" si="1"/>
        <v>0</v>
      </c>
    </row>
    <row r="73" spans="1:5" x14ac:dyDescent="0.2">
      <c r="A73" s="13" t="s">
        <v>46</v>
      </c>
      <c r="B73" s="2" t="s">
        <v>47</v>
      </c>
      <c r="C73" s="22"/>
      <c r="D73" s="23">
        <v>9</v>
      </c>
      <c r="E73" s="24">
        <f t="shared" si="1"/>
        <v>0</v>
      </c>
    </row>
    <row r="74" spans="1:5" x14ac:dyDescent="0.2">
      <c r="A74" s="13" t="s">
        <v>48</v>
      </c>
      <c r="B74" s="2" t="s">
        <v>49</v>
      </c>
      <c r="C74" s="22"/>
      <c r="D74" s="23">
        <v>10</v>
      </c>
      <c r="E74" s="24">
        <f t="shared" si="1"/>
        <v>0</v>
      </c>
    </row>
    <row r="75" spans="1:5" ht="39" thickBot="1" x14ac:dyDescent="0.25">
      <c r="A75" s="29" t="s">
        <v>50</v>
      </c>
      <c r="B75" s="14" t="s">
        <v>29</v>
      </c>
      <c r="C75" s="30"/>
      <c r="D75" s="25">
        <v>2</v>
      </c>
      <c r="E75" s="26">
        <f t="shared" si="1"/>
        <v>0</v>
      </c>
    </row>
    <row r="76" spans="1:5" ht="13.5" thickTop="1" x14ac:dyDescent="0.2">
      <c r="A76" s="31" t="s">
        <v>76</v>
      </c>
      <c r="B76" s="32"/>
      <c r="C76" s="48">
        <f>SUBTOTAL(109,КоэффициентСтационарногоСжигания2[3])</f>
        <v>100</v>
      </c>
      <c r="D76" s="33"/>
      <c r="E76" s="34">
        <f>SUBTOTAL(109,КоэффициентСтационарногоСжигания2[5])</f>
        <v>122.01193322264076</v>
      </c>
    </row>
    <row r="78" spans="1:5" x14ac:dyDescent="0.2">
      <c r="A78" s="18" t="s">
        <v>93</v>
      </c>
      <c r="B78" s="40">
        <v>1.8392999999999999</v>
      </c>
    </row>
    <row r="79" spans="1:5" x14ac:dyDescent="0.2">
      <c r="A79" s="17"/>
      <c r="B79" s="21"/>
    </row>
    <row r="80" spans="1:5" ht="49.5" x14ac:dyDescent="0.2">
      <c r="A80" s="18" t="s">
        <v>98</v>
      </c>
      <c r="B80" s="41">
        <f>ROUND(E76*B78/100,4)</f>
        <v>2.2442000000000002</v>
      </c>
    </row>
  </sheetData>
  <mergeCells count="1">
    <mergeCell ref="A2:E2"/>
  </mergeCells>
  <phoneticPr fontId="3" type="noConversion"/>
  <dataValidations count="9">
    <dataValidation allowBlank="1" showInputMessage="1" showErrorMessage="1" prompt="Принимается по столбцу 2 формы 9." sqref="C53"/>
    <dataValidation allowBlank="1" showInputMessage="1" showErrorMessage="1" prompt="Рассчитывается автоматически." sqref="D53"/>
    <dataValidation allowBlank="1" showInputMessage="1" showErrorMessage="1" prompt="Входные данные в столбец 7 вкладки &quot;стац.сжиг._кислый газ&quot;." sqref="B40 B80"/>
    <dataValidation type="decimal" operator="greaterThan" allowBlank="1" showInputMessage="1" showErrorMessage="1" error="Данные вводятся в числовом формате (&gt;0)." sqref="C15:C35 B38 B10 C55:C75 B78 B49">
      <formula1>0</formula1>
    </dataValidation>
    <dataValidation allowBlank="1" showInputMessage="1" showErrorMessage="1" prompt="Принимается по столбцу 1 формы 7." sqref="A8 A47"/>
    <dataValidation allowBlank="1" showInputMessage="1" showErrorMessage="1" prompt="Принимается по столбцу 5 формы 7." sqref="A4 A43"/>
    <dataValidation allowBlank="1" showInputMessage="1" showErrorMessage="1" prompt="Принимается по столбцу 3 формы 7." sqref="A6 A45"/>
    <dataValidation allowBlank="1" showInputMessage="1" showErrorMessage="1" prompt="Согласно ПДВ." sqref="A10 A49"/>
    <dataValidation allowBlank="1" showInputMessage="1" showErrorMessage="1" prompt="Принимается по таблице 1.2 Приложения 2 МУ №300 - вкладка &quot;Информаионно (5)&quot;." sqref="A38 A78"/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N14"/>
  <sheetViews>
    <sheetView zoomScale="85" zoomScaleNormal="85" workbookViewId="0">
      <selection activeCell="G36" sqref="G36:G37"/>
    </sheetView>
  </sheetViews>
  <sheetFormatPr defaultColWidth="9.140625" defaultRowHeight="12.75" x14ac:dyDescent="0.2"/>
  <cols>
    <col min="1" max="1" customWidth="true" style="1" width="11.140625" collapsed="false"/>
    <col min="2" max="2" customWidth="true" style="1" width="17.85546875" collapsed="false"/>
    <col min="3" max="3" customWidth="true" style="1" width="22.28515625" collapsed="false"/>
    <col min="4" max="14" customWidth="true" style="1" width="17.85546875" collapsed="false"/>
    <col min="15" max="16384" style="1" width="9.140625" collapsed="false"/>
  </cols>
  <sheetData>
    <row r="2" spans="1:14" x14ac:dyDescent="0.2">
      <c r="A2" s="221" t="str">
        <f>UPPER("Количественное определение ВПГ при сжигании углеводородной смеси (УВС) в факелах")</f>
        <v>КОЛИЧЕСТВЕННОЕ ОПРЕДЕЛЕНИЕ ВПГ ПРИ СЖИГАНИИ УГЛЕВОДОРОДНОЙ СМЕСИ (УВС) В ФАКЕЛАХ</v>
      </c>
      <c r="B2" s="221"/>
      <c r="C2" s="221"/>
      <c r="D2" s="221"/>
      <c r="E2" s="221"/>
      <c r="F2" s="221"/>
      <c r="G2" s="221"/>
      <c r="H2" s="221"/>
    </row>
    <row r="3" spans="1:14" x14ac:dyDescent="0.2">
      <c r="A3" s="148"/>
      <c r="B3" s="148"/>
      <c r="C3" s="148"/>
      <c r="D3" s="148"/>
      <c r="E3" s="148"/>
      <c r="F3" s="148"/>
      <c r="G3" s="148"/>
      <c r="H3" s="148"/>
    </row>
    <row r="4" spans="1:14" ht="28.15" customHeight="1" x14ac:dyDescent="0.2">
      <c r="A4" s="222" t="s">
        <v>194</v>
      </c>
      <c r="B4" s="223"/>
      <c r="C4" s="223"/>
      <c r="D4" s="223"/>
      <c r="E4" s="223"/>
      <c r="F4" s="223"/>
      <c r="G4" s="223"/>
      <c r="H4" s="223"/>
    </row>
    <row r="5" spans="1:14" ht="5.0999999999999996" customHeight="1" x14ac:dyDescent="0.2">
      <c r="A5" s="10"/>
      <c r="B5" s="10"/>
      <c r="C5" s="10"/>
      <c r="D5" s="10"/>
      <c r="E5" s="10"/>
      <c r="F5" s="10"/>
      <c r="G5" s="10"/>
      <c r="H5" s="10"/>
    </row>
    <row r="6" spans="1:14" ht="5.0999999999999996" customHeight="1" x14ac:dyDescent="0.2">
      <c r="A6" s="5"/>
      <c r="B6" s="10"/>
      <c r="C6" s="10"/>
      <c r="D6" s="10"/>
      <c r="E6" s="10"/>
      <c r="F6" s="10"/>
      <c r="G6" s="10"/>
      <c r="H6" s="10"/>
    </row>
    <row r="7" spans="1:14" ht="45" customHeight="1" x14ac:dyDescent="0.2">
      <c r="A7" s="222" t="s">
        <v>191</v>
      </c>
      <c r="B7" s="223"/>
      <c r="C7" s="223"/>
      <c r="D7" s="223"/>
      <c r="E7" s="223"/>
      <c r="F7" s="223"/>
      <c r="G7" s="223"/>
      <c r="H7" s="223"/>
    </row>
    <row r="9" spans="1:14" ht="102" customHeight="1" x14ac:dyDescent="0.2">
      <c r="A9" s="225" t="s">
        <v>2</v>
      </c>
      <c r="B9" s="225" t="s">
        <v>8</v>
      </c>
      <c r="C9" s="225" t="s">
        <v>52</v>
      </c>
      <c r="D9" s="225" t="s">
        <v>112</v>
      </c>
      <c r="E9" s="232" t="s">
        <v>58</v>
      </c>
      <c r="F9" s="237" t="s">
        <v>109</v>
      </c>
      <c r="G9" s="237" t="s">
        <v>110</v>
      </c>
      <c r="H9" s="237" t="s">
        <v>64</v>
      </c>
      <c r="I9" s="225" t="s">
        <v>65</v>
      </c>
      <c r="J9" s="232" t="s">
        <v>66</v>
      </c>
      <c r="K9" s="233"/>
      <c r="L9" s="232" t="s">
        <v>72</v>
      </c>
      <c r="M9" s="233"/>
      <c r="N9" s="225" t="s">
        <v>71</v>
      </c>
    </row>
    <row r="10" spans="1:14" x14ac:dyDescent="0.2">
      <c r="A10" s="226"/>
      <c r="B10" s="226"/>
      <c r="C10" s="226"/>
      <c r="D10" s="226"/>
      <c r="E10" s="236"/>
      <c r="F10" s="237"/>
      <c r="G10" s="237"/>
      <c r="H10" s="237"/>
      <c r="I10" s="226"/>
      <c r="J10" s="234"/>
      <c r="K10" s="235"/>
      <c r="L10" s="234"/>
      <c r="M10" s="235"/>
      <c r="N10" s="226"/>
    </row>
    <row r="11" spans="1:14" ht="24.75" customHeight="1" x14ac:dyDescent="0.2">
      <c r="A11" s="226"/>
      <c r="B11" s="226"/>
      <c r="C11" s="231"/>
      <c r="D11" s="231"/>
      <c r="E11" s="234"/>
      <c r="F11" s="237"/>
      <c r="G11" s="237"/>
      <c r="H11" s="237"/>
      <c r="I11" s="231"/>
      <c r="J11" s="3" t="s">
        <v>54</v>
      </c>
      <c r="K11" s="4" t="s">
        <v>0</v>
      </c>
      <c r="L11" s="3" t="s">
        <v>54</v>
      </c>
      <c r="M11" s="4" t="s">
        <v>0</v>
      </c>
      <c r="N11" s="231"/>
    </row>
    <row r="12" spans="1:14" ht="26.25" thickBot="1" x14ac:dyDescent="0.25">
      <c r="A12" s="154" t="s">
        <v>7</v>
      </c>
      <c r="B12" s="6" t="s">
        <v>210</v>
      </c>
      <c r="C12" s="7" t="s">
        <v>208</v>
      </c>
      <c r="D12" s="7" t="s">
        <v>80</v>
      </c>
      <c r="E12" s="8">
        <v>10000</v>
      </c>
      <c r="F12" s="36">
        <f>'Расчет коэф._факельное сжигание'!B44</f>
        <v>2.7353000000000001</v>
      </c>
      <c r="G12" s="210">
        <f>'Расчет коэф._факельное сжигание'!B52</f>
        <v>2.4000000000000001E-4</v>
      </c>
      <c r="H12" s="8">
        <f>ROUND('факельное сжигание'!$E12*'факельное сжигание'!$F12,0)</f>
        <v>27353</v>
      </c>
      <c r="I12" s="44">
        <f>ROUND('факельное сжигание'!$E12*'факельное сжигание'!$G12,0)</f>
        <v>2</v>
      </c>
      <c r="J12" s="8">
        <v>1</v>
      </c>
      <c r="K12" s="8">
        <v>25</v>
      </c>
      <c r="L12" s="44">
        <f>ROUND('факельное сжигание'!$H12*'факельное сжигание'!$J12,0)</f>
        <v>27353</v>
      </c>
      <c r="M12" s="44">
        <f>ROUND('факельное сжигание'!$I12*'факельное сжигание'!$K12,0)</f>
        <v>50</v>
      </c>
      <c r="N12" s="165">
        <f>ROUND(('факельное сжигание'!$H12*'факельное сжигание'!$J12)+('факельное сжигание'!$I12*'факельное сжигание'!$K12),0)</f>
        <v>27403</v>
      </c>
    </row>
    <row r="13" spans="1:14" ht="13.5" thickTop="1" x14ac:dyDescent="0.2">
      <c r="A13" s="158" t="s">
        <v>76</v>
      </c>
      <c r="B13" s="159"/>
      <c r="C13" s="159"/>
      <c r="D13" s="159"/>
      <c r="E13" s="172">
        <f>SUBTOTAL(109,'факельное сжигание'!$E$12:$E$12)</f>
        <v>10000</v>
      </c>
      <c r="F13" s="159"/>
      <c r="G13" s="159"/>
      <c r="H13" s="173"/>
      <c r="I13" s="159"/>
      <c r="J13" s="159"/>
      <c r="K13" s="159"/>
      <c r="L13" s="174"/>
      <c r="M13" s="174"/>
      <c r="N13" s="162">
        <f>SUBTOTAL(109,'факельное сжигание'!$N$12:$N$12)</f>
        <v>27403</v>
      </c>
    </row>
    <row r="14" spans="1:14" x14ac:dyDescent="0.2">
      <c r="A14" s="9"/>
      <c r="B14" s="9"/>
      <c r="C14" s="9"/>
      <c r="D14" s="9"/>
      <c r="E14" s="9"/>
      <c r="F14" s="9"/>
      <c r="G14" s="199">
        <f>G12*25</f>
        <v>6.0000000000000001E-3</v>
      </c>
      <c r="H14"/>
    </row>
  </sheetData>
  <mergeCells count="15">
    <mergeCell ref="A2:H2"/>
    <mergeCell ref="A7:H7"/>
    <mergeCell ref="A9:A11"/>
    <mergeCell ref="B9:B11"/>
    <mergeCell ref="C9:C11"/>
    <mergeCell ref="E9:E11"/>
    <mergeCell ref="H9:H11"/>
    <mergeCell ref="F9:F11"/>
    <mergeCell ref="G9:G11"/>
    <mergeCell ref="A4:H4"/>
    <mergeCell ref="I9:I11"/>
    <mergeCell ref="J9:K10"/>
    <mergeCell ref="L9:M10"/>
    <mergeCell ref="N9:N11"/>
    <mergeCell ref="D9:D11"/>
  </mergeCells>
  <phoneticPr fontId="3" type="noConversion"/>
  <dataValidations count="1">
    <dataValidation type="decimal" operator="greaterThan" allowBlank="1" showInputMessage="1" showErrorMessage="1" error="Данные вводятся в числовом формате (&gt;0)." sqref="E12">
      <formula1>0</formula1>
    </dataValidation>
  </dataValidations>
  <pageMargins left="0.7" right="0.7" top="0.75" bottom="0.75" header="0.3" footer="0.3"/>
  <pageSetup paperSize="9" orientation="portrait" r:id="rId1"/>
  <ignoredErrors>
    <ignoredError sqref="A1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E52"/>
  <sheetViews>
    <sheetView zoomScale="80" zoomScaleNormal="80" workbookViewId="0">
      <selection activeCell="E52" sqref="E52"/>
    </sheetView>
  </sheetViews>
  <sheetFormatPr defaultRowHeight="12.75" x14ac:dyDescent="0.2"/>
  <cols>
    <col min="1" max="1" customWidth="true" width="41.42578125" collapsed="false"/>
    <col min="2" max="5" customWidth="true" width="20.7109375" collapsed="false"/>
  </cols>
  <sheetData>
    <row r="2" spans="1:5" x14ac:dyDescent="0.2">
      <c r="A2" s="221" t="s">
        <v>89</v>
      </c>
      <c r="B2" s="221"/>
      <c r="C2" s="221"/>
      <c r="D2" s="221"/>
      <c r="E2" s="221"/>
    </row>
    <row r="4" spans="1:5" ht="25.5" x14ac:dyDescent="0.2">
      <c r="A4" s="18" t="s">
        <v>9</v>
      </c>
      <c r="B4" s="46" t="s">
        <v>80</v>
      </c>
    </row>
    <row r="5" spans="1:5" x14ac:dyDescent="0.2">
      <c r="A5" s="5"/>
      <c r="B5" s="20"/>
    </row>
    <row r="6" spans="1:5" ht="25.5" x14ac:dyDescent="0.2">
      <c r="A6" s="18" t="s">
        <v>85</v>
      </c>
      <c r="B6" s="46" t="s">
        <v>211</v>
      </c>
    </row>
    <row r="7" spans="1:5" x14ac:dyDescent="0.2">
      <c r="A7" s="5"/>
      <c r="B7" s="20"/>
    </row>
    <row r="8" spans="1:5" ht="25.5" x14ac:dyDescent="0.2">
      <c r="A8" s="18" t="s">
        <v>86</v>
      </c>
      <c r="B8" s="46" t="s">
        <v>208</v>
      </c>
    </row>
    <row r="9" spans="1:5" x14ac:dyDescent="0.2">
      <c r="A9" s="5"/>
      <c r="B9" s="20"/>
    </row>
    <row r="10" spans="1:5" ht="25.5" x14ac:dyDescent="0.2">
      <c r="A10" s="18" t="s">
        <v>87</v>
      </c>
      <c r="B10" s="47">
        <v>1.089925</v>
      </c>
    </row>
    <row r="12" spans="1:5" s="1" customFormat="1" x14ac:dyDescent="0.2">
      <c r="A12" s="1" t="s">
        <v>88</v>
      </c>
    </row>
    <row r="13" spans="1:5" x14ac:dyDescent="0.2">
      <c r="A13" s="16"/>
    </row>
    <row r="14" spans="1:5" ht="63.75" x14ac:dyDescent="0.2">
      <c r="A14" s="12" t="s">
        <v>61</v>
      </c>
      <c r="B14" s="12" t="s">
        <v>60</v>
      </c>
      <c r="C14" s="12" t="s">
        <v>59</v>
      </c>
      <c r="D14" s="12" t="s">
        <v>62</v>
      </c>
      <c r="E14" s="12" t="s">
        <v>63</v>
      </c>
    </row>
    <row r="15" spans="1:5" x14ac:dyDescent="0.2">
      <c r="A15" s="167" t="s">
        <v>14</v>
      </c>
      <c r="B15" s="168" t="s">
        <v>15</v>
      </c>
      <c r="C15" s="190">
        <v>2.198</v>
      </c>
      <c r="D15" s="168">
        <v>1</v>
      </c>
      <c r="E15" s="169"/>
    </row>
    <row r="16" spans="1:5" x14ac:dyDescent="0.2">
      <c r="A16" s="167" t="s">
        <v>10</v>
      </c>
      <c r="B16" s="168" t="s">
        <v>11</v>
      </c>
      <c r="C16" s="190">
        <v>2.1000000000000001E-2</v>
      </c>
      <c r="D16" s="168">
        <v>0</v>
      </c>
      <c r="E16" s="169">
        <f>C16*D16</f>
        <v>0</v>
      </c>
    </row>
    <row r="17" spans="1:5" x14ac:dyDescent="0.2">
      <c r="A17" s="167" t="s">
        <v>12</v>
      </c>
      <c r="B17" s="168" t="s">
        <v>13</v>
      </c>
      <c r="C17" s="190">
        <v>4.9930000000000003</v>
      </c>
      <c r="D17" s="168">
        <v>0</v>
      </c>
      <c r="E17" s="169">
        <f t="shared" ref="E17:E35" si="0">C17*D17</f>
        <v>0</v>
      </c>
    </row>
    <row r="18" spans="1:5" x14ac:dyDescent="0.2">
      <c r="A18" s="167" t="s">
        <v>16</v>
      </c>
      <c r="B18" s="168" t="s">
        <v>17</v>
      </c>
      <c r="C18" s="190">
        <v>3.222</v>
      </c>
      <c r="D18" s="168">
        <v>0</v>
      </c>
      <c r="E18" s="169">
        <f t="shared" si="0"/>
        <v>0</v>
      </c>
    </row>
    <row r="19" spans="1:5" x14ac:dyDescent="0.2">
      <c r="A19" s="167" t="s">
        <v>18</v>
      </c>
      <c r="B19" s="168" t="s">
        <v>19</v>
      </c>
      <c r="C19" s="190">
        <v>4.0000000000000001E-3</v>
      </c>
      <c r="D19" s="168">
        <v>0</v>
      </c>
      <c r="E19" s="169">
        <f t="shared" si="0"/>
        <v>0</v>
      </c>
    </row>
    <row r="20" spans="1:5" x14ac:dyDescent="0.2">
      <c r="A20" s="167" t="s">
        <v>20</v>
      </c>
      <c r="B20" s="168" t="s">
        <v>21</v>
      </c>
      <c r="C20" s="190">
        <v>2.1000000000000001E-2</v>
      </c>
      <c r="D20" s="168">
        <v>0</v>
      </c>
      <c r="E20" s="169">
        <f t="shared" si="0"/>
        <v>0</v>
      </c>
    </row>
    <row r="21" spans="1:5" x14ac:dyDescent="0.2">
      <c r="A21" s="167" t="s">
        <v>22</v>
      </c>
      <c r="B21" s="168" t="s">
        <v>23</v>
      </c>
      <c r="C21" s="190"/>
      <c r="D21" s="168">
        <v>0</v>
      </c>
      <c r="E21" s="169">
        <f t="shared" si="0"/>
        <v>0</v>
      </c>
    </row>
    <row r="22" spans="1:5" x14ac:dyDescent="0.2">
      <c r="A22" s="167" t="s">
        <v>24</v>
      </c>
      <c r="B22" s="168" t="s">
        <v>25</v>
      </c>
      <c r="C22" s="190"/>
      <c r="D22" s="168">
        <v>1</v>
      </c>
      <c r="E22" s="169">
        <f t="shared" si="0"/>
        <v>0</v>
      </c>
    </row>
    <row r="23" spans="1:5" x14ac:dyDescent="0.2">
      <c r="A23" s="167" t="s">
        <v>26</v>
      </c>
      <c r="B23" s="168" t="s">
        <v>27</v>
      </c>
      <c r="C23" s="190">
        <v>58.786999999999999</v>
      </c>
      <c r="D23" s="168">
        <v>1</v>
      </c>
      <c r="E23" s="169">
        <f t="shared" si="0"/>
        <v>58.786999999999999</v>
      </c>
    </row>
    <row r="24" spans="1:5" x14ac:dyDescent="0.2">
      <c r="A24" s="167" t="s">
        <v>28</v>
      </c>
      <c r="B24" s="168" t="s">
        <v>29</v>
      </c>
      <c r="C24" s="190">
        <v>13.788</v>
      </c>
      <c r="D24" s="168">
        <v>2</v>
      </c>
      <c r="E24" s="169">
        <f t="shared" si="0"/>
        <v>27.576000000000001</v>
      </c>
    </row>
    <row r="25" spans="1:5" x14ac:dyDescent="0.2">
      <c r="A25" s="167" t="s">
        <v>30</v>
      </c>
      <c r="B25" s="168" t="s">
        <v>31</v>
      </c>
      <c r="C25" s="190">
        <v>10.4</v>
      </c>
      <c r="D25" s="168">
        <v>3</v>
      </c>
      <c r="E25" s="169">
        <f t="shared" si="0"/>
        <v>31.200000000000003</v>
      </c>
    </row>
    <row r="26" spans="1:5" x14ac:dyDescent="0.2">
      <c r="A26" s="167" t="s">
        <v>32</v>
      </c>
      <c r="B26" s="168" t="s">
        <v>33</v>
      </c>
      <c r="C26" s="190">
        <v>4.4589999999999996</v>
      </c>
      <c r="D26" s="168">
        <v>4</v>
      </c>
      <c r="E26" s="169">
        <f t="shared" si="0"/>
        <v>17.835999999999999</v>
      </c>
    </row>
    <row r="27" spans="1:5" x14ac:dyDescent="0.2">
      <c r="A27" s="167" t="s">
        <v>34</v>
      </c>
      <c r="B27" s="168" t="s">
        <v>35</v>
      </c>
      <c r="C27" s="190"/>
      <c r="D27" s="168">
        <v>4</v>
      </c>
      <c r="E27" s="169">
        <f t="shared" si="0"/>
        <v>0</v>
      </c>
    </row>
    <row r="28" spans="1:5" x14ac:dyDescent="0.2">
      <c r="A28" s="167" t="s">
        <v>36</v>
      </c>
      <c r="B28" s="168" t="s">
        <v>37</v>
      </c>
      <c r="C28" s="190">
        <v>1.4379999999999999</v>
      </c>
      <c r="D28" s="168">
        <v>5</v>
      </c>
      <c r="E28" s="169">
        <f t="shared" si="0"/>
        <v>7.1899999999999995</v>
      </c>
    </row>
    <row r="29" spans="1:5" x14ac:dyDescent="0.2">
      <c r="A29" s="167" t="s">
        <v>38</v>
      </c>
      <c r="B29" s="168" t="s">
        <v>39</v>
      </c>
      <c r="C29" s="190"/>
      <c r="D29" s="168">
        <v>5</v>
      </c>
      <c r="E29" s="169">
        <f t="shared" si="0"/>
        <v>0</v>
      </c>
    </row>
    <row r="30" spans="1:5" x14ac:dyDescent="0.2">
      <c r="A30" s="167" t="s">
        <v>40</v>
      </c>
      <c r="B30" s="168" t="s">
        <v>41</v>
      </c>
      <c r="C30" s="190">
        <v>0.66900000000000004</v>
      </c>
      <c r="D30" s="168">
        <v>6</v>
      </c>
      <c r="E30" s="169">
        <f t="shared" si="0"/>
        <v>4.0140000000000002</v>
      </c>
    </row>
    <row r="31" spans="1:5" x14ac:dyDescent="0.2">
      <c r="A31" s="167" t="s">
        <v>42</v>
      </c>
      <c r="B31" s="168" t="s">
        <v>43</v>
      </c>
      <c r="C31" s="190"/>
      <c r="D31" s="168">
        <v>7</v>
      </c>
      <c r="E31" s="169">
        <f t="shared" si="0"/>
        <v>0</v>
      </c>
    </row>
    <row r="32" spans="1:5" x14ac:dyDescent="0.2">
      <c r="A32" s="167" t="s">
        <v>44</v>
      </c>
      <c r="B32" s="168" t="s">
        <v>45</v>
      </c>
      <c r="C32" s="190"/>
      <c r="D32" s="168">
        <v>8</v>
      </c>
      <c r="E32" s="169">
        <f t="shared" si="0"/>
        <v>0</v>
      </c>
    </row>
    <row r="33" spans="1:5" x14ac:dyDescent="0.2">
      <c r="A33" s="167" t="s">
        <v>46</v>
      </c>
      <c r="B33" s="168" t="s">
        <v>47</v>
      </c>
      <c r="C33" s="190"/>
      <c r="D33" s="168">
        <v>9</v>
      </c>
      <c r="E33" s="169">
        <f t="shared" si="0"/>
        <v>0</v>
      </c>
    </row>
    <row r="34" spans="1:5" x14ac:dyDescent="0.2">
      <c r="A34" s="167" t="s">
        <v>48</v>
      </c>
      <c r="B34" s="168" t="s">
        <v>49</v>
      </c>
      <c r="C34" s="190"/>
      <c r="D34" s="168">
        <v>10</v>
      </c>
      <c r="E34" s="169">
        <f t="shared" si="0"/>
        <v>0</v>
      </c>
    </row>
    <row r="35" spans="1:5" ht="39" thickBot="1" x14ac:dyDescent="0.25">
      <c r="A35" s="167" t="s">
        <v>50</v>
      </c>
      <c r="B35" s="168" t="s">
        <v>29</v>
      </c>
      <c r="C35" s="190"/>
      <c r="D35" s="168">
        <v>2</v>
      </c>
      <c r="E35" s="169">
        <f t="shared" si="0"/>
        <v>0</v>
      </c>
    </row>
    <row r="36" spans="1:5" ht="13.5" thickTop="1" x14ac:dyDescent="0.2">
      <c r="A36" s="170" t="s">
        <v>76</v>
      </c>
      <c r="B36" s="170"/>
      <c r="C36" s="170">
        <f>SUBTOTAL(109,'Расчет коэф._факельное сжигание'!$C$15:$C$35)</f>
        <v>100</v>
      </c>
      <c r="D36" s="170"/>
      <c r="E36" s="171">
        <f>SUBTOTAL(109,'Расчет коэф._факельное сжигание'!$E$15:$E$35)</f>
        <v>146.60300000000001</v>
      </c>
    </row>
    <row r="38" spans="1:5" x14ac:dyDescent="0.2">
      <c r="A38" s="18" t="s">
        <v>92</v>
      </c>
      <c r="B38" s="40">
        <f>C15</f>
        <v>2.198</v>
      </c>
      <c r="C38" s="1"/>
    </row>
    <row r="39" spans="1:5" ht="5.0999999999999996" customHeight="1" x14ac:dyDescent="0.2">
      <c r="A39" s="5"/>
      <c r="B39" s="20"/>
    </row>
    <row r="40" spans="1:5" x14ac:dyDescent="0.2">
      <c r="A40" s="18" t="s">
        <v>93</v>
      </c>
      <c r="B40" s="45">
        <v>1.8392999999999999</v>
      </c>
    </row>
    <row r="41" spans="1:5" ht="5.0999999999999996" customHeight="1" x14ac:dyDescent="0.2">
      <c r="A41" s="5"/>
      <c r="B41" s="20"/>
    </row>
    <row r="42" spans="1:5" ht="25.5" x14ac:dyDescent="0.2">
      <c r="A42" s="18" t="s">
        <v>94</v>
      </c>
      <c r="B42" s="45">
        <v>5.9999999999999995E-4</v>
      </c>
    </row>
    <row r="43" spans="1:5" ht="5.0999999999999996" customHeight="1" x14ac:dyDescent="0.2">
      <c r="A43" s="5"/>
      <c r="B43" s="20"/>
    </row>
    <row r="44" spans="1:5" ht="63.75" x14ac:dyDescent="0.2">
      <c r="A44" s="18" t="s">
        <v>91</v>
      </c>
      <c r="B44" s="41">
        <f>ROUND((B38+'Расчет коэф._факельное сжигание'!$E$36)*(1-B42)*B40/100,4)</f>
        <v>2.7353000000000001</v>
      </c>
    </row>
    <row r="45" spans="1:5" x14ac:dyDescent="0.2">
      <c r="A45" s="35"/>
      <c r="B45" s="28"/>
    </row>
    <row r="46" spans="1:5" ht="25.5" x14ac:dyDescent="0.2">
      <c r="A46" s="18" t="s">
        <v>90</v>
      </c>
      <c r="B46" s="40">
        <f>C23</f>
        <v>58.786999999999999</v>
      </c>
    </row>
    <row r="47" spans="1:5" ht="5.0999999999999996" customHeight="1" x14ac:dyDescent="0.2">
      <c r="A47" s="5"/>
      <c r="B47" s="20"/>
    </row>
    <row r="48" spans="1:5" x14ac:dyDescent="0.2">
      <c r="A48" s="18" t="s">
        <v>95</v>
      </c>
      <c r="B48" s="45">
        <v>0.66800000000000004</v>
      </c>
    </row>
    <row r="49" spans="1:2" ht="5.0999999999999996" customHeight="1" x14ac:dyDescent="0.2">
      <c r="A49" s="5"/>
      <c r="B49" s="20"/>
    </row>
    <row r="50" spans="1:2" ht="25.5" x14ac:dyDescent="0.2">
      <c r="A50" s="18" t="s">
        <v>96</v>
      </c>
      <c r="B50" s="45">
        <v>5.9999999999999995E-4</v>
      </c>
    </row>
    <row r="51" spans="1:2" ht="5.0999999999999996" customHeight="1" x14ac:dyDescent="0.2">
      <c r="A51" s="5"/>
      <c r="B51" s="20"/>
    </row>
    <row r="52" spans="1:2" ht="63.75" x14ac:dyDescent="0.2">
      <c r="A52" s="18" t="s">
        <v>97</v>
      </c>
      <c r="B52" s="198">
        <f>ROUND(B46*B50*B48/100,5)</f>
        <v>2.4000000000000001E-4</v>
      </c>
    </row>
  </sheetData>
  <mergeCells count="1">
    <mergeCell ref="A2:E2"/>
  </mergeCells>
  <phoneticPr fontId="14" type="noConversion"/>
  <dataValidations count="10">
    <dataValidation allowBlank="1" showInputMessage="1" showErrorMessage="1" prompt="Принимается по таблице 1.2 Приложения 2 МУ №300 - вкладка &quot;Информационн (5)&quot;" sqref="A40 A48"/>
    <dataValidation allowBlank="1" showInputMessage="1" showErrorMessage="1" prompt="Определяется_x000a_экспериментально или принимается в соответствии с таблицей 2.2 приложения 2 к МУ №300 в_x000a_зависимости от условий сжигания углеводородных смесей (бессажевое/сажевое сжигание) - вкладка &quot;Информационно (6)&quot;._x000a_" sqref="A42"/>
    <dataValidation allowBlank="1" showInputMessage="1" showErrorMessage="1" prompt="Определяется_x000a_экспериментально или принимается в соответствии с таблицей 2.2 приложения 2 к МУ №300 в_x000a_зависимости от условий сжигания углеводородных смесей (бессажевое/сажевое сжигание) - вкладка &quot;Информационно (6)&quot;." sqref="A50"/>
    <dataValidation type="decimal" operator="greaterThan" allowBlank="1" showInputMessage="1" showErrorMessage="1" error="Данные вводятся в числовом формате (&gt;0)." sqref="B46 B38 B10">
      <formula1>0</formula1>
    </dataValidation>
    <dataValidation type="decimal" operator="greaterThan" allowBlank="1" showInputMessage="1" showErrorMessage="1" sqref="C15:C35">
      <formula1>0</formula1>
    </dataValidation>
    <dataValidation allowBlank="1" showInputMessage="1" showErrorMessage="1" prompt="Согласно ПДВ." sqref="A10"/>
    <dataValidation allowBlank="1" showInputMessage="1" showErrorMessage="1" prompt="Согласно столбцу 6 таблицы выше." sqref="A38 A46"/>
    <dataValidation allowBlank="1" showInputMessage="1" showErrorMessage="1" prompt="Принимается по столбцу 3 формы 7." sqref="A6"/>
    <dataValidation allowBlank="1" showInputMessage="1" showErrorMessage="1" prompt="Принимается по столбцу 5 формы 7." sqref="A4"/>
    <dataValidation allowBlank="1" showInputMessage="1" showErrorMessage="1" prompt="Принимается по столбцу 1 формы 7." sqref="A8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Q13"/>
  <sheetViews>
    <sheetView zoomScale="80" zoomScaleNormal="80" workbookViewId="0">
      <selection activeCell="F27" sqref="F27"/>
    </sheetView>
  </sheetViews>
  <sheetFormatPr defaultColWidth="9.140625" defaultRowHeight="12.75" x14ac:dyDescent="0.2"/>
  <cols>
    <col min="1" max="1" customWidth="true" style="1" width="11.140625" collapsed="false"/>
    <col min="2" max="2" customWidth="true" style="1" width="17.85546875" collapsed="false"/>
    <col min="3" max="3" customWidth="true" style="1" width="21.28515625" collapsed="false"/>
    <col min="4" max="17" customWidth="true" style="1" width="17.85546875" collapsed="false"/>
    <col min="18" max="16384" style="1" width="9.140625" collapsed="false"/>
  </cols>
  <sheetData>
    <row r="2" spans="1:17" x14ac:dyDescent="0.2">
      <c r="A2" s="221" t="str">
        <f>UPPER("Количественное определение фугитивных ВПГ")</f>
        <v>КОЛИЧЕСТВЕННОЕ ОПРЕДЕЛЕНИЕ ФУГИТИВНЫХ ВПГ</v>
      </c>
      <c r="B2" s="221"/>
      <c r="C2" s="221"/>
      <c r="D2" s="221"/>
      <c r="E2" s="221"/>
      <c r="F2" s="221"/>
      <c r="G2" s="221"/>
      <c r="H2" s="221"/>
      <c r="I2" s="221"/>
    </row>
    <row r="3" spans="1:17" ht="5.0999999999999996" customHeight="1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7" ht="16.149999999999999" customHeight="1" x14ac:dyDescent="0.2">
      <c r="A4" s="222" t="s">
        <v>190</v>
      </c>
      <c r="B4" s="223"/>
      <c r="C4" s="223"/>
      <c r="D4" s="223"/>
      <c r="E4" s="223"/>
      <c r="F4" s="223"/>
      <c r="G4" s="223"/>
      <c r="H4" s="223"/>
      <c r="I4" s="223"/>
    </row>
    <row r="5" spans="1:17" ht="5.0999999999999996" customHeight="1" x14ac:dyDescent="0.2">
      <c r="A5" s="5"/>
      <c r="B5" s="10"/>
      <c r="C5" s="10"/>
      <c r="D5" s="10"/>
      <c r="E5" s="10"/>
      <c r="F5" s="10"/>
      <c r="G5" s="10"/>
      <c r="H5" s="10"/>
      <c r="I5" s="10"/>
    </row>
    <row r="6" spans="1:17" ht="17.45" customHeight="1" x14ac:dyDescent="0.2">
      <c r="A6" s="222" t="s">
        <v>191</v>
      </c>
      <c r="B6" s="224"/>
      <c r="C6" s="224"/>
      <c r="D6" s="224"/>
      <c r="E6" s="224"/>
      <c r="F6" s="224"/>
      <c r="G6" s="224"/>
      <c r="H6" s="224"/>
      <c r="I6" s="224"/>
    </row>
    <row r="8" spans="1:17" ht="72.75" customHeight="1" x14ac:dyDescent="0.2">
      <c r="A8" s="225" t="s">
        <v>2</v>
      </c>
      <c r="B8" s="225" t="s">
        <v>8</v>
      </c>
      <c r="C8" s="225" t="s">
        <v>52</v>
      </c>
      <c r="D8" s="225" t="s">
        <v>112</v>
      </c>
      <c r="E8" s="225" t="s">
        <v>68</v>
      </c>
      <c r="F8" s="238" t="s">
        <v>69</v>
      </c>
      <c r="G8" s="239"/>
      <c r="H8" s="241" t="s">
        <v>70</v>
      </c>
      <c r="I8" s="242"/>
      <c r="J8" s="243"/>
      <c r="K8" s="232" t="s">
        <v>83</v>
      </c>
      <c r="L8" s="233"/>
      <c r="M8" s="232" t="s">
        <v>66</v>
      </c>
      <c r="N8" s="233"/>
      <c r="O8" s="232" t="s">
        <v>73</v>
      </c>
      <c r="P8" s="233"/>
      <c r="Q8" s="225" t="s">
        <v>74</v>
      </c>
    </row>
    <row r="9" spans="1:17" x14ac:dyDescent="0.2">
      <c r="A9" s="226"/>
      <c r="B9" s="226"/>
      <c r="C9" s="226"/>
      <c r="D9" s="226"/>
      <c r="E9" s="226"/>
      <c r="F9" s="238" t="s">
        <v>79</v>
      </c>
      <c r="G9" s="240"/>
      <c r="H9" s="244"/>
      <c r="I9" s="245"/>
      <c r="J9" s="246"/>
      <c r="K9" s="234"/>
      <c r="L9" s="235"/>
      <c r="M9" s="234"/>
      <c r="N9" s="235"/>
      <c r="O9" s="234"/>
      <c r="P9" s="235"/>
      <c r="Q9" s="226"/>
    </row>
    <row r="10" spans="1:17" ht="21" customHeight="1" x14ac:dyDescent="0.2">
      <c r="A10" s="226"/>
      <c r="B10" s="226"/>
      <c r="C10" s="231"/>
      <c r="D10" s="231"/>
      <c r="E10" s="231"/>
      <c r="F10" s="3" t="s">
        <v>15</v>
      </c>
      <c r="G10" s="3" t="s">
        <v>27</v>
      </c>
      <c r="H10" s="3" t="s">
        <v>81</v>
      </c>
      <c r="I10" s="3" t="s">
        <v>15</v>
      </c>
      <c r="J10" s="3" t="s">
        <v>27</v>
      </c>
      <c r="K10" s="3" t="s">
        <v>15</v>
      </c>
      <c r="L10" s="3" t="s">
        <v>27</v>
      </c>
      <c r="M10" s="3" t="s">
        <v>54</v>
      </c>
      <c r="N10" s="4" t="s">
        <v>0</v>
      </c>
      <c r="O10" s="3" t="s">
        <v>54</v>
      </c>
      <c r="P10" s="4" t="s">
        <v>0</v>
      </c>
      <c r="Q10" s="231"/>
    </row>
    <row r="11" spans="1:17" ht="26.25" thickBot="1" x14ac:dyDescent="0.25">
      <c r="A11" s="154"/>
      <c r="B11" s="6" t="s">
        <v>108</v>
      </c>
      <c r="C11" s="7" t="s">
        <v>204</v>
      </c>
      <c r="D11" s="7" t="s">
        <v>80</v>
      </c>
      <c r="E11" s="8">
        <v>1</v>
      </c>
      <c r="F11" s="11">
        <f>'Расчет коэф._факельное сжигание'!C15</f>
        <v>2.198</v>
      </c>
      <c r="G11" s="11">
        <f>'Расчет коэф._факельное сжигание'!C23</f>
        <v>58.786999999999999</v>
      </c>
      <c r="H11" s="11" t="s">
        <v>82</v>
      </c>
      <c r="I11" s="27">
        <v>1.8392999999999999</v>
      </c>
      <c r="J11" s="27">
        <v>0.66800000000000004</v>
      </c>
      <c r="K11" s="155">
        <f>'фугитивные выбросы'!$E11*'фугитивные выбросы'!$F11*'фугитивные выбросы'!$I11/100</f>
        <v>4.0427813999999999E-2</v>
      </c>
      <c r="L11" s="156">
        <f>ROUND('фугитивные выбросы'!$E11*'фугитивные выбросы'!$G11*'фугитивные выбросы'!$J11/100,0)</f>
        <v>0</v>
      </c>
      <c r="M11" s="156">
        <v>1</v>
      </c>
      <c r="N11" s="156">
        <v>25</v>
      </c>
      <c r="O11" s="156">
        <f>ROUND('фугитивные выбросы'!$K11*'фугитивные выбросы'!$M11,0)</f>
        <v>0</v>
      </c>
      <c r="P11" s="156">
        <f>'фугитивные выбросы'!$L11*'фугитивные выбросы'!$N11</f>
        <v>0</v>
      </c>
      <c r="Q11" s="157">
        <f>'фугитивные выбросы'!$O11+'фугитивные выбросы'!$P11</f>
        <v>0</v>
      </c>
    </row>
    <row r="12" spans="1:17" ht="13.5" thickTop="1" x14ac:dyDescent="0.2">
      <c r="A12" s="158" t="s">
        <v>76</v>
      </c>
      <c r="B12" s="159"/>
      <c r="C12" s="159"/>
      <c r="D12" s="159"/>
      <c r="E12" s="160">
        <f>SUBTOTAL(109,'фугитивные выбросы'!$E$11:$E$11)</f>
        <v>1</v>
      </c>
      <c r="F12" s="159"/>
      <c r="G12" s="159"/>
      <c r="H12" s="159"/>
      <c r="I12" s="161"/>
      <c r="J12" s="159"/>
      <c r="K12" s="159"/>
      <c r="L12" s="159"/>
      <c r="M12" s="159"/>
      <c r="N12" s="159"/>
      <c r="O12" s="159">
        <f>SUBTOTAL(109,'фугитивные выбросы'!$O$11:$O$11)</f>
        <v>0</v>
      </c>
      <c r="P12" s="159">
        <f>SUBTOTAL(109,'фугитивные выбросы'!$P$11:$P$11)</f>
        <v>0</v>
      </c>
      <c r="Q12" s="162">
        <f>SUBTOTAL(109,'фугитивные выбросы'!$Q$11:$Q$11)</f>
        <v>0</v>
      </c>
    </row>
    <row r="13" spans="1:17" x14ac:dyDescent="0.2">
      <c r="A13" s="9"/>
      <c r="B13" s="9"/>
      <c r="C13" s="9"/>
      <c r="D13" s="9"/>
      <c r="E13" s="9"/>
      <c r="F13" s="9"/>
      <c r="G13" s="9"/>
      <c r="H13" s="9"/>
      <c r="I13"/>
    </row>
  </sheetData>
  <mergeCells count="15">
    <mergeCell ref="A2:I2"/>
    <mergeCell ref="A4:I4"/>
    <mergeCell ref="A6:I6"/>
    <mergeCell ref="A8:A10"/>
    <mergeCell ref="B8:B10"/>
    <mergeCell ref="C8:C10"/>
    <mergeCell ref="D8:D10"/>
    <mergeCell ref="E8:E10"/>
    <mergeCell ref="M8:N9"/>
    <mergeCell ref="O8:P9"/>
    <mergeCell ref="Q8:Q10"/>
    <mergeCell ref="F8:G8"/>
    <mergeCell ref="F9:G9"/>
    <mergeCell ref="K8:L9"/>
    <mergeCell ref="H8:J9"/>
  </mergeCells>
  <phoneticPr fontId="3" type="noConversion"/>
  <dataValidations count="1">
    <dataValidation type="decimal" operator="greaterThan" allowBlank="1" showInputMessage="1" showErrorMessage="1" error="Данные вводятся в числовом формате (&gt;0)." sqref="E11:G11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AJ26"/>
  <sheetViews>
    <sheetView zoomScale="90" zoomScaleNormal="90" workbookViewId="0">
      <selection activeCell="E37" sqref="E37"/>
    </sheetView>
  </sheetViews>
  <sheetFormatPr defaultColWidth="8.7109375" defaultRowHeight="12.75" x14ac:dyDescent="0.2"/>
  <cols>
    <col min="1" max="1" style="50" width="8.7109375" collapsed="false"/>
    <col min="2" max="2" customWidth="true" style="50" width="22.0" collapsed="false"/>
    <col min="3" max="3" bestFit="true" customWidth="true" style="50" width="14.42578125" collapsed="false"/>
    <col min="4" max="4" customWidth="true" style="50" width="22.5703125" collapsed="false"/>
    <col min="5" max="5" bestFit="true" customWidth="true" style="50" width="23.42578125" collapsed="false"/>
    <col min="6" max="6" customWidth="true" style="50" width="17.85546875" collapsed="false"/>
    <col min="7" max="7" customWidth="true" style="50" width="21.85546875" collapsed="false"/>
    <col min="8" max="8" bestFit="true" customWidth="true" style="50" width="22.28515625" collapsed="false"/>
    <col min="9" max="9" bestFit="true" customWidth="true" style="50" width="18.28515625" collapsed="false"/>
    <col min="10" max="16" customWidth="true" style="50" width="16.42578125" collapsed="false"/>
    <col min="17" max="23" customWidth="true" style="50" width="25.7109375" collapsed="false"/>
    <col min="24" max="16384" style="50" width="8.7109375" collapsed="false"/>
  </cols>
  <sheetData>
    <row r="2" spans="2:36" x14ac:dyDescent="0.2">
      <c r="B2" s="49" t="str">
        <f>UPPER("количественное определение впг при сжигании топлива в транспорте")</f>
        <v>КОЛИЧЕСТВЕННОЕ ОПРЕДЕЛЕНИЕ ВПГ ПРИ СЖИГАНИИ ТОПЛИВА В ТРАНСПОРТЕ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2:36" x14ac:dyDescent="0.2"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</row>
    <row r="4" spans="2:36" ht="19.899999999999999" customHeight="1" x14ac:dyDescent="0.2">
      <c r="B4" s="222" t="s">
        <v>190</v>
      </c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</row>
    <row r="5" spans="2:36" ht="6" customHeight="1" x14ac:dyDescent="0.2"/>
    <row r="6" spans="2:36" ht="27.6" customHeight="1" x14ac:dyDescent="0.2">
      <c r="B6" s="247" t="s">
        <v>191</v>
      </c>
      <c r="C6" s="247"/>
      <c r="D6" s="247"/>
      <c r="E6" s="247"/>
      <c r="F6" s="247"/>
      <c r="G6" s="247"/>
      <c r="H6" s="247"/>
      <c r="I6" s="247"/>
      <c r="J6" s="247"/>
      <c r="K6" s="247"/>
      <c r="L6" s="53"/>
      <c r="M6" s="53"/>
      <c r="N6" s="53"/>
      <c r="O6" s="53"/>
      <c r="P6" s="53"/>
    </row>
    <row r="7" spans="2:36" x14ac:dyDescent="0.2"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</row>
    <row r="8" spans="2:36" s="54" customFormat="1" ht="98.45" customHeight="1" x14ac:dyDescent="0.2">
      <c r="B8" s="129" t="s">
        <v>116</v>
      </c>
      <c r="C8" s="129" t="s">
        <v>117</v>
      </c>
      <c r="D8" s="129" t="s">
        <v>53</v>
      </c>
      <c r="E8" s="129" t="s">
        <v>119</v>
      </c>
      <c r="F8" s="129" t="s">
        <v>118</v>
      </c>
      <c r="G8" s="129" t="s">
        <v>120</v>
      </c>
      <c r="H8" s="129" t="s">
        <v>121</v>
      </c>
      <c r="I8" s="129" t="s">
        <v>154</v>
      </c>
    </row>
    <row r="9" spans="2:36" ht="25.5" x14ac:dyDescent="0.2">
      <c r="B9" s="56" t="s">
        <v>122</v>
      </c>
      <c r="C9" s="56" t="s">
        <v>123</v>
      </c>
      <c r="D9" s="55" t="s">
        <v>126</v>
      </c>
      <c r="E9" s="56"/>
      <c r="F9" s="56"/>
      <c r="G9" s="93">
        <f>'Вспомогательный лист_ТС'!R14</f>
        <v>155.86686194546846</v>
      </c>
      <c r="H9" s="56">
        <v>3.149</v>
      </c>
      <c r="I9" s="56">
        <f>ROUND(G9*H9,0)</f>
        <v>491</v>
      </c>
    </row>
    <row r="10" spans="2:36" ht="25.5" x14ac:dyDescent="0.2">
      <c r="B10" s="56"/>
      <c r="C10" s="56" t="s">
        <v>125</v>
      </c>
      <c r="D10" s="55" t="s">
        <v>126</v>
      </c>
      <c r="E10" s="56"/>
      <c r="F10" s="56"/>
      <c r="G10" s="93">
        <f>'Вспомогательный лист_ТС'!R16</f>
        <v>1.3382632000000001</v>
      </c>
      <c r="H10" s="57">
        <v>3.149</v>
      </c>
      <c r="I10" s="56">
        <f t="shared" ref="I10:I12" si="0">ROUND(G10*H10,0)</f>
        <v>4</v>
      </c>
    </row>
    <row r="11" spans="2:36" s="16" customFormat="1" x14ac:dyDescent="0.2">
      <c r="B11" s="133"/>
      <c r="C11" s="133"/>
      <c r="D11" s="152" t="s">
        <v>127</v>
      </c>
      <c r="E11" s="133"/>
      <c r="F11" s="133"/>
      <c r="G11" s="150">
        <f>'Вспомогательный лист_ТС'!I21</f>
        <v>0.11907</v>
      </c>
      <c r="H11" s="151">
        <v>3.0259999999999998</v>
      </c>
      <c r="I11" s="2">
        <f t="shared" si="0"/>
        <v>0</v>
      </c>
    </row>
    <row r="12" spans="2:36" ht="25.5" x14ac:dyDescent="0.2">
      <c r="B12" s="56"/>
      <c r="C12" s="56" t="s">
        <v>124</v>
      </c>
      <c r="D12" s="55" t="s">
        <v>126</v>
      </c>
      <c r="E12" s="56"/>
      <c r="F12" s="56"/>
      <c r="G12" s="93">
        <f>'Вспомогательный лист_ТС'!R15</f>
        <v>4.9303347999999998</v>
      </c>
      <c r="H12" s="56">
        <v>3.149</v>
      </c>
      <c r="I12" s="56">
        <f t="shared" si="0"/>
        <v>16</v>
      </c>
    </row>
    <row r="13" spans="2:36" x14ac:dyDescent="0.2">
      <c r="B13" s="56"/>
      <c r="C13" s="56"/>
      <c r="D13" s="55"/>
      <c r="E13" s="56"/>
      <c r="F13" s="56"/>
      <c r="G13" s="56"/>
      <c r="H13" s="56"/>
      <c r="I13" s="56"/>
      <c r="AJ13" s="52"/>
    </row>
    <row r="14" spans="2:36" s="99" customFormat="1" x14ac:dyDescent="0.2">
      <c r="B14" s="97" t="s">
        <v>128</v>
      </c>
      <c r="C14" s="97" t="s">
        <v>123</v>
      </c>
      <c r="D14" s="98"/>
      <c r="E14" s="97"/>
      <c r="F14" s="97"/>
      <c r="G14" s="97"/>
      <c r="H14" s="97"/>
      <c r="I14" s="97">
        <f>I9</f>
        <v>491</v>
      </c>
    </row>
    <row r="15" spans="2:36" s="99" customFormat="1" x14ac:dyDescent="0.2">
      <c r="B15" s="97"/>
      <c r="C15" s="97" t="s">
        <v>125</v>
      </c>
      <c r="D15" s="98"/>
      <c r="E15" s="97"/>
      <c r="F15" s="97"/>
      <c r="G15" s="97"/>
      <c r="H15" s="97"/>
      <c r="I15" s="97">
        <f>I10+I11</f>
        <v>4</v>
      </c>
    </row>
    <row r="16" spans="2:36" s="99" customFormat="1" x14ac:dyDescent="0.2">
      <c r="B16" s="97"/>
      <c r="C16" s="97" t="s">
        <v>124</v>
      </c>
      <c r="D16" s="98"/>
      <c r="E16" s="97"/>
      <c r="F16" s="97"/>
      <c r="G16" s="97"/>
      <c r="H16" s="97"/>
      <c r="I16" s="97">
        <f>I12</f>
        <v>16</v>
      </c>
    </row>
    <row r="17" spans="2:9" x14ac:dyDescent="0.2">
      <c r="G17" s="131">
        <f>G9+G10+G12</f>
        <v>162.13545994546845</v>
      </c>
      <c r="I17" s="50">
        <f>SUM(I14:I16)</f>
        <v>511</v>
      </c>
    </row>
    <row r="19" spans="2:9" ht="121.15" customHeight="1" x14ac:dyDescent="0.2">
      <c r="B19" s="153" t="s">
        <v>116</v>
      </c>
      <c r="C19" s="153" t="s">
        <v>53</v>
      </c>
      <c r="D19" s="153" t="s">
        <v>150</v>
      </c>
      <c r="E19" s="153" t="s">
        <v>151</v>
      </c>
      <c r="F19" s="153" t="s">
        <v>152</v>
      </c>
      <c r="G19" s="153" t="s">
        <v>153</v>
      </c>
      <c r="H19" s="153" t="s">
        <v>155</v>
      </c>
    </row>
    <row r="20" spans="2:9" x14ac:dyDescent="0.2">
      <c r="B20" s="56" t="s">
        <v>149</v>
      </c>
      <c r="C20" s="56" t="s">
        <v>127</v>
      </c>
      <c r="D20" s="56">
        <f>'Вспомогательный лист_ТС'!I22</f>
        <v>0.46305000000000002</v>
      </c>
      <c r="E20" s="56">
        <v>1.49</v>
      </c>
      <c r="F20" s="56">
        <v>2.93E-2</v>
      </c>
      <c r="G20" s="56">
        <v>69300</v>
      </c>
      <c r="H20" s="97">
        <f>ROUND(D20*E20*F20*G20/1000,0)</f>
        <v>1</v>
      </c>
    </row>
    <row r="22" spans="2:9" x14ac:dyDescent="0.2">
      <c r="D22" s="131">
        <f>D20+G11</f>
        <v>0.58211999999999997</v>
      </c>
      <c r="G22" s="131">
        <f>G9+G10+G12+(стац.сжиг._дизтопливо!E10+стац.сжиг._дизтопливо!E11+стац.сжиг._дизтопливо!E12)*1000</f>
        <v>224.13545994546845</v>
      </c>
    </row>
    <row r="24" spans="2:9" x14ac:dyDescent="0.2">
      <c r="D24" s="131"/>
    </row>
    <row r="25" spans="2:9" x14ac:dyDescent="0.2">
      <c r="D25" s="50">
        <f>792*735</f>
        <v>582120</v>
      </c>
    </row>
    <row r="26" spans="2:9" x14ac:dyDescent="0.2">
      <c r="F26" s="131"/>
    </row>
  </sheetData>
  <mergeCells count="2">
    <mergeCell ref="B6:K6"/>
    <mergeCell ref="B4:P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12"/>
  <sheetViews>
    <sheetView workbookViewId="0">
      <selection activeCell="I24" sqref="I24"/>
    </sheetView>
  </sheetViews>
  <sheetFormatPr defaultColWidth="9.140625" defaultRowHeight="12.75" x14ac:dyDescent="0.2"/>
  <cols>
    <col min="1" max="1" customWidth="true" style="1" width="11.140625" collapsed="false"/>
    <col min="2" max="6" customWidth="true" style="1" width="17.85546875" collapsed="false"/>
    <col min="7" max="7" customWidth="true" style="1" width="20.7109375" collapsed="false"/>
    <col min="8" max="8" customWidth="true" style="1" width="17.85546875" collapsed="false"/>
    <col min="9" max="16384" style="1" width="9.140625" collapsed="false"/>
  </cols>
  <sheetData>
    <row r="2" spans="1:8" x14ac:dyDescent="0.2">
      <c r="A2" s="221" t="str">
        <f>UPPER("Количественное определение объема косвенных энергетических выбросов парниковых газов")</f>
        <v>КОЛИЧЕСТВЕННОЕ ОПРЕДЕЛЕНИЕ ОБЪЕМА КОСВЕННЫХ ЭНЕРГЕТИЧЕСКИХ ВЫБРОСОВ ПАРНИКОВЫХ ГАЗОВ</v>
      </c>
      <c r="B2" s="221"/>
      <c r="C2" s="221"/>
      <c r="D2" s="221"/>
      <c r="E2" s="221"/>
      <c r="F2" s="221"/>
      <c r="G2" s="221"/>
      <c r="H2" s="221"/>
    </row>
    <row r="3" spans="1:8" ht="5.0999999999999996" customHeight="1" x14ac:dyDescent="0.2">
      <c r="A3" s="10"/>
      <c r="B3" s="10"/>
      <c r="C3" s="10"/>
      <c r="D3" s="10"/>
      <c r="E3" s="10"/>
      <c r="F3" s="10"/>
      <c r="G3" s="10"/>
      <c r="H3" s="10"/>
    </row>
    <row r="4" spans="1:8" ht="20.45" customHeight="1" x14ac:dyDescent="0.2">
      <c r="A4" s="222" t="s">
        <v>192</v>
      </c>
      <c r="B4" s="223"/>
      <c r="C4" s="223"/>
      <c r="D4" s="223"/>
      <c r="E4" s="223"/>
      <c r="F4" s="223"/>
      <c r="G4" s="223"/>
      <c r="H4" s="223"/>
    </row>
    <row r="5" spans="1:8" ht="5.0999999999999996" customHeight="1" x14ac:dyDescent="0.2">
      <c r="A5" s="5"/>
      <c r="B5" s="10"/>
      <c r="C5" s="10"/>
      <c r="D5" s="10"/>
      <c r="E5" s="10"/>
      <c r="F5" s="10"/>
      <c r="G5" s="10"/>
      <c r="H5" s="10"/>
    </row>
    <row r="6" spans="1:8" ht="29.45" customHeight="1" x14ac:dyDescent="0.2">
      <c r="A6" s="222" t="s">
        <v>193</v>
      </c>
      <c r="B6" s="224"/>
      <c r="C6" s="224"/>
      <c r="D6" s="224"/>
      <c r="E6" s="224"/>
      <c r="F6" s="224"/>
      <c r="G6" s="224"/>
      <c r="H6" s="224"/>
    </row>
    <row r="8" spans="1:8" ht="91.5" customHeight="1" x14ac:dyDescent="0.2">
      <c r="A8" s="237" t="s">
        <v>51</v>
      </c>
      <c r="B8" s="237" t="s">
        <v>52</v>
      </c>
      <c r="C8" s="225" t="s">
        <v>197</v>
      </c>
      <c r="D8" s="225" t="s">
        <v>99</v>
      </c>
      <c r="E8" s="237" t="s">
        <v>100</v>
      </c>
      <c r="F8" s="237" t="s">
        <v>101</v>
      </c>
      <c r="G8" s="225" t="s">
        <v>103</v>
      </c>
      <c r="H8" s="225" t="s">
        <v>104</v>
      </c>
    </row>
    <row r="9" spans="1:8" x14ac:dyDescent="0.2">
      <c r="A9" s="237"/>
      <c r="B9" s="237"/>
      <c r="C9" s="248"/>
      <c r="D9" s="248"/>
      <c r="E9" s="237"/>
      <c r="F9" s="237"/>
      <c r="G9" s="231"/>
      <c r="H9" s="231"/>
    </row>
    <row r="10" spans="1:8" ht="26.25" thickBot="1" x14ac:dyDescent="0.25">
      <c r="A10" s="163">
        <f>ROW(A1)</f>
        <v>1</v>
      </c>
      <c r="B10" s="6" t="s">
        <v>214</v>
      </c>
      <c r="C10" s="6" t="s">
        <v>198</v>
      </c>
      <c r="D10" s="6" t="s">
        <v>102</v>
      </c>
      <c r="E10" s="164">
        <v>30000</v>
      </c>
      <c r="F10" s="8" t="s">
        <v>111</v>
      </c>
      <c r="G10" s="37">
        <v>0.45300000000000001</v>
      </c>
      <c r="H10" s="165">
        <f>ROUND('Приобретенная энергия'!$E10*'Приобретенная энергия'!$G10,0)</f>
        <v>13590</v>
      </c>
    </row>
    <row r="11" spans="1:8" ht="13.5" thickTop="1" x14ac:dyDescent="0.2">
      <c r="A11" s="166" t="s">
        <v>76</v>
      </c>
      <c r="B11" s="159"/>
      <c r="C11" s="159"/>
      <c r="D11" s="159"/>
      <c r="E11" s="159"/>
      <c r="F11" s="159"/>
      <c r="G11" s="159"/>
      <c r="H11" s="162">
        <f>SUBTOTAL(109,'Приобретенная энергия'!$H$10:$H$10)</f>
        <v>13590</v>
      </c>
    </row>
    <row r="12" spans="1:8" x14ac:dyDescent="0.2">
      <c r="A12" s="9"/>
      <c r="B12" s="9"/>
      <c r="C12" s="9"/>
      <c r="D12" s="9"/>
      <c r="E12" s="9"/>
      <c r="F12" s="9"/>
      <c r="G12" s="9"/>
      <c r="H12" s="9"/>
    </row>
  </sheetData>
  <mergeCells count="11">
    <mergeCell ref="F8:F9"/>
    <mergeCell ref="G8:G9"/>
    <mergeCell ref="A2:H2"/>
    <mergeCell ref="A4:H4"/>
    <mergeCell ref="A6:H6"/>
    <mergeCell ref="A8:A9"/>
    <mergeCell ref="B8:B9"/>
    <mergeCell ref="C8:C9"/>
    <mergeCell ref="D8:D9"/>
    <mergeCell ref="E8:E9"/>
    <mergeCell ref="H8:H9"/>
  </mergeCells>
  <phoneticPr fontId="3" type="noConversion"/>
  <conditionalFormatting sqref="E10:H10">
    <cfRule type="expression" dxfId="0" priority="1">
      <formula>ISNUMBER($C$10)</formula>
    </cfRule>
  </conditionalFormatting>
  <dataValidations count="2">
    <dataValidation operator="greaterThan" allowBlank="1" showInputMessage="1" showErrorMessage="1" sqref="F10"/>
    <dataValidation type="decimal" operator="greaterThan" allowBlank="1" showInputMessage="1" showErrorMessage="1" error="Данные вводятся в числовом формате (&gt;0). " sqref="E10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23"/>
  <sheetViews>
    <sheetView zoomScale="70" zoomScaleNormal="70" workbookViewId="0">
      <selection activeCell="V47" sqref="V47"/>
    </sheetView>
  </sheetViews>
  <sheetFormatPr defaultRowHeight="12.75" x14ac:dyDescent="0.2"/>
  <cols>
    <col min="3" max="3" customWidth="true" width="24.85546875" collapsed="false"/>
    <col min="4" max="4" customWidth="true" width="12.42578125" collapsed="false"/>
    <col min="5" max="5" customWidth="true" width="16.85546875" collapsed="false"/>
    <col min="8" max="8" customWidth="true" width="11.0" collapsed="false"/>
    <col min="18" max="18" customWidth="true" width="12.0" collapsed="false"/>
  </cols>
  <sheetData>
    <row r="1" spans="1:20" ht="15" x14ac:dyDescent="0.25">
      <c r="A1" s="205"/>
      <c r="B1" s="211" t="s">
        <v>168</v>
      </c>
      <c r="C1" s="205"/>
      <c r="D1" s="205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05"/>
    </row>
    <row r="2" spans="1:20" ht="15" x14ac:dyDescent="0.25">
      <c r="A2" s="63">
        <v>29</v>
      </c>
      <c r="B2" s="62" t="s">
        <v>213</v>
      </c>
      <c r="C2" s="249"/>
      <c r="D2" s="251"/>
      <c r="E2" s="253"/>
      <c r="F2" s="255">
        <v>595</v>
      </c>
      <c r="G2" s="255">
        <v>186</v>
      </c>
      <c r="H2" s="255">
        <v>400</v>
      </c>
      <c r="I2" s="255">
        <v>200</v>
      </c>
      <c r="J2" s="255">
        <v>0</v>
      </c>
      <c r="K2" s="255">
        <v>0</v>
      </c>
      <c r="L2" s="255">
        <v>0</v>
      </c>
      <c r="M2" s="255">
        <v>0</v>
      </c>
      <c r="N2" s="255">
        <v>0</v>
      </c>
      <c r="O2" s="255">
        <v>150</v>
      </c>
      <c r="P2" s="255">
        <v>600</v>
      </c>
      <c r="Q2" s="264">
        <v>379.8</v>
      </c>
      <c r="R2" s="58"/>
    </row>
    <row r="3" spans="1:20" ht="15" x14ac:dyDescent="0.25">
      <c r="A3" s="63">
        <v>30</v>
      </c>
      <c r="B3" s="62" t="s">
        <v>212</v>
      </c>
      <c r="C3" s="250"/>
      <c r="D3" s="252"/>
      <c r="E3" s="254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64"/>
      <c r="R3" s="58"/>
    </row>
    <row r="4" spans="1:20" ht="15" x14ac:dyDescent="0.25">
      <c r="A4" s="58"/>
      <c r="B4" s="65"/>
      <c r="C4" s="66"/>
      <c r="D4" s="67"/>
      <c r="E4" s="68"/>
      <c r="F4" s="69">
        <v>23467</v>
      </c>
      <c r="G4" s="69">
        <v>17157.599999999999</v>
      </c>
      <c r="H4" s="69">
        <v>23565.3</v>
      </c>
      <c r="I4" s="69">
        <v>18280.5</v>
      </c>
      <c r="J4" s="69">
        <v>14124</v>
      </c>
      <c r="K4" s="69">
        <v>9937</v>
      </c>
      <c r="L4" s="69">
        <v>12037.25</v>
      </c>
      <c r="M4" s="69">
        <v>11937.5</v>
      </c>
      <c r="N4" s="69">
        <v>12569.5</v>
      </c>
      <c r="O4" s="69">
        <v>14865</v>
      </c>
      <c r="P4" s="69">
        <v>19536.5</v>
      </c>
      <c r="Q4" s="69">
        <v>16806</v>
      </c>
      <c r="R4" s="58"/>
    </row>
    <row r="5" spans="1:20" ht="15" x14ac:dyDescent="0.25">
      <c r="A5" s="58"/>
      <c r="B5" s="59"/>
      <c r="C5" s="60"/>
      <c r="D5" s="60"/>
      <c r="E5" s="61"/>
      <c r="F5" s="70">
        <v>24062</v>
      </c>
      <c r="G5" s="70">
        <v>17343.599999999999</v>
      </c>
      <c r="H5" s="70">
        <v>23965.3</v>
      </c>
      <c r="I5" s="70">
        <v>18480.5</v>
      </c>
      <c r="J5" s="70">
        <v>14124</v>
      </c>
      <c r="K5" s="70">
        <v>9937</v>
      </c>
      <c r="L5" s="70">
        <v>12037.25</v>
      </c>
      <c r="M5" s="70">
        <v>11937.5</v>
      </c>
      <c r="N5" s="71">
        <v>12569.5</v>
      </c>
      <c r="O5" s="70">
        <v>15015</v>
      </c>
      <c r="P5" s="70">
        <v>20136.5</v>
      </c>
      <c r="Q5" s="71">
        <v>17185.8</v>
      </c>
      <c r="R5" s="58"/>
    </row>
    <row r="6" spans="1:20" ht="15" x14ac:dyDescent="0.25">
      <c r="A6" s="58"/>
      <c r="B6" s="59"/>
      <c r="C6" s="60"/>
      <c r="D6" s="60"/>
      <c r="E6" s="72" t="s">
        <v>129</v>
      </c>
      <c r="F6" s="73">
        <v>840</v>
      </c>
      <c r="G6" s="73">
        <v>835</v>
      </c>
      <c r="H6" s="73">
        <v>840</v>
      </c>
      <c r="I6" s="73">
        <v>830</v>
      </c>
      <c r="J6" s="73">
        <v>830</v>
      </c>
      <c r="K6" s="73">
        <v>810</v>
      </c>
      <c r="L6" s="73">
        <v>810</v>
      </c>
      <c r="M6" s="73">
        <v>828</v>
      </c>
      <c r="N6" s="73">
        <v>830</v>
      </c>
      <c r="O6" s="73">
        <v>830</v>
      </c>
      <c r="P6" s="73">
        <v>820</v>
      </c>
      <c r="Q6" s="73">
        <v>820.4</v>
      </c>
      <c r="R6" s="58"/>
    </row>
    <row r="7" spans="1:20" ht="15" x14ac:dyDescent="0.25">
      <c r="A7" s="58"/>
      <c r="B7" s="59"/>
      <c r="C7" s="60"/>
      <c r="D7" s="60"/>
      <c r="E7" s="61"/>
      <c r="F7" s="74">
        <v>20212.080000000002</v>
      </c>
      <c r="G7" s="70">
        <v>14481.905999999999</v>
      </c>
      <c r="H7" s="202">
        <v>20130.851999999999</v>
      </c>
      <c r="I7" s="202">
        <v>15338.815000000001</v>
      </c>
      <c r="J7" s="203">
        <v>11722.92</v>
      </c>
      <c r="K7" s="204">
        <v>8048.97</v>
      </c>
      <c r="L7" s="203">
        <v>9750.1725000000006</v>
      </c>
      <c r="M7" s="203">
        <v>9884.25</v>
      </c>
      <c r="N7" s="202">
        <v>10432.684999999999</v>
      </c>
      <c r="O7" s="203">
        <v>12462.45</v>
      </c>
      <c r="P7" s="203">
        <v>16511.93</v>
      </c>
      <c r="Q7" s="202">
        <v>14099.230319999999</v>
      </c>
      <c r="R7" s="75">
        <f>SUM(F7:Q7)</f>
        <v>163076.26082</v>
      </c>
    </row>
    <row r="8" spans="1:20" ht="15" x14ac:dyDescent="0.25">
      <c r="A8" s="58"/>
      <c r="B8" s="59"/>
      <c r="C8" s="60"/>
      <c r="D8" s="60"/>
      <c r="E8" s="72" t="s">
        <v>130</v>
      </c>
      <c r="F8" s="70">
        <v>17675</v>
      </c>
      <c r="G8" s="70">
        <v>13157.6</v>
      </c>
      <c r="H8" s="70">
        <v>19033</v>
      </c>
      <c r="I8" s="70">
        <v>14391</v>
      </c>
      <c r="J8" s="70">
        <v>11008</v>
      </c>
      <c r="K8" s="70">
        <v>7147</v>
      </c>
      <c r="L8" s="70">
        <v>8414</v>
      </c>
      <c r="M8" s="70">
        <v>8356.5</v>
      </c>
      <c r="N8" s="70">
        <v>9361.5</v>
      </c>
      <c r="O8" s="70">
        <v>11784</v>
      </c>
      <c r="P8" s="70">
        <v>15511</v>
      </c>
      <c r="Q8" s="70">
        <v>12879</v>
      </c>
      <c r="R8" s="58"/>
    </row>
    <row r="9" spans="1:20" ht="15" x14ac:dyDescent="0.25">
      <c r="A9" s="58"/>
      <c r="B9" s="59"/>
      <c r="C9" s="60"/>
      <c r="D9" s="60"/>
      <c r="E9" s="61"/>
      <c r="F9" s="76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58" t="s">
        <v>131</v>
      </c>
    </row>
    <row r="10" spans="1:20" ht="15" x14ac:dyDescent="0.25">
      <c r="A10" s="58"/>
      <c r="B10" s="59"/>
      <c r="C10" s="60"/>
      <c r="D10" s="60"/>
      <c r="E10" s="61" t="s">
        <v>132</v>
      </c>
      <c r="F10" s="70">
        <v>22626</v>
      </c>
      <c r="G10" s="70">
        <v>16522.599999999999</v>
      </c>
      <c r="H10" s="70">
        <v>22681.3</v>
      </c>
      <c r="I10" s="70">
        <v>17738</v>
      </c>
      <c r="J10" s="70">
        <v>13572</v>
      </c>
      <c r="K10" s="70">
        <v>9563</v>
      </c>
      <c r="L10" s="70">
        <v>11609.25</v>
      </c>
      <c r="M10" s="70">
        <v>11347.5</v>
      </c>
      <c r="N10" s="70">
        <v>11903.5</v>
      </c>
      <c r="O10" s="70">
        <v>14070</v>
      </c>
      <c r="P10" s="70">
        <v>18900.5</v>
      </c>
      <c r="Q10" s="70">
        <v>16186</v>
      </c>
      <c r="R10" s="206">
        <f>SUM(F10:Q10)+F20</f>
        <v>188100.65</v>
      </c>
      <c r="S10" t="s">
        <v>202</v>
      </c>
      <c r="T10" s="16"/>
    </row>
    <row r="11" spans="1:20" ht="15" x14ac:dyDescent="0.25">
      <c r="A11" s="58"/>
      <c r="B11" s="59"/>
      <c r="C11" s="60"/>
      <c r="D11" s="60"/>
      <c r="E11" s="61" t="s">
        <v>133</v>
      </c>
      <c r="F11" s="70">
        <v>686</v>
      </c>
      <c r="G11" s="70">
        <v>522</v>
      </c>
      <c r="H11" s="70">
        <v>796</v>
      </c>
      <c r="I11" s="70">
        <v>456</v>
      </c>
      <c r="J11" s="70">
        <v>450</v>
      </c>
      <c r="K11" s="70">
        <v>261</v>
      </c>
      <c r="L11" s="70">
        <v>298</v>
      </c>
      <c r="M11" s="70">
        <v>326</v>
      </c>
      <c r="N11" s="70">
        <v>512</v>
      </c>
      <c r="O11" s="70">
        <v>657</v>
      </c>
      <c r="P11" s="70">
        <v>489</v>
      </c>
      <c r="Q11" s="70">
        <v>492</v>
      </c>
      <c r="R11" s="75">
        <f>SUM(F11:Q11)</f>
        <v>5945</v>
      </c>
      <c r="S11" t="s">
        <v>202</v>
      </c>
      <c r="T11" s="16"/>
    </row>
    <row r="12" spans="1:20" ht="15" x14ac:dyDescent="0.25">
      <c r="A12" s="58"/>
      <c r="B12" s="59"/>
      <c r="C12" s="60"/>
      <c r="D12" s="60"/>
      <c r="E12" s="61" t="s">
        <v>134</v>
      </c>
      <c r="F12" s="70">
        <v>155</v>
      </c>
      <c r="G12" s="70">
        <v>113</v>
      </c>
      <c r="H12" s="70">
        <v>88</v>
      </c>
      <c r="I12" s="70">
        <v>86.5</v>
      </c>
      <c r="J12" s="70">
        <v>102</v>
      </c>
      <c r="K12" s="70">
        <v>113</v>
      </c>
      <c r="L12" s="70">
        <v>130</v>
      </c>
      <c r="M12" s="70">
        <v>264</v>
      </c>
      <c r="N12" s="70">
        <v>154</v>
      </c>
      <c r="O12" s="70">
        <v>138</v>
      </c>
      <c r="P12" s="70">
        <v>147</v>
      </c>
      <c r="Q12" s="70">
        <v>128</v>
      </c>
      <c r="R12" s="75">
        <f>SUM(F12:Q12)</f>
        <v>1618.5</v>
      </c>
      <c r="S12" t="s">
        <v>202</v>
      </c>
      <c r="T12" s="16"/>
    </row>
    <row r="13" spans="1:20" ht="15" x14ac:dyDescent="0.25">
      <c r="A13" s="78"/>
      <c r="B13" s="79"/>
      <c r="C13" s="80"/>
      <c r="D13" s="80"/>
      <c r="E13" s="81" t="s">
        <v>135</v>
      </c>
      <c r="F13" s="82">
        <v>23467</v>
      </c>
      <c r="G13" s="82">
        <v>17157.599999999999</v>
      </c>
      <c r="H13" s="82">
        <v>23565.3</v>
      </c>
      <c r="I13" s="82">
        <v>18280.5</v>
      </c>
      <c r="J13" s="82">
        <v>14124</v>
      </c>
      <c r="K13" s="82">
        <v>9937</v>
      </c>
      <c r="L13" s="82">
        <v>12037.25</v>
      </c>
      <c r="M13" s="82">
        <v>11937.5</v>
      </c>
      <c r="N13" s="82">
        <v>12569.5</v>
      </c>
      <c r="O13" s="82">
        <v>14865</v>
      </c>
      <c r="P13" s="82">
        <v>19536.5</v>
      </c>
      <c r="Q13" s="82">
        <v>16806</v>
      </c>
      <c r="R13" s="206">
        <f>SUM(F13:Q13)+F20</f>
        <v>195664.15</v>
      </c>
      <c r="S13" s="201">
        <f>R10+R11+R12</f>
        <v>195664.15</v>
      </c>
      <c r="T13" s="16" t="b">
        <f>R13=S13</f>
        <v>1</v>
      </c>
    </row>
    <row r="14" spans="1:20" ht="15" x14ac:dyDescent="0.25">
      <c r="A14" s="58"/>
      <c r="B14" s="59"/>
      <c r="C14" s="60"/>
      <c r="D14" s="60"/>
      <c r="E14" s="61" t="s">
        <v>136</v>
      </c>
      <c r="F14" s="83">
        <v>19.005839999999999</v>
      </c>
      <c r="G14" s="83">
        <v>13.796370999999997</v>
      </c>
      <c r="H14" s="83">
        <v>19.052292000000001</v>
      </c>
      <c r="I14" s="83">
        <v>14.72254</v>
      </c>
      <c r="J14" s="83">
        <v>11.264760000000001</v>
      </c>
      <c r="K14" s="83">
        <v>7.7460299999999993</v>
      </c>
      <c r="L14" s="83">
        <v>9.4034925000000005</v>
      </c>
      <c r="M14" s="83">
        <v>9.3957300000000004</v>
      </c>
      <c r="N14" s="83">
        <v>9.8799050000000008</v>
      </c>
      <c r="O14" s="83">
        <v>11.678100000000001</v>
      </c>
      <c r="P14" s="83">
        <v>15.49841</v>
      </c>
      <c r="Q14" s="83">
        <v>13.2789944</v>
      </c>
      <c r="R14" s="207">
        <f>SUM(F14:Q14)+I20</f>
        <v>155.86686194546846</v>
      </c>
      <c r="S14" t="s">
        <v>203</v>
      </c>
      <c r="T14" s="16"/>
    </row>
    <row r="15" spans="1:20" ht="15" x14ac:dyDescent="0.25">
      <c r="A15" s="58"/>
      <c r="B15" s="59"/>
      <c r="C15" s="60"/>
      <c r="D15" s="60"/>
      <c r="E15" s="61" t="s">
        <v>137</v>
      </c>
      <c r="F15" s="83">
        <v>0.57623999999999997</v>
      </c>
      <c r="G15" s="83">
        <v>0.43586999999999998</v>
      </c>
      <c r="H15" s="83">
        <v>0.66864000000000001</v>
      </c>
      <c r="I15" s="83">
        <v>0.37848000000000004</v>
      </c>
      <c r="J15" s="83">
        <v>0.3735</v>
      </c>
      <c r="K15" s="83">
        <v>0.21140999999999999</v>
      </c>
      <c r="L15" s="83">
        <v>0.24137999999999998</v>
      </c>
      <c r="M15" s="83">
        <v>0.269928</v>
      </c>
      <c r="N15" s="83">
        <v>0.42496</v>
      </c>
      <c r="O15" s="83">
        <v>0.54530999999999996</v>
      </c>
      <c r="P15" s="83">
        <v>0.40098</v>
      </c>
      <c r="Q15" s="83">
        <v>0.40363680000000002</v>
      </c>
      <c r="R15" s="128">
        <f>SUM(F15:Q15)</f>
        <v>4.9303347999999998</v>
      </c>
      <c r="S15" t="s">
        <v>203</v>
      </c>
    </row>
    <row r="16" spans="1:20" ht="15" x14ac:dyDescent="0.25">
      <c r="A16" s="58"/>
      <c r="B16" s="59"/>
      <c r="C16" s="60"/>
      <c r="D16" s="60"/>
      <c r="E16" s="61" t="s">
        <v>138</v>
      </c>
      <c r="F16" s="83">
        <v>0.13019999999999998</v>
      </c>
      <c r="G16" s="83">
        <v>9.4355000000000008E-2</v>
      </c>
      <c r="H16" s="83">
        <v>7.392E-2</v>
      </c>
      <c r="I16" s="83">
        <v>7.1794999999999998E-2</v>
      </c>
      <c r="J16" s="83">
        <v>8.4659999999999999E-2</v>
      </c>
      <c r="K16" s="83">
        <v>9.153E-2</v>
      </c>
      <c r="L16" s="83">
        <v>0.10529999999999999</v>
      </c>
      <c r="M16" s="83">
        <v>0.21859200000000001</v>
      </c>
      <c r="N16" s="83">
        <v>0.12781999999999999</v>
      </c>
      <c r="O16" s="83">
        <v>0.11454</v>
      </c>
      <c r="P16" s="83">
        <v>0.12054000000000001</v>
      </c>
      <c r="Q16" s="83">
        <v>0.1050112</v>
      </c>
      <c r="R16" s="128">
        <f>SUM(F16:Q16)</f>
        <v>1.3382632000000001</v>
      </c>
      <c r="S16" t="s">
        <v>203</v>
      </c>
    </row>
    <row r="17" spans="1:20" ht="15" x14ac:dyDescent="0.25">
      <c r="A17" s="58"/>
      <c r="B17" s="59"/>
      <c r="C17" s="60"/>
      <c r="D17" s="60"/>
      <c r="E17" s="81" t="s">
        <v>139</v>
      </c>
      <c r="F17" s="83">
        <v>19.712279999999996</v>
      </c>
      <c r="G17" s="83">
        <v>14.326595999999997</v>
      </c>
      <c r="H17" s="83">
        <v>19.794852000000002</v>
      </c>
      <c r="I17" s="83">
        <v>15.172815</v>
      </c>
      <c r="J17" s="83">
        <v>11.72292</v>
      </c>
      <c r="K17" s="83">
        <v>8.0489699999999988</v>
      </c>
      <c r="L17" s="83">
        <v>9.7501724999999997</v>
      </c>
      <c r="M17" s="83">
        <v>9.8842499999999998</v>
      </c>
      <c r="N17" s="83">
        <v>10.432685000000001</v>
      </c>
      <c r="O17" s="83">
        <v>12.337950000000001</v>
      </c>
      <c r="P17" s="83">
        <v>16.019929999999999</v>
      </c>
      <c r="Q17" s="83">
        <v>13.787642399999999</v>
      </c>
      <c r="R17" s="206">
        <f>SUM(F17:Q17)+I20</f>
        <v>162.13545994546845</v>
      </c>
      <c r="S17" s="201">
        <f>R14+R15+R16</f>
        <v>162.13545994546845</v>
      </c>
      <c r="T17" s="16" t="b">
        <f>R17=S17</f>
        <v>1</v>
      </c>
    </row>
    <row r="18" spans="1:20" ht="15" x14ac:dyDescent="0.25">
      <c r="A18" s="58"/>
      <c r="B18" s="59"/>
      <c r="C18" s="60"/>
      <c r="D18" s="60"/>
      <c r="E18" s="61"/>
      <c r="F18" s="83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58"/>
    </row>
    <row r="19" spans="1:20" ht="30" x14ac:dyDescent="0.25">
      <c r="A19" s="58"/>
      <c r="B19" s="59"/>
      <c r="C19" s="60"/>
      <c r="D19" s="60"/>
      <c r="E19" s="61"/>
      <c r="F19" s="83" t="s">
        <v>201</v>
      </c>
      <c r="G19" s="70"/>
      <c r="H19" s="84" t="s">
        <v>140</v>
      </c>
      <c r="I19" s="84" t="s">
        <v>141</v>
      </c>
      <c r="J19" s="77"/>
      <c r="K19" s="77"/>
      <c r="L19" s="77"/>
      <c r="M19" s="77"/>
      <c r="N19" s="77"/>
      <c r="O19" s="77"/>
      <c r="P19" s="77"/>
      <c r="Q19" s="77"/>
      <c r="R19" s="58"/>
    </row>
    <row r="20" spans="1:20" ht="30" x14ac:dyDescent="0.25">
      <c r="A20" s="64"/>
      <c r="B20" s="85"/>
      <c r="C20" s="86" t="s">
        <v>142</v>
      </c>
      <c r="D20" s="87"/>
      <c r="E20" s="72" t="s">
        <v>200</v>
      </c>
      <c r="F20" s="88">
        <v>1381</v>
      </c>
      <c r="G20" s="86"/>
      <c r="H20" s="208">
        <v>0.828672733865644</v>
      </c>
      <c r="I20" s="209">
        <f>F20/1000*H20</f>
        <v>1.1443970454684544</v>
      </c>
      <c r="J20" s="58"/>
      <c r="K20" s="58"/>
      <c r="L20" s="58"/>
      <c r="M20" s="58"/>
      <c r="N20" s="58"/>
      <c r="O20" s="89"/>
      <c r="P20" s="58"/>
      <c r="Q20" s="58"/>
      <c r="R20" s="58"/>
    </row>
    <row r="21" spans="1:20" ht="15" x14ac:dyDescent="0.25">
      <c r="A21" s="256"/>
      <c r="B21" s="258"/>
      <c r="C21" s="260" t="s">
        <v>143</v>
      </c>
      <c r="D21" s="90" t="s">
        <v>144</v>
      </c>
      <c r="E21" s="72" t="s">
        <v>145</v>
      </c>
      <c r="F21" s="262" t="s">
        <v>146</v>
      </c>
      <c r="G21" s="86">
        <v>162</v>
      </c>
      <c r="H21" s="64">
        <v>0.73499999999999999</v>
      </c>
      <c r="I21" s="91">
        <f>G21/1000*H21</f>
        <v>0.11907</v>
      </c>
      <c r="J21" s="58"/>
      <c r="K21" s="58"/>
      <c r="L21" s="58"/>
      <c r="M21" s="58"/>
      <c r="N21" s="58"/>
      <c r="O21" s="92"/>
      <c r="P21" s="58"/>
      <c r="Q21" s="58"/>
      <c r="R21" s="58"/>
    </row>
    <row r="22" spans="1:20" ht="30" x14ac:dyDescent="0.25">
      <c r="A22" s="257"/>
      <c r="B22" s="259"/>
      <c r="C22" s="261"/>
      <c r="D22" s="90" t="s">
        <v>147</v>
      </c>
      <c r="E22" s="72" t="s">
        <v>148</v>
      </c>
      <c r="F22" s="263"/>
      <c r="G22" s="86">
        <f>470+160</f>
        <v>630</v>
      </c>
      <c r="H22" s="64">
        <v>0.73499999999999999</v>
      </c>
      <c r="I22" s="91">
        <f>G22/1000*H22</f>
        <v>0.46305000000000002</v>
      </c>
      <c r="J22" s="132"/>
      <c r="K22" s="58"/>
      <c r="L22" s="58"/>
      <c r="M22" s="58"/>
      <c r="N22" s="58"/>
      <c r="O22" s="92"/>
      <c r="P22" s="58"/>
      <c r="Q22" s="58"/>
      <c r="R22" s="58"/>
    </row>
    <row r="23" spans="1:20" ht="15" x14ac:dyDescent="0.25">
      <c r="C23" s="61" t="s">
        <v>196</v>
      </c>
      <c r="D23" s="60"/>
      <c r="E23" s="60"/>
      <c r="I23" s="191"/>
    </row>
  </sheetData>
  <mergeCells count="19">
    <mergeCell ref="M2:M3"/>
    <mergeCell ref="N2:N3"/>
    <mergeCell ref="O2:O3"/>
    <mergeCell ref="P2:P3"/>
    <mergeCell ref="Q2:Q3"/>
    <mergeCell ref="J2:J3"/>
    <mergeCell ref="K2:K3"/>
    <mergeCell ref="L2:L3"/>
    <mergeCell ref="A21:A22"/>
    <mergeCell ref="B21:B22"/>
    <mergeCell ref="C21:C22"/>
    <mergeCell ref="F21:F22"/>
    <mergeCell ref="G2:G3"/>
    <mergeCell ref="F2:F3"/>
    <mergeCell ref="C2:C3"/>
    <mergeCell ref="D2:D3"/>
    <mergeCell ref="E2:E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стац.сжиг._дизтопливо</vt:lpstr>
      <vt:lpstr>стац.сжиг._топл.газ</vt:lpstr>
      <vt:lpstr>Расчет_коэф._стацион.сжигание</vt:lpstr>
      <vt:lpstr>факельное сжигание</vt:lpstr>
      <vt:lpstr>Расчет коэф._факельное сжигание</vt:lpstr>
      <vt:lpstr>фугитивные выбросы</vt:lpstr>
      <vt:lpstr>транспорт</vt:lpstr>
      <vt:lpstr>Приобретенная энергия</vt:lpstr>
      <vt:lpstr>Вспомогательный лист_ТС</vt:lpstr>
      <vt:lpstr>Результат</vt:lpstr>
      <vt:lpstr>Результат для занесения в форму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1996-10-08T23:32:33Z</dcterms:created>
  <dc:creator>Microsoft Corporation</dc:creator>
  <cp:lastModifiedBy>Нежникова Анна Николаевна</cp:lastModifiedBy>
  <cp:lastPrinted>2013-07-02T11:22:26Z</cp:lastPrinted>
  <dcterms:modified xsi:type="dcterms:W3CDTF">2023-09-21T07:53:15Z</dcterms:modified>
</cp:coreProperties>
</file>