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3.xml" ContentType="application/vnd.ms-excel.slicer+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EstaPastaDeTrabalho" hidePivotFieldList="1"/>
  <mc:AlternateContent xmlns:mc="http://schemas.openxmlformats.org/markup-compatibility/2006">
    <mc:Choice Requires="x15">
      <x15ac:absPath xmlns:x15ac="http://schemas.microsoft.com/office/spreadsheetml/2010/11/ac" url="C:\Dani\Controle de Gastos\"/>
    </mc:Choice>
  </mc:AlternateContent>
  <xr:revisionPtr revIDLastSave="0" documentId="13_ncr:1_{E8275DCE-17F5-44F5-B8BB-1C1B676DE4AB}" xr6:coauthVersionLast="47" xr6:coauthVersionMax="47" xr10:uidLastSave="{00000000-0000-0000-0000-000000000000}"/>
  <bookViews>
    <workbookView xWindow="-110" yWindow="-110" windowWidth="19420" windowHeight="10300" tabRatio="601" firstSheet="1" activeTab="2" xr2:uid="{00000000-000D-0000-FFFF-FFFF00000000}"/>
  </bookViews>
  <sheets>
    <sheet name="Menu Principal" sheetId="6" r:id="rId1"/>
    <sheet name="Dashboard" sheetId="7" r:id="rId2"/>
    <sheet name="Ano" sheetId="10" r:id="rId3"/>
    <sheet name="Dados" sheetId="8" r:id="rId4"/>
    <sheet name="Diverso" sheetId="5" r:id="rId5"/>
    <sheet name="Investimentos" sheetId="11" r:id="rId6"/>
    <sheet name="Imagens" sheetId="9" r:id="rId7"/>
  </sheets>
  <definedNames>
    <definedName name="SegmentaçãodeDados_Cartão">#N/A</definedName>
    <definedName name="SegmentaçãodeDados_Mês">#N/A</definedName>
    <definedName name="SegmentaçãodeDados_Mês1">#N/A</definedName>
    <definedName name="SegmentaçãodeDados_Mês2">#N/A</definedName>
    <definedName name="SegmentaçãodeDados_Meses1">#N/A</definedName>
  </definedNames>
  <calcPr calcId="191029"/>
  <pivotCaches>
    <pivotCache cacheId="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4" i="10" l="1"/>
  <c r="K93" i="10"/>
  <c r="K92" i="10"/>
  <c r="K91" i="10"/>
  <c r="K90" i="10"/>
  <c r="K89" i="10"/>
  <c r="K88" i="10"/>
  <c r="K87" i="10"/>
  <c r="K86" i="10"/>
  <c r="K85" i="10"/>
  <c r="K84" i="10"/>
  <c r="K83" i="10"/>
  <c r="N58" i="10"/>
  <c r="M58" i="10"/>
  <c r="L58" i="10"/>
  <c r="K58" i="10"/>
  <c r="J58" i="10"/>
  <c r="I58" i="10"/>
  <c r="H58" i="10"/>
  <c r="G58" i="10"/>
  <c r="F58" i="10"/>
  <c r="E58" i="10"/>
  <c r="D58" i="10"/>
  <c r="C58" i="10"/>
  <c r="N47" i="10"/>
  <c r="G54" i="10"/>
  <c r="F54" i="10"/>
  <c r="E54" i="10"/>
  <c r="D54" i="10"/>
  <c r="C54" i="10"/>
  <c r="G52" i="10"/>
  <c r="F52" i="10"/>
  <c r="E52" i="10"/>
  <c r="D52" i="10"/>
  <c r="C52" i="10"/>
  <c r="N51" i="10"/>
  <c r="M51" i="10"/>
  <c r="L51" i="10"/>
  <c r="K51" i="10"/>
  <c r="J51" i="10"/>
  <c r="I51" i="10"/>
  <c r="H51" i="10"/>
  <c r="G51" i="10"/>
  <c r="F51" i="10"/>
  <c r="E51" i="10"/>
  <c r="D51" i="10"/>
  <c r="C51" i="10"/>
  <c r="N50" i="10"/>
  <c r="M50" i="10"/>
  <c r="L50" i="10"/>
  <c r="K50" i="10"/>
  <c r="J50" i="10"/>
  <c r="I50" i="10"/>
  <c r="H50" i="10"/>
  <c r="G50" i="10"/>
  <c r="F50" i="10"/>
  <c r="E50" i="10"/>
  <c r="C50" i="10"/>
  <c r="D50" i="10"/>
  <c r="C48" i="10"/>
  <c r="D48" i="10"/>
  <c r="E48" i="10"/>
  <c r="G47" i="10"/>
  <c r="F47" i="10"/>
  <c r="E47" i="10"/>
  <c r="D47" i="10"/>
  <c r="C47" i="10"/>
  <c r="I44" i="10"/>
  <c r="H44" i="10"/>
  <c r="G44" i="10"/>
  <c r="F44" i="10"/>
  <c r="E44" i="10"/>
  <c r="D44" i="10"/>
  <c r="C44" i="10"/>
  <c r="O39" i="10"/>
  <c r="J33" i="10"/>
  <c r="I33" i="10"/>
  <c r="H33" i="10"/>
  <c r="G33" i="10"/>
  <c r="F33" i="10"/>
  <c r="E33" i="10"/>
  <c r="D33" i="10"/>
  <c r="C33" i="10"/>
  <c r="N30" i="10"/>
  <c r="M30" i="10"/>
  <c r="L30" i="10"/>
  <c r="K30" i="10"/>
  <c r="J30" i="10"/>
  <c r="I30" i="10"/>
  <c r="H30" i="10"/>
  <c r="G30" i="10"/>
  <c r="F30" i="10"/>
  <c r="E30" i="10"/>
  <c r="D30" i="10"/>
  <c r="C30" i="10"/>
  <c r="N29" i="10"/>
  <c r="M29" i="10"/>
  <c r="L29" i="10"/>
  <c r="K29" i="10"/>
  <c r="J29" i="10"/>
  <c r="I29" i="10"/>
  <c r="H29" i="10"/>
  <c r="G29" i="10"/>
  <c r="F29" i="10"/>
  <c r="E29" i="10"/>
  <c r="D29" i="10"/>
  <c r="C29" i="10"/>
  <c r="N25" i="10"/>
  <c r="M25" i="10"/>
  <c r="L25" i="10"/>
  <c r="K25" i="10"/>
  <c r="J25" i="10"/>
  <c r="I25" i="10"/>
  <c r="H25" i="10"/>
  <c r="G25" i="10"/>
  <c r="F25" i="10"/>
  <c r="E25" i="10"/>
  <c r="D25" i="10"/>
  <c r="C25" i="10"/>
  <c r="N18" i="10"/>
  <c r="M18" i="10"/>
  <c r="L18" i="10"/>
  <c r="K18" i="10"/>
  <c r="J18" i="10"/>
  <c r="I18" i="10"/>
  <c r="H18" i="10"/>
  <c r="G18" i="10"/>
  <c r="F18" i="10"/>
  <c r="E18" i="10"/>
  <c r="D18" i="10"/>
  <c r="C18" i="10"/>
  <c r="N5" i="10"/>
  <c r="L5" i="10"/>
  <c r="K5" i="10"/>
  <c r="J5" i="10"/>
  <c r="I5" i="10"/>
  <c r="H5" i="10"/>
  <c r="G5" i="10"/>
  <c r="E5" i="10"/>
  <c r="D5" i="10"/>
  <c r="C5" i="10"/>
  <c r="N11" i="10"/>
  <c r="M11" i="10"/>
  <c r="L11" i="10"/>
  <c r="K11" i="10"/>
  <c r="J11" i="10"/>
  <c r="I11" i="10"/>
  <c r="H11" i="10"/>
  <c r="G11" i="10"/>
  <c r="F11" i="10"/>
  <c r="E11" i="10"/>
  <c r="D11" i="10"/>
  <c r="C11" i="10"/>
  <c r="N10" i="10"/>
  <c r="M10" i="10"/>
  <c r="L10" i="10"/>
  <c r="K10" i="10"/>
  <c r="J10" i="10"/>
  <c r="I10" i="10"/>
  <c r="H10" i="10"/>
  <c r="G10" i="10"/>
  <c r="F10" i="10"/>
  <c r="E10" i="10"/>
  <c r="D10" i="10"/>
  <c r="C10" i="10"/>
  <c r="N9" i="10"/>
  <c r="M9" i="10"/>
  <c r="L9" i="10"/>
  <c r="K9" i="10"/>
  <c r="J9" i="10"/>
  <c r="I9" i="10"/>
  <c r="H9" i="10"/>
  <c r="G9" i="10"/>
  <c r="F9" i="10"/>
  <c r="E9" i="10"/>
  <c r="D9" i="10"/>
  <c r="C9" i="10"/>
  <c r="C7" i="10"/>
  <c r="J7" i="10"/>
  <c r="K8" i="10"/>
  <c r="D8" i="10"/>
  <c r="AS37" i="11"/>
  <c r="AT37" i="11"/>
  <c r="AS38" i="11"/>
  <c r="AS39" i="11" s="1"/>
  <c r="AT38" i="11"/>
  <c r="AT39" i="11"/>
  <c r="AS40" i="11"/>
  <c r="AT40" i="11"/>
  <c r="AS41" i="11"/>
  <c r="AT41" i="11"/>
  <c r="AS42" i="11"/>
  <c r="AS43" i="11" s="1"/>
  <c r="AS44" i="11" s="1"/>
  <c r="AS45" i="11" s="1"/>
  <c r="AT42" i="11"/>
  <c r="AT43" i="11" s="1"/>
  <c r="AT44" i="11" s="1"/>
  <c r="AT45" i="11" s="1"/>
  <c r="AT46" i="11" s="1"/>
  <c r="AT47" i="11" s="1"/>
  <c r="AT48" i="11" s="1"/>
  <c r="AT49" i="11" s="1"/>
  <c r="AT50" i="11" s="1"/>
  <c r="AT51" i="11" s="1"/>
  <c r="AT52" i="11" s="1"/>
  <c r="AT53" i="11" s="1"/>
  <c r="AT54" i="11" s="1"/>
  <c r="AT55" i="11" s="1"/>
  <c r="AT56" i="11" s="1"/>
  <c r="AT57" i="11" s="1"/>
  <c r="AT58" i="11" s="1"/>
  <c r="AT59" i="11" s="1"/>
  <c r="AT60" i="11" s="1"/>
  <c r="AT61" i="11" s="1"/>
  <c r="AT62" i="11" s="1"/>
  <c r="AT63" i="11" s="1"/>
  <c r="AT64" i="11" s="1"/>
  <c r="AT65" i="11" s="1"/>
  <c r="AT66" i="11" s="1"/>
  <c r="AT67" i="11" s="1"/>
  <c r="AT68" i="11" s="1"/>
  <c r="AT69" i="11" s="1"/>
  <c r="AT70" i="11" s="1"/>
  <c r="AT71" i="11" s="1"/>
  <c r="AT72" i="11" s="1"/>
  <c r="AT73" i="11" s="1"/>
  <c r="AT74" i="11" s="1"/>
  <c r="AT75" i="11" s="1"/>
  <c r="AT76" i="11" s="1"/>
  <c r="AT77" i="11" s="1"/>
  <c r="AT78" i="11" s="1"/>
  <c r="AT79" i="11" s="1"/>
  <c r="AT80" i="11" s="1"/>
  <c r="AT81" i="11" s="1"/>
  <c r="AT82" i="11" s="1"/>
  <c r="AT83" i="11" s="1"/>
  <c r="AT84" i="11" s="1"/>
  <c r="AT85" i="11" s="1"/>
  <c r="AT86" i="11" s="1"/>
  <c r="AT87" i="11" s="1"/>
  <c r="AT88" i="11" s="1"/>
  <c r="AT89" i="11" s="1"/>
  <c r="AT90" i="11" s="1"/>
  <c r="AT91" i="11" s="1"/>
  <c r="AT92" i="11" s="1"/>
  <c r="AT93" i="11" s="1"/>
  <c r="AT94" i="11" s="1"/>
  <c r="AT95" i="11" s="1"/>
  <c r="AT96" i="11" s="1"/>
  <c r="AT97" i="11" s="1"/>
  <c r="AT98" i="11" s="1"/>
  <c r="AT99" i="11" s="1"/>
  <c r="AT100" i="11" s="1"/>
  <c r="AT101" i="11" s="1"/>
  <c r="AT102" i="11" s="1"/>
  <c r="AT103" i="11" s="1"/>
  <c r="AT104" i="11" s="1"/>
  <c r="AT105" i="11" s="1"/>
  <c r="AT106" i="11" s="1"/>
  <c r="AT107" i="11" s="1"/>
  <c r="AT108" i="11" s="1"/>
  <c r="AT109" i="11" s="1"/>
  <c r="AT110" i="11" s="1"/>
  <c r="AT111" i="11" s="1"/>
  <c r="AT112" i="11" s="1"/>
  <c r="AT113" i="11" s="1"/>
  <c r="AT114" i="11" s="1"/>
  <c r="AT115" i="11" s="1"/>
  <c r="AT116" i="11" s="1"/>
  <c r="AT117" i="11" s="1"/>
  <c r="AT118" i="11" s="1"/>
  <c r="AT119" i="11" s="1"/>
  <c r="AT120" i="11" s="1"/>
  <c r="AT121" i="11" s="1"/>
  <c r="AT122" i="11" s="1"/>
  <c r="AT123" i="11" s="1"/>
  <c r="AT124" i="11" s="1"/>
  <c r="AT125" i="11" s="1"/>
  <c r="AT126" i="11" s="1"/>
  <c r="AT127" i="11" s="1"/>
  <c r="AT128" i="11" s="1"/>
  <c r="AT129" i="11" s="1"/>
  <c r="AT130" i="11" s="1"/>
  <c r="AT131" i="11" s="1"/>
  <c r="AT132" i="11" s="1"/>
  <c r="AT133" i="11" s="1"/>
  <c r="AT134" i="11" s="1"/>
  <c r="AT135" i="11" s="1"/>
  <c r="AT136" i="11" s="1"/>
  <c r="AT137" i="11" s="1"/>
  <c r="AT138" i="11" s="1"/>
  <c r="AT139" i="11" s="1"/>
  <c r="AT140" i="11" s="1"/>
  <c r="AT141" i="11" s="1"/>
  <c r="AT142" i="11" s="1"/>
  <c r="AT143" i="11" s="1"/>
  <c r="AT144" i="11" s="1"/>
  <c r="AT145" i="11" s="1"/>
  <c r="AT146" i="11" s="1"/>
  <c r="AT147" i="11" s="1"/>
  <c r="AT148" i="11" s="1"/>
  <c r="AT149" i="11" s="1"/>
  <c r="AT150" i="11" s="1"/>
  <c r="AT151" i="11" s="1"/>
  <c r="AT152" i="11" s="1"/>
  <c r="AT153" i="11" s="1"/>
  <c r="AT154" i="11" s="1"/>
  <c r="AT155" i="11" s="1"/>
  <c r="AT156" i="11" s="1"/>
  <c r="AT157" i="11" s="1"/>
  <c r="AT158" i="11" s="1"/>
  <c r="AT159" i="11" s="1"/>
  <c r="AT160" i="11" s="1"/>
  <c r="AT161" i="11" s="1"/>
  <c r="AT162" i="11" s="1"/>
  <c r="AT163" i="11" s="1"/>
  <c r="AT164" i="11" s="1"/>
  <c r="AT165" i="11" s="1"/>
  <c r="AT166" i="11" s="1"/>
  <c r="AT167" i="11" s="1"/>
  <c r="AT168" i="11" s="1"/>
  <c r="AT169" i="11" s="1"/>
  <c r="AT170" i="11" s="1"/>
  <c r="AT171" i="11" s="1"/>
  <c r="AT172" i="11" s="1"/>
  <c r="AT173" i="11" s="1"/>
  <c r="AT174" i="11" s="1"/>
  <c r="AT175" i="11" s="1"/>
  <c r="AT176" i="11" s="1"/>
  <c r="AT177" i="11" s="1"/>
  <c r="AT178" i="11" s="1"/>
  <c r="AT179" i="11" s="1"/>
  <c r="AT180" i="11" s="1"/>
  <c r="AT181" i="11" s="1"/>
  <c r="AT182" i="11" s="1"/>
  <c r="AT183" i="11" s="1"/>
  <c r="AT184" i="11" s="1"/>
  <c r="AT185" i="11" s="1"/>
  <c r="AT186" i="11" s="1"/>
  <c r="AT187" i="11" s="1"/>
  <c r="AT188" i="11" s="1"/>
  <c r="AT189" i="11" s="1"/>
  <c r="AT190" i="11" s="1"/>
  <c r="AT191" i="11" s="1"/>
  <c r="AT192" i="11" s="1"/>
  <c r="AT193" i="11" s="1"/>
  <c r="AT194" i="11" s="1"/>
  <c r="AT195" i="11" s="1"/>
  <c r="AT196" i="11" s="1"/>
  <c r="AT197" i="11" s="1"/>
  <c r="AT198" i="11" s="1"/>
  <c r="AT199" i="11" s="1"/>
  <c r="AT200" i="11" s="1"/>
  <c r="AT201" i="11" s="1"/>
  <c r="AT202" i="11" s="1"/>
  <c r="AT203" i="11" s="1"/>
  <c r="AT204" i="11" s="1"/>
  <c r="AT205" i="11" s="1"/>
  <c r="AT206" i="11" s="1"/>
  <c r="AT207" i="11" s="1"/>
  <c r="AT208" i="11" s="1"/>
  <c r="AT209" i="11" s="1"/>
  <c r="AT210" i="11" s="1"/>
  <c r="AT211" i="11" s="1"/>
  <c r="AT212" i="11" s="1"/>
  <c r="AT213" i="11" s="1"/>
  <c r="AT214" i="11" s="1"/>
  <c r="AT215" i="11" s="1"/>
  <c r="AT216" i="11" s="1"/>
  <c r="AT217" i="11" s="1"/>
  <c r="AT218" i="11" s="1"/>
  <c r="AT219" i="11" s="1"/>
  <c r="AT220" i="11" s="1"/>
  <c r="AT221" i="11" s="1"/>
  <c r="AT222" i="11" s="1"/>
  <c r="AT223" i="11" s="1"/>
  <c r="AT224" i="11" s="1"/>
  <c r="AT225" i="11" s="1"/>
  <c r="AT226" i="11" s="1"/>
  <c r="AT227" i="11" s="1"/>
  <c r="AT228" i="11" s="1"/>
  <c r="AT229" i="11" s="1"/>
  <c r="AT230" i="11" s="1"/>
  <c r="AT231" i="11" s="1"/>
  <c r="AT232" i="11" s="1"/>
  <c r="AT233" i="11" s="1"/>
  <c r="AT234" i="11" s="1"/>
  <c r="AT235" i="11" s="1"/>
  <c r="AT236" i="11" s="1"/>
  <c r="AT237" i="11" s="1"/>
  <c r="AT238" i="11" s="1"/>
  <c r="AT239" i="11" s="1"/>
  <c r="AT240" i="11" s="1"/>
  <c r="AT241" i="11" s="1"/>
  <c r="AT242" i="11" s="1"/>
  <c r="AT243" i="11" s="1"/>
  <c r="AT244" i="11" s="1"/>
  <c r="AT245" i="11" s="1"/>
  <c r="AT246" i="11" s="1"/>
  <c r="AT247" i="11" s="1"/>
  <c r="AT248" i="11" s="1"/>
  <c r="AT249" i="11" s="1"/>
  <c r="AT250" i="11" s="1"/>
  <c r="AT251" i="11" s="1"/>
  <c r="AT252" i="11" s="1"/>
  <c r="AT253" i="11" s="1"/>
  <c r="AT254" i="11" s="1"/>
  <c r="AT255" i="11" s="1"/>
  <c r="AT256" i="11" s="1"/>
  <c r="AT257" i="11" s="1"/>
  <c r="AT258" i="11" s="1"/>
  <c r="AT259" i="11" s="1"/>
  <c r="AT260" i="11" s="1"/>
  <c r="AT261" i="11" s="1"/>
  <c r="AT262" i="11" s="1"/>
  <c r="AT263" i="11" s="1"/>
  <c r="AT264" i="11" s="1"/>
  <c r="AT265" i="11" s="1"/>
  <c r="AT266" i="11" s="1"/>
  <c r="AT267" i="11" s="1"/>
  <c r="AT268" i="11" s="1"/>
  <c r="AT269" i="11" s="1"/>
  <c r="AT270" i="11" s="1"/>
  <c r="AT271" i="11" s="1"/>
  <c r="AT272" i="11" s="1"/>
  <c r="AT273" i="11" s="1"/>
  <c r="AT274" i="11" s="1"/>
  <c r="AT275" i="11" s="1"/>
  <c r="AT276" i="11" s="1"/>
  <c r="AT277" i="11" s="1"/>
  <c r="AT278" i="11" s="1"/>
  <c r="AT279" i="11" s="1"/>
  <c r="AT280" i="11" s="1"/>
  <c r="AT281" i="11" s="1"/>
  <c r="AT282" i="11" s="1"/>
  <c r="AT283" i="11" s="1"/>
  <c r="AT284" i="11" s="1"/>
  <c r="AT285" i="11" s="1"/>
  <c r="AT286" i="11" s="1"/>
  <c r="AT287" i="11" s="1"/>
  <c r="AT288" i="11" s="1"/>
  <c r="AT289" i="11" s="1"/>
  <c r="AT290" i="11" s="1"/>
  <c r="AT291" i="11" s="1"/>
  <c r="AT292" i="11" s="1"/>
  <c r="AT293" i="11" s="1"/>
  <c r="AT294" i="11" s="1"/>
  <c r="AT295" i="11" s="1"/>
  <c r="AT296" i="11" s="1"/>
  <c r="AT297" i="11" s="1"/>
  <c r="AT298" i="11" s="1"/>
  <c r="AT299" i="11" s="1"/>
  <c r="AT300" i="11" s="1"/>
  <c r="AT301" i="11" s="1"/>
  <c r="AT302" i="11" s="1"/>
  <c r="AT303" i="11" s="1"/>
  <c r="AT304" i="11" s="1"/>
  <c r="AT305" i="11" s="1"/>
  <c r="AT306" i="11" s="1"/>
  <c r="AT307" i="11" s="1"/>
  <c r="AT308" i="11" s="1"/>
  <c r="AT309" i="11" s="1"/>
  <c r="AT310" i="11" s="1"/>
  <c r="AT311" i="11" s="1"/>
  <c r="AT312" i="11" s="1"/>
  <c r="AT313" i="11" s="1"/>
  <c r="AT314" i="11" s="1"/>
  <c r="AT315" i="11" s="1"/>
  <c r="AT316" i="11" s="1"/>
  <c r="AT317" i="11" s="1"/>
  <c r="AT318" i="11" s="1"/>
  <c r="AT319" i="11" s="1"/>
  <c r="AT320" i="11" s="1"/>
  <c r="AT321" i="11" s="1"/>
  <c r="AT322" i="11" s="1"/>
  <c r="AT323" i="11" s="1"/>
  <c r="AT324" i="11" s="1"/>
  <c r="AT325" i="11" s="1"/>
  <c r="AT326" i="11" s="1"/>
  <c r="AT327" i="11" s="1"/>
  <c r="AT328" i="11" s="1"/>
  <c r="AT329" i="11" s="1"/>
  <c r="AT330" i="11" s="1"/>
  <c r="AT331" i="11" s="1"/>
  <c r="AT332" i="11" s="1"/>
  <c r="AT333" i="11" s="1"/>
  <c r="AT334" i="11" s="1"/>
  <c r="AT335" i="11" s="1"/>
  <c r="AT336" i="11" s="1"/>
  <c r="AT337" i="11" s="1"/>
  <c r="AT338" i="11" s="1"/>
  <c r="AT339" i="11" s="1"/>
  <c r="AT340" i="11" s="1"/>
  <c r="AT341" i="11" s="1"/>
  <c r="AT342" i="11" s="1"/>
  <c r="AT343" i="11" s="1"/>
  <c r="AT344" i="11" s="1"/>
  <c r="AT345" i="11" s="1"/>
  <c r="AT346" i="11" s="1"/>
  <c r="AT347" i="11" s="1"/>
  <c r="AT348" i="11" s="1"/>
  <c r="AT349" i="11" s="1"/>
  <c r="AT350" i="11" s="1"/>
  <c r="AT351" i="11" s="1"/>
  <c r="AT352" i="11" s="1"/>
  <c r="AT353" i="11" s="1"/>
  <c r="AT354" i="11" s="1"/>
  <c r="AT355" i="11" s="1"/>
  <c r="AT356" i="11" s="1"/>
  <c r="AT357" i="11" s="1"/>
  <c r="AT358" i="11" s="1"/>
  <c r="AT359" i="11" s="1"/>
  <c r="AT360" i="11" s="1"/>
  <c r="AT361" i="11" s="1"/>
  <c r="AT362" i="11" s="1"/>
  <c r="AT363" i="11" s="1"/>
  <c r="AT364" i="11" s="1"/>
  <c r="AT365" i="11" s="1"/>
  <c r="AT366" i="11" s="1"/>
  <c r="AT367" i="11" s="1"/>
  <c r="AT368" i="11" s="1"/>
  <c r="AT369" i="11" s="1"/>
  <c r="AT370" i="11" s="1"/>
  <c r="AT371" i="11" s="1"/>
  <c r="AT372" i="11" s="1"/>
  <c r="AT373" i="11" s="1"/>
  <c r="AT374" i="11" s="1"/>
  <c r="AT375" i="11" s="1"/>
  <c r="AT376" i="11" s="1"/>
  <c r="AT377" i="11" s="1"/>
  <c r="AT378" i="11" s="1"/>
  <c r="AT379" i="11" s="1"/>
  <c r="AT380" i="11" s="1"/>
  <c r="AT381" i="11" s="1"/>
  <c r="AT382" i="11" s="1"/>
  <c r="AT383" i="11" s="1"/>
  <c r="AT384" i="11" s="1"/>
  <c r="AT385" i="11" s="1"/>
  <c r="AT386" i="11" s="1"/>
  <c r="AT387" i="11" s="1"/>
  <c r="AT388" i="11" s="1"/>
  <c r="AT389" i="11" s="1"/>
  <c r="AT390" i="11" s="1"/>
  <c r="AT391" i="11" s="1"/>
  <c r="AT392" i="11" s="1"/>
  <c r="AT393" i="11" s="1"/>
  <c r="AT394" i="11" s="1"/>
  <c r="AT395" i="11" s="1"/>
  <c r="AT396" i="11" s="1"/>
  <c r="AT397" i="11" s="1"/>
  <c r="AT398" i="11" s="1"/>
  <c r="AT399" i="11" s="1"/>
  <c r="AT400" i="11" s="1"/>
  <c r="AT401" i="11" s="1"/>
  <c r="AT402" i="11" s="1"/>
  <c r="AT403" i="11" s="1"/>
  <c r="AT404" i="11" s="1"/>
  <c r="AT405" i="11" s="1"/>
  <c r="AT406" i="11" s="1"/>
  <c r="AT407" i="11" s="1"/>
  <c r="AT408" i="11" s="1"/>
  <c r="AT409" i="11" s="1"/>
  <c r="AT410" i="11" s="1"/>
  <c r="AT411" i="11" s="1"/>
  <c r="AT412" i="11" s="1"/>
  <c r="AT413" i="11" s="1"/>
  <c r="AT414" i="11" s="1"/>
  <c r="AT415" i="11" s="1"/>
  <c r="AT416" i="11" s="1"/>
  <c r="AT417" i="11" s="1"/>
  <c r="AT418" i="11" s="1"/>
  <c r="AT419" i="11" s="1"/>
  <c r="AT420" i="11" s="1"/>
  <c r="AT421" i="11" s="1"/>
  <c r="AT422" i="11" s="1"/>
  <c r="AT423" i="11" s="1"/>
  <c r="AT424" i="11" s="1"/>
  <c r="AT425" i="11" s="1"/>
  <c r="AT426" i="11" s="1"/>
  <c r="AT427" i="11" s="1"/>
  <c r="AT428" i="11" s="1"/>
  <c r="AT429" i="11" s="1"/>
  <c r="AT430" i="11" s="1"/>
  <c r="AT431" i="11" s="1"/>
  <c r="AT432" i="11" s="1"/>
  <c r="AT433" i="11" s="1"/>
  <c r="AT434" i="11" s="1"/>
  <c r="AT435" i="11" s="1"/>
  <c r="AT436" i="11" s="1"/>
  <c r="AT437" i="11" s="1"/>
  <c r="AT438" i="11" s="1"/>
  <c r="AT439" i="11" s="1"/>
  <c r="AT440" i="11" s="1"/>
  <c r="AT441" i="11" s="1"/>
  <c r="AT442" i="11" s="1"/>
  <c r="AT443" i="11" s="1"/>
  <c r="AT444" i="11" s="1"/>
  <c r="AT445" i="11" s="1"/>
  <c r="AT446" i="11" s="1"/>
  <c r="AT447" i="11" s="1"/>
  <c r="AT448" i="11" s="1"/>
  <c r="AT449" i="11" s="1"/>
  <c r="AT450" i="11" s="1"/>
  <c r="AT451" i="11" s="1"/>
  <c r="AT452" i="11" s="1"/>
  <c r="AT453" i="11" s="1"/>
  <c r="AT454" i="11" s="1"/>
  <c r="AT455" i="11" s="1"/>
  <c r="AT456" i="11" s="1"/>
  <c r="AT457" i="11" s="1"/>
  <c r="AT458" i="11" s="1"/>
  <c r="AT459" i="11" s="1"/>
  <c r="AT460" i="11" s="1"/>
  <c r="AT461" i="11" s="1"/>
  <c r="AT462" i="11" s="1"/>
  <c r="AT463" i="11" s="1"/>
  <c r="AT464" i="11" s="1"/>
  <c r="AT465" i="11" s="1"/>
  <c r="AT466" i="11" s="1"/>
  <c r="AT467" i="11" s="1"/>
  <c r="AT468" i="11" s="1"/>
  <c r="AT469" i="11" s="1"/>
  <c r="AT470" i="11" s="1"/>
  <c r="AT471" i="11" s="1"/>
  <c r="AT472" i="11" s="1"/>
  <c r="AT473" i="11" s="1"/>
  <c r="AT474" i="11" s="1"/>
  <c r="AT475" i="11" s="1"/>
  <c r="AT476" i="11" s="1"/>
  <c r="AT477" i="11" s="1"/>
  <c r="AT478" i="11" s="1"/>
  <c r="AT479" i="11" s="1"/>
  <c r="AT480" i="11" s="1"/>
  <c r="AT481" i="11" s="1"/>
  <c r="AT482" i="11" s="1"/>
  <c r="AT483" i="11" s="1"/>
  <c r="AT484" i="11" s="1"/>
  <c r="AT485" i="11" s="1"/>
  <c r="AT486" i="11" s="1"/>
  <c r="AT487" i="11" s="1"/>
  <c r="AT488" i="11" s="1"/>
  <c r="AS46" i="11"/>
  <c r="AS47" i="11" s="1"/>
  <c r="AS48" i="11" s="1"/>
  <c r="AS49" i="11" s="1"/>
  <c r="AS50" i="11" s="1"/>
  <c r="AS51" i="11" s="1"/>
  <c r="AS52" i="11" s="1"/>
  <c r="AS53" i="11" s="1"/>
  <c r="AS54" i="11" s="1"/>
  <c r="AS55" i="11" s="1"/>
  <c r="AS56" i="11" s="1"/>
  <c r="AS57" i="11" s="1"/>
  <c r="AS58" i="11" s="1"/>
  <c r="AS59" i="11" s="1"/>
  <c r="AS60" i="11" s="1"/>
  <c r="AS61" i="11" s="1"/>
  <c r="AS62" i="11" s="1"/>
  <c r="AS63" i="11" s="1"/>
  <c r="AS64" i="11" s="1"/>
  <c r="AS65" i="11" s="1"/>
  <c r="AS66" i="11" s="1"/>
  <c r="AS67" i="11" s="1"/>
  <c r="AS68" i="11" s="1"/>
  <c r="AS69" i="11" s="1"/>
  <c r="AS70" i="11" s="1"/>
  <c r="AS71" i="11" s="1"/>
  <c r="AS72" i="11" s="1"/>
  <c r="AS73" i="11" s="1"/>
  <c r="AS74" i="11" s="1"/>
  <c r="AS75" i="11" s="1"/>
  <c r="AS76" i="11" s="1"/>
  <c r="AS77" i="11" s="1"/>
  <c r="AS78" i="11" s="1"/>
  <c r="AS79" i="11" s="1"/>
  <c r="AS80" i="11" s="1"/>
  <c r="AS81" i="11" s="1"/>
  <c r="AS82" i="11" s="1"/>
  <c r="AS83" i="11" s="1"/>
  <c r="AS84" i="11" s="1"/>
  <c r="AS85" i="11" s="1"/>
  <c r="AS86" i="11" s="1"/>
  <c r="AS87" i="11" s="1"/>
  <c r="AS88" i="11" s="1"/>
  <c r="AS89" i="11" s="1"/>
  <c r="AS90" i="11" s="1"/>
  <c r="AS91" i="11" s="1"/>
  <c r="AS92" i="11" s="1"/>
  <c r="AS93" i="11" s="1"/>
  <c r="AS94" i="11" s="1"/>
  <c r="AS95" i="11" s="1"/>
  <c r="AS96" i="11" s="1"/>
  <c r="AS97" i="11" s="1"/>
  <c r="AS98" i="11" s="1"/>
  <c r="AS99" i="11" s="1"/>
  <c r="AS100" i="11" s="1"/>
  <c r="AS101" i="11" s="1"/>
  <c r="AS102" i="11" s="1"/>
  <c r="AS103" i="11" s="1"/>
  <c r="AS104" i="11" s="1"/>
  <c r="AS105" i="11" s="1"/>
  <c r="AS106" i="11" s="1"/>
  <c r="AS107" i="11" s="1"/>
  <c r="AS108" i="11" s="1"/>
  <c r="AS109" i="11" s="1"/>
  <c r="AS110" i="11" s="1"/>
  <c r="AS111" i="11" s="1"/>
  <c r="AS112" i="11" s="1"/>
  <c r="AS113" i="11" s="1"/>
  <c r="AS114" i="11" s="1"/>
  <c r="AS115" i="11" s="1"/>
  <c r="AS116" i="11" s="1"/>
  <c r="AS117" i="11" s="1"/>
  <c r="AS118" i="11" s="1"/>
  <c r="AS119" i="11" s="1"/>
  <c r="AS120" i="11" s="1"/>
  <c r="AS121" i="11" s="1"/>
  <c r="AS122" i="11" s="1"/>
  <c r="AS123" i="11" s="1"/>
  <c r="AS124" i="11" s="1"/>
  <c r="AS125" i="11" s="1"/>
  <c r="AS126" i="11" s="1"/>
  <c r="AS127" i="11" s="1"/>
  <c r="AS128" i="11" s="1"/>
  <c r="AS129" i="11" s="1"/>
  <c r="AS130" i="11" s="1"/>
  <c r="AS131" i="11" s="1"/>
  <c r="AS132" i="11" s="1"/>
  <c r="AS133" i="11" s="1"/>
  <c r="AS134" i="11" s="1"/>
  <c r="AS135" i="11" s="1"/>
  <c r="AS136" i="11" s="1"/>
  <c r="AS137" i="11" s="1"/>
  <c r="AS138" i="11" s="1"/>
  <c r="AS139" i="11" s="1"/>
  <c r="AS140" i="11" s="1"/>
  <c r="AS141" i="11" s="1"/>
  <c r="AS142" i="11" s="1"/>
  <c r="AS143" i="11" s="1"/>
  <c r="AS144" i="11" s="1"/>
  <c r="AS145" i="11" s="1"/>
  <c r="AS146" i="11" s="1"/>
  <c r="AS147" i="11" s="1"/>
  <c r="AS148" i="11" s="1"/>
  <c r="AS149" i="11" s="1"/>
  <c r="AS150" i="11" s="1"/>
  <c r="AS151" i="11" s="1"/>
  <c r="AS152" i="11" s="1"/>
  <c r="AS153" i="11" s="1"/>
  <c r="AS154" i="11" s="1"/>
  <c r="AS155" i="11" s="1"/>
  <c r="AS156" i="11" s="1"/>
  <c r="AS157" i="11" s="1"/>
  <c r="AS158" i="11" s="1"/>
  <c r="AS159" i="11" s="1"/>
  <c r="AS160" i="11" s="1"/>
  <c r="AS161" i="11" s="1"/>
  <c r="AS162" i="11" s="1"/>
  <c r="AS163" i="11" s="1"/>
  <c r="AS164" i="11" s="1"/>
  <c r="AS165" i="11" s="1"/>
  <c r="AS166" i="11" s="1"/>
  <c r="AS167" i="11" s="1"/>
  <c r="AS168" i="11" s="1"/>
  <c r="AS169" i="11" s="1"/>
  <c r="AS170" i="11" s="1"/>
  <c r="AS171" i="11" s="1"/>
  <c r="AS172" i="11" s="1"/>
  <c r="AS173" i="11" s="1"/>
  <c r="AS174" i="11" s="1"/>
  <c r="AS175" i="11" s="1"/>
  <c r="AS176" i="11" s="1"/>
  <c r="AS177" i="11" s="1"/>
  <c r="AS178" i="11" s="1"/>
  <c r="AS179" i="11" s="1"/>
  <c r="AS180" i="11" s="1"/>
  <c r="AS181" i="11" s="1"/>
  <c r="AS182" i="11" s="1"/>
  <c r="AS183" i="11" s="1"/>
  <c r="AS184" i="11" s="1"/>
  <c r="AS185" i="11" s="1"/>
  <c r="AS186" i="11" s="1"/>
  <c r="AS187" i="11" s="1"/>
  <c r="AS188" i="11" s="1"/>
  <c r="AS189" i="11" s="1"/>
  <c r="AS190" i="11" s="1"/>
  <c r="AS191" i="11" s="1"/>
  <c r="AS192" i="11" s="1"/>
  <c r="AS193" i="11" s="1"/>
  <c r="AS194" i="11" s="1"/>
  <c r="AS195" i="11" s="1"/>
  <c r="AS196" i="11" s="1"/>
  <c r="AS197" i="11" s="1"/>
  <c r="AS198" i="11" s="1"/>
  <c r="AS199" i="11" s="1"/>
  <c r="AS200" i="11" s="1"/>
  <c r="AS201" i="11" s="1"/>
  <c r="AS202" i="11" s="1"/>
  <c r="AS203" i="11" s="1"/>
  <c r="AS204" i="11" s="1"/>
  <c r="AS205" i="11" s="1"/>
  <c r="AS206" i="11" s="1"/>
  <c r="AS207" i="11" s="1"/>
  <c r="AS208" i="11" s="1"/>
  <c r="AS209" i="11" s="1"/>
  <c r="AS210" i="11" s="1"/>
  <c r="AS211" i="11" s="1"/>
  <c r="AS212" i="11" s="1"/>
  <c r="AS213" i="11" s="1"/>
  <c r="AS214" i="11" s="1"/>
  <c r="AS215" i="11" s="1"/>
  <c r="AS216" i="11" s="1"/>
  <c r="AS217" i="11" s="1"/>
  <c r="AS218" i="11" s="1"/>
  <c r="AS219" i="11" s="1"/>
  <c r="AS220" i="11" s="1"/>
  <c r="AS221" i="11" s="1"/>
  <c r="AS222" i="11" s="1"/>
  <c r="AS223" i="11" s="1"/>
  <c r="AS224" i="11" s="1"/>
  <c r="AS225" i="11" s="1"/>
  <c r="AS226" i="11" s="1"/>
  <c r="AS227" i="11" s="1"/>
  <c r="AS228" i="11" s="1"/>
  <c r="AS229" i="11" s="1"/>
  <c r="AS230" i="11" s="1"/>
  <c r="AS231" i="11" s="1"/>
  <c r="AS232" i="11" s="1"/>
  <c r="AS233" i="11" s="1"/>
  <c r="AS234" i="11" s="1"/>
  <c r="AS235" i="11" s="1"/>
  <c r="AS236" i="11" s="1"/>
  <c r="AS237" i="11" s="1"/>
  <c r="AS238" i="11" s="1"/>
  <c r="AS239" i="11" s="1"/>
  <c r="AS240" i="11" s="1"/>
  <c r="AS241" i="11" s="1"/>
  <c r="AS242" i="11" s="1"/>
  <c r="AS243" i="11" s="1"/>
  <c r="AS244" i="11" s="1"/>
  <c r="AS245" i="11" s="1"/>
  <c r="AS246" i="11" s="1"/>
  <c r="AS247" i="11" s="1"/>
  <c r="AS248" i="11" s="1"/>
  <c r="AS249" i="11" s="1"/>
  <c r="AS250" i="11" s="1"/>
  <c r="AS251" i="11" s="1"/>
  <c r="AS252" i="11" s="1"/>
  <c r="AS253" i="11" s="1"/>
  <c r="AS254" i="11" s="1"/>
  <c r="AS255" i="11" s="1"/>
  <c r="AS256" i="11" s="1"/>
  <c r="AS257" i="11" s="1"/>
  <c r="AS258" i="11" s="1"/>
  <c r="AS259" i="11" s="1"/>
  <c r="AS260" i="11" s="1"/>
  <c r="AS261" i="11" s="1"/>
  <c r="AS262" i="11" s="1"/>
  <c r="AS263" i="11" s="1"/>
  <c r="AS264" i="11" s="1"/>
  <c r="AS265" i="11" s="1"/>
  <c r="AS266" i="11" s="1"/>
  <c r="AS267" i="11" s="1"/>
  <c r="AS268" i="11" s="1"/>
  <c r="AS269" i="11" s="1"/>
  <c r="AS270" i="11" s="1"/>
  <c r="AS271" i="11" s="1"/>
  <c r="AS272" i="11" s="1"/>
  <c r="AS273" i="11" s="1"/>
  <c r="AS274" i="11" s="1"/>
  <c r="AS275" i="11" s="1"/>
  <c r="AS276" i="11" s="1"/>
  <c r="AS277" i="11" s="1"/>
  <c r="AS278" i="11" s="1"/>
  <c r="AS279" i="11" s="1"/>
  <c r="AS280" i="11" s="1"/>
  <c r="AS281" i="11" s="1"/>
  <c r="AS282" i="11" s="1"/>
  <c r="AS283" i="11" s="1"/>
  <c r="AS284" i="11" s="1"/>
  <c r="AS285" i="11" s="1"/>
  <c r="AS286" i="11" s="1"/>
  <c r="AS287" i="11" s="1"/>
  <c r="AS288" i="11" s="1"/>
  <c r="AS289" i="11" s="1"/>
  <c r="AS290" i="11" s="1"/>
  <c r="AS291" i="11" s="1"/>
  <c r="AS292" i="11" s="1"/>
  <c r="AS293" i="11" s="1"/>
  <c r="AS294" i="11" s="1"/>
  <c r="AS295" i="11" s="1"/>
  <c r="AS296" i="11" s="1"/>
  <c r="AS297" i="11" s="1"/>
  <c r="AS298" i="11" s="1"/>
  <c r="AS299" i="11" s="1"/>
  <c r="AS300" i="11" s="1"/>
  <c r="AS301" i="11" s="1"/>
  <c r="AS302" i="11" s="1"/>
  <c r="AS303" i="11" s="1"/>
  <c r="AS304" i="11" s="1"/>
  <c r="AS305" i="11" s="1"/>
  <c r="AS306" i="11" s="1"/>
  <c r="AS307" i="11" s="1"/>
  <c r="AS308" i="11" s="1"/>
  <c r="AS309" i="11" s="1"/>
  <c r="AS310" i="11" s="1"/>
  <c r="AS311" i="11" s="1"/>
  <c r="AS312" i="11" s="1"/>
  <c r="AS313" i="11" s="1"/>
  <c r="AS314" i="11" s="1"/>
  <c r="AS315" i="11" s="1"/>
  <c r="AS316" i="11" s="1"/>
  <c r="AS317" i="11" s="1"/>
  <c r="AS318" i="11" s="1"/>
  <c r="AS319" i="11" s="1"/>
  <c r="AS320" i="11" s="1"/>
  <c r="AS321" i="11" s="1"/>
  <c r="AS322" i="11" s="1"/>
  <c r="AS323" i="11" s="1"/>
  <c r="AS324" i="11" s="1"/>
  <c r="AS325" i="11" s="1"/>
  <c r="AS326" i="11" s="1"/>
  <c r="AS327" i="11" s="1"/>
  <c r="AS328" i="11" s="1"/>
  <c r="AS329" i="11" s="1"/>
  <c r="AS330" i="11" s="1"/>
  <c r="AS331" i="11" s="1"/>
  <c r="AS332" i="11" s="1"/>
  <c r="AS333" i="11" s="1"/>
  <c r="AS334" i="11" s="1"/>
  <c r="AS335" i="11" s="1"/>
  <c r="AS336" i="11" s="1"/>
  <c r="AS337" i="11" s="1"/>
  <c r="AS338" i="11" s="1"/>
  <c r="AS339" i="11" s="1"/>
  <c r="AS340" i="11" s="1"/>
  <c r="AS341" i="11" s="1"/>
  <c r="AS342" i="11" s="1"/>
  <c r="AS343" i="11" s="1"/>
  <c r="AS344" i="11" s="1"/>
  <c r="AS345" i="11" s="1"/>
  <c r="AS346" i="11" s="1"/>
  <c r="AS347" i="11" s="1"/>
  <c r="AS348" i="11" s="1"/>
  <c r="AS349" i="11" s="1"/>
  <c r="AS350" i="11" s="1"/>
  <c r="AS351" i="11" s="1"/>
  <c r="AS352" i="11" s="1"/>
  <c r="AS353" i="11" s="1"/>
  <c r="AS354" i="11" s="1"/>
  <c r="AS355" i="11" s="1"/>
  <c r="AS356" i="11" s="1"/>
  <c r="AS357" i="11" s="1"/>
  <c r="AS358" i="11" s="1"/>
  <c r="AS359" i="11" s="1"/>
  <c r="AS360" i="11" s="1"/>
  <c r="AS361" i="11" s="1"/>
  <c r="AS362" i="11" s="1"/>
  <c r="AS363" i="11" s="1"/>
  <c r="AS364" i="11" s="1"/>
  <c r="AS365" i="11" s="1"/>
  <c r="AS366" i="11" s="1"/>
  <c r="AS367" i="11" s="1"/>
  <c r="AS368" i="11" s="1"/>
  <c r="AS369" i="11" s="1"/>
  <c r="AS370" i="11" s="1"/>
  <c r="AS371" i="11" s="1"/>
  <c r="AS372" i="11" s="1"/>
  <c r="AS373" i="11" s="1"/>
  <c r="AS374" i="11" s="1"/>
  <c r="AS375" i="11" s="1"/>
  <c r="AS376" i="11" s="1"/>
  <c r="AS377" i="11" s="1"/>
  <c r="AS378" i="11" s="1"/>
  <c r="AS379" i="11" s="1"/>
  <c r="AS380" i="11" s="1"/>
  <c r="AS381" i="11" s="1"/>
  <c r="AS382" i="11" s="1"/>
  <c r="AS383" i="11" s="1"/>
  <c r="AS384" i="11" s="1"/>
  <c r="AS385" i="11" s="1"/>
  <c r="AS386" i="11" s="1"/>
  <c r="AS387" i="11" s="1"/>
  <c r="AS388" i="11" s="1"/>
  <c r="AS389" i="11" s="1"/>
  <c r="AS390" i="11" s="1"/>
  <c r="AS391" i="11" s="1"/>
  <c r="AS392" i="11" s="1"/>
  <c r="AS393" i="11" s="1"/>
  <c r="AS394" i="11" s="1"/>
  <c r="AS395" i="11" s="1"/>
  <c r="AS396" i="11" s="1"/>
  <c r="AS397" i="11" s="1"/>
  <c r="AS398" i="11" s="1"/>
  <c r="AS399" i="11" s="1"/>
  <c r="AS400" i="11" s="1"/>
  <c r="AS401" i="11" s="1"/>
  <c r="AS402" i="11" s="1"/>
  <c r="AS403" i="11" s="1"/>
  <c r="AS404" i="11" s="1"/>
  <c r="AS405" i="11" s="1"/>
  <c r="AS406" i="11" s="1"/>
  <c r="AS407" i="11" s="1"/>
  <c r="AS408" i="11" s="1"/>
  <c r="AS409" i="11" s="1"/>
  <c r="AS410" i="11" s="1"/>
  <c r="AS411" i="11" s="1"/>
  <c r="AS412" i="11" s="1"/>
  <c r="AS413" i="11" s="1"/>
  <c r="AS414" i="11" s="1"/>
  <c r="AS415" i="11" s="1"/>
  <c r="AS416" i="11" s="1"/>
  <c r="AS417" i="11" s="1"/>
  <c r="AS418" i="11" s="1"/>
  <c r="AS419" i="11" s="1"/>
  <c r="AS420" i="11" s="1"/>
  <c r="AS421" i="11" s="1"/>
  <c r="AS422" i="11" s="1"/>
  <c r="AS423" i="11" s="1"/>
  <c r="AS424" i="11" s="1"/>
  <c r="AS425" i="11" s="1"/>
  <c r="AS426" i="11" s="1"/>
  <c r="AS427" i="11" s="1"/>
  <c r="AS428" i="11" s="1"/>
  <c r="AS429" i="11" s="1"/>
  <c r="AS430" i="11" s="1"/>
  <c r="AS431" i="11" s="1"/>
  <c r="AS432" i="11" s="1"/>
  <c r="AS433" i="11" s="1"/>
  <c r="AS434" i="11" s="1"/>
  <c r="AS435" i="11" s="1"/>
  <c r="AS436" i="11" s="1"/>
  <c r="AS437" i="11" s="1"/>
  <c r="AS438" i="11" s="1"/>
  <c r="AS439" i="11" s="1"/>
  <c r="AS440" i="11" s="1"/>
  <c r="AS441" i="11" s="1"/>
  <c r="AS442" i="11" s="1"/>
  <c r="AS443" i="11" s="1"/>
  <c r="AS444" i="11" s="1"/>
  <c r="AS445" i="11" s="1"/>
  <c r="AS446" i="11" s="1"/>
  <c r="AS447" i="11" s="1"/>
  <c r="AS448" i="11" s="1"/>
  <c r="AS449" i="11" s="1"/>
  <c r="AS450" i="11" s="1"/>
  <c r="AS451" i="11" s="1"/>
  <c r="AS452" i="11" s="1"/>
  <c r="AS453" i="11" s="1"/>
  <c r="AS454" i="11" s="1"/>
  <c r="AS455" i="11" s="1"/>
  <c r="AS456" i="11" s="1"/>
  <c r="AS457" i="11" s="1"/>
  <c r="AS458" i="11" s="1"/>
  <c r="AS459" i="11" s="1"/>
  <c r="AS460" i="11" s="1"/>
  <c r="AS461" i="11" s="1"/>
  <c r="AS462" i="11" s="1"/>
  <c r="AS463" i="11" s="1"/>
  <c r="AS464" i="11" s="1"/>
  <c r="AS465" i="11" s="1"/>
  <c r="AS466" i="11" s="1"/>
  <c r="AS467" i="11" s="1"/>
  <c r="AS468" i="11" s="1"/>
  <c r="AS469" i="11" s="1"/>
  <c r="AS470" i="11" s="1"/>
  <c r="AS471" i="11" s="1"/>
  <c r="AS472" i="11" s="1"/>
  <c r="AS473" i="11" s="1"/>
  <c r="AS474" i="11" s="1"/>
  <c r="AS475" i="11" s="1"/>
  <c r="AS476" i="11" s="1"/>
  <c r="AS477" i="11" s="1"/>
  <c r="AS478" i="11" s="1"/>
  <c r="AS479" i="11" s="1"/>
  <c r="AS480" i="11" s="1"/>
  <c r="AS481" i="11" s="1"/>
  <c r="AS482" i="11" s="1"/>
  <c r="AS483" i="11" s="1"/>
  <c r="AS484" i="11" s="1"/>
  <c r="AS485" i="11" s="1"/>
  <c r="AS486" i="11" s="1"/>
  <c r="AS487" i="11" s="1"/>
  <c r="AS488" i="11" s="1"/>
  <c r="AT36" i="11"/>
  <c r="AS36" i="11"/>
  <c r="BN33" i="11"/>
  <c r="BM33" i="11"/>
  <c r="BP28" i="11"/>
  <c r="BR28" i="11" s="1"/>
  <c r="BS28" i="11" s="1"/>
  <c r="BP27" i="11"/>
  <c r="BR27" i="11" s="1"/>
  <c r="BS27" i="11" s="1"/>
  <c r="BP26" i="11"/>
  <c r="BR26" i="11" s="1"/>
  <c r="BS26" i="11" s="1"/>
  <c r="BP25" i="11"/>
  <c r="BP24" i="11"/>
  <c r="BP23" i="11"/>
  <c r="BR23" i="11" s="1"/>
  <c r="BS23" i="11" s="1"/>
  <c r="BN21" i="11"/>
  <c r="BM21" i="11"/>
  <c r="BP20" i="11"/>
  <c r="BP19" i="11"/>
  <c r="BR19" i="11" s="1"/>
  <c r="BS19" i="11" s="1"/>
  <c r="BP18" i="11"/>
  <c r="BR18" i="11" s="1"/>
  <c r="BP16" i="11"/>
  <c r="BP15" i="11"/>
  <c r="BR15" i="11" s="1"/>
  <c r="BS15" i="11" s="1"/>
  <c r="BP6" i="11"/>
  <c r="BN13" i="11"/>
  <c r="BM13" i="11"/>
  <c r="BP10" i="11"/>
  <c r="BP11" i="11"/>
  <c r="BR11" i="11" s="1"/>
  <c r="BS11" i="11" s="1"/>
  <c r="BP12" i="11"/>
  <c r="BR12" i="11" s="1"/>
  <c r="BS12" i="11" s="1"/>
  <c r="AP258" i="11"/>
  <c r="AP259" i="11"/>
  <c r="AP260" i="11"/>
  <c r="AP261" i="11"/>
  <c r="AP262" i="11"/>
  <c r="AP263" i="11"/>
  <c r="AP264" i="11"/>
  <c r="AP265" i="11"/>
  <c r="AP266" i="11"/>
  <c r="AP267" i="11"/>
  <c r="AP268" i="11"/>
  <c r="AP269" i="11"/>
  <c r="AP270" i="11"/>
  <c r="AP271" i="11"/>
  <c r="AP272" i="11"/>
  <c r="AP273" i="11"/>
  <c r="AP274" i="11"/>
  <c r="AP275" i="11"/>
  <c r="AP276" i="11"/>
  <c r="AP277" i="11"/>
  <c r="AP278" i="11"/>
  <c r="AP279" i="11"/>
  <c r="AP280" i="11"/>
  <c r="AP281" i="11"/>
  <c r="AP282" i="11"/>
  <c r="AP283" i="11"/>
  <c r="AP284" i="11"/>
  <c r="AP285" i="11"/>
  <c r="AP286" i="11"/>
  <c r="AP287" i="11"/>
  <c r="AP288" i="11"/>
  <c r="AP289" i="11"/>
  <c r="AP290" i="11"/>
  <c r="AP291" i="11"/>
  <c r="AP292" i="11"/>
  <c r="AP293" i="11"/>
  <c r="AP294" i="11"/>
  <c r="AP295" i="11"/>
  <c r="AP296" i="11"/>
  <c r="AP297" i="11"/>
  <c r="AP298" i="11"/>
  <c r="AP299" i="11"/>
  <c r="AP300" i="11"/>
  <c r="AP301" i="11"/>
  <c r="AP302" i="11"/>
  <c r="AP303" i="11"/>
  <c r="AP304" i="11"/>
  <c r="AP305" i="11"/>
  <c r="AP306" i="11"/>
  <c r="AP307" i="11"/>
  <c r="AP308" i="11"/>
  <c r="AP309" i="11"/>
  <c r="AP310" i="11"/>
  <c r="AP311" i="11"/>
  <c r="AP312" i="11"/>
  <c r="AP313" i="11"/>
  <c r="AP314" i="11"/>
  <c r="AP315" i="11"/>
  <c r="AP316" i="11"/>
  <c r="AP317" i="11"/>
  <c r="AP318" i="11"/>
  <c r="AP319" i="11"/>
  <c r="AP320" i="11"/>
  <c r="AP321" i="11"/>
  <c r="AP322" i="11"/>
  <c r="AP323" i="11"/>
  <c r="AP324" i="11"/>
  <c r="AP325" i="11"/>
  <c r="AP326" i="11"/>
  <c r="AP327" i="11"/>
  <c r="AP328" i="11"/>
  <c r="AP329" i="11"/>
  <c r="AP330" i="11"/>
  <c r="AP331" i="11"/>
  <c r="AP332" i="11"/>
  <c r="AP333" i="11"/>
  <c r="AP334" i="11"/>
  <c r="AP335" i="11"/>
  <c r="AP336" i="11"/>
  <c r="AP337" i="11"/>
  <c r="AP338" i="11"/>
  <c r="AP339" i="11"/>
  <c r="AP340" i="11"/>
  <c r="AP341" i="11"/>
  <c r="AP342" i="11"/>
  <c r="AP343" i="11"/>
  <c r="AP344" i="11"/>
  <c r="AP345" i="11"/>
  <c r="AP346" i="11"/>
  <c r="AP347" i="11"/>
  <c r="AP348" i="11"/>
  <c r="AP349" i="11"/>
  <c r="AP350" i="11"/>
  <c r="AP351" i="11"/>
  <c r="AP352" i="11"/>
  <c r="AP353" i="11"/>
  <c r="AP354" i="11"/>
  <c r="AP355" i="11"/>
  <c r="AP356" i="11"/>
  <c r="AP357" i="11"/>
  <c r="AP358" i="11"/>
  <c r="AP359" i="11"/>
  <c r="AP360" i="11"/>
  <c r="AP361" i="11"/>
  <c r="AP362" i="11"/>
  <c r="AP363" i="11"/>
  <c r="AP364" i="11"/>
  <c r="AP365" i="11"/>
  <c r="AP366" i="11"/>
  <c r="AP367" i="11"/>
  <c r="AP368" i="11"/>
  <c r="AP369" i="11"/>
  <c r="AP370" i="11"/>
  <c r="AP371" i="11"/>
  <c r="AP372" i="11"/>
  <c r="AP373" i="11"/>
  <c r="AP374" i="11"/>
  <c r="AP375" i="11"/>
  <c r="AP376" i="11"/>
  <c r="AP377" i="11"/>
  <c r="AP378" i="11"/>
  <c r="AP379" i="11"/>
  <c r="AP380" i="11"/>
  <c r="AP381" i="11"/>
  <c r="AP382" i="11"/>
  <c r="AP383" i="11"/>
  <c r="AP384" i="11"/>
  <c r="AP385" i="11"/>
  <c r="AP386" i="11"/>
  <c r="AP387" i="11"/>
  <c r="AP388" i="11"/>
  <c r="AP389" i="11"/>
  <c r="AP390" i="11"/>
  <c r="AP391" i="11"/>
  <c r="AP392" i="11"/>
  <c r="AP393" i="11"/>
  <c r="AP394" i="11"/>
  <c r="AP395" i="11"/>
  <c r="AP396" i="11"/>
  <c r="AP397" i="11"/>
  <c r="AP398" i="11"/>
  <c r="AP399" i="11"/>
  <c r="AP400" i="11"/>
  <c r="AP401" i="11"/>
  <c r="AP402" i="11"/>
  <c r="AP403" i="11"/>
  <c r="AP404" i="11"/>
  <c r="AP405" i="11"/>
  <c r="AP406" i="11"/>
  <c r="AP407" i="11"/>
  <c r="AP408" i="11"/>
  <c r="AP409" i="11"/>
  <c r="AP410" i="11"/>
  <c r="AP411" i="11"/>
  <c r="AP412" i="11"/>
  <c r="AP413" i="11"/>
  <c r="AP414" i="11"/>
  <c r="AP415" i="11"/>
  <c r="AP416" i="11"/>
  <c r="AP417" i="11"/>
  <c r="AP418" i="11"/>
  <c r="AP419" i="11"/>
  <c r="AP420" i="11"/>
  <c r="AP421" i="11"/>
  <c r="AP422" i="11"/>
  <c r="AP423" i="11"/>
  <c r="AP424" i="11"/>
  <c r="AP425" i="11"/>
  <c r="AP426" i="11"/>
  <c r="AP427" i="11"/>
  <c r="AP428" i="11"/>
  <c r="AP429" i="11"/>
  <c r="AP430" i="11"/>
  <c r="AP431" i="11"/>
  <c r="AP432" i="11"/>
  <c r="AP433" i="11"/>
  <c r="AP434" i="11"/>
  <c r="AP435" i="11"/>
  <c r="AP436" i="11"/>
  <c r="AP437" i="11"/>
  <c r="AP438" i="11"/>
  <c r="AP439" i="11"/>
  <c r="AP440" i="11"/>
  <c r="AP441" i="11"/>
  <c r="AP442" i="11"/>
  <c r="AP443" i="11"/>
  <c r="AP444" i="11"/>
  <c r="AP445" i="11"/>
  <c r="AP446" i="11"/>
  <c r="AP447" i="11"/>
  <c r="AP448" i="11"/>
  <c r="AP449" i="11"/>
  <c r="AP450" i="11"/>
  <c r="AP451" i="11"/>
  <c r="AP452" i="11"/>
  <c r="AP453" i="11"/>
  <c r="AP454" i="11"/>
  <c r="AP455" i="11"/>
  <c r="AP456" i="11"/>
  <c r="AP457" i="11"/>
  <c r="AP458" i="11"/>
  <c r="AP459" i="11"/>
  <c r="AP460" i="11"/>
  <c r="AP461" i="11"/>
  <c r="AP462" i="11"/>
  <c r="AP463" i="11"/>
  <c r="AP464" i="11"/>
  <c r="AP465" i="11"/>
  <c r="AP466" i="11"/>
  <c r="AP467" i="11"/>
  <c r="AP468" i="11"/>
  <c r="AP469" i="11"/>
  <c r="AP470" i="11"/>
  <c r="AP471" i="11"/>
  <c r="AP472" i="11"/>
  <c r="AP473" i="11"/>
  <c r="AP474" i="11"/>
  <c r="AP475" i="11"/>
  <c r="AP476" i="11"/>
  <c r="AP477" i="11"/>
  <c r="AP478" i="11"/>
  <c r="AP479" i="11"/>
  <c r="AP480" i="11"/>
  <c r="AP481" i="11"/>
  <c r="AP482" i="11"/>
  <c r="AP483" i="11"/>
  <c r="AP484" i="11"/>
  <c r="AP485" i="11"/>
  <c r="AP486" i="11"/>
  <c r="AP487" i="11"/>
  <c r="AP488" i="11"/>
  <c r="AP489" i="11"/>
  <c r="AP490" i="11"/>
  <c r="AN258" i="11"/>
  <c r="AN259" i="11"/>
  <c r="AN260" i="11"/>
  <c r="AN261" i="11"/>
  <c r="AN262" i="11"/>
  <c r="AN263" i="11"/>
  <c r="AN264" i="11"/>
  <c r="AN265" i="11"/>
  <c r="AN266" i="11"/>
  <c r="AN267" i="11"/>
  <c r="AN268" i="11"/>
  <c r="AN269" i="11"/>
  <c r="AN270" i="11"/>
  <c r="AN271" i="11"/>
  <c r="AN272" i="11"/>
  <c r="AN273" i="11"/>
  <c r="AN274" i="11"/>
  <c r="AN275" i="11"/>
  <c r="AN276" i="11"/>
  <c r="AN277" i="11"/>
  <c r="AN278" i="11"/>
  <c r="AN279" i="11"/>
  <c r="AN280" i="11"/>
  <c r="AN281" i="11"/>
  <c r="AN282" i="11"/>
  <c r="AN283" i="11"/>
  <c r="AN284" i="11"/>
  <c r="AN285" i="11"/>
  <c r="AN286" i="11"/>
  <c r="AN287" i="11"/>
  <c r="AN288" i="11"/>
  <c r="AN289" i="11"/>
  <c r="AN290" i="11"/>
  <c r="AN291" i="11"/>
  <c r="AN292" i="11"/>
  <c r="AN293" i="11"/>
  <c r="AN294" i="11"/>
  <c r="AN295" i="11"/>
  <c r="AN296" i="11"/>
  <c r="AN297" i="11"/>
  <c r="AN298" i="11"/>
  <c r="AN299" i="11"/>
  <c r="AN300" i="11"/>
  <c r="AN301" i="11"/>
  <c r="AN302" i="11"/>
  <c r="AN303" i="11"/>
  <c r="AN304" i="11"/>
  <c r="AN305" i="11"/>
  <c r="AN306" i="11"/>
  <c r="AN307" i="11"/>
  <c r="AN308" i="11"/>
  <c r="AN309" i="11"/>
  <c r="AN310" i="11"/>
  <c r="AN311" i="11"/>
  <c r="AN312" i="11"/>
  <c r="AN313" i="11"/>
  <c r="AN314" i="11"/>
  <c r="AN315" i="11"/>
  <c r="AN316" i="11"/>
  <c r="AN317" i="11"/>
  <c r="AN318" i="11"/>
  <c r="AN319" i="11"/>
  <c r="AN320" i="11"/>
  <c r="AN321" i="11"/>
  <c r="AN322" i="11"/>
  <c r="AN323" i="11"/>
  <c r="AN324" i="11"/>
  <c r="AN325" i="11"/>
  <c r="AN326" i="11"/>
  <c r="AN327" i="11"/>
  <c r="AN328" i="11"/>
  <c r="AN329" i="11"/>
  <c r="AN330" i="11"/>
  <c r="AN331" i="11"/>
  <c r="AN332" i="11"/>
  <c r="AN333" i="11"/>
  <c r="AN334" i="11"/>
  <c r="AN335" i="11"/>
  <c r="AN336" i="11"/>
  <c r="AN337" i="11"/>
  <c r="AN338" i="11"/>
  <c r="AN339" i="11"/>
  <c r="AN340" i="11"/>
  <c r="AN341" i="11"/>
  <c r="AN342" i="11"/>
  <c r="AN343" i="11"/>
  <c r="AN344" i="11"/>
  <c r="AN345" i="11"/>
  <c r="AN346" i="11"/>
  <c r="AN347" i="11"/>
  <c r="AN348" i="11"/>
  <c r="AN349" i="11"/>
  <c r="AN350" i="11"/>
  <c r="AN351" i="11"/>
  <c r="AN352" i="11"/>
  <c r="AN353" i="11"/>
  <c r="AN354" i="11"/>
  <c r="AN355" i="11"/>
  <c r="AN356" i="11"/>
  <c r="AN357" i="11"/>
  <c r="AN358" i="11"/>
  <c r="AN359" i="11"/>
  <c r="AN360" i="11"/>
  <c r="AN361" i="11"/>
  <c r="AN362" i="11"/>
  <c r="AN363" i="11"/>
  <c r="AN364" i="11"/>
  <c r="AN365" i="11"/>
  <c r="AN366" i="11"/>
  <c r="AN367" i="11"/>
  <c r="AN368" i="11"/>
  <c r="AN369" i="11"/>
  <c r="AN370" i="11"/>
  <c r="AN371" i="11"/>
  <c r="AN372" i="11"/>
  <c r="AN373" i="11"/>
  <c r="AN374" i="11"/>
  <c r="AN375" i="11"/>
  <c r="AN376" i="11"/>
  <c r="AN377" i="11"/>
  <c r="AN378" i="11"/>
  <c r="AN379" i="11"/>
  <c r="AN380" i="11"/>
  <c r="AN381" i="11"/>
  <c r="AN382" i="11"/>
  <c r="AN383" i="11"/>
  <c r="AN384" i="11"/>
  <c r="AN385" i="11"/>
  <c r="AN386" i="11"/>
  <c r="AN387" i="11"/>
  <c r="AN388" i="11"/>
  <c r="AN389" i="11"/>
  <c r="AN390" i="11"/>
  <c r="AN391" i="11"/>
  <c r="AN392" i="11"/>
  <c r="AN393" i="11"/>
  <c r="AN394" i="11"/>
  <c r="AN395" i="11"/>
  <c r="AN396" i="11"/>
  <c r="AN397" i="11"/>
  <c r="AN398" i="11"/>
  <c r="AN399" i="11"/>
  <c r="AN400" i="11"/>
  <c r="AN401" i="11"/>
  <c r="AN402" i="11"/>
  <c r="AN403" i="11"/>
  <c r="AN404" i="11"/>
  <c r="AN405" i="11"/>
  <c r="AN406" i="11"/>
  <c r="AN407" i="11"/>
  <c r="AN408" i="11"/>
  <c r="AN409" i="11"/>
  <c r="AN410" i="11"/>
  <c r="AN411" i="11"/>
  <c r="AN412" i="11"/>
  <c r="AN413" i="11"/>
  <c r="AN414" i="11"/>
  <c r="AN415" i="11"/>
  <c r="AN416" i="11"/>
  <c r="AN417" i="11"/>
  <c r="AN418" i="11"/>
  <c r="AN419" i="11"/>
  <c r="AN420" i="11"/>
  <c r="AN421" i="11"/>
  <c r="AN422" i="11"/>
  <c r="AN423" i="11"/>
  <c r="AN424" i="11"/>
  <c r="AN425" i="11"/>
  <c r="AN426" i="11"/>
  <c r="AN427" i="11"/>
  <c r="AN428" i="11"/>
  <c r="AN429" i="11"/>
  <c r="AN430" i="11"/>
  <c r="AN431" i="11"/>
  <c r="AN432" i="11"/>
  <c r="AN433" i="11"/>
  <c r="AN434" i="11"/>
  <c r="AN435" i="11"/>
  <c r="AN436" i="11"/>
  <c r="AN437" i="11"/>
  <c r="AN438" i="11"/>
  <c r="AN439" i="11"/>
  <c r="AN440" i="11"/>
  <c r="AN441" i="11"/>
  <c r="AN442" i="11"/>
  <c r="AN443" i="11"/>
  <c r="AN444" i="11"/>
  <c r="AN445" i="11"/>
  <c r="AN446" i="11"/>
  <c r="AN447" i="11"/>
  <c r="AN448" i="11"/>
  <c r="AN449" i="11"/>
  <c r="AN450" i="11"/>
  <c r="AN451" i="11"/>
  <c r="AN452" i="11"/>
  <c r="AN453" i="11"/>
  <c r="AN454" i="11"/>
  <c r="AN455" i="11"/>
  <c r="AN456" i="11"/>
  <c r="AN457" i="11"/>
  <c r="AN458" i="11"/>
  <c r="AN459" i="11"/>
  <c r="AN460" i="11"/>
  <c r="AN461" i="11"/>
  <c r="AN462" i="11"/>
  <c r="AN463" i="11"/>
  <c r="AN464" i="11"/>
  <c r="AN465" i="11"/>
  <c r="AN466" i="11"/>
  <c r="AN467" i="11"/>
  <c r="AN468" i="11"/>
  <c r="AN469" i="11"/>
  <c r="AN470" i="11"/>
  <c r="AN471" i="11"/>
  <c r="AN472" i="11"/>
  <c r="AN473" i="11"/>
  <c r="AN474" i="11"/>
  <c r="AN475" i="11"/>
  <c r="AN476" i="11"/>
  <c r="AN477" i="11"/>
  <c r="AN478" i="11"/>
  <c r="AN479" i="11"/>
  <c r="AN480" i="11"/>
  <c r="AN481" i="11"/>
  <c r="AN482" i="11"/>
  <c r="AN483" i="11"/>
  <c r="AN484" i="11"/>
  <c r="AN485" i="11"/>
  <c r="AN486" i="11"/>
  <c r="AN487" i="11"/>
  <c r="AN488" i="11"/>
  <c r="AN489" i="11"/>
  <c r="AN490" i="11"/>
  <c r="AL258" i="11"/>
  <c r="AL259" i="11"/>
  <c r="AL260" i="11"/>
  <c r="AL261" i="11"/>
  <c r="AL262" i="11"/>
  <c r="AL263" i="11"/>
  <c r="AL264" i="11"/>
  <c r="AL265" i="11"/>
  <c r="AL266" i="11"/>
  <c r="AL267" i="11"/>
  <c r="AL268" i="11"/>
  <c r="AL269" i="11"/>
  <c r="AL270" i="11"/>
  <c r="AL271" i="11"/>
  <c r="AL272" i="11"/>
  <c r="AL273" i="11"/>
  <c r="AL274" i="11"/>
  <c r="AL275" i="11"/>
  <c r="AL276" i="11"/>
  <c r="AL277" i="11"/>
  <c r="AL278" i="11"/>
  <c r="AL279" i="11"/>
  <c r="AL280" i="11"/>
  <c r="AL281" i="11"/>
  <c r="AL282" i="11"/>
  <c r="AL283" i="11"/>
  <c r="AL284" i="11"/>
  <c r="AL285" i="11"/>
  <c r="AL286" i="11"/>
  <c r="AL287" i="11"/>
  <c r="AL288" i="11"/>
  <c r="AL289" i="11"/>
  <c r="AL290" i="11"/>
  <c r="AL291" i="11"/>
  <c r="AL292" i="11"/>
  <c r="AL293" i="11"/>
  <c r="AL294" i="11"/>
  <c r="AL295" i="11"/>
  <c r="AL296" i="11"/>
  <c r="AL297" i="11"/>
  <c r="AL298" i="11"/>
  <c r="AL299" i="11"/>
  <c r="AL300" i="11"/>
  <c r="AL301" i="11"/>
  <c r="AL302" i="11"/>
  <c r="AL303" i="11"/>
  <c r="AL304" i="11"/>
  <c r="AL305" i="11"/>
  <c r="AL306" i="11"/>
  <c r="AL307" i="11"/>
  <c r="AL308" i="11"/>
  <c r="AL309" i="11"/>
  <c r="AL310" i="11"/>
  <c r="AL311" i="11"/>
  <c r="AL312" i="11"/>
  <c r="AL313" i="11"/>
  <c r="AL314" i="11"/>
  <c r="AL315" i="11"/>
  <c r="AL316" i="11"/>
  <c r="AL317" i="11"/>
  <c r="AL318" i="11"/>
  <c r="AL319" i="11"/>
  <c r="AL320" i="11"/>
  <c r="AL321" i="11"/>
  <c r="AL322" i="11"/>
  <c r="AL323" i="11"/>
  <c r="AL324" i="11"/>
  <c r="AL325" i="11"/>
  <c r="AL326" i="11"/>
  <c r="AL327" i="11"/>
  <c r="AL328" i="11"/>
  <c r="AL329" i="11"/>
  <c r="AL330" i="11"/>
  <c r="AL331" i="11"/>
  <c r="AL332" i="11"/>
  <c r="AL333" i="11"/>
  <c r="AL334" i="11"/>
  <c r="AL335" i="11"/>
  <c r="AL336" i="11"/>
  <c r="AL337" i="11"/>
  <c r="AL338" i="11"/>
  <c r="AL339" i="11"/>
  <c r="AL340" i="11"/>
  <c r="AL341" i="11"/>
  <c r="AL342" i="11"/>
  <c r="AL343" i="11"/>
  <c r="AL344" i="11"/>
  <c r="AL345" i="11"/>
  <c r="AL346" i="11"/>
  <c r="AL347" i="11"/>
  <c r="AL348" i="11"/>
  <c r="AL349" i="11"/>
  <c r="AL350" i="11"/>
  <c r="AL351" i="11"/>
  <c r="AL352" i="11"/>
  <c r="AL353" i="11"/>
  <c r="AL354" i="11"/>
  <c r="AL355" i="11"/>
  <c r="AL356" i="11"/>
  <c r="AL357" i="11"/>
  <c r="AL358" i="11"/>
  <c r="AL359" i="11"/>
  <c r="AL360" i="11"/>
  <c r="AL361" i="11"/>
  <c r="AL362" i="11"/>
  <c r="AL363" i="11"/>
  <c r="AL364" i="11"/>
  <c r="AL365" i="11"/>
  <c r="AL366" i="11"/>
  <c r="AL367" i="11"/>
  <c r="AL368" i="11"/>
  <c r="AL369" i="11"/>
  <c r="AL370" i="11"/>
  <c r="AL371" i="11"/>
  <c r="AL372" i="11"/>
  <c r="AL373" i="11"/>
  <c r="AL374" i="11"/>
  <c r="AL375" i="11"/>
  <c r="AL376" i="11"/>
  <c r="AL377" i="11"/>
  <c r="AL378" i="11"/>
  <c r="AL379" i="11"/>
  <c r="AL380" i="11"/>
  <c r="AL381" i="11"/>
  <c r="AL382" i="11"/>
  <c r="AL383" i="11"/>
  <c r="AL384" i="11"/>
  <c r="AL385" i="11"/>
  <c r="AL386" i="11"/>
  <c r="AL387" i="11"/>
  <c r="AL388" i="11"/>
  <c r="AL389" i="11"/>
  <c r="AL390" i="11"/>
  <c r="AL391" i="11"/>
  <c r="AL392" i="11"/>
  <c r="AL393" i="11"/>
  <c r="AL394" i="11"/>
  <c r="AL395" i="11"/>
  <c r="AL396" i="11"/>
  <c r="AL397" i="11"/>
  <c r="AL398" i="11"/>
  <c r="AL399" i="11"/>
  <c r="AL400" i="11"/>
  <c r="AL401" i="11"/>
  <c r="AL402" i="11"/>
  <c r="AL403" i="11"/>
  <c r="AL404" i="11"/>
  <c r="AL405" i="11"/>
  <c r="AL406" i="11"/>
  <c r="AL407" i="11"/>
  <c r="AL408" i="11"/>
  <c r="AL409" i="11"/>
  <c r="AL410" i="11"/>
  <c r="AL411" i="11"/>
  <c r="AL412" i="11"/>
  <c r="AL413" i="11"/>
  <c r="AL414" i="11"/>
  <c r="AL415" i="11"/>
  <c r="AL416" i="11"/>
  <c r="AL417" i="11"/>
  <c r="AL418" i="11"/>
  <c r="AL419" i="11"/>
  <c r="AL420" i="11"/>
  <c r="AL421" i="11"/>
  <c r="AL422" i="11"/>
  <c r="AL423" i="11"/>
  <c r="AL424" i="11"/>
  <c r="AL425" i="11"/>
  <c r="AL426" i="11"/>
  <c r="AL427" i="11"/>
  <c r="AL428" i="11"/>
  <c r="AL429" i="11"/>
  <c r="AL430" i="11"/>
  <c r="AL431" i="11"/>
  <c r="AL432" i="11"/>
  <c r="AL433" i="11"/>
  <c r="AL434" i="11"/>
  <c r="AL435" i="11"/>
  <c r="AL436" i="11"/>
  <c r="AL437" i="11"/>
  <c r="AL438" i="11"/>
  <c r="AL439" i="11"/>
  <c r="AL440" i="11"/>
  <c r="AL441" i="11"/>
  <c r="AL442" i="11"/>
  <c r="AL443" i="11"/>
  <c r="AL444" i="11"/>
  <c r="AL445" i="11"/>
  <c r="AL446" i="11"/>
  <c r="AL447" i="11"/>
  <c r="AL448" i="11"/>
  <c r="AL449" i="11"/>
  <c r="AL450" i="11"/>
  <c r="AL451" i="11"/>
  <c r="AL452" i="11"/>
  <c r="AL453" i="11"/>
  <c r="AL454" i="11"/>
  <c r="AL455" i="11"/>
  <c r="AL456" i="11"/>
  <c r="AL457" i="11"/>
  <c r="AL458" i="11"/>
  <c r="AL459" i="11"/>
  <c r="AL460" i="11"/>
  <c r="AL461" i="11"/>
  <c r="AL462" i="11"/>
  <c r="AL463" i="11"/>
  <c r="AL464" i="11"/>
  <c r="AL465" i="11"/>
  <c r="AL466" i="11"/>
  <c r="AL467" i="11"/>
  <c r="AL468" i="11"/>
  <c r="AL469" i="11"/>
  <c r="AL470" i="11"/>
  <c r="AL471" i="11"/>
  <c r="AL472" i="11"/>
  <c r="AL473" i="11"/>
  <c r="AL474" i="11"/>
  <c r="AL475" i="11"/>
  <c r="AL476" i="11"/>
  <c r="AL477" i="11"/>
  <c r="AL478" i="11"/>
  <c r="AL479" i="11"/>
  <c r="AL480" i="11"/>
  <c r="AL481" i="11"/>
  <c r="AL482" i="11"/>
  <c r="AL483" i="11"/>
  <c r="AL484" i="11"/>
  <c r="AL485" i="11"/>
  <c r="AL486" i="11"/>
  <c r="AL487" i="11"/>
  <c r="AL488" i="11"/>
  <c r="AL489" i="11"/>
  <c r="AL490" i="11"/>
  <c r="AO3" i="11"/>
  <c r="AA604" i="11"/>
  <c r="Z4" i="11"/>
  <c r="AK3" i="11"/>
  <c r="AG3" i="11"/>
  <c r="AI3" i="11"/>
  <c r="AH3" i="11"/>
  <c r="AB4" i="11"/>
  <c r="AH4" i="11" s="1"/>
  <c r="X4" i="11"/>
  <c r="X5" i="11" s="1"/>
  <c r="V4" i="11"/>
  <c r="Y3" i="11"/>
  <c r="W3" i="11"/>
  <c r="P4" i="11"/>
  <c r="L4" i="11"/>
  <c r="J4" i="11"/>
  <c r="I3" i="11"/>
  <c r="O40" i="10" l="1"/>
  <c r="BP21" i="11"/>
  <c r="BR20" i="11"/>
  <c r="BS20" i="11" s="1"/>
  <c r="BS18" i="11"/>
  <c r="AL3" i="11"/>
  <c r="AP3" i="11"/>
  <c r="Z5" i="11"/>
  <c r="AO4" i="11"/>
  <c r="AB5" i="11"/>
  <c r="V5" i="11"/>
  <c r="V6" i="11" s="1"/>
  <c r="AK4" i="11"/>
  <c r="Y4" i="11"/>
  <c r="W4" i="11"/>
  <c r="X6" i="11"/>
  <c r="Y5" i="11"/>
  <c r="BR21" i="11" l="1"/>
  <c r="AK6" i="11"/>
  <c r="Z6" i="11"/>
  <c r="AO5" i="11"/>
  <c r="W5" i="11"/>
  <c r="AK5" i="11"/>
  <c r="AB6" i="11"/>
  <c r="AH5" i="11"/>
  <c r="W6" i="11"/>
  <c r="V7" i="11"/>
  <c r="X7" i="11"/>
  <c r="Y6" i="11"/>
  <c r="AO6" i="11" l="1"/>
  <c r="Z7" i="11"/>
  <c r="AK7" i="11"/>
  <c r="AB7" i="11"/>
  <c r="AH6" i="11"/>
  <c r="X8" i="11"/>
  <c r="Y7" i="11"/>
  <c r="V8" i="11"/>
  <c r="AK8" i="11" s="1"/>
  <c r="W7" i="11"/>
  <c r="Z8" i="11" l="1"/>
  <c r="AO7" i="11"/>
  <c r="AB8" i="11"/>
  <c r="AH7" i="11"/>
  <c r="V9" i="11"/>
  <c r="W8" i="11"/>
  <c r="Y8" i="11"/>
  <c r="X9" i="11"/>
  <c r="Z9" i="11" l="1"/>
  <c r="AO8" i="11"/>
  <c r="AK9" i="11"/>
  <c r="AB9" i="11"/>
  <c r="AH8" i="11"/>
  <c r="X10" i="11"/>
  <c r="Y9" i="11"/>
  <c r="V10" i="11"/>
  <c r="AK10" i="11" s="1"/>
  <c r="W9" i="11"/>
  <c r="Z10" i="11" l="1"/>
  <c r="AO9" i="11"/>
  <c r="AB10" i="11"/>
  <c r="AH9" i="11"/>
  <c r="V11" i="11"/>
  <c r="W10" i="11"/>
  <c r="X11" i="11"/>
  <c r="Y10" i="11"/>
  <c r="Z11" i="11" l="1"/>
  <c r="AO10" i="11"/>
  <c r="AK11" i="11"/>
  <c r="AB11" i="11"/>
  <c r="AH10" i="11"/>
  <c r="Y11" i="11"/>
  <c r="X12" i="11"/>
  <c r="V12" i="11"/>
  <c r="AK12" i="11" s="1"/>
  <c r="W11" i="11"/>
  <c r="H47" i="10"/>
  <c r="Z12" i="11" l="1"/>
  <c r="AO11" i="11"/>
  <c r="AB12" i="11"/>
  <c r="AH11" i="11"/>
  <c r="W12" i="11"/>
  <c r="V13" i="11"/>
  <c r="Y12" i="11"/>
  <c r="X13" i="11"/>
  <c r="Z13" i="11" l="1"/>
  <c r="AO12" i="11"/>
  <c r="V14" i="11"/>
  <c r="AK13" i="11"/>
  <c r="AB13" i="11"/>
  <c r="AH12" i="11"/>
  <c r="Y13" i="11"/>
  <c r="X14" i="11"/>
  <c r="Z14" i="11" l="1"/>
  <c r="AO13" i="11"/>
  <c r="AB14" i="11"/>
  <c r="AH13" i="11"/>
  <c r="V15" i="11"/>
  <c r="AK14" i="11"/>
  <c r="Y14" i="11"/>
  <c r="X15" i="11"/>
  <c r="Z15" i="11" l="1"/>
  <c r="AO14" i="11"/>
  <c r="V16" i="11"/>
  <c r="AK15" i="11"/>
  <c r="AB15" i="11"/>
  <c r="AH14" i="11"/>
  <c r="Y15" i="11"/>
  <c r="X16" i="11"/>
  <c r="Z16" i="11" l="1"/>
  <c r="AO15" i="11"/>
  <c r="AB16" i="11"/>
  <c r="AH15" i="11"/>
  <c r="V17" i="11"/>
  <c r="AK16" i="11"/>
  <c r="X17" i="11"/>
  <c r="Y16" i="11"/>
  <c r="Z17" i="11" l="1"/>
  <c r="AO16" i="11"/>
  <c r="V18" i="11"/>
  <c r="AK17" i="11"/>
  <c r="AB17" i="11"/>
  <c r="AH16" i="11"/>
  <c r="X18" i="11"/>
  <c r="Y17" i="11"/>
  <c r="BI18" i="11"/>
  <c r="Z18" i="11" l="1"/>
  <c r="AO17" i="11"/>
  <c r="AB18" i="11"/>
  <c r="AH17" i="11"/>
  <c r="V19" i="11"/>
  <c r="AK18" i="11"/>
  <c r="Y18" i="11"/>
  <c r="X19" i="11"/>
  <c r="BI32" i="11"/>
  <c r="BF33" i="11"/>
  <c r="BG33" i="11" s="1"/>
  <c r="BH33" i="11"/>
  <c r="BF13" i="11"/>
  <c r="BG13" i="11" s="1"/>
  <c r="BI15" i="11"/>
  <c r="BI17" i="11"/>
  <c r="BI19" i="11"/>
  <c r="BI20" i="11"/>
  <c r="BF21" i="11"/>
  <c r="BG21" i="11" s="1"/>
  <c r="BH21" i="11"/>
  <c r="BI23" i="11"/>
  <c r="BI24" i="11"/>
  <c r="BI25" i="11"/>
  <c r="BI26" i="11"/>
  <c r="BI27" i="11"/>
  <c r="BI28" i="11"/>
  <c r="BI29" i="11"/>
  <c r="BI30" i="11"/>
  <c r="BI31" i="11"/>
  <c r="Z19" i="11" l="1"/>
  <c r="AO18" i="11"/>
  <c r="V20" i="11"/>
  <c r="AK19" i="11"/>
  <c r="AB19" i="11"/>
  <c r="AH18" i="11"/>
  <c r="X20" i="11"/>
  <c r="Y19" i="11"/>
  <c r="BI21" i="11"/>
  <c r="BI33" i="11"/>
  <c r="Z20" i="11" l="1"/>
  <c r="AO19" i="11"/>
  <c r="AB20" i="11"/>
  <c r="AH19" i="11"/>
  <c r="V21" i="11"/>
  <c r="AK20" i="11"/>
  <c r="X21" i="11"/>
  <c r="Y20" i="11"/>
  <c r="Z21" i="11" l="1"/>
  <c r="AO20" i="11"/>
  <c r="V22" i="11"/>
  <c r="AK21" i="11"/>
  <c r="AB21" i="11"/>
  <c r="AH20" i="11"/>
  <c r="X22" i="11"/>
  <c r="Y21" i="11"/>
  <c r="Z22" i="11" l="1"/>
  <c r="AO21" i="11"/>
  <c r="V23" i="11"/>
  <c r="AK22" i="11"/>
  <c r="AB22" i="11"/>
  <c r="AH21" i="11"/>
  <c r="Y22" i="11"/>
  <c r="X23" i="11"/>
  <c r="Z23" i="11" l="1"/>
  <c r="AO22" i="11"/>
  <c r="AB23" i="11"/>
  <c r="AH22" i="11"/>
  <c r="V24" i="11"/>
  <c r="AK23" i="11"/>
  <c r="X24" i="11"/>
  <c r="Y23" i="11"/>
  <c r="Z24" i="11" l="1"/>
  <c r="AO23" i="11"/>
  <c r="V25" i="11"/>
  <c r="AK24" i="11"/>
  <c r="AB24" i="11"/>
  <c r="AH23" i="11"/>
  <c r="Y24" i="11"/>
  <c r="X25" i="11"/>
  <c r="Z25" i="11" l="1"/>
  <c r="AO24" i="11"/>
  <c r="AB25" i="11"/>
  <c r="AH24" i="11"/>
  <c r="V26" i="11"/>
  <c r="AK25" i="11"/>
  <c r="Y25" i="11"/>
  <c r="X26" i="11"/>
  <c r="Z26" i="11" l="1"/>
  <c r="AO25" i="11"/>
  <c r="V27" i="11"/>
  <c r="AK26" i="11"/>
  <c r="AB26" i="11"/>
  <c r="AH25" i="11"/>
  <c r="X27" i="11"/>
  <c r="Y26" i="11"/>
  <c r="Z27" i="11" l="1"/>
  <c r="AO26" i="11"/>
  <c r="AB27" i="11"/>
  <c r="AH26" i="11"/>
  <c r="V28" i="11"/>
  <c r="AK27" i="11"/>
  <c r="X28" i="11"/>
  <c r="Y27" i="11"/>
  <c r="Z28" i="11" l="1"/>
  <c r="AO27" i="11"/>
  <c r="V29" i="11"/>
  <c r="AK28" i="11"/>
  <c r="AB28" i="11"/>
  <c r="AH27" i="11"/>
  <c r="Y28" i="11"/>
  <c r="X29" i="11"/>
  <c r="Z29" i="11" l="1"/>
  <c r="AO28" i="11"/>
  <c r="V30" i="11"/>
  <c r="AK29" i="11"/>
  <c r="AB29" i="11"/>
  <c r="AH28" i="11"/>
  <c r="X30" i="11"/>
  <c r="Y29" i="11"/>
  <c r="Z30" i="11" l="1"/>
  <c r="AO29" i="11"/>
  <c r="AB30" i="11"/>
  <c r="AH29" i="11"/>
  <c r="V31" i="11"/>
  <c r="AK30" i="11"/>
  <c r="X31" i="11"/>
  <c r="Y30" i="11"/>
  <c r="Z31" i="11" l="1"/>
  <c r="AO30" i="11"/>
  <c r="V32" i="11"/>
  <c r="AK31" i="11"/>
  <c r="AB31" i="11"/>
  <c r="AH30" i="11"/>
  <c r="Y31" i="11"/>
  <c r="X32" i="11"/>
  <c r="Z32" i="11" l="1"/>
  <c r="AO31" i="11"/>
  <c r="AB32" i="11"/>
  <c r="AH31" i="11"/>
  <c r="V33" i="11"/>
  <c r="AK32" i="11"/>
  <c r="Y32" i="11"/>
  <c r="X33" i="11"/>
  <c r="Z33" i="11" l="1"/>
  <c r="AO32" i="11"/>
  <c r="V34" i="11"/>
  <c r="AK33" i="11"/>
  <c r="AB33" i="11"/>
  <c r="AH32" i="11"/>
  <c r="X34" i="11"/>
  <c r="Y33" i="11"/>
  <c r="Z34" i="11" l="1"/>
  <c r="AO33" i="11"/>
  <c r="AB34" i="11"/>
  <c r="AH33" i="11"/>
  <c r="V35" i="11"/>
  <c r="AK34" i="11"/>
  <c r="Y34" i="11"/>
  <c r="X35" i="11"/>
  <c r="Z35" i="11" l="1"/>
  <c r="AO34" i="11"/>
  <c r="V36" i="11"/>
  <c r="AK35" i="11"/>
  <c r="AB35" i="11"/>
  <c r="AH34" i="11"/>
  <c r="Y35" i="11"/>
  <c r="X36" i="11"/>
  <c r="Z36" i="11" l="1"/>
  <c r="AO35" i="11"/>
  <c r="AB36" i="11"/>
  <c r="AH35" i="11"/>
  <c r="V37" i="11"/>
  <c r="AK36" i="11"/>
  <c r="Y36" i="11"/>
  <c r="X37" i="11"/>
  <c r="Z37" i="11" l="1"/>
  <c r="AO36" i="11"/>
  <c r="V38" i="11"/>
  <c r="AK37" i="11"/>
  <c r="AB37" i="11"/>
  <c r="AH36" i="11"/>
  <c r="Y37" i="11"/>
  <c r="X38" i="11"/>
  <c r="Z38" i="11" l="1"/>
  <c r="AO37" i="11"/>
  <c r="AB38" i="11"/>
  <c r="AH37" i="11"/>
  <c r="V39" i="11"/>
  <c r="AK38" i="11"/>
  <c r="X39" i="11"/>
  <c r="Y38" i="11"/>
  <c r="Z39" i="11" l="1"/>
  <c r="AO38" i="11"/>
  <c r="AB39" i="11"/>
  <c r="AH38" i="11"/>
  <c r="V40" i="11"/>
  <c r="AK39" i="11"/>
  <c r="Y39" i="11"/>
  <c r="X40" i="11"/>
  <c r="Z40" i="11" l="1"/>
  <c r="AO39" i="11"/>
  <c r="V41" i="11"/>
  <c r="AK40" i="11"/>
  <c r="AB40" i="11"/>
  <c r="AH39" i="11"/>
  <c r="Y40" i="11"/>
  <c r="X41" i="11"/>
  <c r="Z41" i="11" l="1"/>
  <c r="AO40" i="11"/>
  <c r="AB41" i="11"/>
  <c r="AH40" i="11"/>
  <c r="V42" i="11"/>
  <c r="AK41" i="11"/>
  <c r="Y41" i="11"/>
  <c r="X42" i="11"/>
  <c r="Z42" i="11" l="1"/>
  <c r="AO41" i="11"/>
  <c r="V43" i="11"/>
  <c r="AK42" i="11"/>
  <c r="AB42" i="11"/>
  <c r="AH41" i="11"/>
  <c r="Y42" i="11"/>
  <c r="X43" i="11"/>
  <c r="Z43" i="11" l="1"/>
  <c r="AO42" i="11"/>
  <c r="AB43" i="11"/>
  <c r="AH42" i="11"/>
  <c r="V44" i="11"/>
  <c r="AK43" i="11"/>
  <c r="Y43" i="11"/>
  <c r="X44" i="11"/>
  <c r="Z44" i="11" l="1"/>
  <c r="AO43" i="11"/>
  <c r="V45" i="11"/>
  <c r="AK44" i="11"/>
  <c r="AB44" i="11"/>
  <c r="AH43" i="11"/>
  <c r="X45" i="11"/>
  <c r="Y44" i="11"/>
  <c r="Z45" i="11" l="1"/>
  <c r="AO44" i="11"/>
  <c r="AB45" i="11"/>
  <c r="AH44" i="11"/>
  <c r="V46" i="11"/>
  <c r="AK45" i="11"/>
  <c r="X46" i="11"/>
  <c r="Y45" i="11"/>
  <c r="Z46" i="11" l="1"/>
  <c r="AO45" i="11"/>
  <c r="V47" i="11"/>
  <c r="AK46" i="11"/>
  <c r="AB46" i="11"/>
  <c r="AH45" i="11"/>
  <c r="Y46" i="11"/>
  <c r="X47" i="11"/>
  <c r="Z47" i="11" l="1"/>
  <c r="AO46" i="11"/>
  <c r="AB47" i="11"/>
  <c r="AH46" i="11"/>
  <c r="V48" i="11"/>
  <c r="AK47" i="11"/>
  <c r="Y47" i="11"/>
  <c r="X48" i="11"/>
  <c r="Z48" i="11" l="1"/>
  <c r="AO47" i="11"/>
  <c r="V49" i="11"/>
  <c r="AK48" i="11"/>
  <c r="AB48" i="11"/>
  <c r="AH47" i="11"/>
  <c r="Y48" i="11"/>
  <c r="X49" i="11"/>
  <c r="Z49" i="11" l="1"/>
  <c r="AO48" i="11"/>
  <c r="AB49" i="11"/>
  <c r="AH48" i="11"/>
  <c r="V50" i="11"/>
  <c r="AK49" i="11"/>
  <c r="Y49" i="11"/>
  <c r="X50" i="11"/>
  <c r="Z50" i="11" l="1"/>
  <c r="AO49" i="11"/>
  <c r="V51" i="11"/>
  <c r="AK50" i="11"/>
  <c r="AB50" i="11"/>
  <c r="AH49" i="11"/>
  <c r="X51" i="11"/>
  <c r="Y50" i="11"/>
  <c r="Z51" i="11" l="1"/>
  <c r="AO50" i="11"/>
  <c r="AB51" i="11"/>
  <c r="AH50" i="11"/>
  <c r="V52" i="11"/>
  <c r="AK51" i="11"/>
  <c r="X52" i="11"/>
  <c r="Y51" i="11"/>
  <c r="Z52" i="11" l="1"/>
  <c r="AO51" i="11"/>
  <c r="V53" i="11"/>
  <c r="AK52" i="11"/>
  <c r="AB52" i="11"/>
  <c r="AH51" i="11"/>
  <c r="X53" i="11"/>
  <c r="Y52" i="11"/>
  <c r="Z53" i="11" l="1"/>
  <c r="AO52" i="11"/>
  <c r="AB53" i="11"/>
  <c r="AH52" i="11"/>
  <c r="V54" i="11"/>
  <c r="AK53" i="11"/>
  <c r="Y53" i="11"/>
  <c r="X54" i="11"/>
  <c r="Z54" i="11" l="1"/>
  <c r="AO53" i="11"/>
  <c r="V55" i="11"/>
  <c r="AK54" i="11"/>
  <c r="AB54" i="11"/>
  <c r="AH53" i="11"/>
  <c r="Y54" i="11"/>
  <c r="X55" i="11"/>
  <c r="Z55" i="11" l="1"/>
  <c r="AO54" i="11"/>
  <c r="AB55" i="11"/>
  <c r="AH54" i="11"/>
  <c r="V56" i="11"/>
  <c r="AK55" i="11"/>
  <c r="X56" i="11"/>
  <c r="Y55" i="11"/>
  <c r="Z56" i="11" l="1"/>
  <c r="AO55" i="11"/>
  <c r="V57" i="11"/>
  <c r="AK56" i="11"/>
  <c r="AB56" i="11"/>
  <c r="AH55" i="11"/>
  <c r="X57" i="11"/>
  <c r="Y56" i="11"/>
  <c r="Z57" i="11" l="1"/>
  <c r="AO56" i="11"/>
  <c r="AB57" i="11"/>
  <c r="AH56" i="11"/>
  <c r="V58" i="11"/>
  <c r="AK57" i="11"/>
  <c r="X58" i="11"/>
  <c r="Y57" i="11"/>
  <c r="Z58" i="11" l="1"/>
  <c r="AO57" i="11"/>
  <c r="V59" i="11"/>
  <c r="AK58" i="11"/>
  <c r="AB58" i="11"/>
  <c r="AH57" i="11"/>
  <c r="Y58" i="11"/>
  <c r="X59" i="11"/>
  <c r="Z59" i="11" l="1"/>
  <c r="AO58" i="11"/>
  <c r="V60" i="11"/>
  <c r="AK59" i="11"/>
  <c r="AB59" i="11"/>
  <c r="AH58" i="11"/>
  <c r="X60" i="11"/>
  <c r="Y59" i="11"/>
  <c r="Z60" i="11" l="1"/>
  <c r="AO59" i="11"/>
  <c r="AB60" i="11"/>
  <c r="AH59" i="11"/>
  <c r="V61" i="11"/>
  <c r="AK60" i="11"/>
  <c r="Y60" i="11"/>
  <c r="X61" i="11"/>
  <c r="Z61" i="11" l="1"/>
  <c r="AO60" i="11"/>
  <c r="V62" i="11"/>
  <c r="AK61" i="11"/>
  <c r="AB61" i="11"/>
  <c r="AH60" i="11"/>
  <c r="X62" i="11"/>
  <c r="Y61" i="11"/>
  <c r="Z62" i="11" l="1"/>
  <c r="AO61" i="11"/>
  <c r="AB62" i="11"/>
  <c r="AH61" i="11"/>
  <c r="V63" i="11"/>
  <c r="AK62" i="11"/>
  <c r="X63" i="11"/>
  <c r="Y62" i="11"/>
  <c r="Z63" i="11" l="1"/>
  <c r="AO62" i="11"/>
  <c r="V64" i="11"/>
  <c r="AK63" i="11"/>
  <c r="AB63" i="11"/>
  <c r="AH62" i="11"/>
  <c r="Y63" i="11"/>
  <c r="X64" i="11"/>
  <c r="Z64" i="11" l="1"/>
  <c r="AO63" i="11"/>
  <c r="V65" i="11"/>
  <c r="AK64" i="11"/>
  <c r="AB64" i="11"/>
  <c r="AH63" i="11"/>
  <c r="X65" i="11"/>
  <c r="Y64" i="11"/>
  <c r="Z65" i="11" l="1"/>
  <c r="AO64" i="11"/>
  <c r="AB65" i="11"/>
  <c r="AH64" i="11"/>
  <c r="V66" i="11"/>
  <c r="AK65" i="11"/>
  <c r="X66" i="11"/>
  <c r="Y65" i="11"/>
  <c r="Z66" i="11" l="1"/>
  <c r="AO65" i="11"/>
  <c r="V67" i="11"/>
  <c r="AK66" i="11"/>
  <c r="AB66" i="11"/>
  <c r="AH65" i="11"/>
  <c r="X67" i="11"/>
  <c r="Y66" i="11"/>
  <c r="Z67" i="11" l="1"/>
  <c r="AO66" i="11"/>
  <c r="AB67" i="11"/>
  <c r="AH66" i="11"/>
  <c r="V68" i="11"/>
  <c r="AK67" i="11"/>
  <c r="X68" i="11"/>
  <c r="Y67" i="11"/>
  <c r="Z68" i="11" l="1"/>
  <c r="AO67" i="11"/>
  <c r="V69" i="11"/>
  <c r="AK68" i="11"/>
  <c r="AB68" i="11"/>
  <c r="AH67" i="11"/>
  <c r="X69" i="11"/>
  <c r="Y68" i="11"/>
  <c r="Z69" i="11" l="1"/>
  <c r="AO68" i="11"/>
  <c r="AB69" i="11"/>
  <c r="AH68" i="11"/>
  <c r="V70" i="11"/>
  <c r="AK69" i="11"/>
  <c r="X70" i="11"/>
  <c r="Y69" i="11"/>
  <c r="Z70" i="11" l="1"/>
  <c r="AO69" i="11"/>
  <c r="AB70" i="11"/>
  <c r="AH69" i="11"/>
  <c r="V71" i="11"/>
  <c r="AK70" i="11"/>
  <c r="Y70" i="11"/>
  <c r="X71" i="11"/>
  <c r="W59" i="11"/>
  <c r="W58" i="11"/>
  <c r="Z71" i="11" l="1"/>
  <c r="AO70" i="11"/>
  <c r="V72" i="11"/>
  <c r="AK71" i="11"/>
  <c r="AB71" i="11"/>
  <c r="AH70" i="11"/>
  <c r="X72" i="11"/>
  <c r="Y71" i="11"/>
  <c r="Z72" i="11" l="1"/>
  <c r="AO71" i="11"/>
  <c r="AB72" i="11"/>
  <c r="AH71" i="11"/>
  <c r="V73" i="11"/>
  <c r="AK72" i="11"/>
  <c r="Y72" i="11"/>
  <c r="X73" i="11"/>
  <c r="Z73" i="11" l="1"/>
  <c r="AO72" i="11"/>
  <c r="V74" i="11"/>
  <c r="AK73" i="11"/>
  <c r="AB73" i="11"/>
  <c r="AH72" i="11"/>
  <c r="X74" i="11"/>
  <c r="Y73" i="11"/>
  <c r="Z74" i="11" l="1"/>
  <c r="AO73" i="11"/>
  <c r="AB74" i="11"/>
  <c r="AH73" i="11"/>
  <c r="V75" i="11"/>
  <c r="AK74" i="11"/>
  <c r="X75" i="11"/>
  <c r="Y74" i="11"/>
  <c r="Z75" i="11" l="1"/>
  <c r="AO74" i="11"/>
  <c r="V76" i="11"/>
  <c r="AK75" i="11"/>
  <c r="W75" i="11"/>
  <c r="AB75" i="11"/>
  <c r="AH74" i="11"/>
  <c r="Y75" i="11"/>
  <c r="X76" i="11"/>
  <c r="Z76" i="11" l="1"/>
  <c r="AO75" i="11"/>
  <c r="AB76" i="11"/>
  <c r="AH75" i="11"/>
  <c r="V77" i="11"/>
  <c r="AK76" i="11"/>
  <c r="W76" i="11"/>
  <c r="X77" i="11"/>
  <c r="Y76" i="11"/>
  <c r="Z77" i="11" l="1"/>
  <c r="AO76" i="11"/>
  <c r="V78" i="11"/>
  <c r="AK77" i="11"/>
  <c r="W77" i="11"/>
  <c r="AB77" i="11"/>
  <c r="AH76" i="11"/>
  <c r="X78" i="11"/>
  <c r="Y77" i="11"/>
  <c r="Z78" i="11" l="1"/>
  <c r="AO77" i="11"/>
  <c r="AB78" i="11"/>
  <c r="AH77" i="11"/>
  <c r="V79" i="11"/>
  <c r="AK78" i="11"/>
  <c r="W78" i="11"/>
  <c r="X79" i="11"/>
  <c r="Y78" i="11"/>
  <c r="Z79" i="11" l="1"/>
  <c r="AO78" i="11"/>
  <c r="V80" i="11"/>
  <c r="AK79" i="11"/>
  <c r="AB79" i="11"/>
  <c r="AH78" i="11"/>
  <c r="X80" i="11"/>
  <c r="Y79" i="11"/>
  <c r="Z80" i="11" l="1"/>
  <c r="AO79" i="11"/>
  <c r="AB80" i="11"/>
  <c r="AH79" i="11"/>
  <c r="V81" i="11"/>
  <c r="AK80" i="11"/>
  <c r="X81" i="11"/>
  <c r="Y80" i="11"/>
  <c r="Z81" i="11" l="1"/>
  <c r="AO80" i="11"/>
  <c r="V82" i="11"/>
  <c r="AK81" i="11"/>
  <c r="AB81" i="11"/>
  <c r="AH80" i="11"/>
  <c r="X82" i="11"/>
  <c r="Y81" i="11"/>
  <c r="Z82" i="11" l="1"/>
  <c r="AO81" i="11"/>
  <c r="AB82" i="11"/>
  <c r="AH81" i="11"/>
  <c r="V83" i="11"/>
  <c r="AK82" i="11"/>
  <c r="Y82" i="11"/>
  <c r="X83" i="11"/>
  <c r="Z83" i="11" l="1"/>
  <c r="AO82" i="11"/>
  <c r="V84" i="11"/>
  <c r="AK83" i="11"/>
  <c r="W83" i="11"/>
  <c r="AB83" i="11"/>
  <c r="AH82" i="11"/>
  <c r="Y83" i="11"/>
  <c r="X84" i="11"/>
  <c r="Z84" i="11" l="1"/>
  <c r="AO83" i="11"/>
  <c r="AB84" i="11"/>
  <c r="AH83" i="11"/>
  <c r="V85" i="11"/>
  <c r="AK84" i="11"/>
  <c r="X85" i="11"/>
  <c r="Y84" i="11"/>
  <c r="Z85" i="11" l="1"/>
  <c r="AO84" i="11"/>
  <c r="V86" i="11"/>
  <c r="AK85" i="11"/>
  <c r="AB85" i="11"/>
  <c r="AH84" i="11"/>
  <c r="Y85" i="11"/>
  <c r="X86" i="11"/>
  <c r="Z86" i="11" l="1"/>
  <c r="AO85" i="11"/>
  <c r="AB86" i="11"/>
  <c r="AH85" i="11"/>
  <c r="V87" i="11"/>
  <c r="AK86" i="11"/>
  <c r="Y86" i="11"/>
  <c r="X87" i="11"/>
  <c r="Z87" i="11" l="1"/>
  <c r="AO86" i="11"/>
  <c r="V88" i="11"/>
  <c r="AK87" i="11"/>
  <c r="AB87" i="11"/>
  <c r="AH86" i="11"/>
  <c r="X88" i="11"/>
  <c r="Y87" i="11"/>
  <c r="W46" i="11"/>
  <c r="W45" i="11"/>
  <c r="Z88" i="11" l="1"/>
  <c r="AO87" i="11"/>
  <c r="AB88" i="11"/>
  <c r="AH87" i="11"/>
  <c r="V89" i="11"/>
  <c r="AK88" i="11"/>
  <c r="X89" i="11"/>
  <c r="Y88" i="11"/>
  <c r="Z89" i="11" l="1"/>
  <c r="AO88" i="11"/>
  <c r="V90" i="11"/>
  <c r="AK89" i="11"/>
  <c r="AB89" i="11"/>
  <c r="AH88" i="11"/>
  <c r="X90" i="11"/>
  <c r="Y89" i="11"/>
  <c r="Z90" i="11" l="1"/>
  <c r="AO89" i="11"/>
  <c r="AB90" i="11"/>
  <c r="AH89" i="11"/>
  <c r="V91" i="11"/>
  <c r="AK90" i="11"/>
  <c r="X91" i="11"/>
  <c r="Y90" i="11"/>
  <c r="Z91" i="11" l="1"/>
  <c r="AO90" i="11"/>
  <c r="V92" i="11"/>
  <c r="AK91" i="11"/>
  <c r="AB91" i="11"/>
  <c r="AH90" i="11"/>
  <c r="Y91" i="11"/>
  <c r="X92" i="11"/>
  <c r="Z92" i="11" l="1"/>
  <c r="AO91" i="11"/>
  <c r="V93" i="11"/>
  <c r="AK92" i="11"/>
  <c r="AB92" i="11"/>
  <c r="AH91" i="11"/>
  <c r="Y92" i="11"/>
  <c r="X93" i="11"/>
  <c r="Z93" i="11" l="1"/>
  <c r="AO92" i="11"/>
  <c r="AB93" i="11"/>
  <c r="AH92" i="11"/>
  <c r="V94" i="11"/>
  <c r="AK93" i="11"/>
  <c r="X94" i="11"/>
  <c r="Y93" i="11"/>
  <c r="Z94" i="11" l="1"/>
  <c r="AO93" i="11"/>
  <c r="V95" i="11"/>
  <c r="AK94" i="11"/>
  <c r="AB94" i="11"/>
  <c r="AH93" i="11"/>
  <c r="Y94" i="11"/>
  <c r="X95" i="11"/>
  <c r="Z95" i="11" l="1"/>
  <c r="AO94" i="11"/>
  <c r="AB95" i="11"/>
  <c r="AH94" i="11"/>
  <c r="V96" i="11"/>
  <c r="AK95" i="11"/>
  <c r="Y95" i="11"/>
  <c r="X96" i="11"/>
  <c r="Z96" i="11" l="1"/>
  <c r="AO95" i="11"/>
  <c r="V97" i="11"/>
  <c r="AK96" i="11"/>
  <c r="AB96" i="11"/>
  <c r="AH95" i="11"/>
  <c r="Y96" i="11"/>
  <c r="X97" i="11"/>
  <c r="Z97" i="11" l="1"/>
  <c r="AO96" i="11"/>
  <c r="AB97" i="11"/>
  <c r="AH96" i="11"/>
  <c r="V98" i="11"/>
  <c r="AK97" i="11"/>
  <c r="Y97" i="11"/>
  <c r="X98" i="11"/>
  <c r="Z98" i="11" l="1"/>
  <c r="AO97" i="11"/>
  <c r="V99" i="11"/>
  <c r="AK98" i="11"/>
  <c r="AB98" i="11"/>
  <c r="AH97" i="11"/>
  <c r="Y98" i="11"/>
  <c r="X99" i="11"/>
  <c r="W41" i="11"/>
  <c r="W40" i="11"/>
  <c r="Z99" i="11" l="1"/>
  <c r="AO98" i="11"/>
  <c r="AB99" i="11"/>
  <c r="AH98" i="11"/>
  <c r="V100" i="11"/>
  <c r="AK99" i="11"/>
  <c r="X100" i="11"/>
  <c r="Y99" i="11"/>
  <c r="Z100" i="11" l="1"/>
  <c r="AO99" i="11"/>
  <c r="V101" i="11"/>
  <c r="AK100" i="11"/>
  <c r="AB100" i="11"/>
  <c r="AH99" i="11"/>
  <c r="X101" i="11"/>
  <c r="Y100" i="11"/>
  <c r="Z101" i="11" l="1"/>
  <c r="AO100" i="11"/>
  <c r="AB101" i="11"/>
  <c r="AH100" i="11"/>
  <c r="V102" i="11"/>
  <c r="AK101" i="11"/>
  <c r="X102" i="11"/>
  <c r="Y101" i="11"/>
  <c r="W38" i="11"/>
  <c r="W37" i="11"/>
  <c r="W36" i="11"/>
  <c r="Z102" i="11" l="1"/>
  <c r="AO101" i="11"/>
  <c r="V103" i="11"/>
  <c r="AK102" i="11"/>
  <c r="AB102" i="11"/>
  <c r="AH101" i="11"/>
  <c r="X103" i="11"/>
  <c r="Y102" i="11"/>
  <c r="Z103" i="11" l="1"/>
  <c r="AO102" i="11"/>
  <c r="AB103" i="11"/>
  <c r="AH102" i="11"/>
  <c r="V104" i="11"/>
  <c r="AK103" i="11"/>
  <c r="X104" i="11"/>
  <c r="Y103" i="11"/>
  <c r="Z104" i="11" l="1"/>
  <c r="AO103" i="11"/>
  <c r="V105" i="11"/>
  <c r="AK104" i="11"/>
  <c r="AB104" i="11"/>
  <c r="AH103" i="11"/>
  <c r="X105" i="11"/>
  <c r="Y104" i="11"/>
  <c r="Z105" i="11" l="1"/>
  <c r="AO104" i="11"/>
  <c r="AB105" i="11"/>
  <c r="AH104" i="11"/>
  <c r="V106" i="11"/>
  <c r="AK105" i="11"/>
  <c r="Y105" i="11"/>
  <c r="X106" i="11"/>
  <c r="Z106" i="11" l="1"/>
  <c r="AO105" i="11"/>
  <c r="V107" i="11"/>
  <c r="AK106" i="11"/>
  <c r="AB106" i="11"/>
  <c r="AH105" i="11"/>
  <c r="Y106" i="11"/>
  <c r="X107" i="11"/>
  <c r="W35" i="11"/>
  <c r="Z107" i="11" l="1"/>
  <c r="AO106" i="11"/>
  <c r="AB107" i="11"/>
  <c r="AH106" i="11"/>
  <c r="V108" i="11"/>
  <c r="AK107" i="11"/>
  <c r="Y107" i="11"/>
  <c r="X108" i="11"/>
  <c r="Z108" i="11" l="1"/>
  <c r="AO107" i="11"/>
  <c r="V109" i="11"/>
  <c r="AK108" i="11"/>
  <c r="AB108" i="11"/>
  <c r="AH107" i="11"/>
  <c r="Y108" i="11"/>
  <c r="X109" i="11"/>
  <c r="Z109" i="11" l="1"/>
  <c r="AO108" i="11"/>
  <c r="AB109" i="11"/>
  <c r="AH108" i="11"/>
  <c r="V110" i="11"/>
  <c r="AK109" i="11"/>
  <c r="Y109" i="11"/>
  <c r="X110" i="11"/>
  <c r="Z110" i="11" l="1"/>
  <c r="AO109" i="11"/>
  <c r="V111" i="11"/>
  <c r="AK110" i="11"/>
  <c r="AB110" i="11"/>
  <c r="AH109" i="11"/>
  <c r="Y110" i="11"/>
  <c r="X111" i="11"/>
  <c r="Z111" i="11" l="1"/>
  <c r="AO110" i="11"/>
  <c r="AB111" i="11"/>
  <c r="AH110" i="11"/>
  <c r="V112" i="11"/>
  <c r="AK111" i="11"/>
  <c r="X112" i="11"/>
  <c r="Y111" i="11"/>
  <c r="Z112" i="11" l="1"/>
  <c r="AO111" i="11"/>
  <c r="V113" i="11"/>
  <c r="AK112" i="11"/>
  <c r="AB112" i="11"/>
  <c r="AH111" i="11"/>
  <c r="X113" i="11"/>
  <c r="Y112" i="11"/>
  <c r="Z113" i="11" l="1"/>
  <c r="AO112" i="11"/>
  <c r="AB113" i="11"/>
  <c r="AH112" i="11"/>
  <c r="V114" i="11"/>
  <c r="AK113" i="11"/>
  <c r="X114" i="11"/>
  <c r="Y113" i="11"/>
  <c r="Z114" i="11" l="1"/>
  <c r="AO113" i="11"/>
  <c r="V115" i="11"/>
  <c r="AK114" i="11"/>
  <c r="AB114" i="11"/>
  <c r="AH113" i="11"/>
  <c r="X115" i="11"/>
  <c r="Y114" i="11"/>
  <c r="Z115" i="11" l="1"/>
  <c r="AO114" i="11"/>
  <c r="AB115" i="11"/>
  <c r="AH114" i="11"/>
  <c r="V116" i="11"/>
  <c r="AK115" i="11"/>
  <c r="X116" i="11"/>
  <c r="Y115" i="11"/>
  <c r="AV196" i="11"/>
  <c r="Z116" i="11" l="1"/>
  <c r="AO115" i="11"/>
  <c r="V117" i="11"/>
  <c r="AK116" i="11"/>
  <c r="AB116" i="11"/>
  <c r="AH115" i="11"/>
  <c r="Y116" i="11"/>
  <c r="X117" i="11"/>
  <c r="AM3" i="11"/>
  <c r="AN3" i="11" s="1"/>
  <c r="Z117" i="11" l="1"/>
  <c r="AO116" i="11"/>
  <c r="AB117" i="11"/>
  <c r="AH116" i="11"/>
  <c r="V118" i="11"/>
  <c r="AK117" i="11"/>
  <c r="X118" i="11"/>
  <c r="Y117" i="11"/>
  <c r="Z118" i="11" l="1"/>
  <c r="AO117" i="11"/>
  <c r="V119" i="11"/>
  <c r="AK118" i="11"/>
  <c r="AB118" i="11"/>
  <c r="AH117" i="11"/>
  <c r="Y118" i="11"/>
  <c r="X119" i="11"/>
  <c r="Z119" i="11" l="1"/>
  <c r="AO118" i="11"/>
  <c r="AB119" i="11"/>
  <c r="AH118" i="11"/>
  <c r="V120" i="11"/>
  <c r="AK119" i="11"/>
  <c r="Y119" i="11"/>
  <c r="X120" i="11"/>
  <c r="Z120" i="11" l="1"/>
  <c r="AO119" i="11"/>
  <c r="V121" i="11"/>
  <c r="AK120" i="11"/>
  <c r="AB120" i="11"/>
  <c r="AH119" i="11"/>
  <c r="Y120" i="11"/>
  <c r="X121" i="11"/>
  <c r="Z121" i="11" l="1"/>
  <c r="AO120" i="11"/>
  <c r="AB121" i="11"/>
  <c r="AH120" i="11"/>
  <c r="V122" i="11"/>
  <c r="AK121" i="11"/>
  <c r="X122" i="11"/>
  <c r="Y121" i="11"/>
  <c r="W21" i="11"/>
  <c r="W20" i="11"/>
  <c r="Z122" i="11" l="1"/>
  <c r="AO121" i="11"/>
  <c r="V123" i="11"/>
  <c r="AK122" i="11"/>
  <c r="AB122" i="11"/>
  <c r="AH121" i="11"/>
  <c r="Y122" i="11"/>
  <c r="X123" i="11"/>
  <c r="Z123" i="11" l="1"/>
  <c r="AO122" i="11"/>
  <c r="AB123" i="11"/>
  <c r="AH122" i="11"/>
  <c r="V124" i="11"/>
  <c r="AK123" i="11"/>
  <c r="X124" i="11"/>
  <c r="Y123" i="11"/>
  <c r="Z124" i="11" l="1"/>
  <c r="AO123" i="11"/>
  <c r="V125" i="11"/>
  <c r="AK124" i="11"/>
  <c r="AB124" i="11"/>
  <c r="AH123" i="11"/>
  <c r="X125" i="11"/>
  <c r="Y124" i="11"/>
  <c r="Z125" i="11" l="1"/>
  <c r="AO124" i="11"/>
  <c r="AB125" i="11"/>
  <c r="AH124" i="11"/>
  <c r="V126" i="11"/>
  <c r="AK125" i="11"/>
  <c r="X126" i="11"/>
  <c r="Y125" i="11"/>
  <c r="Z126" i="11" l="1"/>
  <c r="AO125" i="11"/>
  <c r="V127" i="11"/>
  <c r="AK126" i="11"/>
  <c r="AB126" i="11"/>
  <c r="AH125" i="11"/>
  <c r="X127" i="11"/>
  <c r="Y126" i="11"/>
  <c r="Z127" i="11" l="1"/>
  <c r="AO126" i="11"/>
  <c r="AB127" i="11"/>
  <c r="AH126" i="11"/>
  <c r="V128" i="11"/>
  <c r="AK127" i="11"/>
  <c r="X128" i="11"/>
  <c r="Y127" i="11"/>
  <c r="Z128" i="11" l="1"/>
  <c r="AO127" i="11"/>
  <c r="V129" i="11"/>
  <c r="AK128" i="11"/>
  <c r="AB128" i="11"/>
  <c r="AH127" i="11"/>
  <c r="X129" i="11"/>
  <c r="Y128" i="11"/>
  <c r="W22" i="11"/>
  <c r="BP32" i="11"/>
  <c r="BR32" i="11" s="1"/>
  <c r="BS32" i="11" s="1"/>
  <c r="BP31" i="11"/>
  <c r="BR31" i="11" s="1"/>
  <c r="BS31" i="11" s="1"/>
  <c r="BP30" i="11"/>
  <c r="BP29" i="11"/>
  <c r="BR29" i="11" l="1"/>
  <c r="BS29" i="11" s="1"/>
  <c r="BP33" i="11"/>
  <c r="Z129" i="11"/>
  <c r="AO128" i="11"/>
  <c r="AB129" i="11"/>
  <c r="AH128" i="11"/>
  <c r="V130" i="11"/>
  <c r="AK129" i="11"/>
  <c r="X130" i="11"/>
  <c r="Y129" i="11"/>
  <c r="W23" i="11"/>
  <c r="BR30" i="11"/>
  <c r="Z130" i="11" l="1"/>
  <c r="AO129" i="11"/>
  <c r="V131" i="11"/>
  <c r="AK130" i="11"/>
  <c r="AB130" i="11"/>
  <c r="AH129" i="11"/>
  <c r="Y130" i="11"/>
  <c r="X131" i="11"/>
  <c r="W24" i="11"/>
  <c r="BR33" i="11"/>
  <c r="BS30" i="11"/>
  <c r="BS33" i="11" s="1"/>
  <c r="Z131" i="11" l="1"/>
  <c r="AO130" i="11"/>
  <c r="AB131" i="11"/>
  <c r="AH130" i="11"/>
  <c r="V132" i="11"/>
  <c r="AK131" i="11"/>
  <c r="X132" i="11"/>
  <c r="Y131" i="11"/>
  <c r="W25" i="11"/>
  <c r="Z132" i="11" l="1"/>
  <c r="AO131" i="11"/>
  <c r="V133" i="11"/>
  <c r="AK132" i="11"/>
  <c r="AB132" i="11"/>
  <c r="AH131" i="11"/>
  <c r="X133" i="11"/>
  <c r="Y132" i="11"/>
  <c r="W26" i="11"/>
  <c r="Z133" i="11" l="1"/>
  <c r="AO132" i="11"/>
  <c r="AB133" i="11"/>
  <c r="AH132" i="11"/>
  <c r="V134" i="11"/>
  <c r="AK133" i="11"/>
  <c r="Y133" i="11"/>
  <c r="X134" i="11"/>
  <c r="W27" i="11"/>
  <c r="Z134" i="11" l="1"/>
  <c r="AO133" i="11"/>
  <c r="V135" i="11"/>
  <c r="AK134" i="11"/>
  <c r="AB134" i="11"/>
  <c r="AH133" i="11"/>
  <c r="Y134" i="11"/>
  <c r="X135" i="11"/>
  <c r="W28" i="11"/>
  <c r="Z135" i="11" l="1"/>
  <c r="AO134" i="11"/>
  <c r="AB135" i="11"/>
  <c r="AH134" i="11"/>
  <c r="V136" i="11"/>
  <c r="AK135" i="11"/>
  <c r="X136" i="11"/>
  <c r="Y135" i="11"/>
  <c r="W29" i="11"/>
  <c r="Z136" i="11" l="1"/>
  <c r="AO135" i="11"/>
  <c r="V137" i="11"/>
  <c r="AK136" i="11"/>
  <c r="AB136" i="11"/>
  <c r="AH135" i="11"/>
  <c r="X137" i="11"/>
  <c r="Y136" i="11"/>
  <c r="W30" i="11"/>
  <c r="Z137" i="11" l="1"/>
  <c r="AO136" i="11"/>
  <c r="AB137" i="11"/>
  <c r="AH136" i="11"/>
  <c r="V138" i="11"/>
  <c r="AK137" i="11"/>
  <c r="Y137" i="11"/>
  <c r="X138" i="11"/>
  <c r="W31" i="11"/>
  <c r="W15" i="11"/>
  <c r="W13" i="11"/>
  <c r="BR25" i="11"/>
  <c r="BS25" i="11" s="1"/>
  <c r="BR24" i="11"/>
  <c r="BS24" i="11" s="1"/>
  <c r="Z138" i="11" l="1"/>
  <c r="AO137" i="11"/>
  <c r="V139" i="11"/>
  <c r="AK138" i="11"/>
  <c r="AB138" i="11"/>
  <c r="AH137" i="11"/>
  <c r="X139" i="11"/>
  <c r="Y138" i="11"/>
  <c r="W14" i="11"/>
  <c r="W16" i="11"/>
  <c r="W32" i="11"/>
  <c r="W17" i="11"/>
  <c r="Z139" i="11" l="1"/>
  <c r="AO138" i="11"/>
  <c r="AB139" i="11"/>
  <c r="AH138" i="11"/>
  <c r="V140" i="11"/>
  <c r="AK139" i="11"/>
  <c r="X140" i="11"/>
  <c r="Y139" i="11"/>
  <c r="W33" i="11"/>
  <c r="W19" i="11"/>
  <c r="W18" i="11"/>
  <c r="Z140" i="11" l="1"/>
  <c r="AO139" i="11"/>
  <c r="V141" i="11"/>
  <c r="AK140" i="11"/>
  <c r="AB140" i="11"/>
  <c r="AH139" i="11"/>
  <c r="X141" i="11"/>
  <c r="Y140" i="11"/>
  <c r="W34" i="11"/>
  <c r="Z141" i="11" l="1"/>
  <c r="AO140" i="11"/>
  <c r="AB141" i="11"/>
  <c r="AH140" i="11"/>
  <c r="V142" i="11"/>
  <c r="AK141" i="11"/>
  <c r="X142" i="11"/>
  <c r="Y141" i="11"/>
  <c r="Z142" i="11" l="1"/>
  <c r="AO141" i="11"/>
  <c r="V143" i="11"/>
  <c r="AK142" i="11"/>
  <c r="AB142" i="11"/>
  <c r="AH141" i="11"/>
  <c r="Y142" i="11"/>
  <c r="X143" i="11"/>
  <c r="Z143" i="11" l="1"/>
  <c r="AO142" i="11"/>
  <c r="AB143" i="11"/>
  <c r="AH142" i="11"/>
  <c r="V144" i="11"/>
  <c r="AK143" i="11"/>
  <c r="X144" i="11"/>
  <c r="Y143" i="11"/>
  <c r="Z144" i="11" l="1"/>
  <c r="AO143" i="11"/>
  <c r="V145" i="11"/>
  <c r="AK144" i="11"/>
  <c r="AB144" i="11"/>
  <c r="AH143" i="11"/>
  <c r="Y144" i="11"/>
  <c r="X145" i="11"/>
  <c r="W39" i="11"/>
  <c r="Z145" i="11" l="1"/>
  <c r="AO144" i="11"/>
  <c r="AB145" i="11"/>
  <c r="AH144" i="11"/>
  <c r="V146" i="11"/>
  <c r="AK145" i="11"/>
  <c r="Y145" i="11"/>
  <c r="X146" i="11"/>
  <c r="Z146" i="11" l="1"/>
  <c r="AO145" i="11"/>
  <c r="V147" i="11"/>
  <c r="AK146" i="11"/>
  <c r="AB146" i="11"/>
  <c r="AH145" i="11"/>
  <c r="Y146" i="11"/>
  <c r="X147" i="11"/>
  <c r="Z147" i="11" l="1"/>
  <c r="AO146" i="11"/>
  <c r="AB147" i="11"/>
  <c r="AH146" i="11"/>
  <c r="V148" i="11"/>
  <c r="AK147" i="11"/>
  <c r="X148" i="11"/>
  <c r="Y147" i="11"/>
  <c r="W42" i="11"/>
  <c r="Z148" i="11" l="1"/>
  <c r="AO147" i="11"/>
  <c r="AB148" i="11"/>
  <c r="AH147" i="11"/>
  <c r="V149" i="11"/>
  <c r="AK148" i="11"/>
  <c r="X149" i="11"/>
  <c r="Y148" i="11"/>
  <c r="W43" i="11"/>
  <c r="Z149" i="11" l="1"/>
  <c r="AO148" i="11"/>
  <c r="V150" i="11"/>
  <c r="AK149" i="11"/>
  <c r="AB149" i="11"/>
  <c r="AH148" i="11"/>
  <c r="X150" i="11"/>
  <c r="Y149" i="11"/>
  <c r="W44" i="11"/>
  <c r="N48" i="10"/>
  <c r="M48" i="10"/>
  <c r="L48" i="10"/>
  <c r="K48" i="10"/>
  <c r="J48" i="10"/>
  <c r="I48" i="10"/>
  <c r="H48" i="10"/>
  <c r="G48" i="10"/>
  <c r="F48" i="10"/>
  <c r="Z150" i="11" l="1"/>
  <c r="AO149" i="11"/>
  <c r="AB150" i="11"/>
  <c r="AH149" i="11"/>
  <c r="V151" i="11"/>
  <c r="AK150" i="11"/>
  <c r="X151" i="11"/>
  <c r="Y150" i="11"/>
  <c r="Z151" i="11" l="1"/>
  <c r="AO150" i="11"/>
  <c r="V152" i="11"/>
  <c r="AK151" i="11"/>
  <c r="AB151" i="11"/>
  <c r="AH150" i="11"/>
  <c r="X152" i="11"/>
  <c r="Y151" i="11"/>
  <c r="I4" i="11"/>
  <c r="Z152" i="11" l="1"/>
  <c r="AO151" i="11"/>
  <c r="AB152" i="11"/>
  <c r="AH151" i="11"/>
  <c r="V153" i="11"/>
  <c r="AK152" i="11"/>
  <c r="X153" i="11"/>
  <c r="Y152" i="11"/>
  <c r="W47" i="11"/>
  <c r="AZ35" i="11"/>
  <c r="AZ34" i="11"/>
  <c r="AZ31" i="11"/>
  <c r="AZ32" i="11"/>
  <c r="AZ33" i="11"/>
  <c r="Z153" i="11" l="1"/>
  <c r="AO152" i="11"/>
  <c r="V154" i="11"/>
  <c r="AK153" i="11"/>
  <c r="AB153" i="11"/>
  <c r="AH152" i="11"/>
  <c r="X154" i="11"/>
  <c r="Y153" i="11"/>
  <c r="K4" i="11"/>
  <c r="J5" i="11" s="1"/>
  <c r="W48" i="11"/>
  <c r="R4" i="11"/>
  <c r="Z154" i="11" l="1"/>
  <c r="AO153" i="11"/>
  <c r="AB154" i="11"/>
  <c r="AH153" i="11"/>
  <c r="V155" i="11"/>
  <c r="AK154" i="11"/>
  <c r="Y154" i="11"/>
  <c r="X155" i="11"/>
  <c r="K5" i="11"/>
  <c r="J6" i="11" s="1"/>
  <c r="W49" i="11"/>
  <c r="Z155" i="11" l="1"/>
  <c r="AO154" i="11"/>
  <c r="V156" i="11"/>
  <c r="AK155" i="11"/>
  <c r="AB155" i="11"/>
  <c r="AH154" i="11"/>
  <c r="Y155" i="11"/>
  <c r="X156" i="11"/>
  <c r="K6" i="11"/>
  <c r="J7" i="11" s="1"/>
  <c r="W50" i="11"/>
  <c r="Z156" i="11" l="1"/>
  <c r="AO155" i="11"/>
  <c r="AB156" i="11"/>
  <c r="AH155" i="11"/>
  <c r="V157" i="11"/>
  <c r="AK156" i="11"/>
  <c r="Y156" i="11"/>
  <c r="X157" i="11"/>
  <c r="K7" i="11"/>
  <c r="J8" i="11" s="1"/>
  <c r="W51" i="11"/>
  <c r="Z157" i="11" l="1"/>
  <c r="AO156" i="11"/>
  <c r="V158" i="11"/>
  <c r="AK157" i="11"/>
  <c r="AB157" i="11"/>
  <c r="AH156" i="11"/>
  <c r="Y157" i="11"/>
  <c r="X158" i="11"/>
  <c r="K8" i="11"/>
  <c r="J9" i="11" s="1"/>
  <c r="W52" i="11"/>
  <c r="Z158" i="11" l="1"/>
  <c r="AO157" i="11"/>
  <c r="AB158" i="11"/>
  <c r="AH157" i="11"/>
  <c r="V159" i="11"/>
  <c r="AK158" i="11"/>
  <c r="Y158" i="11"/>
  <c r="X159" i="11"/>
  <c r="W53" i="11"/>
  <c r="Z159" i="11" l="1"/>
  <c r="AO158" i="11"/>
  <c r="V160" i="11"/>
  <c r="AK159" i="11"/>
  <c r="AB159" i="11"/>
  <c r="AH158" i="11"/>
  <c r="X160" i="11"/>
  <c r="Y159" i="11"/>
  <c r="W54" i="11"/>
  <c r="Z160" i="11" l="1"/>
  <c r="AO159" i="11"/>
  <c r="AB160" i="11"/>
  <c r="AH159" i="11"/>
  <c r="V161" i="11"/>
  <c r="AK160" i="11"/>
  <c r="X161" i="11"/>
  <c r="Y160" i="11"/>
  <c r="W55" i="11"/>
  <c r="Z161" i="11" l="1"/>
  <c r="AO160" i="11"/>
  <c r="V162" i="11"/>
  <c r="AK161" i="11"/>
  <c r="AB161" i="11"/>
  <c r="AH160" i="11"/>
  <c r="Y161" i="11"/>
  <c r="X162" i="11"/>
  <c r="W56" i="11"/>
  <c r="Z162" i="11" l="1"/>
  <c r="AO161" i="11"/>
  <c r="AB162" i="11"/>
  <c r="AH161" i="11"/>
  <c r="V163" i="11"/>
  <c r="AK162" i="11"/>
  <c r="Y162" i="11"/>
  <c r="X163" i="11"/>
  <c r="W57" i="11"/>
  <c r="Z163" i="11" l="1"/>
  <c r="AO162" i="11"/>
  <c r="AB163" i="11"/>
  <c r="AH162" i="11"/>
  <c r="V164" i="11"/>
  <c r="AK163" i="11"/>
  <c r="X164" i="11"/>
  <c r="Y163" i="11"/>
  <c r="Z164" i="11" l="1"/>
  <c r="AO163" i="11"/>
  <c r="AB164" i="11"/>
  <c r="AH163" i="11"/>
  <c r="V165" i="11"/>
  <c r="AK164" i="11"/>
  <c r="X165" i="11"/>
  <c r="Y164" i="11"/>
  <c r="Z165" i="11" l="1"/>
  <c r="AO164" i="11"/>
  <c r="V166" i="11"/>
  <c r="AK165" i="11"/>
  <c r="AB165" i="11"/>
  <c r="AH164" i="11"/>
  <c r="X166" i="11"/>
  <c r="Y165" i="11"/>
  <c r="W60" i="11"/>
  <c r="Z166" i="11" l="1"/>
  <c r="AO165" i="11"/>
  <c r="AB166" i="11"/>
  <c r="AH165" i="11"/>
  <c r="V167" i="11"/>
  <c r="AK166" i="11"/>
  <c r="Y166" i="11"/>
  <c r="X167" i="11"/>
  <c r="W61" i="11"/>
  <c r="O10" i="10"/>
  <c r="M33" i="10"/>
  <c r="L33" i="10"/>
  <c r="K33" i="10"/>
  <c r="B4" i="11"/>
  <c r="D4" i="11"/>
  <c r="E4" i="11" s="1"/>
  <c r="F4" i="11"/>
  <c r="G4" i="11" s="1"/>
  <c r="I5" i="11"/>
  <c r="M4" i="11"/>
  <c r="L5" i="11" s="1"/>
  <c r="AD4" i="11"/>
  <c r="AI4" i="11" s="1"/>
  <c r="N4" i="11"/>
  <c r="O4" i="11" s="1"/>
  <c r="T4" i="11"/>
  <c r="BR17" i="11"/>
  <c r="BS17" i="11" s="1"/>
  <c r="BR16" i="11"/>
  <c r="BS16" i="11" s="1"/>
  <c r="BS21" i="11" s="1"/>
  <c r="BR10" i="11"/>
  <c r="BP9" i="11"/>
  <c r="BR9" i="11" s="1"/>
  <c r="BS9" i="11" s="1"/>
  <c r="BP8" i="11"/>
  <c r="BP7" i="11"/>
  <c r="BR6" i="11"/>
  <c r="BS6" i="11" s="1"/>
  <c r="BI6" i="11"/>
  <c r="BJ4" i="11"/>
  <c r="BR7" i="11" l="1"/>
  <c r="BS7" i="11" s="1"/>
  <c r="BP13" i="11"/>
  <c r="BS10" i="11"/>
  <c r="BR13" i="11"/>
  <c r="Z167" i="11"/>
  <c r="AO166" i="11"/>
  <c r="V168" i="11"/>
  <c r="AK167" i="11"/>
  <c r="AG4" i="11"/>
  <c r="AB167" i="11"/>
  <c r="AH166" i="11"/>
  <c r="Y167" i="11"/>
  <c r="X168" i="11"/>
  <c r="BI13" i="11"/>
  <c r="W62" i="11"/>
  <c r="C4" i="11"/>
  <c r="B5" i="11" s="1"/>
  <c r="AD5" i="11"/>
  <c r="AI5" i="11" s="1"/>
  <c r="U4" i="11"/>
  <c r="T5" i="11" s="1"/>
  <c r="S4" i="11"/>
  <c r="Q4" i="11"/>
  <c r="P5" i="11" s="1"/>
  <c r="N5" i="11"/>
  <c r="O5" i="11" s="1"/>
  <c r="N6" i="11" s="1"/>
  <c r="O6" i="11" s="1"/>
  <c r="N7" i="11" s="1"/>
  <c r="I6" i="11"/>
  <c r="M5" i="11"/>
  <c r="L6" i="11" s="1"/>
  <c r="D5" i="11"/>
  <c r="F5" i="11"/>
  <c r="BI4" i="11"/>
  <c r="BR8" i="11"/>
  <c r="N71" i="10"/>
  <c r="J94" i="10" s="1"/>
  <c r="M71" i="10"/>
  <c r="J93" i="10" s="1"/>
  <c r="L71" i="10"/>
  <c r="J92" i="10" s="1"/>
  <c r="K71" i="10"/>
  <c r="J91" i="10" s="1"/>
  <c r="J71" i="10"/>
  <c r="J90" i="10" s="1"/>
  <c r="I71" i="10"/>
  <c r="J89" i="10" s="1"/>
  <c r="H71" i="10"/>
  <c r="J88" i="10" s="1"/>
  <c r="G71" i="10"/>
  <c r="J87" i="10" s="1"/>
  <c r="F71" i="10"/>
  <c r="J86" i="10" s="1"/>
  <c r="D71" i="10"/>
  <c r="J84" i="10" s="1"/>
  <c r="E71" i="10"/>
  <c r="J85" i="10" s="1"/>
  <c r="C71" i="10"/>
  <c r="J83" i="10" s="1"/>
  <c r="AP4" i="11" l="1"/>
  <c r="AL4" i="11"/>
  <c r="Z168" i="11"/>
  <c r="AO167" i="11"/>
  <c r="AB168" i="11"/>
  <c r="AH167" i="11"/>
  <c r="V169" i="11"/>
  <c r="AK168" i="11"/>
  <c r="Y168" i="11"/>
  <c r="X169" i="11"/>
  <c r="R5" i="11"/>
  <c r="S5" i="11" s="1"/>
  <c r="R6" i="11" s="1"/>
  <c r="S6" i="11" s="1"/>
  <c r="AM4" i="11"/>
  <c r="AN4" i="11" s="1"/>
  <c r="W63" i="11"/>
  <c r="C5" i="11"/>
  <c r="B6" i="11" s="1"/>
  <c r="AD6" i="11"/>
  <c r="AI6" i="11" s="1"/>
  <c r="U5" i="11"/>
  <c r="T6" i="11" s="1"/>
  <c r="Q5" i="11"/>
  <c r="P6" i="11" s="1"/>
  <c r="O7" i="11"/>
  <c r="N8" i="11" s="1"/>
  <c r="M6" i="11"/>
  <c r="L7" i="11" s="1"/>
  <c r="I7" i="11"/>
  <c r="G5" i="11"/>
  <c r="F6" i="11" s="1"/>
  <c r="G6" i="11" s="1"/>
  <c r="F7" i="11" s="1"/>
  <c r="G7" i="11" s="1"/>
  <c r="F8" i="11" s="1"/>
  <c r="E5" i="11"/>
  <c r="D6" i="11" s="1"/>
  <c r="E6" i="11" s="1"/>
  <c r="D7" i="11" s="1"/>
  <c r="E7" i="11" s="1"/>
  <c r="D8" i="11" s="1"/>
  <c r="BS8" i="11"/>
  <c r="BS13" i="11" s="1"/>
  <c r="O71" i="10"/>
  <c r="AG6" i="11" l="1"/>
  <c r="AL6" i="11" s="1"/>
  <c r="Z169" i="11"/>
  <c r="AO168" i="11"/>
  <c r="V170" i="11"/>
  <c r="AK169" i="11"/>
  <c r="AG5" i="11"/>
  <c r="AB169" i="11"/>
  <c r="AH168" i="11"/>
  <c r="Y169" i="11"/>
  <c r="X170" i="11"/>
  <c r="R7" i="11"/>
  <c r="M7" i="11"/>
  <c r="L8" i="11" s="1"/>
  <c r="W64" i="11"/>
  <c r="AD7" i="11"/>
  <c r="AI7" i="11" s="1"/>
  <c r="U6" i="11"/>
  <c r="T7" i="11" s="1"/>
  <c r="Q6" i="11"/>
  <c r="P7" i="11" s="1"/>
  <c r="O8" i="11"/>
  <c r="N9" i="11" s="1"/>
  <c r="I8" i="11"/>
  <c r="G8" i="11"/>
  <c r="F9" i="11" s="1"/>
  <c r="E8" i="11"/>
  <c r="D9" i="11" s="1"/>
  <c r="C6" i="11"/>
  <c r="B7" i="11" s="1"/>
  <c r="AP6" i="11" l="1"/>
  <c r="AL5" i="11"/>
  <c r="AP5" i="11"/>
  <c r="Z170" i="11"/>
  <c r="AO169" i="11"/>
  <c r="AG7" i="11"/>
  <c r="AB170" i="11"/>
  <c r="AH169" i="11"/>
  <c r="V171" i="11"/>
  <c r="AK170" i="11"/>
  <c r="Y170" i="11"/>
  <c r="X171" i="11"/>
  <c r="S7" i="11"/>
  <c r="R8" i="11" s="1"/>
  <c r="M8" i="11"/>
  <c r="L9" i="11" s="1"/>
  <c r="AM5" i="11"/>
  <c r="AN5" i="11" s="1"/>
  <c r="W65" i="11"/>
  <c r="AD8" i="11"/>
  <c r="AI8" i="11" s="1"/>
  <c r="U7" i="11"/>
  <c r="T8" i="11" s="1"/>
  <c r="Q7" i="11"/>
  <c r="O9" i="11"/>
  <c r="N10" i="11" s="1"/>
  <c r="I9" i="11"/>
  <c r="G9" i="11"/>
  <c r="F10" i="11" s="1"/>
  <c r="E9" i="11"/>
  <c r="D10" i="11" s="1"/>
  <c r="C7" i="11"/>
  <c r="B8" i="11" s="1"/>
  <c r="AC604" i="11"/>
  <c r="AL7" i="11" l="1"/>
  <c r="AP7" i="11"/>
  <c r="Z171" i="11"/>
  <c r="AO170" i="11"/>
  <c r="V172" i="11"/>
  <c r="AK171" i="11"/>
  <c r="AB171" i="11"/>
  <c r="AH170" i="11"/>
  <c r="X172" i="11"/>
  <c r="Y171" i="11"/>
  <c r="S8" i="11"/>
  <c r="R9" i="11" s="1"/>
  <c r="P8" i="11"/>
  <c r="Q8" i="11" s="1"/>
  <c r="M9" i="11"/>
  <c r="L10" i="11" s="1"/>
  <c r="W66" i="11"/>
  <c r="AD9" i="11"/>
  <c r="AI9" i="11" s="1"/>
  <c r="U8" i="11"/>
  <c r="O10" i="11"/>
  <c r="N11" i="11" s="1"/>
  <c r="I10" i="11"/>
  <c r="G10" i="11"/>
  <c r="F11" i="11" s="1"/>
  <c r="E10" i="11"/>
  <c r="D11" i="11" s="1"/>
  <c r="C8" i="11"/>
  <c r="B9" i="11" s="1"/>
  <c r="N54" i="10"/>
  <c r="M54" i="10"/>
  <c r="L54" i="10"/>
  <c r="K54" i="10"/>
  <c r="J54" i="10"/>
  <c r="I54" i="10"/>
  <c r="H54" i="10"/>
  <c r="N52" i="10"/>
  <c r="M52" i="10"/>
  <c r="L52" i="10"/>
  <c r="K52" i="10"/>
  <c r="J52" i="10"/>
  <c r="I52" i="10"/>
  <c r="H52" i="10"/>
  <c r="M47" i="10"/>
  <c r="Z172" i="11" l="1"/>
  <c r="AO171" i="11"/>
  <c r="AB172" i="11"/>
  <c r="AH171" i="11"/>
  <c r="V173" i="11"/>
  <c r="AK172" i="11"/>
  <c r="AG8" i="11"/>
  <c r="Y172" i="11"/>
  <c r="X173" i="11"/>
  <c r="T9" i="11"/>
  <c r="S9" i="11"/>
  <c r="R10" i="11" s="1"/>
  <c r="P9" i="11"/>
  <c r="M10" i="11"/>
  <c r="L11" i="11" s="1"/>
  <c r="W67" i="11"/>
  <c r="AD10" i="11"/>
  <c r="AI10" i="11" s="1"/>
  <c r="O11" i="11"/>
  <c r="N12" i="11" s="1"/>
  <c r="I11" i="11"/>
  <c r="G11" i="11"/>
  <c r="F12" i="11" s="1"/>
  <c r="E11" i="11"/>
  <c r="D12" i="11" s="1"/>
  <c r="C9" i="11"/>
  <c r="B10" i="11" s="1"/>
  <c r="N44" i="10"/>
  <c r="M44" i="10"/>
  <c r="L44" i="10"/>
  <c r="K44" i="10"/>
  <c r="J44" i="10"/>
  <c r="AG9" i="11" l="1"/>
  <c r="AL9" i="11" s="1"/>
  <c r="AL8" i="11"/>
  <c r="AP8" i="11"/>
  <c r="Z173" i="11"/>
  <c r="AO172" i="11"/>
  <c r="V174" i="11"/>
  <c r="AK173" i="11"/>
  <c r="AB173" i="11"/>
  <c r="AH172" i="11"/>
  <c r="X174" i="11"/>
  <c r="Y173" i="11"/>
  <c r="U9" i="11"/>
  <c r="T10" i="11" s="1"/>
  <c r="S10" i="11"/>
  <c r="R11" i="11" s="1"/>
  <c r="Q9" i="11"/>
  <c r="P10" i="11" s="1"/>
  <c r="AM6" i="11"/>
  <c r="AN6" i="11" s="1"/>
  <c r="W68" i="11"/>
  <c r="AD11" i="11"/>
  <c r="AI11" i="11" s="1"/>
  <c r="O12" i="11"/>
  <c r="N13" i="11" s="1"/>
  <c r="I12" i="11"/>
  <c r="M11" i="11"/>
  <c r="L12" i="11" s="1"/>
  <c r="G12" i="11"/>
  <c r="F13" i="11" s="1"/>
  <c r="E12" i="11"/>
  <c r="D13" i="11" s="1"/>
  <c r="C10" i="11"/>
  <c r="B11" i="11" s="1"/>
  <c r="F68" i="10"/>
  <c r="E68" i="10"/>
  <c r="AP9" i="11" l="1"/>
  <c r="Z174" i="11"/>
  <c r="AO173" i="11"/>
  <c r="AB174" i="11"/>
  <c r="AH173" i="11"/>
  <c r="V175" i="11"/>
  <c r="AK174" i="11"/>
  <c r="X175" i="11"/>
  <c r="Y174" i="11"/>
  <c r="U10" i="11"/>
  <c r="T11" i="11" s="1"/>
  <c r="S11" i="11"/>
  <c r="R12" i="11" s="1"/>
  <c r="Q10" i="11"/>
  <c r="P11" i="11" s="1"/>
  <c r="AM7" i="11"/>
  <c r="AN7" i="11" s="1"/>
  <c r="W69" i="11"/>
  <c r="AD12" i="11"/>
  <c r="AI12" i="11" s="1"/>
  <c r="O13" i="11"/>
  <c r="N14" i="11" s="1"/>
  <c r="I13" i="11"/>
  <c r="M12" i="11"/>
  <c r="L13" i="11" s="1"/>
  <c r="G13" i="11"/>
  <c r="F14" i="11" s="1"/>
  <c r="E13" i="11"/>
  <c r="D14" i="11" s="1"/>
  <c r="C11" i="11"/>
  <c r="B12" i="11" s="1"/>
  <c r="Z175" i="11" l="1"/>
  <c r="AO174" i="11"/>
  <c r="V176" i="11"/>
  <c r="AK175" i="11"/>
  <c r="AB175" i="11"/>
  <c r="AH174" i="11"/>
  <c r="X176" i="11"/>
  <c r="Y175" i="11"/>
  <c r="Q11" i="11"/>
  <c r="P12" i="11" s="1"/>
  <c r="U11" i="11"/>
  <c r="T12" i="11" s="1"/>
  <c r="S12" i="11"/>
  <c r="R13" i="11" s="1"/>
  <c r="W70" i="11"/>
  <c r="AD13" i="11"/>
  <c r="AI13" i="11" s="1"/>
  <c r="O14" i="11"/>
  <c r="N15" i="11" s="1"/>
  <c r="I14" i="11"/>
  <c r="M13" i="11"/>
  <c r="L14" i="11" s="1"/>
  <c r="G14" i="11"/>
  <c r="F15" i="11" s="1"/>
  <c r="E14" i="11"/>
  <c r="D15" i="11" s="1"/>
  <c r="C12" i="11"/>
  <c r="B13" i="11" s="1"/>
  <c r="Z176" i="11" l="1"/>
  <c r="AO175" i="11"/>
  <c r="AB176" i="11"/>
  <c r="AH175" i="11"/>
  <c r="V177" i="11"/>
  <c r="AK176" i="11"/>
  <c r="X177" i="11"/>
  <c r="Y176" i="11"/>
  <c r="Q12" i="11"/>
  <c r="P13" i="11" s="1"/>
  <c r="Q13" i="11" s="1"/>
  <c r="P14" i="11" s="1"/>
  <c r="Q14" i="11" s="1"/>
  <c r="P15" i="11" s="1"/>
  <c r="Q15" i="11" s="1"/>
  <c r="P16" i="11" s="1"/>
  <c r="Q16" i="11" s="1"/>
  <c r="P17" i="11" s="1"/>
  <c r="Q17" i="11" s="1"/>
  <c r="P18" i="11" s="1"/>
  <c r="Q18" i="11" s="1"/>
  <c r="P19" i="11" s="1"/>
  <c r="Q19" i="11" s="1"/>
  <c r="P20" i="11" s="1"/>
  <c r="Q20" i="11" s="1"/>
  <c r="P21" i="11" s="1"/>
  <c r="Q21" i="11" s="1"/>
  <c r="P22" i="11" s="1"/>
  <c r="Q22" i="11" s="1"/>
  <c r="P23" i="11" s="1"/>
  <c r="Q23" i="11" s="1"/>
  <c r="P24" i="11" s="1"/>
  <c r="Q24" i="11" s="1"/>
  <c r="P25" i="11" s="1"/>
  <c r="U12" i="11"/>
  <c r="T13" i="11" s="1"/>
  <c r="S13" i="11"/>
  <c r="R14" i="11" s="1"/>
  <c r="AM8" i="11"/>
  <c r="AN8" i="11" s="1"/>
  <c r="W71" i="11"/>
  <c r="K9" i="11"/>
  <c r="AD14" i="11"/>
  <c r="AI14" i="11" s="1"/>
  <c r="O15" i="11"/>
  <c r="N16" i="11" s="1"/>
  <c r="I15" i="11"/>
  <c r="M14" i="11"/>
  <c r="L15" i="11" s="1"/>
  <c r="G15" i="11"/>
  <c r="F16" i="11" s="1"/>
  <c r="E15" i="11"/>
  <c r="D16" i="11" s="1"/>
  <c r="C13" i="11"/>
  <c r="B14" i="11" s="1"/>
  <c r="Z177" i="11" l="1"/>
  <c r="AO176" i="11"/>
  <c r="V178" i="11"/>
  <c r="AK177" i="11"/>
  <c r="AB177" i="11"/>
  <c r="AH176" i="11"/>
  <c r="X178" i="11"/>
  <c r="Y177" i="11"/>
  <c r="Q25" i="11"/>
  <c r="P26" i="11" s="1"/>
  <c r="Q26" i="11" s="1"/>
  <c r="P27" i="11" s="1"/>
  <c r="Q27" i="11" s="1"/>
  <c r="P28" i="11" s="1"/>
  <c r="Q28" i="11" s="1"/>
  <c r="P29" i="11" s="1"/>
  <c r="Q29" i="11" s="1"/>
  <c r="P30" i="11" s="1"/>
  <c r="Q30" i="11" s="1"/>
  <c r="P31" i="11" s="1"/>
  <c r="Q31" i="11" s="1"/>
  <c r="P32" i="11" s="1"/>
  <c r="Q32" i="11" s="1"/>
  <c r="P33" i="11" s="1"/>
  <c r="Q33" i="11" s="1"/>
  <c r="P34" i="11" s="1"/>
  <c r="Q34" i="11" s="1"/>
  <c r="P35" i="11" s="1"/>
  <c r="Q35" i="11" s="1"/>
  <c r="P36" i="11" s="1"/>
  <c r="Q36" i="11" s="1"/>
  <c r="P37" i="11" s="1"/>
  <c r="Q37" i="11" s="1"/>
  <c r="P38" i="11" s="1"/>
  <c r="Q38" i="11" s="1"/>
  <c r="P39" i="11" s="1"/>
  <c r="Q39" i="11" s="1"/>
  <c r="P40" i="11" s="1"/>
  <c r="Q40" i="11" s="1"/>
  <c r="P41" i="11" s="1"/>
  <c r="Q41" i="11" s="1"/>
  <c r="P42" i="11" s="1"/>
  <c r="Q42" i="11" s="1"/>
  <c r="P43" i="11" s="1"/>
  <c r="Q43" i="11" s="1"/>
  <c r="P44" i="11" s="1"/>
  <c r="Q44" i="11" s="1"/>
  <c r="P45" i="11" s="1"/>
  <c r="Q45" i="11" s="1"/>
  <c r="P46" i="11" s="1"/>
  <c r="Q46" i="11" s="1"/>
  <c r="P47" i="11" s="1"/>
  <c r="Q47" i="11" s="1"/>
  <c r="P48" i="11" s="1"/>
  <c r="Q48" i="11" s="1"/>
  <c r="P49" i="11" s="1"/>
  <c r="Q49" i="11" s="1"/>
  <c r="P50" i="11" s="1"/>
  <c r="Q50" i="11" s="1"/>
  <c r="P51" i="11" s="1"/>
  <c r="Q51" i="11" s="1"/>
  <c r="P52" i="11" s="1"/>
  <c r="Q52" i="11" s="1"/>
  <c r="P53" i="11" s="1"/>
  <c r="Q53" i="11" s="1"/>
  <c r="P54" i="11" s="1"/>
  <c r="Q54" i="11" s="1"/>
  <c r="P55" i="11" s="1"/>
  <c r="Q55" i="11" s="1"/>
  <c r="P56" i="11" s="1"/>
  <c r="Q56" i="11" s="1"/>
  <c r="P57" i="11" s="1"/>
  <c r="Q57" i="11" s="1"/>
  <c r="P58" i="11" s="1"/>
  <c r="U13" i="11"/>
  <c r="T14" i="11" s="1"/>
  <c r="S14" i="11"/>
  <c r="R15" i="11" s="1"/>
  <c r="J10" i="11"/>
  <c r="AG10" i="11" s="1"/>
  <c r="W72" i="11"/>
  <c r="AD15" i="11"/>
  <c r="AI15" i="11" s="1"/>
  <c r="O16" i="11"/>
  <c r="N17" i="11" s="1"/>
  <c r="I16" i="11"/>
  <c r="M15" i="11"/>
  <c r="L16" i="11" s="1"/>
  <c r="G16" i="11"/>
  <c r="F17" i="11" s="1"/>
  <c r="E16" i="11"/>
  <c r="D17" i="11" s="1"/>
  <c r="C14" i="11"/>
  <c r="B15" i="11" s="1"/>
  <c r="Z178" i="11" l="1"/>
  <c r="AO177" i="11"/>
  <c r="AL10" i="11"/>
  <c r="AP10" i="11"/>
  <c r="AB178" i="11"/>
  <c r="AH177" i="11"/>
  <c r="V179" i="11"/>
  <c r="AK178" i="11"/>
  <c r="Y178" i="11"/>
  <c r="X179" i="11"/>
  <c r="Q58" i="11"/>
  <c r="P59" i="11" s="1"/>
  <c r="Q59" i="11" s="1"/>
  <c r="P60" i="11" s="1"/>
  <c r="U14" i="11"/>
  <c r="T15" i="11" s="1"/>
  <c r="S15" i="11"/>
  <c r="R16" i="11" s="1"/>
  <c r="K10" i="11"/>
  <c r="AM9" i="11"/>
  <c r="AN9" i="11" s="1"/>
  <c r="W73" i="11"/>
  <c r="AD16" i="11"/>
  <c r="AI16" i="11" s="1"/>
  <c r="O17" i="11"/>
  <c r="N18" i="11" s="1"/>
  <c r="I17" i="11"/>
  <c r="M16" i="11"/>
  <c r="G17" i="11"/>
  <c r="F18" i="11" s="1"/>
  <c r="E17" i="11"/>
  <c r="D18" i="11" s="1"/>
  <c r="C15" i="11"/>
  <c r="B16" i="11" s="1"/>
  <c r="Z179" i="11" l="1"/>
  <c r="AO178" i="11"/>
  <c r="V180" i="11"/>
  <c r="AK179" i="11"/>
  <c r="AB179" i="11"/>
  <c r="AH178" i="11"/>
  <c r="Y179" i="11"/>
  <c r="X180" i="11"/>
  <c r="Q60" i="11"/>
  <c r="P61" i="11" s="1"/>
  <c r="Q61" i="11" s="1"/>
  <c r="P62" i="11" s="1"/>
  <c r="U15" i="11"/>
  <c r="T16" i="11" s="1"/>
  <c r="S16" i="11"/>
  <c r="R17" i="11" s="1"/>
  <c r="L17" i="11"/>
  <c r="M17" i="11" s="1"/>
  <c r="J11" i="11"/>
  <c r="AG11" i="11" s="1"/>
  <c r="W74" i="11"/>
  <c r="AD17" i="11"/>
  <c r="AI17" i="11" s="1"/>
  <c r="O18" i="11"/>
  <c r="N19" i="11" s="1"/>
  <c r="I18" i="11"/>
  <c r="G18" i="11"/>
  <c r="F19" i="11" s="1"/>
  <c r="E18" i="11"/>
  <c r="D19" i="11" s="1"/>
  <c r="C16" i="11"/>
  <c r="B17" i="11" s="1"/>
  <c r="AL11" i="11" l="1"/>
  <c r="AP11" i="11"/>
  <c r="Z180" i="11"/>
  <c r="AO179" i="11"/>
  <c r="AB180" i="11"/>
  <c r="AH179" i="11"/>
  <c r="V181" i="11"/>
  <c r="AK180" i="11"/>
  <c r="Y180" i="11"/>
  <c r="X181" i="11"/>
  <c r="Q62" i="11"/>
  <c r="P63" i="11" s="1"/>
  <c r="U16" i="11"/>
  <c r="T17" i="11" s="1"/>
  <c r="S17" i="11"/>
  <c r="R18" i="11" s="1"/>
  <c r="AM10" i="11"/>
  <c r="AN10" i="11" s="1"/>
  <c r="L18" i="11"/>
  <c r="K11" i="11"/>
  <c r="AD18" i="11"/>
  <c r="AI18" i="11" s="1"/>
  <c r="O19" i="11"/>
  <c r="N20" i="11" s="1"/>
  <c r="I19" i="11"/>
  <c r="G19" i="11"/>
  <c r="F20" i="11" s="1"/>
  <c r="E19" i="11"/>
  <c r="D20" i="11" s="1"/>
  <c r="C17" i="11"/>
  <c r="B18" i="11" s="1"/>
  <c r="Z181" i="11" l="1"/>
  <c r="AO180" i="11"/>
  <c r="V182" i="11"/>
  <c r="AK181" i="11"/>
  <c r="AB181" i="11"/>
  <c r="AH180" i="11"/>
  <c r="Y181" i="11"/>
  <c r="X182" i="11"/>
  <c r="Q63" i="11"/>
  <c r="P64" i="11" s="1"/>
  <c r="Q64" i="11" s="1"/>
  <c r="P65" i="11" s="1"/>
  <c r="Q65" i="11" s="1"/>
  <c r="P66" i="11" s="1"/>
  <c r="Q66" i="11" s="1"/>
  <c r="P67" i="11" s="1"/>
  <c r="Q67" i="11" s="1"/>
  <c r="P68" i="11" s="1"/>
  <c r="Q68" i="11" s="1"/>
  <c r="P69" i="11" s="1"/>
  <c r="Q69" i="11" s="1"/>
  <c r="P70" i="11" s="1"/>
  <c r="Q70" i="11" s="1"/>
  <c r="P71" i="11" s="1"/>
  <c r="Q71" i="11" s="1"/>
  <c r="P72" i="11" s="1"/>
  <c r="Q72" i="11" s="1"/>
  <c r="P73" i="11" s="1"/>
  <c r="U17" i="11"/>
  <c r="T18" i="11" s="1"/>
  <c r="S18" i="11"/>
  <c r="R19" i="11" s="1"/>
  <c r="M18" i="11"/>
  <c r="L19" i="11" s="1"/>
  <c r="J12" i="11"/>
  <c r="AG12" i="11" s="1"/>
  <c r="AD19" i="11"/>
  <c r="AI19" i="11" s="1"/>
  <c r="O20" i="11"/>
  <c r="N21" i="11" s="1"/>
  <c r="I20" i="11"/>
  <c r="G20" i="11"/>
  <c r="F21" i="11" s="1"/>
  <c r="E20" i="11"/>
  <c r="D21" i="11" s="1"/>
  <c r="C18" i="11"/>
  <c r="B19" i="11" s="1"/>
  <c r="AL12" i="11" l="1"/>
  <c r="AP12" i="11"/>
  <c r="Z182" i="11"/>
  <c r="AO181" i="11"/>
  <c r="AB182" i="11"/>
  <c r="AH181" i="11"/>
  <c r="V183" i="11"/>
  <c r="AK182" i="11"/>
  <c r="Y182" i="11"/>
  <c r="X183" i="11"/>
  <c r="Q73" i="11"/>
  <c r="P74" i="11" s="1"/>
  <c r="Q74" i="11" s="1"/>
  <c r="P75" i="11" s="1"/>
  <c r="Q75" i="11" s="1"/>
  <c r="P76" i="11" s="1"/>
  <c r="Q76" i="11" s="1"/>
  <c r="P77" i="11" s="1"/>
  <c r="Q77" i="11" s="1"/>
  <c r="P78" i="11" s="1"/>
  <c r="Q78" i="11" s="1"/>
  <c r="P79" i="11" s="1"/>
  <c r="Q79" i="11" s="1"/>
  <c r="P80" i="11" s="1"/>
  <c r="Q80" i="11" s="1"/>
  <c r="P81" i="11" s="1"/>
  <c r="Q81" i="11" s="1"/>
  <c r="P82" i="11" s="1"/>
  <c r="Q82" i="11" s="1"/>
  <c r="P83" i="11" s="1"/>
  <c r="Q83" i="11" s="1"/>
  <c r="P84" i="11" s="1"/>
  <c r="U18" i="11"/>
  <c r="T19" i="11" s="1"/>
  <c r="S19" i="11"/>
  <c r="R20" i="11" s="1"/>
  <c r="K12" i="11"/>
  <c r="AD20" i="11"/>
  <c r="AI20" i="11" s="1"/>
  <c r="O21" i="11"/>
  <c r="N22" i="11" s="1"/>
  <c r="I21" i="11"/>
  <c r="G21" i="11"/>
  <c r="F22" i="11" s="1"/>
  <c r="E21" i="11"/>
  <c r="D22" i="11" s="1"/>
  <c r="C19" i="11"/>
  <c r="B20" i="11" s="1"/>
  <c r="Z183" i="11" l="1"/>
  <c r="AO182" i="11"/>
  <c r="V184" i="11"/>
  <c r="AK183" i="11"/>
  <c r="AB183" i="11"/>
  <c r="AH182" i="11"/>
  <c r="Y183" i="11"/>
  <c r="X184" i="11"/>
  <c r="Q84" i="11"/>
  <c r="P85" i="11" s="1"/>
  <c r="Q85" i="11" s="1"/>
  <c r="P86" i="11" s="1"/>
  <c r="Q86" i="11" s="1"/>
  <c r="P87" i="11" s="1"/>
  <c r="Q87" i="11" s="1"/>
  <c r="P88" i="11" s="1"/>
  <c r="Q88" i="11" s="1"/>
  <c r="P89" i="11" s="1"/>
  <c r="Q89" i="11" s="1"/>
  <c r="P90" i="11" s="1"/>
  <c r="Q90" i="11" s="1"/>
  <c r="P91" i="11" s="1"/>
  <c r="Q91" i="11" s="1"/>
  <c r="P92" i="11" s="1"/>
  <c r="Q92" i="11" s="1"/>
  <c r="P93" i="11" s="1"/>
  <c r="Q93" i="11" s="1"/>
  <c r="P94" i="11" s="1"/>
  <c r="Q94" i="11" s="1"/>
  <c r="P95" i="11" s="1"/>
  <c r="Q95" i="11" s="1"/>
  <c r="P96" i="11" s="1"/>
  <c r="U19" i="11"/>
  <c r="T20" i="11" s="1"/>
  <c r="S20" i="11"/>
  <c r="R21" i="11" s="1"/>
  <c r="AM11" i="11"/>
  <c r="AN11" i="11" s="1"/>
  <c r="J13" i="11"/>
  <c r="AG13" i="11" s="1"/>
  <c r="AD21" i="11"/>
  <c r="AI21" i="11" s="1"/>
  <c r="O22" i="11"/>
  <c r="N23" i="11" s="1"/>
  <c r="I22" i="11"/>
  <c r="G22" i="11"/>
  <c r="F23" i="11" s="1"/>
  <c r="E22" i="11"/>
  <c r="D23" i="11" s="1"/>
  <c r="C20" i="11"/>
  <c r="B21" i="11" s="1"/>
  <c r="AL13" i="11" l="1"/>
  <c r="AP13" i="11"/>
  <c r="Z184" i="11"/>
  <c r="AO183" i="11"/>
  <c r="AB184" i="11"/>
  <c r="AH183" i="11"/>
  <c r="V185" i="11"/>
  <c r="AK184" i="11"/>
  <c r="Y184" i="11"/>
  <c r="X185" i="11"/>
  <c r="Q96" i="11"/>
  <c r="P97" i="11" s="1"/>
  <c r="Q97" i="11" s="1"/>
  <c r="P98" i="11" s="1"/>
  <c r="Q98" i="11" s="1"/>
  <c r="P99" i="11" s="1"/>
  <c r="U20" i="11"/>
  <c r="T21" i="11" s="1"/>
  <c r="S21" i="11"/>
  <c r="R22" i="11" s="1"/>
  <c r="K13" i="11"/>
  <c r="W79" i="11"/>
  <c r="AD22" i="11"/>
  <c r="AI22" i="11" s="1"/>
  <c r="O23" i="11"/>
  <c r="N24" i="11" s="1"/>
  <c r="I23" i="11"/>
  <c r="G23" i="11"/>
  <c r="F24" i="11" s="1"/>
  <c r="E23" i="11"/>
  <c r="D24" i="11" s="1"/>
  <c r="C21" i="11"/>
  <c r="B22" i="11" s="1"/>
  <c r="Z185" i="11" l="1"/>
  <c r="AO184" i="11"/>
  <c r="V186" i="11"/>
  <c r="AK185" i="11"/>
  <c r="AB185" i="11"/>
  <c r="AH184" i="11"/>
  <c r="X186" i="11"/>
  <c r="Y185" i="11"/>
  <c r="Q99" i="11"/>
  <c r="P100" i="11" s="1"/>
  <c r="U21" i="11"/>
  <c r="T22" i="11" s="1"/>
  <c r="S22" i="11"/>
  <c r="R23" i="11" s="1"/>
  <c r="AM12" i="11"/>
  <c r="AN12" i="11" s="1"/>
  <c r="J14" i="11"/>
  <c r="AG14" i="11" s="1"/>
  <c r="W80" i="11"/>
  <c r="AD23" i="11"/>
  <c r="AI23" i="11" s="1"/>
  <c r="O24" i="11"/>
  <c r="I24" i="11"/>
  <c r="G24" i="11"/>
  <c r="E24" i="11"/>
  <c r="C22" i="11"/>
  <c r="B23" i="11" s="1"/>
  <c r="AL14" i="11" l="1"/>
  <c r="AP14" i="11"/>
  <c r="Z186" i="11"/>
  <c r="AO185" i="11"/>
  <c r="V187" i="11"/>
  <c r="AK186" i="11"/>
  <c r="AB186" i="11"/>
  <c r="AH185" i="11"/>
  <c r="Y186" i="11"/>
  <c r="X187" i="11"/>
  <c r="Q100" i="11"/>
  <c r="P101" i="11" s="1"/>
  <c r="Q101" i="11" s="1"/>
  <c r="P102" i="11" s="1"/>
  <c r="Q102" i="11" s="1"/>
  <c r="P103" i="11" s="1"/>
  <c r="Q103" i="11" s="1"/>
  <c r="P104" i="11" s="1"/>
  <c r="Q104" i="11" s="1"/>
  <c r="P105" i="11" s="1"/>
  <c r="Q105" i="11" s="1"/>
  <c r="P106" i="11" s="1"/>
  <c r="Q106" i="11" s="1"/>
  <c r="P107" i="11" s="1"/>
  <c r="Q107" i="11" s="1"/>
  <c r="P108" i="11" s="1"/>
  <c r="Q108" i="11" s="1"/>
  <c r="P109" i="11" s="1"/>
  <c r="Q109" i="11" s="1"/>
  <c r="P110" i="11" s="1"/>
  <c r="Q110" i="11" s="1"/>
  <c r="P111" i="11" s="1"/>
  <c r="Q111" i="11" s="1"/>
  <c r="P112" i="11" s="1"/>
  <c r="Q112" i="11" s="1"/>
  <c r="P113" i="11" s="1"/>
  <c r="Q113" i="11" s="1"/>
  <c r="P114" i="11" s="1"/>
  <c r="Q114" i="11" s="1"/>
  <c r="P115" i="11" s="1"/>
  <c r="Q115" i="11" s="1"/>
  <c r="P116" i="11" s="1"/>
  <c r="Q116" i="11" s="1"/>
  <c r="P117" i="11" s="1"/>
  <c r="Q117" i="11" s="1"/>
  <c r="P118" i="11" s="1"/>
  <c r="U22" i="11"/>
  <c r="T23" i="11" s="1"/>
  <c r="S23" i="11"/>
  <c r="R24" i="11" s="1"/>
  <c r="K14" i="11"/>
  <c r="W81" i="11"/>
  <c r="AD24" i="11"/>
  <c r="AI24" i="11" s="1"/>
  <c r="O25" i="11"/>
  <c r="I25" i="11"/>
  <c r="G25" i="11"/>
  <c r="E25" i="11"/>
  <c r="C23" i="11"/>
  <c r="B24" i="11" s="1"/>
  <c r="Z187" i="11" l="1"/>
  <c r="AO186" i="11"/>
  <c r="AB187" i="11"/>
  <c r="AH186" i="11"/>
  <c r="V188" i="11"/>
  <c r="AK187" i="11"/>
  <c r="X188" i="11"/>
  <c r="Y187" i="11"/>
  <c r="Q118" i="11"/>
  <c r="P119" i="11" s="1"/>
  <c r="Q119" i="11" s="1"/>
  <c r="P120" i="11" s="1"/>
  <c r="Q120" i="11" s="1"/>
  <c r="P121" i="11" s="1"/>
  <c r="Q121" i="11" s="1"/>
  <c r="P122" i="11" s="1"/>
  <c r="Q122" i="11" s="1"/>
  <c r="P123" i="11" s="1"/>
  <c r="Q123" i="11" s="1"/>
  <c r="P124" i="11" s="1"/>
  <c r="Q124" i="11" s="1"/>
  <c r="P125" i="11" s="1"/>
  <c r="U23" i="11"/>
  <c r="T24" i="11" s="1"/>
  <c r="S24" i="11"/>
  <c r="R25" i="11" s="1"/>
  <c r="AM13" i="11"/>
  <c r="AN13" i="11" s="1"/>
  <c r="J15" i="11"/>
  <c r="AG15" i="11" s="1"/>
  <c r="W82" i="11"/>
  <c r="AD25" i="11"/>
  <c r="AI25" i="11" s="1"/>
  <c r="O26" i="11"/>
  <c r="N27" i="11" s="1"/>
  <c r="I26" i="11"/>
  <c r="G26" i="11"/>
  <c r="E26" i="11"/>
  <c r="C24" i="11"/>
  <c r="AL15" i="11" l="1"/>
  <c r="AP15" i="11"/>
  <c r="Z188" i="11"/>
  <c r="AO187" i="11"/>
  <c r="V189" i="11"/>
  <c r="AK188" i="11"/>
  <c r="AB188" i="11"/>
  <c r="AH187" i="11"/>
  <c r="X189" i="11"/>
  <c r="Y188" i="11"/>
  <c r="Q125" i="11"/>
  <c r="P126" i="11" s="1"/>
  <c r="Q126" i="11" s="1"/>
  <c r="P127" i="11" s="1"/>
  <c r="Q127" i="11" s="1"/>
  <c r="P128" i="11" s="1"/>
  <c r="Q128" i="11" s="1"/>
  <c r="P129" i="11" s="1"/>
  <c r="Q129" i="11" s="1"/>
  <c r="P130" i="11" s="1"/>
  <c r="Q130" i="11" s="1"/>
  <c r="P131" i="11" s="1"/>
  <c r="Q131" i="11" s="1"/>
  <c r="P132" i="11" s="1"/>
  <c r="Q132" i="11" s="1"/>
  <c r="P133" i="11" s="1"/>
  <c r="Q133" i="11" s="1"/>
  <c r="P134" i="11" s="1"/>
  <c r="Q134" i="11" s="1"/>
  <c r="P135" i="11" s="1"/>
  <c r="Q135" i="11" s="1"/>
  <c r="P136" i="11" s="1"/>
  <c r="Q136" i="11" s="1"/>
  <c r="P137" i="11" s="1"/>
  <c r="Q137" i="11" s="1"/>
  <c r="P138" i="11" s="1"/>
  <c r="Q138" i="11" s="1"/>
  <c r="P139" i="11" s="1"/>
  <c r="Q139" i="11" s="1"/>
  <c r="P140" i="11" s="1"/>
  <c r="Q140" i="11" s="1"/>
  <c r="P141" i="11" s="1"/>
  <c r="Q141" i="11" s="1"/>
  <c r="P142" i="11" s="1"/>
  <c r="Q142" i="11" s="1"/>
  <c r="P143" i="11" s="1"/>
  <c r="Q143" i="11" s="1"/>
  <c r="P144" i="11" s="1"/>
  <c r="Q144" i="11" s="1"/>
  <c r="P145" i="11" s="1"/>
  <c r="Q145" i="11" s="1"/>
  <c r="P146" i="11" s="1"/>
  <c r="Q146" i="11" s="1"/>
  <c r="P147" i="11" s="1"/>
  <c r="U24" i="11"/>
  <c r="T25" i="11" s="1"/>
  <c r="S25" i="11"/>
  <c r="R26" i="11" s="1"/>
  <c r="K15" i="11"/>
  <c r="AM14" i="11"/>
  <c r="AN14" i="11" s="1"/>
  <c r="AD26" i="11"/>
  <c r="AI26" i="11" s="1"/>
  <c r="O27" i="11"/>
  <c r="N28" i="11" s="1"/>
  <c r="I27" i="11"/>
  <c r="G27" i="11"/>
  <c r="E27" i="11"/>
  <c r="C25" i="11"/>
  <c r="Z189" i="11" l="1"/>
  <c r="AO188" i="11"/>
  <c r="AB189" i="11"/>
  <c r="AH188" i="11"/>
  <c r="V190" i="11"/>
  <c r="AK189" i="11"/>
  <c r="X190" i="11"/>
  <c r="Y189" i="11"/>
  <c r="Q147" i="11"/>
  <c r="P148" i="11" s="1"/>
  <c r="Q148" i="11" s="1"/>
  <c r="P149" i="11" s="1"/>
  <c r="Q149" i="11" s="1"/>
  <c r="P150" i="11" s="1"/>
  <c r="Q150" i="11" s="1"/>
  <c r="P151" i="11" s="1"/>
  <c r="Q151" i="11" s="1"/>
  <c r="P152" i="11" s="1"/>
  <c r="Q152" i="11" s="1"/>
  <c r="P153" i="11" s="1"/>
  <c r="Q153" i="11" s="1"/>
  <c r="P154" i="11" s="1"/>
  <c r="Q154" i="11" s="1"/>
  <c r="P155" i="11" s="1"/>
  <c r="Q155" i="11" s="1"/>
  <c r="P156" i="11" s="1"/>
  <c r="Q156" i="11" s="1"/>
  <c r="P157" i="11" s="1"/>
  <c r="U25" i="11"/>
  <c r="T26" i="11" s="1"/>
  <c r="S26" i="11"/>
  <c r="R27" i="11" s="1"/>
  <c r="J16" i="11"/>
  <c r="AG16" i="11" s="1"/>
  <c r="W84" i="11"/>
  <c r="AD27" i="11"/>
  <c r="AI27" i="11" s="1"/>
  <c r="O28" i="11"/>
  <c r="N29" i="11" s="1"/>
  <c r="I28" i="11"/>
  <c r="G28" i="11"/>
  <c r="F29" i="11" s="1"/>
  <c r="E28" i="11"/>
  <c r="D29" i="11" s="1"/>
  <c r="C26" i="11"/>
  <c r="AL16" i="11" l="1"/>
  <c r="AP16" i="11"/>
  <c r="Z190" i="11"/>
  <c r="AO189" i="11"/>
  <c r="V191" i="11"/>
  <c r="AK190" i="11"/>
  <c r="AB190" i="11"/>
  <c r="AH189" i="11"/>
  <c r="Y190" i="11"/>
  <c r="X191" i="11"/>
  <c r="Q157" i="11"/>
  <c r="P158" i="11" s="1"/>
  <c r="Q158" i="11" s="1"/>
  <c r="P159" i="11" s="1"/>
  <c r="Q159" i="11" s="1"/>
  <c r="P160" i="11" s="1"/>
  <c r="Q160" i="11" s="1"/>
  <c r="P161" i="11" s="1"/>
  <c r="Q161" i="11" s="1"/>
  <c r="P162" i="11" s="1"/>
  <c r="Q162" i="11" s="1"/>
  <c r="P163" i="11" s="1"/>
  <c r="Q163" i="11" s="1"/>
  <c r="P164" i="11" s="1"/>
  <c r="Q164" i="11" s="1"/>
  <c r="P165" i="11" s="1"/>
  <c r="Q165" i="11" s="1"/>
  <c r="P166" i="11" s="1"/>
  <c r="Q166" i="11" s="1"/>
  <c r="P167" i="11" s="1"/>
  <c r="Q167" i="11" s="1"/>
  <c r="P168" i="11" s="1"/>
  <c r="Q168" i="11" s="1"/>
  <c r="P169" i="11" s="1"/>
  <c r="U26" i="11"/>
  <c r="T27" i="11" s="1"/>
  <c r="S27" i="11"/>
  <c r="R28" i="11" s="1"/>
  <c r="K16" i="11"/>
  <c r="W85" i="11"/>
  <c r="AD28" i="11"/>
  <c r="AI28" i="11" s="1"/>
  <c r="O29" i="11"/>
  <c r="N30" i="11" s="1"/>
  <c r="I29" i="11"/>
  <c r="G29" i="11"/>
  <c r="F30" i="11" s="1"/>
  <c r="E29" i="11"/>
  <c r="D30" i="11" s="1"/>
  <c r="C27" i="11"/>
  <c r="Z191" i="11" l="1"/>
  <c r="AO190" i="11"/>
  <c r="AB191" i="11"/>
  <c r="AH190" i="11"/>
  <c r="V192" i="11"/>
  <c r="AK191" i="11"/>
  <c r="Y191" i="11"/>
  <c r="X192" i="11"/>
  <c r="Q169" i="11"/>
  <c r="P170" i="11" s="1"/>
  <c r="Q170" i="11" s="1"/>
  <c r="P171" i="11" s="1"/>
  <c r="Q171" i="11" s="1"/>
  <c r="P172" i="11" s="1"/>
  <c r="Q172" i="11" s="1"/>
  <c r="P173" i="11" s="1"/>
  <c r="U27" i="11"/>
  <c r="T28" i="11" s="1"/>
  <c r="S28" i="11"/>
  <c r="R29" i="11" s="1"/>
  <c r="J17" i="11"/>
  <c r="AM15" i="11"/>
  <c r="AN15" i="11" s="1"/>
  <c r="W86" i="11"/>
  <c r="AD29" i="11"/>
  <c r="AI29" i="11" s="1"/>
  <c r="O30" i="11"/>
  <c r="N31" i="11" s="1"/>
  <c r="I30" i="11"/>
  <c r="G30" i="11"/>
  <c r="F31" i="11" s="1"/>
  <c r="E30" i="11"/>
  <c r="D31" i="11" s="1"/>
  <c r="C28" i="11"/>
  <c r="B29" i="11" s="1"/>
  <c r="Z192" i="11" l="1"/>
  <c r="AO191" i="11"/>
  <c r="K17" i="11"/>
  <c r="J18" i="11" s="1"/>
  <c r="AG17" i="11"/>
  <c r="V193" i="11"/>
  <c r="AK192" i="11"/>
  <c r="AB192" i="11"/>
  <c r="AH191" i="11"/>
  <c r="Y192" i="11"/>
  <c r="X193" i="11"/>
  <c r="Q173" i="11"/>
  <c r="P174" i="11" s="1"/>
  <c r="U28" i="11"/>
  <c r="T29" i="11" s="1"/>
  <c r="S29" i="11"/>
  <c r="R30" i="11" s="1"/>
  <c r="AM16" i="11"/>
  <c r="AN16" i="11" s="1"/>
  <c r="W87" i="11"/>
  <c r="AD30" i="11"/>
  <c r="AI30" i="11" s="1"/>
  <c r="O31" i="11"/>
  <c r="N32" i="11" s="1"/>
  <c r="I31" i="11"/>
  <c r="G31" i="11"/>
  <c r="F32" i="11" s="1"/>
  <c r="E31" i="11"/>
  <c r="D32" i="11" s="1"/>
  <c r="C29" i="11"/>
  <c r="B30" i="11" s="1"/>
  <c r="AL17" i="11" l="1"/>
  <c r="AP17" i="11"/>
  <c r="Z193" i="11"/>
  <c r="AO192" i="11"/>
  <c r="AB193" i="11"/>
  <c r="AH192" i="11"/>
  <c r="V194" i="11"/>
  <c r="AK193" i="11"/>
  <c r="K18" i="11"/>
  <c r="J19" i="11" s="1"/>
  <c r="AG19" i="11" s="1"/>
  <c r="AG18" i="11"/>
  <c r="Y193" i="11"/>
  <c r="X194" i="11"/>
  <c r="Q174" i="11"/>
  <c r="P175" i="11" s="1"/>
  <c r="Q175" i="11" s="1"/>
  <c r="P176" i="11" s="1"/>
  <c r="Q176" i="11" s="1"/>
  <c r="P177" i="11" s="1"/>
  <c r="Q177" i="11" s="1"/>
  <c r="P178" i="11" s="1"/>
  <c r="Q178" i="11" s="1"/>
  <c r="P179" i="11" s="1"/>
  <c r="Q179" i="11" s="1"/>
  <c r="P180" i="11" s="1"/>
  <c r="Q180" i="11" s="1"/>
  <c r="P181" i="11" s="1"/>
  <c r="Q181" i="11" s="1"/>
  <c r="P182" i="11" s="1"/>
  <c r="U29" i="11"/>
  <c r="T30" i="11" s="1"/>
  <c r="S30" i="11"/>
  <c r="R31" i="11" s="1"/>
  <c r="W88" i="11"/>
  <c r="AD31" i="11"/>
  <c r="AI31" i="11" s="1"/>
  <c r="O32" i="11"/>
  <c r="N33" i="11" s="1"/>
  <c r="I32" i="11"/>
  <c r="G32" i="11"/>
  <c r="F33" i="11" s="1"/>
  <c r="E32" i="11"/>
  <c r="D33" i="11" s="1"/>
  <c r="C30" i="11"/>
  <c r="B31" i="11" s="1"/>
  <c r="AL19" i="11" l="1"/>
  <c r="AP19" i="11"/>
  <c r="AL18" i="11"/>
  <c r="AP18" i="11"/>
  <c r="Z194" i="11"/>
  <c r="AO193" i="11"/>
  <c r="V195" i="11"/>
  <c r="AK194" i="11"/>
  <c r="AB194" i="11"/>
  <c r="AH193" i="11"/>
  <c r="Y194" i="11"/>
  <c r="X195" i="11"/>
  <c r="Q182" i="11"/>
  <c r="P183" i="11" s="1"/>
  <c r="Q183" i="11" s="1"/>
  <c r="P184" i="11" s="1"/>
  <c r="U30" i="11"/>
  <c r="T31" i="11" s="1"/>
  <c r="S31" i="11"/>
  <c r="R32" i="11" s="1"/>
  <c r="AM17" i="11"/>
  <c r="AN17" i="11" s="1"/>
  <c r="K19" i="11"/>
  <c r="W89" i="11"/>
  <c r="AD32" i="11"/>
  <c r="AI32" i="11" s="1"/>
  <c r="O33" i="11"/>
  <c r="N34" i="11" s="1"/>
  <c r="I33" i="11"/>
  <c r="G33" i="11"/>
  <c r="F34" i="11" s="1"/>
  <c r="E33" i="11"/>
  <c r="D34" i="11" s="1"/>
  <c r="C31" i="11"/>
  <c r="B32" i="11" s="1"/>
  <c r="O9" i="10"/>
  <c r="Z195" i="11" l="1"/>
  <c r="AO194" i="11"/>
  <c r="AB195" i="11"/>
  <c r="AH194" i="11"/>
  <c r="V196" i="11"/>
  <c r="AK195" i="11"/>
  <c r="X196" i="11"/>
  <c r="Y195" i="11"/>
  <c r="Q184" i="11"/>
  <c r="P185" i="11" s="1"/>
  <c r="U31" i="11"/>
  <c r="T32" i="11" s="1"/>
  <c r="S32" i="11"/>
  <c r="R33" i="11" s="1"/>
  <c r="J20" i="11"/>
  <c r="AM18" i="11"/>
  <c r="AN18" i="11" s="1"/>
  <c r="W90" i="11"/>
  <c r="AD33" i="11"/>
  <c r="AI33" i="11" s="1"/>
  <c r="O34" i="11"/>
  <c r="N35" i="11" s="1"/>
  <c r="I34" i="11"/>
  <c r="G34" i="11"/>
  <c r="F35" i="11" s="1"/>
  <c r="E34" i="11"/>
  <c r="D35" i="11" s="1"/>
  <c r="C32" i="11"/>
  <c r="B33" i="11" s="1"/>
  <c r="Z196" i="11" l="1"/>
  <c r="AO195" i="11"/>
  <c r="V197" i="11"/>
  <c r="AK196" i="11"/>
  <c r="AB196" i="11"/>
  <c r="AH195" i="11"/>
  <c r="X197" i="11"/>
  <c r="Y196" i="11"/>
  <c r="Q185" i="11"/>
  <c r="P186" i="11" s="1"/>
  <c r="Q186" i="11" s="1"/>
  <c r="P187" i="11" s="1"/>
  <c r="Q187" i="11" s="1"/>
  <c r="P188" i="11" s="1"/>
  <c r="Q188" i="11" s="1"/>
  <c r="P189" i="11" s="1"/>
  <c r="Q189" i="11" s="1"/>
  <c r="P190" i="11" s="1"/>
  <c r="Q190" i="11" s="1"/>
  <c r="P191" i="11" s="1"/>
  <c r="Q191" i="11" s="1"/>
  <c r="P192" i="11" s="1"/>
  <c r="U32" i="11"/>
  <c r="T33" i="11" s="1"/>
  <c r="S33" i="11"/>
  <c r="R34" i="11" s="1"/>
  <c r="K20" i="11"/>
  <c r="W91" i="11"/>
  <c r="AD34" i="11"/>
  <c r="AI34" i="11" s="1"/>
  <c r="O35" i="11"/>
  <c r="N36" i="11" s="1"/>
  <c r="I35" i="11"/>
  <c r="G35" i="11"/>
  <c r="F36" i="11" s="1"/>
  <c r="E35" i="11"/>
  <c r="D36" i="11" s="1"/>
  <c r="C33" i="11"/>
  <c r="B34" i="11" s="1"/>
  <c r="Z197" i="11" l="1"/>
  <c r="AO196" i="11"/>
  <c r="AB197" i="11"/>
  <c r="AH196" i="11"/>
  <c r="V198" i="11"/>
  <c r="AK197" i="11"/>
  <c r="X198" i="11"/>
  <c r="Y197" i="11"/>
  <c r="Q192" i="11"/>
  <c r="P193" i="11" s="1"/>
  <c r="U33" i="11"/>
  <c r="T34" i="11" s="1"/>
  <c r="S34" i="11"/>
  <c r="R35" i="11" s="1"/>
  <c r="J21" i="11"/>
  <c r="AM19" i="11"/>
  <c r="AN19" i="11" s="1"/>
  <c r="W92" i="11"/>
  <c r="AD35" i="11"/>
  <c r="AI35" i="11" s="1"/>
  <c r="O36" i="11"/>
  <c r="N37" i="11" s="1"/>
  <c r="I36" i="11"/>
  <c r="G36" i="11"/>
  <c r="F37" i="11" s="1"/>
  <c r="E36" i="11"/>
  <c r="D37" i="11" s="1"/>
  <c r="C34" i="11"/>
  <c r="B35" i="11" s="1"/>
  <c r="Z198" i="11" l="1"/>
  <c r="AO197" i="11"/>
  <c r="V199" i="11"/>
  <c r="AK198" i="11"/>
  <c r="AB198" i="11"/>
  <c r="AH197" i="11"/>
  <c r="Y198" i="11"/>
  <c r="X199" i="11"/>
  <c r="Q193" i="11"/>
  <c r="P194" i="11" s="1"/>
  <c r="Q194" i="11" s="1"/>
  <c r="P195" i="11" s="1"/>
  <c r="U34" i="11"/>
  <c r="T35" i="11" s="1"/>
  <c r="S35" i="11"/>
  <c r="R36" i="11" s="1"/>
  <c r="K21" i="11"/>
  <c r="W93" i="11"/>
  <c r="AD36" i="11"/>
  <c r="AI36" i="11" s="1"/>
  <c r="O37" i="11"/>
  <c r="N38" i="11" s="1"/>
  <c r="I37" i="11"/>
  <c r="G37" i="11"/>
  <c r="F38" i="11" s="1"/>
  <c r="E37" i="11"/>
  <c r="D38" i="11" s="1"/>
  <c r="C35" i="11"/>
  <c r="B36" i="11" s="1"/>
  <c r="Z199" i="11" l="1"/>
  <c r="AO198" i="11"/>
  <c r="AB199" i="11"/>
  <c r="AH198" i="11"/>
  <c r="V200" i="11"/>
  <c r="AK199" i="11"/>
  <c r="X200" i="11"/>
  <c r="Y199" i="11"/>
  <c r="Q195" i="11"/>
  <c r="P196" i="11" s="1"/>
  <c r="Q196" i="11" s="1"/>
  <c r="P197" i="11" s="1"/>
  <c r="U35" i="11"/>
  <c r="T36" i="11" s="1"/>
  <c r="S36" i="11"/>
  <c r="R37" i="11" s="1"/>
  <c r="J22" i="11"/>
  <c r="W94" i="11"/>
  <c r="AD37" i="11"/>
  <c r="AI37" i="11" s="1"/>
  <c r="O38" i="11"/>
  <c r="N39" i="11" s="1"/>
  <c r="I38" i="11"/>
  <c r="G38" i="11"/>
  <c r="F39" i="11" s="1"/>
  <c r="E38" i="11"/>
  <c r="D39" i="11" s="1"/>
  <c r="C36" i="11"/>
  <c r="B37" i="11" s="1"/>
  <c r="Z200" i="11" l="1"/>
  <c r="AO199" i="11"/>
  <c r="V201" i="11"/>
  <c r="AK200" i="11"/>
  <c r="AB200" i="11"/>
  <c r="AH199" i="11"/>
  <c r="X201" i="11"/>
  <c r="Y200" i="11"/>
  <c r="Q197" i="11"/>
  <c r="P198" i="11" s="1"/>
  <c r="U36" i="11"/>
  <c r="T37" i="11" s="1"/>
  <c r="S37" i="11"/>
  <c r="R38" i="11" s="1"/>
  <c r="K22" i="11"/>
  <c r="W95" i="11"/>
  <c r="AD38" i="11"/>
  <c r="AI38" i="11" s="1"/>
  <c r="O39" i="11"/>
  <c r="N40" i="11" s="1"/>
  <c r="I39" i="11"/>
  <c r="G39" i="11"/>
  <c r="F40" i="11" s="1"/>
  <c r="E39" i="11"/>
  <c r="D40" i="11" s="1"/>
  <c r="C37" i="11"/>
  <c r="B38" i="11" s="1"/>
  <c r="Z201" i="11" l="1"/>
  <c r="AO200" i="11"/>
  <c r="AB201" i="11"/>
  <c r="AH200" i="11"/>
  <c r="V202" i="11"/>
  <c r="AK201" i="11"/>
  <c r="X202" i="11"/>
  <c r="Y201" i="11"/>
  <c r="Q198" i="11"/>
  <c r="P199" i="11" s="1"/>
  <c r="Q199" i="11" s="1"/>
  <c r="P200" i="11" s="1"/>
  <c r="Q200" i="11" s="1"/>
  <c r="P201" i="11" s="1"/>
  <c r="U37" i="11"/>
  <c r="T38" i="11" s="1"/>
  <c r="S38" i="11"/>
  <c r="R39" i="11" s="1"/>
  <c r="J23" i="11"/>
  <c r="W96" i="11"/>
  <c r="AD39" i="11"/>
  <c r="AI39" i="11" s="1"/>
  <c r="O40" i="11"/>
  <c r="N41" i="11" s="1"/>
  <c r="I40" i="11"/>
  <c r="G40" i="11"/>
  <c r="F41" i="11" s="1"/>
  <c r="E40" i="11"/>
  <c r="D41" i="11" s="1"/>
  <c r="C38" i="11"/>
  <c r="B39" i="11" s="1"/>
  <c r="Z202" i="11" l="1"/>
  <c r="AO201" i="11"/>
  <c r="V203" i="11"/>
  <c r="AK202" i="11"/>
  <c r="AB202" i="11"/>
  <c r="AH201" i="11"/>
  <c r="Y202" i="11"/>
  <c r="X203" i="11"/>
  <c r="Q201" i="11"/>
  <c r="P202" i="11" s="1"/>
  <c r="Q202" i="11" s="1"/>
  <c r="P203" i="11" s="1"/>
  <c r="Q203" i="11" s="1"/>
  <c r="P204" i="11" s="1"/>
  <c r="Q204" i="11" s="1"/>
  <c r="P205" i="11" s="1"/>
  <c r="Q205" i="11" s="1"/>
  <c r="P206" i="11" s="1"/>
  <c r="Q206" i="11" s="1"/>
  <c r="P207" i="11" s="1"/>
  <c r="Q207" i="11" s="1"/>
  <c r="P208" i="11" s="1"/>
  <c r="Q208" i="11" s="1"/>
  <c r="P209" i="11" s="1"/>
  <c r="Q209" i="11" s="1"/>
  <c r="P210" i="11" s="1"/>
  <c r="U38" i="11"/>
  <c r="T39" i="11" s="1"/>
  <c r="S39" i="11"/>
  <c r="R40" i="11" s="1"/>
  <c r="K23" i="11"/>
  <c r="W97" i="11"/>
  <c r="AD40" i="11"/>
  <c r="AI40" i="11" s="1"/>
  <c r="O41" i="11"/>
  <c r="N42" i="11" s="1"/>
  <c r="I41" i="11"/>
  <c r="G41" i="11"/>
  <c r="F42" i="11" s="1"/>
  <c r="E41" i="11"/>
  <c r="D42" i="11" s="1"/>
  <c r="C39" i="11"/>
  <c r="B40" i="11" s="1"/>
  <c r="Z203" i="11" l="1"/>
  <c r="AO202" i="11"/>
  <c r="AB203" i="11"/>
  <c r="AH202" i="11"/>
  <c r="V204" i="11"/>
  <c r="AK203" i="11"/>
  <c r="X204" i="11"/>
  <c r="Y203" i="11"/>
  <c r="U39" i="11"/>
  <c r="T40" i="11" s="1"/>
  <c r="S40" i="11"/>
  <c r="R41" i="11" s="1"/>
  <c r="Q210" i="11"/>
  <c r="P211" i="11" s="1"/>
  <c r="J24" i="11"/>
  <c r="W98" i="11"/>
  <c r="AD41" i="11"/>
  <c r="AI41" i="11" s="1"/>
  <c r="O42" i="11"/>
  <c r="N43" i="11" s="1"/>
  <c r="I42" i="11"/>
  <c r="G42" i="11"/>
  <c r="F43" i="11" s="1"/>
  <c r="E42" i="11"/>
  <c r="D43" i="11" s="1"/>
  <c r="C40" i="11"/>
  <c r="B41" i="11" s="1"/>
  <c r="Z204" i="11" l="1"/>
  <c r="AO203" i="11"/>
  <c r="V205" i="11"/>
  <c r="AK204" i="11"/>
  <c r="AB204" i="11"/>
  <c r="AH203" i="11"/>
  <c r="Y204" i="11"/>
  <c r="X205" i="11"/>
  <c r="U40" i="11"/>
  <c r="T41" i="11" s="1"/>
  <c r="S41" i="11"/>
  <c r="R42" i="11" s="1"/>
  <c r="Q211" i="11"/>
  <c r="P212" i="11" s="1"/>
  <c r="K24" i="11"/>
  <c r="W99" i="11"/>
  <c r="AD42" i="11"/>
  <c r="AI42" i="11" s="1"/>
  <c r="O43" i="11"/>
  <c r="I43" i="11"/>
  <c r="G43" i="11"/>
  <c r="E43" i="11"/>
  <c r="C41" i="11"/>
  <c r="B42" i="11" s="1"/>
  <c r="Z205" i="11" l="1"/>
  <c r="AO204" i="11"/>
  <c r="AB205" i="11"/>
  <c r="AH204" i="11"/>
  <c r="V206" i="11"/>
  <c r="AK205" i="11"/>
  <c r="Y205" i="11"/>
  <c r="X206" i="11"/>
  <c r="U41" i="11"/>
  <c r="T42" i="11" s="1"/>
  <c r="S42" i="11"/>
  <c r="R43" i="11" s="1"/>
  <c r="Q212" i="11"/>
  <c r="P213" i="11" s="1"/>
  <c r="J25" i="11"/>
  <c r="W100" i="11"/>
  <c r="AD43" i="11"/>
  <c r="AI43" i="11" s="1"/>
  <c r="O44" i="11"/>
  <c r="I44" i="11"/>
  <c r="G44" i="11"/>
  <c r="E44" i="11"/>
  <c r="C42" i="11"/>
  <c r="B43" i="11" s="1"/>
  <c r="Z206" i="11" l="1"/>
  <c r="AO205" i="11"/>
  <c r="V207" i="11"/>
  <c r="AK206" i="11"/>
  <c r="AB206" i="11"/>
  <c r="AH205" i="11"/>
  <c r="Y206" i="11"/>
  <c r="X207" i="11"/>
  <c r="U42" i="11"/>
  <c r="T43" i="11" s="1"/>
  <c r="S43" i="11"/>
  <c r="R44" i="11" s="1"/>
  <c r="Q213" i="11"/>
  <c r="P214" i="11" s="1"/>
  <c r="K25" i="11"/>
  <c r="W101" i="11"/>
  <c r="AD44" i="11"/>
  <c r="AI44" i="11" s="1"/>
  <c r="O45" i="11"/>
  <c r="N46" i="11" s="1"/>
  <c r="I45" i="11"/>
  <c r="G45" i="11"/>
  <c r="F46" i="11" s="1"/>
  <c r="E45" i="11"/>
  <c r="D46" i="11" s="1"/>
  <c r="C43" i="11"/>
  <c r="L47" i="10"/>
  <c r="K47" i="10"/>
  <c r="J47" i="10"/>
  <c r="I47" i="10"/>
  <c r="Z207" i="11" l="1"/>
  <c r="AO206" i="11"/>
  <c r="AB207" i="11"/>
  <c r="AH206" i="11"/>
  <c r="V208" i="11"/>
  <c r="AK207" i="11"/>
  <c r="X208" i="11"/>
  <c r="Y207" i="11"/>
  <c r="U43" i="11"/>
  <c r="T44" i="11" s="1"/>
  <c r="S44" i="11"/>
  <c r="R45" i="11" s="1"/>
  <c r="Q214" i="11"/>
  <c r="P215" i="11" s="1"/>
  <c r="J26" i="11"/>
  <c r="W102" i="11"/>
  <c r="AD45" i="11"/>
  <c r="AI45" i="11" s="1"/>
  <c r="O46" i="11"/>
  <c r="N47" i="11" s="1"/>
  <c r="I46" i="11"/>
  <c r="G46" i="11"/>
  <c r="F47" i="11" s="1"/>
  <c r="E46" i="11"/>
  <c r="D47" i="11" s="1"/>
  <c r="C44" i="11"/>
  <c r="Z208" i="11" l="1"/>
  <c r="AO207" i="11"/>
  <c r="V209" i="11"/>
  <c r="AK208" i="11"/>
  <c r="AB208" i="11"/>
  <c r="AH207" i="11"/>
  <c r="X209" i="11"/>
  <c r="Y208" i="11"/>
  <c r="U44" i="11"/>
  <c r="T45" i="11" s="1"/>
  <c r="S45" i="11"/>
  <c r="R46" i="11" s="1"/>
  <c r="Q215" i="11"/>
  <c r="P216" i="11" s="1"/>
  <c r="K26" i="11"/>
  <c r="W103" i="11"/>
  <c r="AD46" i="11"/>
  <c r="AI46" i="11" s="1"/>
  <c r="O47" i="11"/>
  <c r="N48" i="11" s="1"/>
  <c r="I47" i="11"/>
  <c r="G47" i="11"/>
  <c r="F48" i="11" s="1"/>
  <c r="E47" i="11"/>
  <c r="D48" i="11" s="1"/>
  <c r="C45" i="11"/>
  <c r="B46" i="11" s="1"/>
  <c r="Z209" i="11" l="1"/>
  <c r="AO208" i="11"/>
  <c r="AB209" i="11"/>
  <c r="AH208" i="11"/>
  <c r="V210" i="11"/>
  <c r="AK209" i="11"/>
  <c r="X210" i="11"/>
  <c r="Y209" i="11"/>
  <c r="U45" i="11"/>
  <c r="T46" i="11" s="1"/>
  <c r="S46" i="11"/>
  <c r="R47" i="11" s="1"/>
  <c r="Q216" i="11"/>
  <c r="P217" i="11" s="1"/>
  <c r="J27" i="11"/>
  <c r="W104" i="11"/>
  <c r="AD47" i="11"/>
  <c r="AI47" i="11" s="1"/>
  <c r="O48" i="11"/>
  <c r="N49" i="11" s="1"/>
  <c r="I48" i="11"/>
  <c r="G48" i="11"/>
  <c r="F49" i="11" s="1"/>
  <c r="E48" i="11"/>
  <c r="D49" i="11" s="1"/>
  <c r="C46" i="11"/>
  <c r="B47" i="11" s="1"/>
  <c r="C12" i="10"/>
  <c r="Z210" i="11" l="1"/>
  <c r="AO209" i="11"/>
  <c r="V211" i="11"/>
  <c r="AK210" i="11"/>
  <c r="AB210" i="11"/>
  <c r="AH209" i="11"/>
  <c r="X211" i="11"/>
  <c r="Y210" i="11"/>
  <c r="U46" i="11"/>
  <c r="T47" i="11" s="1"/>
  <c r="S47" i="11"/>
  <c r="R48" i="11" s="1"/>
  <c r="Q217" i="11"/>
  <c r="P218" i="11" s="1"/>
  <c r="K27" i="11"/>
  <c r="W105" i="11"/>
  <c r="AD48" i="11"/>
  <c r="AI48" i="11" s="1"/>
  <c r="O49" i="11"/>
  <c r="N50" i="11" s="1"/>
  <c r="I49" i="11"/>
  <c r="G49" i="11"/>
  <c r="F50" i="11" s="1"/>
  <c r="E49" i="11"/>
  <c r="D50" i="11" s="1"/>
  <c r="C47" i="11"/>
  <c r="B48" i="11" s="1"/>
  <c r="Z211" i="11" l="1"/>
  <c r="AO210" i="11"/>
  <c r="AB211" i="11"/>
  <c r="AH210" i="11"/>
  <c r="V212" i="11"/>
  <c r="AK211" i="11"/>
  <c r="X212" i="11"/>
  <c r="Y211" i="11"/>
  <c r="U47" i="11"/>
  <c r="T48" i="11" s="1"/>
  <c r="S48" i="11"/>
  <c r="R49" i="11" s="1"/>
  <c r="Q218" i="11"/>
  <c r="P219" i="11" s="1"/>
  <c r="J28" i="11"/>
  <c r="W106" i="11"/>
  <c r="AD49" i="11"/>
  <c r="AI49" i="11" s="1"/>
  <c r="O50" i="11"/>
  <c r="N51" i="11" s="1"/>
  <c r="I50" i="11"/>
  <c r="G50" i="11"/>
  <c r="F51" i="11" s="1"/>
  <c r="E50" i="11"/>
  <c r="D51" i="11" s="1"/>
  <c r="C48" i="11"/>
  <c r="B49" i="11" s="1"/>
  <c r="Z212" i="11" l="1"/>
  <c r="AO211" i="11"/>
  <c r="V213" i="11"/>
  <c r="AK212" i="11"/>
  <c r="AB212" i="11"/>
  <c r="AH211" i="11"/>
  <c r="X213" i="11"/>
  <c r="Y212" i="11"/>
  <c r="U48" i="11"/>
  <c r="T49" i="11" s="1"/>
  <c r="S49" i="11"/>
  <c r="R50" i="11" s="1"/>
  <c r="Q219" i="11"/>
  <c r="P220" i="11" s="1"/>
  <c r="K28" i="11"/>
  <c r="W107" i="11"/>
  <c r="AD50" i="11"/>
  <c r="AI50" i="11" s="1"/>
  <c r="O51" i="11"/>
  <c r="N52" i="11" s="1"/>
  <c r="I51" i="11"/>
  <c r="G51" i="11"/>
  <c r="F52" i="11" s="1"/>
  <c r="E51" i="11"/>
  <c r="D52" i="11" s="1"/>
  <c r="C49" i="11"/>
  <c r="B50" i="11" s="1"/>
  <c r="O47" i="10"/>
  <c r="Z213" i="11" l="1"/>
  <c r="AO212" i="11"/>
  <c r="AB213" i="11"/>
  <c r="AH212" i="11"/>
  <c r="V214" i="11"/>
  <c r="AK213" i="11"/>
  <c r="X214" i="11"/>
  <c r="Y213" i="11"/>
  <c r="U49" i="11"/>
  <c r="T50" i="11" s="1"/>
  <c r="S50" i="11"/>
  <c r="R51" i="11" s="1"/>
  <c r="Q220" i="11"/>
  <c r="P221" i="11" s="1"/>
  <c r="J29" i="11"/>
  <c r="W108" i="11"/>
  <c r="AD51" i="11"/>
  <c r="AI51" i="11" s="1"/>
  <c r="O52" i="11"/>
  <c r="N53" i="11" s="1"/>
  <c r="I52" i="11"/>
  <c r="G52" i="11"/>
  <c r="F53" i="11" s="1"/>
  <c r="E52" i="11"/>
  <c r="D53" i="11" s="1"/>
  <c r="C50" i="11"/>
  <c r="B51" i="11" s="1"/>
  <c r="Z214" i="11" l="1"/>
  <c r="AO213" i="11"/>
  <c r="V215" i="11"/>
  <c r="AK214" i="11"/>
  <c r="AB214" i="11"/>
  <c r="AH213" i="11"/>
  <c r="Y214" i="11"/>
  <c r="X215" i="11"/>
  <c r="U50" i="11"/>
  <c r="T51" i="11" s="1"/>
  <c r="S51" i="11"/>
  <c r="R52" i="11" s="1"/>
  <c r="Q221" i="11"/>
  <c r="P222" i="11" s="1"/>
  <c r="K29" i="11"/>
  <c r="W109" i="11"/>
  <c r="AD52" i="11"/>
  <c r="AI52" i="11" s="1"/>
  <c r="O53" i="11"/>
  <c r="N54" i="11" s="1"/>
  <c r="I53" i="11"/>
  <c r="G53" i="11"/>
  <c r="F54" i="11" s="1"/>
  <c r="E53" i="11"/>
  <c r="D54" i="11" s="1"/>
  <c r="C51" i="11"/>
  <c r="B52" i="11" s="1"/>
  <c r="C69" i="10"/>
  <c r="Z215" i="11" l="1"/>
  <c r="AO214" i="11"/>
  <c r="AB215" i="11"/>
  <c r="AH214" i="11"/>
  <c r="V216" i="11"/>
  <c r="AK215" i="11"/>
  <c r="Y215" i="11"/>
  <c r="X216" i="11"/>
  <c r="U51" i="11"/>
  <c r="T52" i="11" s="1"/>
  <c r="S52" i="11"/>
  <c r="R53" i="11" s="1"/>
  <c r="Q222" i="11"/>
  <c r="P223" i="11" s="1"/>
  <c r="J30" i="11"/>
  <c r="W110" i="11"/>
  <c r="AD53" i="11"/>
  <c r="AI53" i="11" s="1"/>
  <c r="O54" i="11"/>
  <c r="N55" i="11" s="1"/>
  <c r="I54" i="11"/>
  <c r="G54" i="11"/>
  <c r="F55" i="11" s="1"/>
  <c r="E54" i="11"/>
  <c r="D55" i="11" s="1"/>
  <c r="C52" i="11"/>
  <c r="B53" i="11" s="1"/>
  <c r="Z216" i="11" l="1"/>
  <c r="AO215" i="11"/>
  <c r="V217" i="11"/>
  <c r="AK216" i="11"/>
  <c r="AB216" i="11"/>
  <c r="AH215" i="11"/>
  <c r="Y216" i="11"/>
  <c r="X217" i="11"/>
  <c r="U52" i="11"/>
  <c r="T53" i="11" s="1"/>
  <c r="S53" i="11"/>
  <c r="R54" i="11" s="1"/>
  <c r="Q223" i="11"/>
  <c r="P224" i="11" s="1"/>
  <c r="K30" i="11"/>
  <c r="W111" i="11"/>
  <c r="AD54" i="11"/>
  <c r="AI54" i="11" s="1"/>
  <c r="O55" i="11"/>
  <c r="N56" i="11" s="1"/>
  <c r="I55" i="11"/>
  <c r="G55" i="11"/>
  <c r="F56" i="11" s="1"/>
  <c r="E55" i="11"/>
  <c r="D56" i="11" s="1"/>
  <c r="C53" i="11"/>
  <c r="B54" i="11" s="1"/>
  <c r="Z217" i="11" l="1"/>
  <c r="AO216" i="11"/>
  <c r="AB217" i="11"/>
  <c r="AH216" i="11"/>
  <c r="V218" i="11"/>
  <c r="AK217" i="11"/>
  <c r="Y217" i="11"/>
  <c r="X218" i="11"/>
  <c r="U53" i="11"/>
  <c r="T54" i="11" s="1"/>
  <c r="S54" i="11"/>
  <c r="R55" i="11" s="1"/>
  <c r="Q224" i="11"/>
  <c r="P225" i="11" s="1"/>
  <c r="J31" i="11"/>
  <c r="W112" i="11"/>
  <c r="AD55" i="11"/>
  <c r="AI55" i="11" s="1"/>
  <c r="O56" i="11"/>
  <c r="N57" i="11" s="1"/>
  <c r="I56" i="11"/>
  <c r="G56" i="11"/>
  <c r="F57" i="11" s="1"/>
  <c r="E56" i="11"/>
  <c r="D57" i="11" s="1"/>
  <c r="C54" i="11"/>
  <c r="B55" i="11" s="1"/>
  <c r="O48" i="10"/>
  <c r="Z218" i="11" l="1"/>
  <c r="AO217" i="11"/>
  <c r="V219" i="11"/>
  <c r="AK218" i="11"/>
  <c r="AB218" i="11"/>
  <c r="AH217" i="11"/>
  <c r="Y218" i="11"/>
  <c r="X219" i="11"/>
  <c r="U54" i="11"/>
  <c r="T55" i="11" s="1"/>
  <c r="S55" i="11"/>
  <c r="R56" i="11" s="1"/>
  <c r="Q225" i="11"/>
  <c r="P226" i="11" s="1"/>
  <c r="K31" i="11"/>
  <c r="W113" i="11"/>
  <c r="AD56" i="11"/>
  <c r="AI56" i="11" s="1"/>
  <c r="O57" i="11"/>
  <c r="N58" i="11" s="1"/>
  <c r="I57" i="11"/>
  <c r="G57" i="11"/>
  <c r="E57" i="11"/>
  <c r="C55" i="11"/>
  <c r="B56" i="11" s="1"/>
  <c r="Z219" i="11" l="1"/>
  <c r="AO218" i="11"/>
  <c r="AB219" i="11"/>
  <c r="AH218" i="11"/>
  <c r="V220" i="11"/>
  <c r="AK219" i="11"/>
  <c r="X220" i="11"/>
  <c r="Y219" i="11"/>
  <c r="U55" i="11"/>
  <c r="T56" i="11" s="1"/>
  <c r="S56" i="11"/>
  <c r="R57" i="11" s="1"/>
  <c r="Q226" i="11"/>
  <c r="P227" i="11" s="1"/>
  <c r="J32" i="11"/>
  <c r="W114" i="11"/>
  <c r="AD57" i="11"/>
  <c r="AI57" i="11" s="1"/>
  <c r="O58" i="11"/>
  <c r="N59" i="11" s="1"/>
  <c r="I58" i="11"/>
  <c r="G58" i="11"/>
  <c r="E58" i="11"/>
  <c r="C56" i="11"/>
  <c r="B57" i="11" s="1"/>
  <c r="Z220" i="11" l="1"/>
  <c r="AO219" i="11"/>
  <c r="V221" i="11"/>
  <c r="AK220" i="11"/>
  <c r="AB220" i="11"/>
  <c r="AH219" i="11"/>
  <c r="X221" i="11"/>
  <c r="Y220" i="11"/>
  <c r="U56" i="11"/>
  <c r="T57" i="11" s="1"/>
  <c r="S57" i="11"/>
  <c r="R58" i="11" s="1"/>
  <c r="Q227" i="11"/>
  <c r="P228" i="11" s="1"/>
  <c r="K32" i="11"/>
  <c r="W115" i="11"/>
  <c r="AD58" i="11"/>
  <c r="AI58" i="11" s="1"/>
  <c r="O59" i="11"/>
  <c r="N60" i="11" s="1"/>
  <c r="I59" i="11"/>
  <c r="G59" i="11"/>
  <c r="E59" i="11"/>
  <c r="C57" i="11"/>
  <c r="Z221" i="11" l="1"/>
  <c r="AO220" i="11"/>
  <c r="AB221" i="11"/>
  <c r="AH220" i="11"/>
  <c r="V222" i="11"/>
  <c r="AK221" i="11"/>
  <c r="X222" i="11"/>
  <c r="Y221" i="11"/>
  <c r="U57" i="11"/>
  <c r="T58" i="11" s="1"/>
  <c r="S58" i="11"/>
  <c r="R59" i="11" s="1"/>
  <c r="Q228" i="11"/>
  <c r="P229" i="11" s="1"/>
  <c r="J33" i="11"/>
  <c r="W116" i="11"/>
  <c r="AD59" i="11"/>
  <c r="AI59" i="11" s="1"/>
  <c r="O60" i="11"/>
  <c r="N61" i="11" s="1"/>
  <c r="I60" i="11"/>
  <c r="G60" i="11"/>
  <c r="E60" i="11"/>
  <c r="C58" i="11"/>
  <c r="Z222" i="11" l="1"/>
  <c r="AO221" i="11"/>
  <c r="V223" i="11"/>
  <c r="AK222" i="11"/>
  <c r="AB222" i="11"/>
  <c r="AH221" i="11"/>
  <c r="X223" i="11"/>
  <c r="Y222" i="11"/>
  <c r="U58" i="11"/>
  <c r="T59" i="11" s="1"/>
  <c r="S59" i="11"/>
  <c r="R60" i="11" s="1"/>
  <c r="Q229" i="11"/>
  <c r="P230" i="11" s="1"/>
  <c r="K33" i="11"/>
  <c r="W117" i="11"/>
  <c r="AD60" i="11"/>
  <c r="AI60" i="11" s="1"/>
  <c r="O61" i="11"/>
  <c r="N62" i="11" s="1"/>
  <c r="I61" i="11"/>
  <c r="G61" i="11"/>
  <c r="F62" i="11" s="1"/>
  <c r="E61" i="11"/>
  <c r="D62" i="11" s="1"/>
  <c r="C59" i="11"/>
  <c r="Z223" i="11" l="1"/>
  <c r="AO222" i="11"/>
  <c r="AB223" i="11"/>
  <c r="AH222" i="11"/>
  <c r="V224" i="11"/>
  <c r="AK223" i="11"/>
  <c r="X224" i="11"/>
  <c r="Y223" i="11"/>
  <c r="U59" i="11"/>
  <c r="T60" i="11" s="1"/>
  <c r="S60" i="11"/>
  <c r="R61" i="11" s="1"/>
  <c r="Q230" i="11"/>
  <c r="P231" i="11" s="1"/>
  <c r="J34" i="11"/>
  <c r="W118" i="11"/>
  <c r="AD61" i="11"/>
  <c r="AI61" i="11" s="1"/>
  <c r="O62" i="11"/>
  <c r="N63" i="11" s="1"/>
  <c r="I62" i="11"/>
  <c r="G62" i="11"/>
  <c r="F63" i="11" s="1"/>
  <c r="E62" i="11"/>
  <c r="D63" i="11" s="1"/>
  <c r="C60" i="11"/>
  <c r="B61" i="11" s="1"/>
  <c r="Z224" i="11" l="1"/>
  <c r="AO223" i="11"/>
  <c r="V225" i="11"/>
  <c r="AK224" i="11"/>
  <c r="AB224" i="11"/>
  <c r="AH223" i="11"/>
  <c r="Y224" i="11"/>
  <c r="X225" i="11"/>
  <c r="U60" i="11"/>
  <c r="T61" i="11" s="1"/>
  <c r="S61" i="11"/>
  <c r="R62" i="11" s="1"/>
  <c r="Q231" i="11"/>
  <c r="P232" i="11" s="1"/>
  <c r="K34" i="11"/>
  <c r="W119" i="11"/>
  <c r="AD62" i="11"/>
  <c r="AI62" i="11" s="1"/>
  <c r="O63" i="11"/>
  <c r="I63" i="11"/>
  <c r="G63" i="11"/>
  <c r="E63" i="11"/>
  <c r="C61" i="11"/>
  <c r="B62" i="11" s="1"/>
  <c r="Z225" i="11" l="1"/>
  <c r="AO224" i="11"/>
  <c r="AB225" i="11"/>
  <c r="AH224" i="11"/>
  <c r="V226" i="11"/>
  <c r="AK225" i="11"/>
  <c r="Y225" i="11"/>
  <c r="X226" i="11"/>
  <c r="U61" i="11"/>
  <c r="T62" i="11" s="1"/>
  <c r="S62" i="11"/>
  <c r="R63" i="11" s="1"/>
  <c r="Q232" i="11"/>
  <c r="P233" i="11" s="1"/>
  <c r="J35" i="11"/>
  <c r="W120" i="11"/>
  <c r="AD63" i="11"/>
  <c r="AI63" i="11" s="1"/>
  <c r="O64" i="11"/>
  <c r="I64" i="11"/>
  <c r="G64" i="11"/>
  <c r="E64" i="11"/>
  <c r="C62" i="11"/>
  <c r="B63" i="11" s="1"/>
  <c r="Z226" i="11" l="1"/>
  <c r="AO225" i="11"/>
  <c r="V227" i="11"/>
  <c r="AK226" i="11"/>
  <c r="AB226" i="11"/>
  <c r="AH225" i="11"/>
  <c r="Y226" i="11"/>
  <c r="X227" i="11"/>
  <c r="U62" i="11"/>
  <c r="T63" i="11" s="1"/>
  <c r="S63" i="11"/>
  <c r="R64" i="11" s="1"/>
  <c r="Q233" i="11"/>
  <c r="P234" i="11" s="1"/>
  <c r="K35" i="11"/>
  <c r="W121" i="11"/>
  <c r="AD64" i="11"/>
  <c r="AI64" i="11" s="1"/>
  <c r="O65" i="11"/>
  <c r="I65" i="11"/>
  <c r="G65" i="11"/>
  <c r="F66" i="11" s="1"/>
  <c r="E65" i="11"/>
  <c r="D66" i="11" s="1"/>
  <c r="C63" i="11"/>
  <c r="Z227" i="11" l="1"/>
  <c r="AO226" i="11"/>
  <c r="AB227" i="11"/>
  <c r="AH226" i="11"/>
  <c r="V228" i="11"/>
  <c r="AK227" i="11"/>
  <c r="Y227" i="11"/>
  <c r="X228" i="11"/>
  <c r="U63" i="11"/>
  <c r="T64" i="11" s="1"/>
  <c r="S64" i="11"/>
  <c r="R65" i="11" s="1"/>
  <c r="Q234" i="11"/>
  <c r="P235" i="11" s="1"/>
  <c r="J36" i="11"/>
  <c r="W122" i="11"/>
  <c r="AD65" i="11"/>
  <c r="AI65" i="11" s="1"/>
  <c r="O66" i="11"/>
  <c r="N67" i="11" s="1"/>
  <c r="I66" i="11"/>
  <c r="G66" i="11"/>
  <c r="F67" i="11" s="1"/>
  <c r="E66" i="11"/>
  <c r="D67" i="11" s="1"/>
  <c r="C64" i="11"/>
  <c r="Z228" i="11" l="1"/>
  <c r="AO227" i="11"/>
  <c r="V229" i="11"/>
  <c r="AK228" i="11"/>
  <c r="AB228" i="11"/>
  <c r="AH227" i="11"/>
  <c r="Y228" i="11"/>
  <c r="X229" i="11"/>
  <c r="U64" i="11"/>
  <c r="T65" i="11" s="1"/>
  <c r="S65" i="11"/>
  <c r="R66" i="11" s="1"/>
  <c r="Q235" i="11"/>
  <c r="P236" i="11" s="1"/>
  <c r="K36" i="11"/>
  <c r="W123" i="11"/>
  <c r="AD66" i="11"/>
  <c r="AI66" i="11" s="1"/>
  <c r="O67" i="11"/>
  <c r="N68" i="11" s="1"/>
  <c r="I67" i="11"/>
  <c r="G67" i="11"/>
  <c r="F68" i="11" s="1"/>
  <c r="E67" i="11"/>
  <c r="D68" i="11" s="1"/>
  <c r="C65" i="11"/>
  <c r="B66" i="11" s="1"/>
  <c r="N72" i="10"/>
  <c r="Z229" i="11" l="1"/>
  <c r="AO228" i="11"/>
  <c r="AB229" i="11"/>
  <c r="AH228" i="11"/>
  <c r="V230" i="11"/>
  <c r="AK229" i="11"/>
  <c r="X230" i="11"/>
  <c r="Y229" i="11"/>
  <c r="U65" i="11"/>
  <c r="T66" i="11" s="1"/>
  <c r="S66" i="11"/>
  <c r="R67" i="11" s="1"/>
  <c r="Q236" i="11"/>
  <c r="P237" i="11" s="1"/>
  <c r="J37" i="11"/>
  <c r="W124" i="11"/>
  <c r="AD67" i="11"/>
  <c r="AI67" i="11" s="1"/>
  <c r="O68" i="11"/>
  <c r="N69" i="11" s="1"/>
  <c r="I68" i="11"/>
  <c r="G68" i="11"/>
  <c r="F69" i="11" s="1"/>
  <c r="E68" i="11"/>
  <c r="D69" i="11" s="1"/>
  <c r="C66" i="11"/>
  <c r="B67" i="11" s="1"/>
  <c r="Z230" i="11" l="1"/>
  <c r="AO229" i="11"/>
  <c r="V231" i="11"/>
  <c r="AK230" i="11"/>
  <c r="AB230" i="11"/>
  <c r="AH229" i="11"/>
  <c r="Y230" i="11"/>
  <c r="X231" i="11"/>
  <c r="U66" i="11"/>
  <c r="T67" i="11" s="1"/>
  <c r="S67" i="11"/>
  <c r="R68" i="11" s="1"/>
  <c r="Q237" i="11"/>
  <c r="P238" i="11" s="1"/>
  <c r="K37" i="11"/>
  <c r="W125" i="11"/>
  <c r="AD68" i="11"/>
  <c r="AI68" i="11" s="1"/>
  <c r="O69" i="11"/>
  <c r="N70" i="11" s="1"/>
  <c r="I69" i="11"/>
  <c r="G69" i="11"/>
  <c r="F70" i="11" s="1"/>
  <c r="E69" i="11"/>
  <c r="D70" i="11" s="1"/>
  <c r="C67" i="11"/>
  <c r="B68" i="11" s="1"/>
  <c r="Z231" i="11" l="1"/>
  <c r="AO230" i="11"/>
  <c r="AB231" i="11"/>
  <c r="AH230" i="11"/>
  <c r="V232" i="11"/>
  <c r="AK231" i="11"/>
  <c r="Y231" i="11"/>
  <c r="X232" i="11"/>
  <c r="U67" i="11"/>
  <c r="T68" i="11" s="1"/>
  <c r="S68" i="11"/>
  <c r="R69" i="11" s="1"/>
  <c r="Q238" i="11"/>
  <c r="P239" i="11" s="1"/>
  <c r="J38" i="11"/>
  <c r="W126" i="11"/>
  <c r="AD69" i="11"/>
  <c r="AI69" i="11" s="1"/>
  <c r="O70" i="11"/>
  <c r="N71" i="11" s="1"/>
  <c r="I70" i="11"/>
  <c r="G70" i="11"/>
  <c r="F71" i="11" s="1"/>
  <c r="E70" i="11"/>
  <c r="D71" i="11" s="1"/>
  <c r="C68" i="11"/>
  <c r="B69" i="11" s="1"/>
  <c r="Z232" i="11" l="1"/>
  <c r="AO231" i="11"/>
  <c r="V233" i="11"/>
  <c r="AK232" i="11"/>
  <c r="AB232" i="11"/>
  <c r="AH231" i="11"/>
  <c r="Y232" i="11"/>
  <c r="X233" i="11"/>
  <c r="U68" i="11"/>
  <c r="T69" i="11" s="1"/>
  <c r="S69" i="11"/>
  <c r="R70" i="11" s="1"/>
  <c r="Q239" i="11"/>
  <c r="P240" i="11" s="1"/>
  <c r="K38" i="11"/>
  <c r="W127" i="11"/>
  <c r="AD70" i="11"/>
  <c r="AI70" i="11" s="1"/>
  <c r="O71" i="11"/>
  <c r="N72" i="11" s="1"/>
  <c r="I71" i="11"/>
  <c r="G71" i="11"/>
  <c r="F72" i="11" s="1"/>
  <c r="E71" i="11"/>
  <c r="D72" i="11" s="1"/>
  <c r="C69" i="11"/>
  <c r="B70" i="11" s="1"/>
  <c r="L72" i="10"/>
  <c r="M72" i="10"/>
  <c r="Z233" i="11" l="1"/>
  <c r="AO232" i="11"/>
  <c r="AB233" i="11"/>
  <c r="AH232" i="11"/>
  <c r="V234" i="11"/>
  <c r="AK233" i="11"/>
  <c r="X234" i="11"/>
  <c r="Y233" i="11"/>
  <c r="U69" i="11"/>
  <c r="T70" i="11" s="1"/>
  <c r="S70" i="11"/>
  <c r="R71" i="11" s="1"/>
  <c r="Q240" i="11"/>
  <c r="P241" i="11" s="1"/>
  <c r="J39" i="11"/>
  <c r="W128" i="11"/>
  <c r="AD71" i="11"/>
  <c r="AI71" i="11" s="1"/>
  <c r="O72" i="11"/>
  <c r="N73" i="11" s="1"/>
  <c r="I72" i="11"/>
  <c r="G72" i="11"/>
  <c r="F73" i="11" s="1"/>
  <c r="E72" i="11"/>
  <c r="D73" i="11" s="1"/>
  <c r="C70" i="11"/>
  <c r="B71" i="11" s="1"/>
  <c r="Z234" i="11" l="1"/>
  <c r="AO233" i="11"/>
  <c r="V235" i="11"/>
  <c r="AK234" i="11"/>
  <c r="AB234" i="11"/>
  <c r="AH233" i="11"/>
  <c r="X235" i="11"/>
  <c r="Y234" i="11"/>
  <c r="U70" i="11"/>
  <c r="T71" i="11" s="1"/>
  <c r="S71" i="11"/>
  <c r="R72" i="11" s="1"/>
  <c r="Q241" i="11"/>
  <c r="P242" i="11" s="1"/>
  <c r="K39" i="11"/>
  <c r="W129" i="11"/>
  <c r="AD72" i="11"/>
  <c r="AI72" i="11" s="1"/>
  <c r="O73" i="11"/>
  <c r="N74" i="11" s="1"/>
  <c r="I73" i="11"/>
  <c r="G73" i="11"/>
  <c r="F74" i="11" s="1"/>
  <c r="E73" i="11"/>
  <c r="C71" i="11"/>
  <c r="B72" i="11" s="1"/>
  <c r="Z235" i="11" l="1"/>
  <c r="AO234" i="11"/>
  <c r="AB235" i="11"/>
  <c r="AH234" i="11"/>
  <c r="V236" i="11"/>
  <c r="AK235" i="11"/>
  <c r="Y235" i="11"/>
  <c r="X236" i="11"/>
  <c r="U71" i="11"/>
  <c r="T72" i="11" s="1"/>
  <c r="S72" i="11"/>
  <c r="R73" i="11" s="1"/>
  <c r="Q242" i="11"/>
  <c r="P243" i="11" s="1"/>
  <c r="J40" i="11"/>
  <c r="W130" i="11"/>
  <c r="AD73" i="11"/>
  <c r="AI73" i="11" s="1"/>
  <c r="O74" i="11"/>
  <c r="N75" i="11" s="1"/>
  <c r="I74" i="11"/>
  <c r="G74" i="11"/>
  <c r="F75" i="11" s="1"/>
  <c r="E74" i="11"/>
  <c r="D75" i="11" s="1"/>
  <c r="C72" i="11"/>
  <c r="B73" i="11" s="1"/>
  <c r="Z236" i="11" l="1"/>
  <c r="AO235" i="11"/>
  <c r="V237" i="11"/>
  <c r="AK236" i="11"/>
  <c r="AB236" i="11"/>
  <c r="AH235" i="11"/>
  <c r="X237" i="11"/>
  <c r="Y236" i="11"/>
  <c r="U72" i="11"/>
  <c r="T73" i="11" s="1"/>
  <c r="S73" i="11"/>
  <c r="R74" i="11" s="1"/>
  <c r="Q243" i="11"/>
  <c r="P244" i="11" s="1"/>
  <c r="K40" i="11"/>
  <c r="W131" i="11"/>
  <c r="AD74" i="11"/>
  <c r="AI74" i="11" s="1"/>
  <c r="O75" i="11"/>
  <c r="N76" i="11" s="1"/>
  <c r="I75" i="11"/>
  <c r="G75" i="11"/>
  <c r="F76" i="11" s="1"/>
  <c r="E75" i="11"/>
  <c r="D76" i="11" s="1"/>
  <c r="C73" i="11"/>
  <c r="Z237" i="11" l="1"/>
  <c r="AO236" i="11"/>
  <c r="AB237" i="11"/>
  <c r="AH236" i="11"/>
  <c r="V238" i="11"/>
  <c r="AK237" i="11"/>
  <c r="X238" i="11"/>
  <c r="Y237" i="11"/>
  <c r="U73" i="11"/>
  <c r="T74" i="11" s="1"/>
  <c r="S74" i="11"/>
  <c r="R75" i="11" s="1"/>
  <c r="Q244" i="11"/>
  <c r="P245" i="11" s="1"/>
  <c r="J41" i="11"/>
  <c r="W132" i="11"/>
  <c r="AD75" i="11"/>
  <c r="AI75" i="11" s="1"/>
  <c r="O76" i="11"/>
  <c r="N77" i="11" s="1"/>
  <c r="I76" i="11"/>
  <c r="G76" i="11"/>
  <c r="F77" i="11" s="1"/>
  <c r="E76" i="11"/>
  <c r="D77" i="11" s="1"/>
  <c r="C74" i="11"/>
  <c r="B75" i="11" s="1"/>
  <c r="BK15" i="5"/>
  <c r="Z238" i="11" l="1"/>
  <c r="AO237" i="11"/>
  <c r="V239" i="11"/>
  <c r="AK238" i="11"/>
  <c r="AB238" i="11"/>
  <c r="AH237" i="11"/>
  <c r="Y238" i="11"/>
  <c r="X239" i="11"/>
  <c r="U74" i="11"/>
  <c r="T75" i="11" s="1"/>
  <c r="S75" i="11"/>
  <c r="R76" i="11" s="1"/>
  <c r="Q245" i="11"/>
  <c r="P246" i="11" s="1"/>
  <c r="K41" i="11"/>
  <c r="W133" i="11"/>
  <c r="AD76" i="11"/>
  <c r="AI76" i="11" s="1"/>
  <c r="O77" i="11"/>
  <c r="N78" i="11" s="1"/>
  <c r="I77" i="11"/>
  <c r="G77" i="11"/>
  <c r="F78" i="11" s="1"/>
  <c r="E77" i="11"/>
  <c r="D78" i="11" s="1"/>
  <c r="C75" i="11"/>
  <c r="B76" i="11" s="1"/>
  <c r="Z239" i="11" l="1"/>
  <c r="AO238" i="11"/>
  <c r="AB239" i="11"/>
  <c r="AH238" i="11"/>
  <c r="V240" i="11"/>
  <c r="AK239" i="11"/>
  <c r="Y239" i="11"/>
  <c r="X240" i="11"/>
  <c r="U75" i="11"/>
  <c r="T76" i="11" s="1"/>
  <c r="S76" i="11"/>
  <c r="R77" i="11" s="1"/>
  <c r="Q246" i="11"/>
  <c r="P247" i="11" s="1"/>
  <c r="J42" i="11"/>
  <c r="W134" i="11"/>
  <c r="AD77" i="11"/>
  <c r="AI77" i="11" s="1"/>
  <c r="O78" i="11"/>
  <c r="N79" i="11" s="1"/>
  <c r="I78" i="11"/>
  <c r="G78" i="11"/>
  <c r="F79" i="11" s="1"/>
  <c r="E78" i="11"/>
  <c r="D79" i="11" s="1"/>
  <c r="C76" i="11"/>
  <c r="B77" i="11" s="1"/>
  <c r="O11" i="10"/>
  <c r="Z240" i="11" l="1"/>
  <c r="AO239" i="11"/>
  <c r="V241" i="11"/>
  <c r="AK240" i="11"/>
  <c r="AB240" i="11"/>
  <c r="AH239" i="11"/>
  <c r="Y240" i="11"/>
  <c r="X241" i="11"/>
  <c r="U76" i="11"/>
  <c r="T77" i="11" s="1"/>
  <c r="S77" i="11"/>
  <c r="R78" i="11" s="1"/>
  <c r="Q247" i="11"/>
  <c r="P248" i="11" s="1"/>
  <c r="K42" i="11"/>
  <c r="W135" i="11"/>
  <c r="AD78" i="11"/>
  <c r="AI78" i="11" s="1"/>
  <c r="O79" i="11"/>
  <c r="N80" i="11" s="1"/>
  <c r="I79" i="11"/>
  <c r="G79" i="11"/>
  <c r="F80" i="11" s="1"/>
  <c r="E79" i="11"/>
  <c r="D80" i="11" s="1"/>
  <c r="C77" i="11"/>
  <c r="B78" i="11" s="1"/>
  <c r="Z241" i="11" l="1"/>
  <c r="AO240" i="11"/>
  <c r="AB241" i="11"/>
  <c r="AH240" i="11"/>
  <c r="V242" i="11"/>
  <c r="AK241" i="11"/>
  <c r="Y241" i="11"/>
  <c r="X242" i="11"/>
  <c r="U77" i="11"/>
  <c r="T78" i="11" s="1"/>
  <c r="S78" i="11"/>
  <c r="R79" i="11" s="1"/>
  <c r="Q248" i="11"/>
  <c r="P249" i="11" s="1"/>
  <c r="J43" i="11"/>
  <c r="W136" i="11"/>
  <c r="AD79" i="11"/>
  <c r="AI79" i="11" s="1"/>
  <c r="O80" i="11"/>
  <c r="N81" i="11" s="1"/>
  <c r="I80" i="11"/>
  <c r="G80" i="11"/>
  <c r="F81" i="11" s="1"/>
  <c r="E80" i="11"/>
  <c r="D81" i="11" s="1"/>
  <c r="C78" i="11"/>
  <c r="B79" i="11" s="1"/>
  <c r="N67" i="10"/>
  <c r="Z242" i="11" l="1"/>
  <c r="AO241" i="11"/>
  <c r="V243" i="11"/>
  <c r="AK242" i="11"/>
  <c r="AB242" i="11"/>
  <c r="AH241" i="11"/>
  <c r="Y242" i="11"/>
  <c r="X243" i="11"/>
  <c r="U78" i="11"/>
  <c r="T79" i="11" s="1"/>
  <c r="S79" i="11"/>
  <c r="R80" i="11" s="1"/>
  <c r="Q249" i="11"/>
  <c r="P250" i="11" s="1"/>
  <c r="K43" i="11"/>
  <c r="W137" i="11"/>
  <c r="AD80" i="11"/>
  <c r="AI80" i="11" s="1"/>
  <c r="O81" i="11"/>
  <c r="N82" i="11" s="1"/>
  <c r="I81" i="11"/>
  <c r="G81" i="11"/>
  <c r="F82" i="11" s="1"/>
  <c r="E81" i="11"/>
  <c r="D82" i="11" s="1"/>
  <c r="C79" i="11"/>
  <c r="B80" i="11" s="1"/>
  <c r="Z243" i="11" l="1"/>
  <c r="AO242" i="11"/>
  <c r="AB243" i="11"/>
  <c r="AH242" i="11"/>
  <c r="V244" i="11"/>
  <c r="AK243" i="11"/>
  <c r="X244" i="11"/>
  <c r="Y243" i="11"/>
  <c r="U79" i="11"/>
  <c r="T80" i="11" s="1"/>
  <c r="S80" i="11"/>
  <c r="R81" i="11" s="1"/>
  <c r="Q250" i="11"/>
  <c r="P251" i="11" s="1"/>
  <c r="J44" i="11"/>
  <c r="W138" i="11"/>
  <c r="AD81" i="11"/>
  <c r="AI81" i="11" s="1"/>
  <c r="O82" i="11"/>
  <c r="N83" i="11" s="1"/>
  <c r="I82" i="11"/>
  <c r="G82" i="11"/>
  <c r="F83" i="11" s="1"/>
  <c r="E82" i="11"/>
  <c r="D83" i="11" s="1"/>
  <c r="C80" i="11"/>
  <c r="B81" i="11" s="1"/>
  <c r="Z244" i="11" l="1"/>
  <c r="AO243" i="11"/>
  <c r="V245" i="11"/>
  <c r="AK244" i="11"/>
  <c r="AB244" i="11"/>
  <c r="AH243" i="11"/>
  <c r="X245" i="11"/>
  <c r="Y244" i="11"/>
  <c r="U80" i="11"/>
  <c r="T81" i="11" s="1"/>
  <c r="S81" i="11"/>
  <c r="R82" i="11" s="1"/>
  <c r="Q251" i="11"/>
  <c r="P252" i="11" s="1"/>
  <c r="K44" i="11"/>
  <c r="W139" i="11"/>
  <c r="AD82" i="11"/>
  <c r="AI82" i="11" s="1"/>
  <c r="O83" i="11"/>
  <c r="N84" i="11" s="1"/>
  <c r="I83" i="11"/>
  <c r="G83" i="11"/>
  <c r="F84" i="11" s="1"/>
  <c r="E83" i="11"/>
  <c r="D84" i="11" s="1"/>
  <c r="C81" i="11"/>
  <c r="B82" i="11" s="1"/>
  <c r="F72" i="10"/>
  <c r="K72" i="10"/>
  <c r="Z245" i="11" l="1"/>
  <c r="AO244" i="11"/>
  <c r="AB245" i="11"/>
  <c r="AH244" i="11"/>
  <c r="V246" i="11"/>
  <c r="AK245" i="11"/>
  <c r="X246" i="11"/>
  <c r="Y245" i="11"/>
  <c r="U81" i="11"/>
  <c r="T82" i="11" s="1"/>
  <c r="S82" i="11"/>
  <c r="R83" i="11" s="1"/>
  <c r="Q252" i="11"/>
  <c r="P253" i="11" s="1"/>
  <c r="J45" i="11"/>
  <c r="W140" i="11"/>
  <c r="AD83" i="11"/>
  <c r="AI83" i="11" s="1"/>
  <c r="O84" i="11"/>
  <c r="N85" i="11" s="1"/>
  <c r="I84" i="11"/>
  <c r="G84" i="11"/>
  <c r="F85" i="11" s="1"/>
  <c r="E84" i="11"/>
  <c r="D85" i="11" s="1"/>
  <c r="C82" i="11"/>
  <c r="B83" i="11" s="1"/>
  <c r="J72" i="10"/>
  <c r="I72" i="10"/>
  <c r="H72" i="10"/>
  <c r="Z246" i="11" l="1"/>
  <c r="AO245" i="11"/>
  <c r="AB246" i="11"/>
  <c r="AH245" i="11"/>
  <c r="V247" i="11"/>
  <c r="AK246" i="11"/>
  <c r="X247" i="11"/>
  <c r="Y246" i="11"/>
  <c r="U82" i="11"/>
  <c r="T83" i="11" s="1"/>
  <c r="S83" i="11"/>
  <c r="R84" i="11" s="1"/>
  <c r="Q253" i="11"/>
  <c r="P254" i="11" s="1"/>
  <c r="K45" i="11"/>
  <c r="W141" i="11"/>
  <c r="AD84" i="11"/>
  <c r="AI84" i="11" s="1"/>
  <c r="O85" i="11"/>
  <c r="I85" i="11"/>
  <c r="G85" i="11"/>
  <c r="E85" i="11"/>
  <c r="C83" i="11"/>
  <c r="B84" i="11" s="1"/>
  <c r="O45" i="10"/>
  <c r="Z247" i="11" l="1"/>
  <c r="AO246" i="11"/>
  <c r="V248" i="11"/>
  <c r="AK247" i="11"/>
  <c r="AB247" i="11"/>
  <c r="AH246" i="11"/>
  <c r="X248" i="11"/>
  <c r="Y247" i="11"/>
  <c r="U83" i="11"/>
  <c r="T84" i="11" s="1"/>
  <c r="S84" i="11"/>
  <c r="R85" i="11" s="1"/>
  <c r="Q254" i="11"/>
  <c r="P255" i="11" s="1"/>
  <c r="J46" i="11"/>
  <c r="W142" i="11"/>
  <c r="AD85" i="11"/>
  <c r="AI85" i="11" s="1"/>
  <c r="O86" i="11"/>
  <c r="N87" i="11" s="1"/>
  <c r="I86" i="11"/>
  <c r="G86" i="11"/>
  <c r="F87" i="11" s="1"/>
  <c r="E86" i="11"/>
  <c r="D87" i="11" s="1"/>
  <c r="C84" i="11"/>
  <c r="B85" i="11" s="1"/>
  <c r="Z248" i="11" l="1"/>
  <c r="AO247" i="11"/>
  <c r="AB248" i="11"/>
  <c r="AH247" i="11"/>
  <c r="V249" i="11"/>
  <c r="AK248" i="11"/>
  <c r="Y248" i="11"/>
  <c r="X249" i="11"/>
  <c r="U84" i="11"/>
  <c r="T85" i="11" s="1"/>
  <c r="S85" i="11"/>
  <c r="R86" i="11" s="1"/>
  <c r="Q255" i="11"/>
  <c r="P256" i="11" s="1"/>
  <c r="K46" i="11"/>
  <c r="W143" i="11"/>
  <c r="AD86" i="11"/>
  <c r="AI86" i="11" s="1"/>
  <c r="O87" i="11"/>
  <c r="N88" i="11" s="1"/>
  <c r="I87" i="11"/>
  <c r="G87" i="11"/>
  <c r="F88" i="11" s="1"/>
  <c r="E87" i="11"/>
  <c r="D88" i="11" s="1"/>
  <c r="C85" i="11"/>
  <c r="Z249" i="11" l="1"/>
  <c r="AO248" i="11"/>
  <c r="V250" i="11"/>
  <c r="AK249" i="11"/>
  <c r="AB249" i="11"/>
  <c r="AH248" i="11"/>
  <c r="X250" i="11"/>
  <c r="Y249" i="11"/>
  <c r="U85" i="11"/>
  <c r="T86" i="11" s="1"/>
  <c r="S86" i="11"/>
  <c r="R87" i="11" s="1"/>
  <c r="Q256" i="11"/>
  <c r="P257" i="11" s="1"/>
  <c r="J47" i="11"/>
  <c r="W144" i="11"/>
  <c r="AD87" i="11"/>
  <c r="AI87" i="11" s="1"/>
  <c r="O88" i="11"/>
  <c r="N89" i="11" s="1"/>
  <c r="I88" i="11"/>
  <c r="G88" i="11"/>
  <c r="F89" i="11" s="1"/>
  <c r="E88" i="11"/>
  <c r="D89" i="11" s="1"/>
  <c r="C86" i="11"/>
  <c r="B87" i="11" s="1"/>
  <c r="G72" i="10"/>
  <c r="Z250" i="11" l="1"/>
  <c r="AO249" i="11"/>
  <c r="AB250" i="11"/>
  <c r="AH249" i="11"/>
  <c r="V251" i="11"/>
  <c r="AK250" i="11"/>
  <c r="X251" i="11"/>
  <c r="Y250" i="11"/>
  <c r="U86" i="11"/>
  <c r="T87" i="11" s="1"/>
  <c r="S87" i="11"/>
  <c r="R88" i="11" s="1"/>
  <c r="Q257" i="11"/>
  <c r="P258" i="11" s="1"/>
  <c r="K47" i="11"/>
  <c r="W145" i="11"/>
  <c r="AD88" i="11"/>
  <c r="AI88" i="11" s="1"/>
  <c r="O89" i="11"/>
  <c r="N90" i="11" s="1"/>
  <c r="I89" i="11"/>
  <c r="G89" i="11"/>
  <c r="F90" i="11" s="1"/>
  <c r="E89" i="11"/>
  <c r="D90" i="11" s="1"/>
  <c r="C87" i="11"/>
  <c r="B88" i="11" s="1"/>
  <c r="D72" i="10"/>
  <c r="C72" i="10"/>
  <c r="Z251" i="11" l="1"/>
  <c r="AO250" i="11"/>
  <c r="V252" i="11"/>
  <c r="AK251" i="11"/>
  <c r="AB251" i="11"/>
  <c r="AH250" i="11"/>
  <c r="Y251" i="11"/>
  <c r="X252" i="11"/>
  <c r="U87" i="11"/>
  <c r="T88" i="11" s="1"/>
  <c r="S88" i="11"/>
  <c r="R89" i="11" s="1"/>
  <c r="Q258" i="11"/>
  <c r="P259" i="11" s="1"/>
  <c r="J48" i="11"/>
  <c r="W146" i="11"/>
  <c r="AD89" i="11"/>
  <c r="AI89" i="11" s="1"/>
  <c r="O90" i="11"/>
  <c r="N91" i="11" s="1"/>
  <c r="I90" i="11"/>
  <c r="G90" i="11"/>
  <c r="F91" i="11" s="1"/>
  <c r="E90" i="11"/>
  <c r="D91" i="11" s="1"/>
  <c r="C88" i="11"/>
  <c r="B89" i="11" s="1"/>
  <c r="E73" i="10"/>
  <c r="I85" i="10" s="1"/>
  <c r="E72" i="10"/>
  <c r="Z252" i="11" l="1"/>
  <c r="AO251" i="11"/>
  <c r="AB252" i="11"/>
  <c r="AH251" i="11"/>
  <c r="V253" i="11"/>
  <c r="AK252" i="11"/>
  <c r="X253" i="11"/>
  <c r="Y252" i="11"/>
  <c r="U88" i="11"/>
  <c r="T89" i="11" s="1"/>
  <c r="S89" i="11"/>
  <c r="R90" i="11" s="1"/>
  <c r="Q259" i="11"/>
  <c r="P260" i="11" s="1"/>
  <c r="K48" i="11"/>
  <c r="W147" i="11"/>
  <c r="AD90" i="11"/>
  <c r="AI90" i="11" s="1"/>
  <c r="O91" i="11"/>
  <c r="I91" i="11"/>
  <c r="G91" i="11"/>
  <c r="E91" i="11"/>
  <c r="C89" i="11"/>
  <c r="B90" i="11" s="1"/>
  <c r="O72" i="10"/>
  <c r="Z253" i="11" l="1"/>
  <c r="AO252" i="11"/>
  <c r="AB253" i="11"/>
  <c r="AH252" i="11"/>
  <c r="V254" i="11"/>
  <c r="AK253" i="11"/>
  <c r="Y253" i="11"/>
  <c r="X254" i="11"/>
  <c r="U89" i="11"/>
  <c r="T90" i="11" s="1"/>
  <c r="S90" i="11"/>
  <c r="R91" i="11" s="1"/>
  <c r="Q260" i="11"/>
  <c r="P261" i="11" s="1"/>
  <c r="J49" i="11"/>
  <c r="W148" i="11"/>
  <c r="AD91" i="11"/>
  <c r="AI91" i="11" s="1"/>
  <c r="O92" i="11"/>
  <c r="I92" i="11"/>
  <c r="G92" i="11"/>
  <c r="E92" i="11"/>
  <c r="C90" i="11"/>
  <c r="B91" i="11" s="1"/>
  <c r="Z254" i="11" l="1"/>
  <c r="AO253" i="11"/>
  <c r="V255" i="11"/>
  <c r="AK254" i="11"/>
  <c r="AB254" i="11"/>
  <c r="AH253" i="11"/>
  <c r="Y254" i="11"/>
  <c r="X255" i="11"/>
  <c r="U90" i="11"/>
  <c r="T91" i="11" s="1"/>
  <c r="S91" i="11"/>
  <c r="R92" i="11" s="1"/>
  <c r="Q261" i="11"/>
  <c r="P262" i="11" s="1"/>
  <c r="K49" i="11"/>
  <c r="W149" i="11"/>
  <c r="AD92" i="11"/>
  <c r="AI92" i="11" s="1"/>
  <c r="O93" i="11"/>
  <c r="N94" i="11" s="1"/>
  <c r="I93" i="11"/>
  <c r="G93" i="11"/>
  <c r="F94" i="11" s="1"/>
  <c r="E93" i="11"/>
  <c r="D94" i="11" s="1"/>
  <c r="C91" i="11"/>
  <c r="Z255" i="11" l="1"/>
  <c r="AO254" i="11"/>
  <c r="AB255" i="11"/>
  <c r="AH254" i="11"/>
  <c r="V256" i="11"/>
  <c r="AK255" i="11"/>
  <c r="X256" i="11"/>
  <c r="Y255" i="11"/>
  <c r="U91" i="11"/>
  <c r="T92" i="11" s="1"/>
  <c r="S92" i="11"/>
  <c r="R93" i="11" s="1"/>
  <c r="Q262" i="11"/>
  <c r="P263" i="11" s="1"/>
  <c r="J50" i="11"/>
  <c r="K50" i="11" s="1"/>
  <c r="W150" i="11"/>
  <c r="AD93" i="11"/>
  <c r="AI93" i="11" s="1"/>
  <c r="O94" i="11"/>
  <c r="N95" i="11" s="1"/>
  <c r="I94" i="11"/>
  <c r="G94" i="11"/>
  <c r="F95" i="11" s="1"/>
  <c r="E94" i="11"/>
  <c r="D95" i="11" s="1"/>
  <c r="C92" i="11"/>
  <c r="J103" i="10"/>
  <c r="I103" i="10"/>
  <c r="H103" i="10"/>
  <c r="G103" i="10"/>
  <c r="Z256" i="11" l="1"/>
  <c r="AO255" i="11"/>
  <c r="V257" i="11"/>
  <c r="AK256" i="11"/>
  <c r="AB256" i="11"/>
  <c r="AH255" i="11"/>
  <c r="X257" i="11"/>
  <c r="Y256" i="11"/>
  <c r="U92" i="11"/>
  <c r="T93" i="11" s="1"/>
  <c r="S93" i="11"/>
  <c r="R94" i="11" s="1"/>
  <c r="Q263" i="11"/>
  <c r="P264" i="11" s="1"/>
  <c r="J51" i="11"/>
  <c r="W151" i="11"/>
  <c r="AD94" i="11"/>
  <c r="AI94" i="11" s="1"/>
  <c r="O95" i="11"/>
  <c r="N96" i="11" s="1"/>
  <c r="I95" i="11"/>
  <c r="G95" i="11"/>
  <c r="F96" i="11" s="1"/>
  <c r="E95" i="11"/>
  <c r="D96" i="11" s="1"/>
  <c r="C93" i="11"/>
  <c r="B94" i="11" s="1"/>
  <c r="Z257" i="11" l="1"/>
  <c r="AO257" i="11" s="1"/>
  <c r="AO256" i="11"/>
  <c r="V258" i="11"/>
  <c r="V259" i="11" s="1"/>
  <c r="V260" i="11" s="1"/>
  <c r="V261" i="11" s="1"/>
  <c r="V262" i="11" s="1"/>
  <c r="V263" i="11" s="1"/>
  <c r="V264" i="11" s="1"/>
  <c r="V265" i="11" s="1"/>
  <c r="V266" i="11" s="1"/>
  <c r="V267" i="11" s="1"/>
  <c r="V268" i="11" s="1"/>
  <c r="V269" i="11" s="1"/>
  <c r="V270" i="11" s="1"/>
  <c r="V271" i="11" s="1"/>
  <c r="V272" i="11" s="1"/>
  <c r="V273" i="11" s="1"/>
  <c r="V274" i="11" s="1"/>
  <c r="V275" i="11" s="1"/>
  <c r="V276" i="11" s="1"/>
  <c r="V277" i="11" s="1"/>
  <c r="V278" i="11" s="1"/>
  <c r="V279" i="11" s="1"/>
  <c r="V280" i="11" s="1"/>
  <c r="V281" i="11" s="1"/>
  <c r="V282" i="11" s="1"/>
  <c r="V283" i="11" s="1"/>
  <c r="V284" i="11" s="1"/>
  <c r="V285" i="11" s="1"/>
  <c r="V286" i="11" s="1"/>
  <c r="V287" i="11" s="1"/>
  <c r="V288" i="11" s="1"/>
  <c r="V289" i="11" s="1"/>
  <c r="V290" i="11" s="1"/>
  <c r="V291" i="11" s="1"/>
  <c r="V292" i="11" s="1"/>
  <c r="V293" i="11" s="1"/>
  <c r="V294" i="11" s="1"/>
  <c r="V295" i="11" s="1"/>
  <c r="V296" i="11" s="1"/>
  <c r="V297" i="11" s="1"/>
  <c r="V298" i="11" s="1"/>
  <c r="V299" i="11" s="1"/>
  <c r="V300" i="11" s="1"/>
  <c r="V301" i="11" s="1"/>
  <c r="V302" i="11" s="1"/>
  <c r="V303" i="11" s="1"/>
  <c r="V304" i="11" s="1"/>
  <c r="V305" i="11" s="1"/>
  <c r="V306" i="11" s="1"/>
  <c r="V307" i="11" s="1"/>
  <c r="V308" i="11" s="1"/>
  <c r="V309" i="11" s="1"/>
  <c r="V310" i="11" s="1"/>
  <c r="V311" i="11" s="1"/>
  <c r="V312" i="11" s="1"/>
  <c r="V313" i="11" s="1"/>
  <c r="V314" i="11" s="1"/>
  <c r="V315" i="11" s="1"/>
  <c r="V316" i="11" s="1"/>
  <c r="V317" i="11" s="1"/>
  <c r="V318" i="11" s="1"/>
  <c r="V319" i="11" s="1"/>
  <c r="V320" i="11" s="1"/>
  <c r="V321" i="11" s="1"/>
  <c r="V322" i="11" s="1"/>
  <c r="V323" i="11" s="1"/>
  <c r="V324" i="11" s="1"/>
  <c r="V325" i="11" s="1"/>
  <c r="V326" i="11" s="1"/>
  <c r="V327" i="11" s="1"/>
  <c r="V328" i="11" s="1"/>
  <c r="V329" i="11" s="1"/>
  <c r="V330" i="11" s="1"/>
  <c r="V331" i="11" s="1"/>
  <c r="V332" i="11" s="1"/>
  <c r="V333" i="11" s="1"/>
  <c r="V334" i="11" s="1"/>
  <c r="V335" i="11" s="1"/>
  <c r="V336" i="11" s="1"/>
  <c r="V337" i="11" s="1"/>
  <c r="V338" i="11" s="1"/>
  <c r="V339" i="11" s="1"/>
  <c r="V340" i="11" s="1"/>
  <c r="V341" i="11" s="1"/>
  <c r="V342" i="11" s="1"/>
  <c r="V343" i="11" s="1"/>
  <c r="V344" i="11" s="1"/>
  <c r="V345" i="11" s="1"/>
  <c r="V346" i="11" s="1"/>
  <c r="V347" i="11" s="1"/>
  <c r="V348" i="11" s="1"/>
  <c r="V349" i="11" s="1"/>
  <c r="V350" i="11" s="1"/>
  <c r="V351" i="11" s="1"/>
  <c r="V352" i="11" s="1"/>
  <c r="V353" i="11" s="1"/>
  <c r="V354" i="11" s="1"/>
  <c r="V355" i="11" s="1"/>
  <c r="V356" i="11" s="1"/>
  <c r="V357" i="11" s="1"/>
  <c r="V358" i="11" s="1"/>
  <c r="V359" i="11" s="1"/>
  <c r="V360" i="11" s="1"/>
  <c r="V361" i="11" s="1"/>
  <c r="V362" i="11" s="1"/>
  <c r="V363" i="11" s="1"/>
  <c r="V364" i="11" s="1"/>
  <c r="V365" i="11" s="1"/>
  <c r="V366" i="11" s="1"/>
  <c r="V367" i="11" s="1"/>
  <c r="V368" i="11" s="1"/>
  <c r="V369" i="11" s="1"/>
  <c r="V370" i="11" s="1"/>
  <c r="V371" i="11" s="1"/>
  <c r="V372" i="11" s="1"/>
  <c r="V373" i="11" s="1"/>
  <c r="V374" i="11" s="1"/>
  <c r="V375" i="11" s="1"/>
  <c r="V376" i="11" s="1"/>
  <c r="V377" i="11" s="1"/>
  <c r="V378" i="11" s="1"/>
  <c r="V379" i="11" s="1"/>
  <c r="V380" i="11" s="1"/>
  <c r="V381" i="11" s="1"/>
  <c r="V382" i="11" s="1"/>
  <c r="V383" i="11" s="1"/>
  <c r="V384" i="11" s="1"/>
  <c r="V385" i="11" s="1"/>
  <c r="V386" i="11" s="1"/>
  <c r="V387" i="11" s="1"/>
  <c r="V388" i="11" s="1"/>
  <c r="V389" i="11" s="1"/>
  <c r="V390" i="11" s="1"/>
  <c r="V391" i="11" s="1"/>
  <c r="V392" i="11" s="1"/>
  <c r="V393" i="11" s="1"/>
  <c r="V394" i="11" s="1"/>
  <c r="V395" i="11" s="1"/>
  <c r="V396" i="11" s="1"/>
  <c r="V397" i="11" s="1"/>
  <c r="V398" i="11" s="1"/>
  <c r="V399" i="11" s="1"/>
  <c r="V400" i="11" s="1"/>
  <c r="V401" i="11" s="1"/>
  <c r="V402" i="11" s="1"/>
  <c r="V403" i="11" s="1"/>
  <c r="V404" i="11" s="1"/>
  <c r="V405" i="11" s="1"/>
  <c r="V406" i="11" s="1"/>
  <c r="V407" i="11" s="1"/>
  <c r="V408" i="11" s="1"/>
  <c r="V409" i="11" s="1"/>
  <c r="V410" i="11" s="1"/>
  <c r="V411" i="11" s="1"/>
  <c r="V412" i="11" s="1"/>
  <c r="V413" i="11" s="1"/>
  <c r="V414" i="11" s="1"/>
  <c r="V415" i="11" s="1"/>
  <c r="V416" i="11" s="1"/>
  <c r="V417" i="11" s="1"/>
  <c r="V418" i="11" s="1"/>
  <c r="V419" i="11" s="1"/>
  <c r="V420" i="11" s="1"/>
  <c r="V421" i="11" s="1"/>
  <c r="V422" i="11" s="1"/>
  <c r="V423" i="11" s="1"/>
  <c r="V424" i="11" s="1"/>
  <c r="V425" i="11" s="1"/>
  <c r="V426" i="11" s="1"/>
  <c r="V427" i="11" s="1"/>
  <c r="V428" i="11" s="1"/>
  <c r="V429" i="11" s="1"/>
  <c r="V430" i="11" s="1"/>
  <c r="V431" i="11" s="1"/>
  <c r="V432" i="11" s="1"/>
  <c r="V433" i="11" s="1"/>
  <c r="V434" i="11" s="1"/>
  <c r="V435" i="11" s="1"/>
  <c r="V436" i="11" s="1"/>
  <c r="V437" i="11" s="1"/>
  <c r="V438" i="11" s="1"/>
  <c r="V439" i="11" s="1"/>
  <c r="V440" i="11" s="1"/>
  <c r="V441" i="11" s="1"/>
  <c r="V442" i="11" s="1"/>
  <c r="V443" i="11" s="1"/>
  <c r="V444" i="11" s="1"/>
  <c r="V445" i="11" s="1"/>
  <c r="V446" i="11" s="1"/>
  <c r="V447" i="11" s="1"/>
  <c r="V448" i="11" s="1"/>
  <c r="V449" i="11" s="1"/>
  <c r="V450" i="11" s="1"/>
  <c r="V451" i="11" s="1"/>
  <c r="V452" i="11" s="1"/>
  <c r="V453" i="11" s="1"/>
  <c r="V454" i="11" s="1"/>
  <c r="V455" i="11" s="1"/>
  <c r="V456" i="11" s="1"/>
  <c r="V457" i="11" s="1"/>
  <c r="V458" i="11" s="1"/>
  <c r="V459" i="11" s="1"/>
  <c r="V460" i="11" s="1"/>
  <c r="V461" i="11" s="1"/>
  <c r="V462" i="11" s="1"/>
  <c r="V463" i="11" s="1"/>
  <c r="V464" i="11" s="1"/>
  <c r="V465" i="11" s="1"/>
  <c r="V466" i="11" s="1"/>
  <c r="V467" i="11" s="1"/>
  <c r="V468" i="11" s="1"/>
  <c r="V469" i="11" s="1"/>
  <c r="V470" i="11" s="1"/>
  <c r="V471" i="11" s="1"/>
  <c r="V472" i="11" s="1"/>
  <c r="V473" i="11" s="1"/>
  <c r="V474" i="11" s="1"/>
  <c r="V475" i="11" s="1"/>
  <c r="V476" i="11" s="1"/>
  <c r="V477" i="11" s="1"/>
  <c r="V478" i="11" s="1"/>
  <c r="V479" i="11" s="1"/>
  <c r="V480" i="11" s="1"/>
  <c r="V481" i="11" s="1"/>
  <c r="V482" i="11" s="1"/>
  <c r="V483" i="11" s="1"/>
  <c r="V484" i="11" s="1"/>
  <c r="V485" i="11" s="1"/>
  <c r="V486" i="11" s="1"/>
  <c r="V487" i="11" s="1"/>
  <c r="V488" i="11" s="1"/>
  <c r="V489" i="11" s="1"/>
  <c r="V490" i="11" s="1"/>
  <c r="V491" i="11" s="1"/>
  <c r="V492" i="11" s="1"/>
  <c r="V493" i="11" s="1"/>
  <c r="V494" i="11" s="1"/>
  <c r="V495" i="11" s="1"/>
  <c r="V496" i="11" s="1"/>
  <c r="V497" i="11" s="1"/>
  <c r="V498" i="11" s="1"/>
  <c r="V499" i="11" s="1"/>
  <c r="V500" i="11" s="1"/>
  <c r="V501" i="11" s="1"/>
  <c r="V502" i="11" s="1"/>
  <c r="V503" i="11" s="1"/>
  <c r="V504" i="11" s="1"/>
  <c r="V505" i="11" s="1"/>
  <c r="V506" i="11" s="1"/>
  <c r="V507" i="11" s="1"/>
  <c r="V508" i="11" s="1"/>
  <c r="V509" i="11" s="1"/>
  <c r="V510" i="11" s="1"/>
  <c r="V511" i="11" s="1"/>
  <c r="V512" i="11" s="1"/>
  <c r="V513" i="11" s="1"/>
  <c r="V514" i="11" s="1"/>
  <c r="V515" i="11" s="1"/>
  <c r="V516" i="11" s="1"/>
  <c r="V517" i="11" s="1"/>
  <c r="V518" i="11" s="1"/>
  <c r="V519" i="11" s="1"/>
  <c r="V520" i="11" s="1"/>
  <c r="V521" i="11" s="1"/>
  <c r="V522" i="11" s="1"/>
  <c r="V523" i="11" s="1"/>
  <c r="V524" i="11" s="1"/>
  <c r="V525" i="11" s="1"/>
  <c r="V526" i="11" s="1"/>
  <c r="V527" i="11" s="1"/>
  <c r="V528" i="11" s="1"/>
  <c r="V529" i="11" s="1"/>
  <c r="V530" i="11" s="1"/>
  <c r="V531" i="11" s="1"/>
  <c r="V532" i="11" s="1"/>
  <c r="V533" i="11" s="1"/>
  <c r="V534" i="11" s="1"/>
  <c r="V535" i="11" s="1"/>
  <c r="V536" i="11" s="1"/>
  <c r="V537" i="11" s="1"/>
  <c r="V538" i="11" s="1"/>
  <c r="V539" i="11" s="1"/>
  <c r="V540" i="11" s="1"/>
  <c r="V541" i="11" s="1"/>
  <c r="V542" i="11" s="1"/>
  <c r="V543" i="11" s="1"/>
  <c r="V544" i="11" s="1"/>
  <c r="V545" i="11" s="1"/>
  <c r="V546" i="11" s="1"/>
  <c r="V547" i="11" s="1"/>
  <c r="V548" i="11" s="1"/>
  <c r="V549" i="11" s="1"/>
  <c r="V550" i="11" s="1"/>
  <c r="V551" i="11" s="1"/>
  <c r="V552" i="11" s="1"/>
  <c r="V553" i="11" s="1"/>
  <c r="V554" i="11" s="1"/>
  <c r="V555" i="11" s="1"/>
  <c r="V556" i="11" s="1"/>
  <c r="V557" i="11" s="1"/>
  <c r="V558" i="11" s="1"/>
  <c r="V559" i="11" s="1"/>
  <c r="V560" i="11" s="1"/>
  <c r="V561" i="11" s="1"/>
  <c r="V562" i="11" s="1"/>
  <c r="V563" i="11" s="1"/>
  <c r="V564" i="11" s="1"/>
  <c r="V565" i="11" s="1"/>
  <c r="V566" i="11" s="1"/>
  <c r="V567" i="11" s="1"/>
  <c r="V568" i="11" s="1"/>
  <c r="V569" i="11" s="1"/>
  <c r="V570" i="11" s="1"/>
  <c r="V571" i="11" s="1"/>
  <c r="V572" i="11" s="1"/>
  <c r="V573" i="11" s="1"/>
  <c r="V574" i="11" s="1"/>
  <c r="V575" i="11" s="1"/>
  <c r="V576" i="11" s="1"/>
  <c r="V577" i="11" s="1"/>
  <c r="V578" i="11" s="1"/>
  <c r="V579" i="11" s="1"/>
  <c r="V580" i="11" s="1"/>
  <c r="V581" i="11" s="1"/>
  <c r="V582" i="11" s="1"/>
  <c r="V583" i="11" s="1"/>
  <c r="V584" i="11" s="1"/>
  <c r="V585" i="11" s="1"/>
  <c r="V586" i="11" s="1"/>
  <c r="V587" i="11" s="1"/>
  <c r="V588" i="11" s="1"/>
  <c r="V589" i="11" s="1"/>
  <c r="V590" i="11" s="1"/>
  <c r="V591" i="11" s="1"/>
  <c r="V592" i="11" s="1"/>
  <c r="V593" i="11" s="1"/>
  <c r="V594" i="11" s="1"/>
  <c r="V595" i="11" s="1"/>
  <c r="V596" i="11" s="1"/>
  <c r="V597" i="11" s="1"/>
  <c r="V598" i="11" s="1"/>
  <c r="V599" i="11" s="1"/>
  <c r="V600" i="11" s="1"/>
  <c r="V601" i="11" s="1"/>
  <c r="V602" i="11" s="1"/>
  <c r="V603" i="11" s="1"/>
  <c r="V604" i="11" s="1"/>
  <c r="AK257" i="11"/>
  <c r="AB257" i="11"/>
  <c r="AH257" i="11" s="1"/>
  <c r="AH256" i="11"/>
  <c r="X258" i="11"/>
  <c r="X259" i="11" s="1"/>
  <c r="X260" i="11" s="1"/>
  <c r="X261" i="11" s="1"/>
  <c r="X262" i="11" s="1"/>
  <c r="X263" i="11" s="1"/>
  <c r="X264" i="11" s="1"/>
  <c r="X265" i="11" s="1"/>
  <c r="X266" i="11" s="1"/>
  <c r="X267" i="11" s="1"/>
  <c r="X268" i="11" s="1"/>
  <c r="X269" i="11" s="1"/>
  <c r="X270" i="11" s="1"/>
  <c r="X271" i="11" s="1"/>
  <c r="X272" i="11" s="1"/>
  <c r="X273" i="11" s="1"/>
  <c r="X274" i="11" s="1"/>
  <c r="X275" i="11" s="1"/>
  <c r="X276" i="11" s="1"/>
  <c r="X277" i="11" s="1"/>
  <c r="X278" i="11" s="1"/>
  <c r="X279" i="11" s="1"/>
  <c r="X280" i="11" s="1"/>
  <c r="X281" i="11" s="1"/>
  <c r="X282" i="11" s="1"/>
  <c r="X283" i="11" s="1"/>
  <c r="X284" i="11" s="1"/>
  <c r="X285" i="11" s="1"/>
  <c r="X286" i="11" s="1"/>
  <c r="X287" i="11" s="1"/>
  <c r="X288" i="11" s="1"/>
  <c r="X289" i="11" s="1"/>
  <c r="X290" i="11" s="1"/>
  <c r="X291" i="11" s="1"/>
  <c r="X292" i="11" s="1"/>
  <c r="X293" i="11" s="1"/>
  <c r="X294" i="11" s="1"/>
  <c r="X295" i="11" s="1"/>
  <c r="X296" i="11" s="1"/>
  <c r="X297" i="11" s="1"/>
  <c r="X298" i="11" s="1"/>
  <c r="X299" i="11" s="1"/>
  <c r="X300" i="11" s="1"/>
  <c r="X301" i="11" s="1"/>
  <c r="X302" i="11" s="1"/>
  <c r="X303" i="11" s="1"/>
  <c r="X304" i="11" s="1"/>
  <c r="X305" i="11" s="1"/>
  <c r="X306" i="11" s="1"/>
  <c r="X307" i="11" s="1"/>
  <c r="X308" i="11" s="1"/>
  <c r="X309" i="11" s="1"/>
  <c r="X310" i="11" s="1"/>
  <c r="X311" i="11" s="1"/>
  <c r="X312" i="11" s="1"/>
  <c r="X313" i="11" s="1"/>
  <c r="X314" i="11" s="1"/>
  <c r="X315" i="11" s="1"/>
  <c r="X316" i="11" s="1"/>
  <c r="X317" i="11" s="1"/>
  <c r="X318" i="11" s="1"/>
  <c r="X319" i="11" s="1"/>
  <c r="X320" i="11" s="1"/>
  <c r="X321" i="11" s="1"/>
  <c r="X322" i="11" s="1"/>
  <c r="X323" i="11" s="1"/>
  <c r="X324" i="11" s="1"/>
  <c r="X325" i="11" s="1"/>
  <c r="X326" i="11" s="1"/>
  <c r="X327" i="11" s="1"/>
  <c r="X328" i="11" s="1"/>
  <c r="X329" i="11" s="1"/>
  <c r="X330" i="11" s="1"/>
  <c r="X331" i="11" s="1"/>
  <c r="X332" i="11" s="1"/>
  <c r="X333" i="11" s="1"/>
  <c r="X334" i="11" s="1"/>
  <c r="X335" i="11" s="1"/>
  <c r="X336" i="11" s="1"/>
  <c r="X337" i="11" s="1"/>
  <c r="X338" i="11" s="1"/>
  <c r="X339" i="11" s="1"/>
  <c r="X340" i="11" s="1"/>
  <c r="X341" i="11" s="1"/>
  <c r="X342" i="11" s="1"/>
  <c r="X343" i="11" s="1"/>
  <c r="X344" i="11" s="1"/>
  <c r="X345" i="11" s="1"/>
  <c r="X346" i="11" s="1"/>
  <c r="X347" i="11" s="1"/>
  <c r="X348" i="11" s="1"/>
  <c r="X349" i="11" s="1"/>
  <c r="X350" i="11" s="1"/>
  <c r="X351" i="11" s="1"/>
  <c r="X352" i="11" s="1"/>
  <c r="X353" i="11" s="1"/>
  <c r="X354" i="11" s="1"/>
  <c r="X355" i="11" s="1"/>
  <c r="X356" i="11" s="1"/>
  <c r="X357" i="11" s="1"/>
  <c r="X358" i="11" s="1"/>
  <c r="X359" i="11" s="1"/>
  <c r="X360" i="11" s="1"/>
  <c r="X361" i="11" s="1"/>
  <c r="X362" i="11" s="1"/>
  <c r="X363" i="11" s="1"/>
  <c r="X364" i="11" s="1"/>
  <c r="X365" i="11" s="1"/>
  <c r="X366" i="11" s="1"/>
  <c r="X367" i="11" s="1"/>
  <c r="X368" i="11" s="1"/>
  <c r="X369" i="11" s="1"/>
  <c r="X370" i="11" s="1"/>
  <c r="X371" i="11" s="1"/>
  <c r="X372" i="11" s="1"/>
  <c r="X373" i="11" s="1"/>
  <c r="X374" i="11" s="1"/>
  <c r="X375" i="11" s="1"/>
  <c r="X376" i="11" s="1"/>
  <c r="X377" i="11" s="1"/>
  <c r="X378" i="11" s="1"/>
  <c r="X379" i="11" s="1"/>
  <c r="X380" i="11" s="1"/>
  <c r="X381" i="11" s="1"/>
  <c r="X382" i="11" s="1"/>
  <c r="X383" i="11" s="1"/>
  <c r="X384" i="11" s="1"/>
  <c r="X385" i="11" s="1"/>
  <c r="X386" i="11" s="1"/>
  <c r="X387" i="11" s="1"/>
  <c r="X388" i="11" s="1"/>
  <c r="X389" i="11" s="1"/>
  <c r="X390" i="11" s="1"/>
  <c r="X391" i="11" s="1"/>
  <c r="X392" i="11" s="1"/>
  <c r="X393" i="11" s="1"/>
  <c r="X394" i="11" s="1"/>
  <c r="X395" i="11" s="1"/>
  <c r="X396" i="11" s="1"/>
  <c r="X397" i="11" s="1"/>
  <c r="X398" i="11" s="1"/>
  <c r="X399" i="11" s="1"/>
  <c r="X400" i="11" s="1"/>
  <c r="X401" i="11" s="1"/>
  <c r="X402" i="11" s="1"/>
  <c r="X403" i="11" s="1"/>
  <c r="X404" i="11" s="1"/>
  <c r="X405" i="11" s="1"/>
  <c r="X406" i="11" s="1"/>
  <c r="X407" i="11" s="1"/>
  <c r="X408" i="11" s="1"/>
  <c r="X409" i="11" s="1"/>
  <c r="X410" i="11" s="1"/>
  <c r="X411" i="11" s="1"/>
  <c r="X412" i="11" s="1"/>
  <c r="X413" i="11" s="1"/>
  <c r="X414" i="11" s="1"/>
  <c r="X415" i="11" s="1"/>
  <c r="X416" i="11" s="1"/>
  <c r="X417" i="11" s="1"/>
  <c r="X418" i="11" s="1"/>
  <c r="X419" i="11" s="1"/>
  <c r="X420" i="11" s="1"/>
  <c r="X421" i="11" s="1"/>
  <c r="X422" i="11" s="1"/>
  <c r="X423" i="11" s="1"/>
  <c r="X424" i="11" s="1"/>
  <c r="X425" i="11" s="1"/>
  <c r="X426" i="11" s="1"/>
  <c r="X427" i="11" s="1"/>
  <c r="X428" i="11" s="1"/>
  <c r="X429" i="11" s="1"/>
  <c r="X430" i="11" s="1"/>
  <c r="X431" i="11" s="1"/>
  <c r="X432" i="11" s="1"/>
  <c r="X433" i="11" s="1"/>
  <c r="X434" i="11" s="1"/>
  <c r="X435" i="11" s="1"/>
  <c r="X436" i="11" s="1"/>
  <c r="X437" i="11" s="1"/>
  <c r="X438" i="11" s="1"/>
  <c r="X439" i="11" s="1"/>
  <c r="X440" i="11" s="1"/>
  <c r="X441" i="11" s="1"/>
  <c r="X442" i="11" s="1"/>
  <c r="X443" i="11" s="1"/>
  <c r="X444" i="11" s="1"/>
  <c r="X445" i="11" s="1"/>
  <c r="X446" i="11" s="1"/>
  <c r="X447" i="11" s="1"/>
  <c r="X448" i="11" s="1"/>
  <c r="X449" i="11" s="1"/>
  <c r="X450" i="11" s="1"/>
  <c r="X451" i="11" s="1"/>
  <c r="X452" i="11" s="1"/>
  <c r="X453" i="11" s="1"/>
  <c r="X454" i="11" s="1"/>
  <c r="X455" i="11" s="1"/>
  <c r="X456" i="11" s="1"/>
  <c r="X457" i="11" s="1"/>
  <c r="X458" i="11" s="1"/>
  <c r="X459" i="11" s="1"/>
  <c r="X460" i="11" s="1"/>
  <c r="X461" i="11" s="1"/>
  <c r="X462" i="11" s="1"/>
  <c r="X463" i="11" s="1"/>
  <c r="X464" i="11" s="1"/>
  <c r="X465" i="11" s="1"/>
  <c r="X466" i="11" s="1"/>
  <c r="X467" i="11" s="1"/>
  <c r="X468" i="11" s="1"/>
  <c r="X469" i="11" s="1"/>
  <c r="X470" i="11" s="1"/>
  <c r="X471" i="11" s="1"/>
  <c r="X472" i="11" s="1"/>
  <c r="X473" i="11" s="1"/>
  <c r="X474" i="11" s="1"/>
  <c r="X475" i="11" s="1"/>
  <c r="X476" i="11" s="1"/>
  <c r="X477" i="11" s="1"/>
  <c r="X478" i="11" s="1"/>
  <c r="X479" i="11" s="1"/>
  <c r="X480" i="11" s="1"/>
  <c r="X481" i="11" s="1"/>
  <c r="X482" i="11" s="1"/>
  <c r="X483" i="11" s="1"/>
  <c r="X484" i="11" s="1"/>
  <c r="X485" i="11" s="1"/>
  <c r="X486" i="11" s="1"/>
  <c r="X487" i="11" s="1"/>
  <c r="X488" i="11" s="1"/>
  <c r="X489" i="11" s="1"/>
  <c r="X490" i="11" s="1"/>
  <c r="X491" i="11" s="1"/>
  <c r="X492" i="11" s="1"/>
  <c r="X493" i="11" s="1"/>
  <c r="X494" i="11" s="1"/>
  <c r="X495" i="11" s="1"/>
  <c r="X496" i="11" s="1"/>
  <c r="X497" i="11" s="1"/>
  <c r="X498" i="11" s="1"/>
  <c r="X499" i="11" s="1"/>
  <c r="X500" i="11" s="1"/>
  <c r="X501" i="11" s="1"/>
  <c r="X502" i="11" s="1"/>
  <c r="X503" i="11" s="1"/>
  <c r="X504" i="11" s="1"/>
  <c r="X505" i="11" s="1"/>
  <c r="X506" i="11" s="1"/>
  <c r="X507" i="11" s="1"/>
  <c r="X508" i="11" s="1"/>
  <c r="X509" i="11" s="1"/>
  <c r="X510" i="11" s="1"/>
  <c r="X511" i="11" s="1"/>
  <c r="X512" i="11" s="1"/>
  <c r="X513" i="11" s="1"/>
  <c r="X514" i="11" s="1"/>
  <c r="X515" i="11" s="1"/>
  <c r="X516" i="11" s="1"/>
  <c r="X517" i="11" s="1"/>
  <c r="X518" i="11" s="1"/>
  <c r="X519" i="11" s="1"/>
  <c r="X520" i="11" s="1"/>
  <c r="X521" i="11" s="1"/>
  <c r="X522" i="11" s="1"/>
  <c r="X523" i="11" s="1"/>
  <c r="X524" i="11" s="1"/>
  <c r="X525" i="11" s="1"/>
  <c r="X526" i="11" s="1"/>
  <c r="X527" i="11" s="1"/>
  <c r="X528" i="11" s="1"/>
  <c r="X529" i="11" s="1"/>
  <c r="X530" i="11" s="1"/>
  <c r="X531" i="11" s="1"/>
  <c r="X532" i="11" s="1"/>
  <c r="X533" i="11" s="1"/>
  <c r="X534" i="11" s="1"/>
  <c r="X535" i="11" s="1"/>
  <c r="X536" i="11" s="1"/>
  <c r="X537" i="11" s="1"/>
  <c r="X538" i="11" s="1"/>
  <c r="X539" i="11" s="1"/>
  <c r="X540" i="11" s="1"/>
  <c r="X541" i="11" s="1"/>
  <c r="X542" i="11" s="1"/>
  <c r="X543" i="11" s="1"/>
  <c r="X544" i="11" s="1"/>
  <c r="X545" i="11" s="1"/>
  <c r="X546" i="11" s="1"/>
  <c r="X547" i="11" s="1"/>
  <c r="X548" i="11" s="1"/>
  <c r="X549" i="11" s="1"/>
  <c r="X550" i="11" s="1"/>
  <c r="X551" i="11" s="1"/>
  <c r="X552" i="11" s="1"/>
  <c r="X553" i="11" s="1"/>
  <c r="X554" i="11" s="1"/>
  <c r="X555" i="11" s="1"/>
  <c r="X556" i="11" s="1"/>
  <c r="X557" i="11" s="1"/>
  <c r="X558" i="11" s="1"/>
  <c r="X559" i="11" s="1"/>
  <c r="X560" i="11" s="1"/>
  <c r="X561" i="11" s="1"/>
  <c r="X562" i="11" s="1"/>
  <c r="X563" i="11" s="1"/>
  <c r="X564" i="11" s="1"/>
  <c r="X565" i="11" s="1"/>
  <c r="X566" i="11" s="1"/>
  <c r="X567" i="11" s="1"/>
  <c r="X568" i="11" s="1"/>
  <c r="X569" i="11" s="1"/>
  <c r="X570" i="11" s="1"/>
  <c r="X571" i="11" s="1"/>
  <c r="X572" i="11" s="1"/>
  <c r="X573" i="11" s="1"/>
  <c r="X574" i="11" s="1"/>
  <c r="X575" i="11" s="1"/>
  <c r="X576" i="11" s="1"/>
  <c r="X577" i="11" s="1"/>
  <c r="X578" i="11" s="1"/>
  <c r="X579" i="11" s="1"/>
  <c r="X580" i="11" s="1"/>
  <c r="X581" i="11" s="1"/>
  <c r="X582" i="11" s="1"/>
  <c r="X583" i="11" s="1"/>
  <c r="X584" i="11" s="1"/>
  <c r="X585" i="11" s="1"/>
  <c r="X586" i="11" s="1"/>
  <c r="X587" i="11" s="1"/>
  <c r="X588" i="11" s="1"/>
  <c r="X589" i="11" s="1"/>
  <c r="X590" i="11" s="1"/>
  <c r="X591" i="11" s="1"/>
  <c r="X592" i="11" s="1"/>
  <c r="X593" i="11" s="1"/>
  <c r="X594" i="11" s="1"/>
  <c r="X595" i="11" s="1"/>
  <c r="X596" i="11" s="1"/>
  <c r="X597" i="11" s="1"/>
  <c r="X598" i="11" s="1"/>
  <c r="X599" i="11" s="1"/>
  <c r="X600" i="11" s="1"/>
  <c r="X601" i="11" s="1"/>
  <c r="X602" i="11" s="1"/>
  <c r="X603" i="11" s="1"/>
  <c r="X604" i="11" s="1"/>
  <c r="Y257" i="11"/>
  <c r="U93" i="11"/>
  <c r="T94" i="11" s="1"/>
  <c r="S94" i="11"/>
  <c r="R95" i="11" s="1"/>
  <c r="Q264" i="11"/>
  <c r="P265" i="11" s="1"/>
  <c r="K51" i="11"/>
  <c r="W152" i="11"/>
  <c r="AD95" i="11"/>
  <c r="AI95" i="11" s="1"/>
  <c r="O96" i="11"/>
  <c r="N97" i="11" s="1"/>
  <c r="I96" i="11"/>
  <c r="G96" i="11"/>
  <c r="F97" i="11" s="1"/>
  <c r="E96" i="11"/>
  <c r="D97" i="11" s="1"/>
  <c r="C94" i="11"/>
  <c r="B95" i="11" s="1"/>
  <c r="U94" i="11" l="1"/>
  <c r="T95" i="11" s="1"/>
  <c r="S95" i="11"/>
  <c r="R96" i="11" s="1"/>
  <c r="Q265" i="11"/>
  <c r="P266" i="11" s="1"/>
  <c r="J52" i="11"/>
  <c r="W153" i="11"/>
  <c r="AD96" i="11"/>
  <c r="AI96" i="11" s="1"/>
  <c r="O97" i="11"/>
  <c r="N98" i="11" s="1"/>
  <c r="I97" i="11"/>
  <c r="G97" i="11"/>
  <c r="F98" i="11" s="1"/>
  <c r="E97" i="11"/>
  <c r="D98" i="11" s="1"/>
  <c r="C95" i="11"/>
  <c r="B96" i="11" s="1"/>
  <c r="D70" i="10"/>
  <c r="C70" i="10"/>
  <c r="N70" i="10"/>
  <c r="M70" i="10"/>
  <c r="L70" i="10"/>
  <c r="K70" i="10"/>
  <c r="J70" i="10"/>
  <c r="I70" i="10"/>
  <c r="G70" i="10"/>
  <c r="F70" i="10"/>
  <c r="E70" i="10"/>
  <c r="U95" i="11" l="1"/>
  <c r="T96" i="11" s="1"/>
  <c r="S96" i="11"/>
  <c r="R97" i="11" s="1"/>
  <c r="Q266" i="11"/>
  <c r="P267" i="11" s="1"/>
  <c r="K52" i="11"/>
  <c r="W154" i="11"/>
  <c r="AD97" i="11"/>
  <c r="AI97" i="11" s="1"/>
  <c r="O98" i="11"/>
  <c r="N99" i="11" s="1"/>
  <c r="I98" i="11"/>
  <c r="G98" i="11"/>
  <c r="F99" i="11" s="1"/>
  <c r="E98" i="11"/>
  <c r="D99" i="11" s="1"/>
  <c r="C96" i="11"/>
  <c r="B97" i="11" s="1"/>
  <c r="U96" i="11" l="1"/>
  <c r="T97" i="11" s="1"/>
  <c r="S97" i="11"/>
  <c r="R98" i="11" s="1"/>
  <c r="Q267" i="11"/>
  <c r="P268" i="11" s="1"/>
  <c r="J53" i="11"/>
  <c r="W155" i="11"/>
  <c r="AD98" i="11"/>
  <c r="AI98" i="11" s="1"/>
  <c r="O99" i="11"/>
  <c r="N100" i="11" s="1"/>
  <c r="I99" i="11"/>
  <c r="G99" i="11"/>
  <c r="F100" i="11" s="1"/>
  <c r="E99" i="11"/>
  <c r="D100" i="11" s="1"/>
  <c r="C97" i="11"/>
  <c r="B98" i="11" s="1"/>
  <c r="F103" i="10"/>
  <c r="E103" i="10"/>
  <c r="U97" i="11" l="1"/>
  <c r="T98" i="11" s="1"/>
  <c r="S98" i="11"/>
  <c r="R99" i="11" s="1"/>
  <c r="Q268" i="11"/>
  <c r="P269" i="11" s="1"/>
  <c r="K53" i="11"/>
  <c r="W156" i="11"/>
  <c r="AD99" i="11"/>
  <c r="AI99" i="11" s="1"/>
  <c r="O100" i="11"/>
  <c r="N101" i="11" s="1"/>
  <c r="I100" i="11"/>
  <c r="G100" i="11"/>
  <c r="F101" i="11" s="1"/>
  <c r="E100" i="11"/>
  <c r="D101" i="11" s="1"/>
  <c r="C98" i="11"/>
  <c r="B99" i="11" s="1"/>
  <c r="O19" i="10"/>
  <c r="U98" i="11" l="1"/>
  <c r="T99" i="11" s="1"/>
  <c r="S99" i="11"/>
  <c r="R100" i="11" s="1"/>
  <c r="Q269" i="11"/>
  <c r="P270" i="11" s="1"/>
  <c r="J54" i="11"/>
  <c r="W157" i="11"/>
  <c r="AD100" i="11"/>
  <c r="AI100" i="11" s="1"/>
  <c r="O101" i="11"/>
  <c r="N102" i="11" s="1"/>
  <c r="I101" i="11"/>
  <c r="G101" i="11"/>
  <c r="F102" i="11" s="1"/>
  <c r="E101" i="11"/>
  <c r="D102" i="11" s="1"/>
  <c r="C99" i="11"/>
  <c r="B100" i="11" s="1"/>
  <c r="N101" i="10"/>
  <c r="M101" i="10"/>
  <c r="L101" i="10"/>
  <c r="K101" i="10"/>
  <c r="J101" i="10"/>
  <c r="I101" i="10"/>
  <c r="H101" i="10"/>
  <c r="G101" i="10"/>
  <c r="F101" i="10"/>
  <c r="E101" i="10"/>
  <c r="D101" i="10"/>
  <c r="C101" i="10"/>
  <c r="N100" i="10"/>
  <c r="M100" i="10"/>
  <c r="L100" i="10"/>
  <c r="K100" i="10"/>
  <c r="J100" i="10"/>
  <c r="I100" i="10"/>
  <c r="H100" i="10"/>
  <c r="G100" i="10"/>
  <c r="F100" i="10"/>
  <c r="E100" i="10"/>
  <c r="D100" i="10"/>
  <c r="C100" i="10"/>
  <c r="N99" i="10"/>
  <c r="M99" i="10"/>
  <c r="L99" i="10"/>
  <c r="K99" i="10"/>
  <c r="J99" i="10"/>
  <c r="F99" i="10"/>
  <c r="E99" i="10"/>
  <c r="D99" i="10"/>
  <c r="C99" i="10"/>
  <c r="E97" i="10"/>
  <c r="F97" i="10"/>
  <c r="G97" i="10"/>
  <c r="H97" i="10"/>
  <c r="I97" i="10"/>
  <c r="J97" i="10"/>
  <c r="K97" i="10"/>
  <c r="L97" i="10"/>
  <c r="M97" i="10"/>
  <c r="N97" i="10"/>
  <c r="D97" i="10"/>
  <c r="C97" i="10"/>
  <c r="U99" i="11" l="1"/>
  <c r="T100" i="11" s="1"/>
  <c r="S100" i="11"/>
  <c r="R101" i="11" s="1"/>
  <c r="Q270" i="11"/>
  <c r="P271" i="11" s="1"/>
  <c r="K54" i="11"/>
  <c r="W158" i="11"/>
  <c r="AD101" i="11"/>
  <c r="AI101" i="11" s="1"/>
  <c r="O102" i="11"/>
  <c r="N103" i="11" s="1"/>
  <c r="I102" i="11"/>
  <c r="G102" i="11"/>
  <c r="F103" i="11" s="1"/>
  <c r="E102" i="11"/>
  <c r="D103" i="11" s="1"/>
  <c r="C100" i="11"/>
  <c r="B101" i="11" s="1"/>
  <c r="J73" i="10"/>
  <c r="U100" i="11" l="1"/>
  <c r="T101" i="11" s="1"/>
  <c r="S101" i="11"/>
  <c r="R102" i="11" s="1"/>
  <c r="Q271" i="11"/>
  <c r="P272" i="11" s="1"/>
  <c r="J55" i="11"/>
  <c r="I90" i="10"/>
  <c r="W159" i="11"/>
  <c r="AD102" i="11"/>
  <c r="AI102" i="11" s="1"/>
  <c r="O103" i="11"/>
  <c r="N104" i="11" s="1"/>
  <c r="I103" i="11"/>
  <c r="G103" i="11"/>
  <c r="F104" i="11" s="1"/>
  <c r="E103" i="11"/>
  <c r="D104" i="11" s="1"/>
  <c r="C101" i="11"/>
  <c r="B102" i="11" s="1"/>
  <c r="U101" i="11" l="1"/>
  <c r="T102" i="11" s="1"/>
  <c r="S102" i="11"/>
  <c r="R103" i="11" s="1"/>
  <c r="Q272" i="11"/>
  <c r="P273" i="11" s="1"/>
  <c r="K55" i="11"/>
  <c r="W160" i="11"/>
  <c r="AD103" i="11"/>
  <c r="AI103" i="11" s="1"/>
  <c r="O104" i="11"/>
  <c r="N105" i="11" s="1"/>
  <c r="I104" i="11"/>
  <c r="G104" i="11"/>
  <c r="F105" i="11" s="1"/>
  <c r="E104" i="11"/>
  <c r="D105" i="11" s="1"/>
  <c r="C102" i="11"/>
  <c r="B103" i="11" s="1"/>
  <c r="U102" i="11" l="1"/>
  <c r="T103" i="11" s="1"/>
  <c r="S103" i="11"/>
  <c r="R104" i="11" s="1"/>
  <c r="Q273" i="11"/>
  <c r="P274" i="11" s="1"/>
  <c r="J56" i="11"/>
  <c r="W161" i="11"/>
  <c r="AD104" i="11"/>
  <c r="AI104" i="11" s="1"/>
  <c r="O105" i="11"/>
  <c r="N106" i="11" s="1"/>
  <c r="I105" i="11"/>
  <c r="G105" i="11"/>
  <c r="F106" i="11" s="1"/>
  <c r="E105" i="11"/>
  <c r="D106" i="11" s="1"/>
  <c r="C103" i="11"/>
  <c r="B104" i="11" s="1"/>
  <c r="J55" i="10"/>
  <c r="I55" i="10"/>
  <c r="H55" i="10"/>
  <c r="G55" i="10"/>
  <c r="U103" i="11" l="1"/>
  <c r="T104" i="11" s="1"/>
  <c r="S104" i="11"/>
  <c r="R105" i="11" s="1"/>
  <c r="Q274" i="11"/>
  <c r="P275" i="11" s="1"/>
  <c r="K56" i="11"/>
  <c r="J57" i="11" s="1"/>
  <c r="W162" i="11"/>
  <c r="AD105" i="11"/>
  <c r="AI105" i="11" s="1"/>
  <c r="O106" i="11"/>
  <c r="N107" i="11" s="1"/>
  <c r="I106" i="11"/>
  <c r="G106" i="11"/>
  <c r="F107" i="11" s="1"/>
  <c r="E106" i="11"/>
  <c r="D107" i="11" s="1"/>
  <c r="C104" i="11"/>
  <c r="B105" i="11" s="1"/>
  <c r="I99" i="10"/>
  <c r="U104" i="11" l="1"/>
  <c r="T105" i="11" s="1"/>
  <c r="S105" i="11"/>
  <c r="R106" i="11" s="1"/>
  <c r="Q275" i="11"/>
  <c r="P276" i="11" s="1"/>
  <c r="K57" i="11"/>
  <c r="W163" i="11"/>
  <c r="AD106" i="11"/>
  <c r="AI106" i="11" s="1"/>
  <c r="O107" i="11"/>
  <c r="N108" i="11" s="1"/>
  <c r="I107" i="11"/>
  <c r="G107" i="11"/>
  <c r="F108" i="11" s="1"/>
  <c r="E107" i="11"/>
  <c r="D108" i="11" s="1"/>
  <c r="C105" i="11"/>
  <c r="B106" i="11" s="1"/>
  <c r="N69" i="10"/>
  <c r="M69" i="10"/>
  <c r="L69" i="10"/>
  <c r="U105" i="11" l="1"/>
  <c r="T106" i="11" s="1"/>
  <c r="S106" i="11"/>
  <c r="R107" i="11" s="1"/>
  <c r="Q276" i="11"/>
  <c r="P277" i="11" s="1"/>
  <c r="J58" i="11"/>
  <c r="W164" i="11"/>
  <c r="AD107" i="11"/>
  <c r="AI107" i="11" s="1"/>
  <c r="O108" i="11"/>
  <c r="N109" i="11" s="1"/>
  <c r="I108" i="11"/>
  <c r="G108" i="11"/>
  <c r="F109" i="11" s="1"/>
  <c r="E108" i="11"/>
  <c r="D109" i="11" s="1"/>
  <c r="C106" i="11"/>
  <c r="B107" i="11" s="1"/>
  <c r="G102" i="10"/>
  <c r="U106" i="11" l="1"/>
  <c r="T107" i="11" s="1"/>
  <c r="S107" i="11"/>
  <c r="R108" i="11" s="1"/>
  <c r="Q277" i="11"/>
  <c r="P278" i="11" s="1"/>
  <c r="K58" i="11"/>
  <c r="W165" i="11"/>
  <c r="AD108" i="11"/>
  <c r="AI108" i="11" s="1"/>
  <c r="O109" i="11"/>
  <c r="N110" i="11" s="1"/>
  <c r="I109" i="11"/>
  <c r="G109" i="11"/>
  <c r="F110" i="11" s="1"/>
  <c r="E109" i="11"/>
  <c r="D110" i="11" s="1"/>
  <c r="C107" i="11"/>
  <c r="B108" i="11" s="1"/>
  <c r="I111" i="10"/>
  <c r="C108" i="10"/>
  <c r="B115" i="10"/>
  <c r="B114" i="10"/>
  <c r="B113" i="10"/>
  <c r="B112" i="10"/>
  <c r="B111" i="10"/>
  <c r="B110" i="10"/>
  <c r="B107" i="10"/>
  <c r="B108" i="10"/>
  <c r="U107" i="11" l="1"/>
  <c r="T108" i="11" s="1"/>
  <c r="S108" i="11"/>
  <c r="R109" i="11" s="1"/>
  <c r="Q278" i="11"/>
  <c r="P279" i="11" s="1"/>
  <c r="J59" i="11"/>
  <c r="W166" i="11"/>
  <c r="AD109" i="11"/>
  <c r="AI109" i="11" s="1"/>
  <c r="O110" i="11"/>
  <c r="N111" i="11" s="1"/>
  <c r="I110" i="11"/>
  <c r="G110" i="11"/>
  <c r="F111" i="11" s="1"/>
  <c r="E110" i="11"/>
  <c r="D111" i="11" s="1"/>
  <c r="C108" i="11"/>
  <c r="B109" i="11" s="1"/>
  <c r="D103" i="10"/>
  <c r="N75" i="10"/>
  <c r="M75" i="10"/>
  <c r="L75" i="10"/>
  <c r="K75" i="10"/>
  <c r="J75" i="10"/>
  <c r="I75" i="10"/>
  <c r="H75" i="10"/>
  <c r="G75" i="10"/>
  <c r="F75" i="10"/>
  <c r="E75" i="10"/>
  <c r="D75" i="10"/>
  <c r="C75" i="10"/>
  <c r="K59" i="11" l="1"/>
  <c r="J60" i="11" s="1"/>
  <c r="U108" i="11"/>
  <c r="T109" i="11" s="1"/>
  <c r="S109" i="11"/>
  <c r="R110" i="11" s="1"/>
  <c r="Q279" i="11"/>
  <c r="P280" i="11" s="1"/>
  <c r="W167" i="11"/>
  <c r="AD110" i="11"/>
  <c r="AI110" i="11" s="1"/>
  <c r="O111" i="11"/>
  <c r="N112" i="11" s="1"/>
  <c r="I111" i="11"/>
  <c r="G111" i="11"/>
  <c r="F112" i="11" s="1"/>
  <c r="E111" i="11"/>
  <c r="D112" i="11" s="1"/>
  <c r="C109" i="11"/>
  <c r="B110" i="11" s="1"/>
  <c r="G99" i="10"/>
  <c r="U109" i="11" l="1"/>
  <c r="T110" i="11" s="1"/>
  <c r="S110" i="11"/>
  <c r="R111" i="11" s="1"/>
  <c r="Q280" i="11"/>
  <c r="P281" i="11" s="1"/>
  <c r="K60" i="11"/>
  <c r="W168" i="11"/>
  <c r="AD111" i="11"/>
  <c r="AI111" i="11" s="1"/>
  <c r="O112" i="11"/>
  <c r="N113" i="11" s="1"/>
  <c r="I112" i="11"/>
  <c r="G112" i="11"/>
  <c r="F113" i="11" s="1"/>
  <c r="E112" i="11"/>
  <c r="D113" i="11" s="1"/>
  <c r="C110" i="11"/>
  <c r="B111" i="11" s="1"/>
  <c r="U110" i="11" l="1"/>
  <c r="T111" i="11" s="1"/>
  <c r="S111" i="11"/>
  <c r="R112" i="11" s="1"/>
  <c r="Q281" i="11"/>
  <c r="P282" i="11" s="1"/>
  <c r="J61" i="11"/>
  <c r="W169" i="11"/>
  <c r="AD112" i="11"/>
  <c r="AI112" i="11" s="1"/>
  <c r="O113" i="11"/>
  <c r="N114" i="11" s="1"/>
  <c r="I113" i="11"/>
  <c r="G113" i="11"/>
  <c r="F114" i="11" s="1"/>
  <c r="E113" i="11"/>
  <c r="D114" i="11" s="1"/>
  <c r="C111" i="11"/>
  <c r="B112" i="11" s="1"/>
  <c r="U111" i="11" l="1"/>
  <c r="T112" i="11" s="1"/>
  <c r="S112" i="11"/>
  <c r="R113" i="11" s="1"/>
  <c r="Q282" i="11"/>
  <c r="P283" i="11" s="1"/>
  <c r="K61" i="11"/>
  <c r="W170" i="11"/>
  <c r="AD113" i="11"/>
  <c r="AI113" i="11" s="1"/>
  <c r="O114" i="11"/>
  <c r="N115" i="11" s="1"/>
  <c r="I114" i="11"/>
  <c r="G114" i="11"/>
  <c r="F115" i="11" s="1"/>
  <c r="E114" i="11"/>
  <c r="D115" i="11" s="1"/>
  <c r="C112" i="11"/>
  <c r="B113" i="11" s="1"/>
  <c r="N102" i="10"/>
  <c r="M103" i="10"/>
  <c r="N103" i="10"/>
  <c r="U112" i="11" l="1"/>
  <c r="T113" i="11" s="1"/>
  <c r="S113" i="11"/>
  <c r="R114" i="11" s="1"/>
  <c r="Q283" i="11"/>
  <c r="P284" i="11" s="1"/>
  <c r="J62" i="11"/>
  <c r="W171" i="11"/>
  <c r="AD114" i="11"/>
  <c r="AI114" i="11" s="1"/>
  <c r="O115" i="11"/>
  <c r="N116" i="11" s="1"/>
  <c r="I115" i="11"/>
  <c r="G115" i="11"/>
  <c r="F116" i="11" s="1"/>
  <c r="E115" i="11"/>
  <c r="D116" i="11" s="1"/>
  <c r="C113" i="11"/>
  <c r="B114" i="11" s="1"/>
  <c r="C103" i="10"/>
  <c r="M102" i="10"/>
  <c r="L103" i="10"/>
  <c r="J102" i="10"/>
  <c r="K102" i="10"/>
  <c r="L102" i="10"/>
  <c r="I102" i="10"/>
  <c r="G69" i="10"/>
  <c r="U113" i="11" l="1"/>
  <c r="T114" i="11" s="1"/>
  <c r="S114" i="11"/>
  <c r="R115" i="11" s="1"/>
  <c r="Q284" i="11"/>
  <c r="P285" i="11" s="1"/>
  <c r="K62" i="11"/>
  <c r="J63" i="11" s="1"/>
  <c r="W172" i="11"/>
  <c r="AD115" i="11"/>
  <c r="AI115" i="11" s="1"/>
  <c r="O116" i="11"/>
  <c r="N117" i="11" s="1"/>
  <c r="I116" i="11"/>
  <c r="G116" i="11"/>
  <c r="F117" i="11" s="1"/>
  <c r="E116" i="11"/>
  <c r="D117" i="11" s="1"/>
  <c r="C114" i="11"/>
  <c r="B115" i="11" s="1"/>
  <c r="O53" i="10"/>
  <c r="U114" i="11" l="1"/>
  <c r="T115" i="11" s="1"/>
  <c r="S115" i="11"/>
  <c r="R116" i="11" s="1"/>
  <c r="Q285" i="11"/>
  <c r="P286" i="11" s="1"/>
  <c r="K63" i="11"/>
  <c r="J64" i="11" s="1"/>
  <c r="W173" i="11"/>
  <c r="AD116" i="11"/>
  <c r="AI116" i="11" s="1"/>
  <c r="O117" i="11"/>
  <c r="N118" i="11" s="1"/>
  <c r="I117" i="11"/>
  <c r="G117" i="11"/>
  <c r="F118" i="11" s="1"/>
  <c r="E117" i="11"/>
  <c r="D118" i="11" s="1"/>
  <c r="C115" i="11"/>
  <c r="B116" i="11" s="1"/>
  <c r="U115" i="11" l="1"/>
  <c r="T116" i="11" s="1"/>
  <c r="S116" i="11"/>
  <c r="R117" i="11" s="1"/>
  <c r="Q286" i="11"/>
  <c r="P287" i="11" s="1"/>
  <c r="K64" i="11"/>
  <c r="W174" i="11"/>
  <c r="AD117" i="11"/>
  <c r="AI117" i="11" s="1"/>
  <c r="O118" i="11"/>
  <c r="N119" i="11" s="1"/>
  <c r="I118" i="11"/>
  <c r="G118" i="11"/>
  <c r="F119" i="11" s="1"/>
  <c r="E118" i="11"/>
  <c r="D119" i="11" s="1"/>
  <c r="C116" i="11"/>
  <c r="B117" i="11" s="1"/>
  <c r="H70" i="10"/>
  <c r="H99" i="10"/>
  <c r="H102" i="10"/>
  <c r="F102" i="10"/>
  <c r="U116" i="11" l="1"/>
  <c r="T117" i="11" s="1"/>
  <c r="S117" i="11"/>
  <c r="R118" i="11" s="1"/>
  <c r="Q287" i="11"/>
  <c r="P288" i="11" s="1"/>
  <c r="J65" i="11"/>
  <c r="W175" i="11"/>
  <c r="AD118" i="11"/>
  <c r="AI118" i="11" s="1"/>
  <c r="O119" i="11"/>
  <c r="N120" i="11" s="1"/>
  <c r="I119" i="11"/>
  <c r="G119" i="11"/>
  <c r="F120" i="11" s="1"/>
  <c r="E119" i="11"/>
  <c r="D120" i="11" s="1"/>
  <c r="C117" i="11"/>
  <c r="B118" i="11" s="1"/>
  <c r="O70" i="10"/>
  <c r="U117" i="11" l="1"/>
  <c r="T118" i="11" s="1"/>
  <c r="S118" i="11"/>
  <c r="R119" i="11" s="1"/>
  <c r="Q288" i="11"/>
  <c r="P289" i="11" s="1"/>
  <c r="K65" i="11"/>
  <c r="W176" i="11"/>
  <c r="AD119" i="11"/>
  <c r="AI119" i="11" s="1"/>
  <c r="O120" i="11"/>
  <c r="N121" i="11" s="1"/>
  <c r="I120" i="11"/>
  <c r="G120" i="11"/>
  <c r="F121" i="11" s="1"/>
  <c r="E120" i="11"/>
  <c r="D121" i="11" s="1"/>
  <c r="C118" i="11"/>
  <c r="B119" i="11" s="1"/>
  <c r="O50" i="10"/>
  <c r="O49" i="10"/>
  <c r="U118" i="11" l="1"/>
  <c r="T119" i="11" s="1"/>
  <c r="S119" i="11"/>
  <c r="R120" i="11" s="1"/>
  <c r="Q289" i="11"/>
  <c r="P290" i="11" s="1"/>
  <c r="J66" i="11"/>
  <c r="W177" i="11"/>
  <c r="AD120" i="11"/>
  <c r="AI120" i="11" s="1"/>
  <c r="O121" i="11"/>
  <c r="N122" i="11" s="1"/>
  <c r="I121" i="11"/>
  <c r="G121" i="11"/>
  <c r="F122" i="11" s="1"/>
  <c r="E121" i="11"/>
  <c r="D122" i="11" s="1"/>
  <c r="C119" i="11"/>
  <c r="B120" i="11" s="1"/>
  <c r="E102" i="10"/>
  <c r="J69" i="10"/>
  <c r="I69" i="10"/>
  <c r="H69" i="10"/>
  <c r="O29" i="10"/>
  <c r="K66" i="11" l="1"/>
  <c r="J67" i="11" s="1"/>
  <c r="U119" i="11"/>
  <c r="T120" i="11" s="1"/>
  <c r="S120" i="11"/>
  <c r="R121" i="11" s="1"/>
  <c r="Q290" i="11"/>
  <c r="P291" i="11" s="1"/>
  <c r="W178" i="11"/>
  <c r="AD121" i="11"/>
  <c r="AI121" i="11" s="1"/>
  <c r="O122" i="11"/>
  <c r="N123" i="11" s="1"/>
  <c r="I122" i="11"/>
  <c r="G122" i="11"/>
  <c r="F123" i="11" s="1"/>
  <c r="E122" i="11"/>
  <c r="D123" i="11" s="1"/>
  <c r="C120" i="11"/>
  <c r="B121" i="11" s="1"/>
  <c r="K69" i="10"/>
  <c r="K103" i="10"/>
  <c r="D69" i="10"/>
  <c r="C102" i="10"/>
  <c r="D102" i="10"/>
  <c r="E69" i="10"/>
  <c r="F69" i="10"/>
  <c r="K67" i="11" l="1"/>
  <c r="J68" i="11" s="1"/>
  <c r="U120" i="11"/>
  <c r="T121" i="11" s="1"/>
  <c r="S121" i="11"/>
  <c r="R122" i="11" s="1"/>
  <c r="Q291" i="11"/>
  <c r="P292" i="11" s="1"/>
  <c r="W179" i="11"/>
  <c r="AD122" i="11"/>
  <c r="AI122" i="11" s="1"/>
  <c r="O123" i="11"/>
  <c r="N124" i="11" s="1"/>
  <c r="I123" i="11"/>
  <c r="G123" i="11"/>
  <c r="F124" i="11" s="1"/>
  <c r="E123" i="11"/>
  <c r="D124" i="11" s="1"/>
  <c r="C121" i="11"/>
  <c r="B122" i="11" s="1"/>
  <c r="O69" i="10"/>
  <c r="U121" i="11" l="1"/>
  <c r="T122" i="11" s="1"/>
  <c r="S122" i="11"/>
  <c r="R123" i="11" s="1"/>
  <c r="Q292" i="11"/>
  <c r="P293" i="11" s="1"/>
  <c r="K68" i="11"/>
  <c r="W180" i="11"/>
  <c r="AD123" i="11"/>
  <c r="AI123" i="11" s="1"/>
  <c r="O124" i="11"/>
  <c r="N125" i="11" s="1"/>
  <c r="I124" i="11"/>
  <c r="G124" i="11"/>
  <c r="F125" i="11" s="1"/>
  <c r="E124" i="11"/>
  <c r="D125" i="11" s="1"/>
  <c r="C122" i="11"/>
  <c r="B123" i="11" s="1"/>
  <c r="O46" i="10"/>
  <c r="U122" i="11" l="1"/>
  <c r="T123" i="11" s="1"/>
  <c r="S123" i="11"/>
  <c r="R124" i="11" s="1"/>
  <c r="Q293" i="11"/>
  <c r="P294" i="11" s="1"/>
  <c r="J69" i="11"/>
  <c r="W181" i="11"/>
  <c r="AD124" i="11"/>
  <c r="AI124" i="11" s="1"/>
  <c r="O125" i="11"/>
  <c r="N126" i="11" s="1"/>
  <c r="I125" i="11"/>
  <c r="G125" i="11"/>
  <c r="F126" i="11" s="1"/>
  <c r="E125" i="11"/>
  <c r="D126" i="11" s="1"/>
  <c r="C123" i="11"/>
  <c r="B124" i="11" s="1"/>
  <c r="N73" i="10"/>
  <c r="M73" i="10"/>
  <c r="L73" i="10"/>
  <c r="K73" i="10"/>
  <c r="I73" i="10"/>
  <c r="H73" i="10"/>
  <c r="G73" i="10"/>
  <c r="F73" i="10"/>
  <c r="D73" i="10"/>
  <c r="I84" i="10" s="1"/>
  <c r="C73" i="10"/>
  <c r="I83" i="10" s="1"/>
  <c r="N68" i="10"/>
  <c r="M68" i="10"/>
  <c r="G93" i="10" s="1"/>
  <c r="L68" i="10"/>
  <c r="G92" i="10" s="1"/>
  <c r="K68" i="10"/>
  <c r="G91" i="10" s="1"/>
  <c r="J68" i="10"/>
  <c r="G90" i="10" s="1"/>
  <c r="I68" i="10"/>
  <c r="G89" i="10" s="1"/>
  <c r="H68" i="10"/>
  <c r="G88" i="10" s="1"/>
  <c r="G68" i="10"/>
  <c r="G87" i="10" s="1"/>
  <c r="G86" i="10"/>
  <c r="G85" i="10"/>
  <c r="D68" i="10"/>
  <c r="G84" i="10" s="1"/>
  <c r="C68" i="10"/>
  <c r="M67" i="10"/>
  <c r="L67" i="10"/>
  <c r="K67" i="10"/>
  <c r="J67" i="10"/>
  <c r="I67" i="10"/>
  <c r="H67" i="10"/>
  <c r="G67" i="10"/>
  <c r="F67" i="10"/>
  <c r="E67" i="10"/>
  <c r="D67" i="10"/>
  <c r="C67" i="10"/>
  <c r="O64" i="10"/>
  <c r="O63" i="10"/>
  <c r="O62" i="10"/>
  <c r="E61" i="10"/>
  <c r="N61" i="10"/>
  <c r="M61" i="10"/>
  <c r="L61" i="10"/>
  <c r="K61" i="10"/>
  <c r="J61" i="10"/>
  <c r="I61" i="10"/>
  <c r="H61" i="10"/>
  <c r="G61" i="10"/>
  <c r="F61" i="10"/>
  <c r="D61" i="10"/>
  <c r="C61" i="10"/>
  <c r="O59" i="10"/>
  <c r="N57" i="10"/>
  <c r="M57" i="10"/>
  <c r="L57" i="10"/>
  <c r="K57" i="10"/>
  <c r="J57" i="10"/>
  <c r="I57" i="10"/>
  <c r="H57" i="10"/>
  <c r="G57" i="10"/>
  <c r="F57" i="10"/>
  <c r="E57" i="10"/>
  <c r="C57" i="10"/>
  <c r="N55" i="10"/>
  <c r="M55" i="10"/>
  <c r="L55" i="10"/>
  <c r="K55" i="10"/>
  <c r="F55" i="10"/>
  <c r="E55" i="10"/>
  <c r="D55" i="10"/>
  <c r="C55" i="10"/>
  <c r="O44" i="10"/>
  <c r="O41" i="10"/>
  <c r="O38" i="10"/>
  <c r="H36" i="10"/>
  <c r="M36" i="10"/>
  <c r="L36" i="10"/>
  <c r="I36" i="10"/>
  <c r="F36" i="10"/>
  <c r="D36" i="10"/>
  <c r="C36" i="10"/>
  <c r="O37" i="10"/>
  <c r="O34" i="10"/>
  <c r="O33" i="10"/>
  <c r="O32" i="10"/>
  <c r="O31" i="10"/>
  <c r="Z28" i="10"/>
  <c r="O26" i="10"/>
  <c r="G16" i="10"/>
  <c r="O22" i="10"/>
  <c r="Z21" i="10"/>
  <c r="O21" i="10"/>
  <c r="Z20" i="10"/>
  <c r="O20" i="10"/>
  <c r="O18" i="10"/>
  <c r="O17" i="10"/>
  <c r="Z16" i="10"/>
  <c r="N12" i="10"/>
  <c r="M12" i="10"/>
  <c r="L12" i="10"/>
  <c r="K12" i="10"/>
  <c r="J12" i="10"/>
  <c r="I12" i="10"/>
  <c r="H12" i="10"/>
  <c r="G12" i="10"/>
  <c r="F12" i="10"/>
  <c r="E12" i="10"/>
  <c r="D12" i="10"/>
  <c r="Z10" i="10"/>
  <c r="Z8" i="10"/>
  <c r="N8" i="10"/>
  <c r="M8" i="10"/>
  <c r="I8" i="10"/>
  <c r="H8" i="10"/>
  <c r="G8" i="10"/>
  <c r="C8" i="10"/>
  <c r="Z7" i="10"/>
  <c r="N7" i="10"/>
  <c r="M7" i="10"/>
  <c r="L7" i="10"/>
  <c r="K7" i="10"/>
  <c r="I7" i="10"/>
  <c r="N6" i="10"/>
  <c r="L6" i="10"/>
  <c r="K6" i="10"/>
  <c r="J6" i="10"/>
  <c r="I6" i="10"/>
  <c r="H6" i="10"/>
  <c r="G6" i="10"/>
  <c r="E6" i="10"/>
  <c r="C6" i="10"/>
  <c r="U123" i="11" l="1"/>
  <c r="T124" i="11" s="1"/>
  <c r="S124" i="11"/>
  <c r="R125" i="11" s="1"/>
  <c r="Q294" i="11"/>
  <c r="P295" i="11" s="1"/>
  <c r="K69" i="11"/>
  <c r="I91" i="10"/>
  <c r="I92" i="10"/>
  <c r="I89" i="10"/>
  <c r="I93" i="10"/>
  <c r="I87" i="10"/>
  <c r="I88" i="10"/>
  <c r="I94" i="10"/>
  <c r="I86" i="10"/>
  <c r="W182" i="11"/>
  <c r="AD125" i="11"/>
  <c r="AI125" i="11" s="1"/>
  <c r="O126" i="11"/>
  <c r="N127" i="11" s="1"/>
  <c r="I126" i="11"/>
  <c r="G126" i="11"/>
  <c r="F127" i="11" s="1"/>
  <c r="E126" i="11"/>
  <c r="D127" i="11" s="1"/>
  <c r="C124" i="11"/>
  <c r="B125" i="11" s="1"/>
  <c r="G83" i="10"/>
  <c r="O68" i="10"/>
  <c r="H85" i="10"/>
  <c r="H83" i="10"/>
  <c r="H86" i="10"/>
  <c r="H87" i="10"/>
  <c r="H84" i="10"/>
  <c r="N66" i="10"/>
  <c r="N98" i="10" s="1"/>
  <c r="G94" i="10"/>
  <c r="H88" i="10"/>
  <c r="H89" i="10"/>
  <c r="H93" i="10"/>
  <c r="H92" i="10"/>
  <c r="H90" i="10"/>
  <c r="H94" i="10"/>
  <c r="H91" i="10"/>
  <c r="F3" i="10"/>
  <c r="F76" i="10" s="1"/>
  <c r="K36" i="10"/>
  <c r="I28" i="10"/>
  <c r="J16" i="10"/>
  <c r="D3" i="10"/>
  <c r="D76" i="10" s="1"/>
  <c r="L3" i="10"/>
  <c r="L76" i="10" s="1"/>
  <c r="K43" i="10"/>
  <c r="G28" i="10"/>
  <c r="H3" i="10"/>
  <c r="H76" i="10" s="1"/>
  <c r="C3" i="10"/>
  <c r="C76" i="10" s="1"/>
  <c r="K3" i="10"/>
  <c r="K76" i="10" s="1"/>
  <c r="N3" i="10"/>
  <c r="N76" i="10" s="1"/>
  <c r="O12" i="10"/>
  <c r="D16" i="10"/>
  <c r="L16" i="10"/>
  <c r="O55" i="10"/>
  <c r="O7" i="10"/>
  <c r="M16" i="10"/>
  <c r="O4" i="10"/>
  <c r="J3" i="10"/>
  <c r="J76" i="10" s="1"/>
  <c r="E3" i="10"/>
  <c r="E76" i="10" s="1"/>
  <c r="M3" i="10"/>
  <c r="M76" i="10" s="1"/>
  <c r="N16" i="10"/>
  <c r="J36" i="10"/>
  <c r="O5" i="10"/>
  <c r="O6" i="10"/>
  <c r="Z22" i="10"/>
  <c r="Z26" i="10" s="1"/>
  <c r="Z29" i="10" s="1"/>
  <c r="AA29" i="10" s="1"/>
  <c r="O8" i="10"/>
  <c r="E36" i="10"/>
  <c r="I3" i="10"/>
  <c r="I76" i="10" s="1"/>
  <c r="H28" i="10"/>
  <c r="J66" i="10"/>
  <c r="J98" i="10" s="1"/>
  <c r="J43" i="10"/>
  <c r="M43" i="10"/>
  <c r="H16" i="10"/>
  <c r="H43" i="10"/>
  <c r="E16" i="10"/>
  <c r="D28" i="10"/>
  <c r="L28" i="10"/>
  <c r="C43" i="10"/>
  <c r="O54" i="10"/>
  <c r="O58" i="10"/>
  <c r="F43" i="10"/>
  <c r="N43" i="10"/>
  <c r="O25" i="10"/>
  <c r="J28" i="10"/>
  <c r="F28" i="10"/>
  <c r="N28" i="10"/>
  <c r="H66" i="10"/>
  <c r="H98" i="10" s="1"/>
  <c r="I16" i="10"/>
  <c r="C28" i="10"/>
  <c r="K28" i="10"/>
  <c r="G43" i="10"/>
  <c r="O51" i="10"/>
  <c r="D66" i="10"/>
  <c r="C16" i="10"/>
  <c r="K16" i="10"/>
  <c r="D43" i="10"/>
  <c r="L43" i="10"/>
  <c r="M66" i="10"/>
  <c r="M98" i="10" s="1"/>
  <c r="E28" i="10"/>
  <c r="M28" i="10"/>
  <c r="N36" i="10"/>
  <c r="I43" i="10"/>
  <c r="O73" i="10"/>
  <c r="K66" i="10"/>
  <c r="K98" i="10" s="1"/>
  <c r="O67" i="10"/>
  <c r="L66" i="10"/>
  <c r="L98" i="10" s="1"/>
  <c r="C66" i="10"/>
  <c r="C98" i="10" s="1"/>
  <c r="E66" i="10"/>
  <c r="E98" i="10" s="1"/>
  <c r="G66" i="10"/>
  <c r="G36" i="10"/>
  <c r="E43" i="10"/>
  <c r="G3" i="10"/>
  <c r="O61" i="10"/>
  <c r="C114" i="10" s="1"/>
  <c r="F66" i="10"/>
  <c r="F98" i="10" s="1"/>
  <c r="F16" i="10"/>
  <c r="O30" i="10"/>
  <c r="O52" i="10"/>
  <c r="D57" i="10"/>
  <c r="O57" i="10" s="1"/>
  <c r="I66" i="10"/>
  <c r="I98" i="10" s="1"/>
  <c r="U124" i="11" l="1"/>
  <c r="T125" i="11" s="1"/>
  <c r="S125" i="11"/>
  <c r="R126" i="11" s="1"/>
  <c r="Q295" i="11"/>
  <c r="P296" i="11" s="1"/>
  <c r="J70" i="11"/>
  <c r="I95" i="10"/>
  <c r="W183" i="11"/>
  <c r="AD126" i="11"/>
  <c r="AI126" i="11" s="1"/>
  <c r="O127" i="11"/>
  <c r="N128" i="11" s="1"/>
  <c r="I127" i="11"/>
  <c r="G127" i="11"/>
  <c r="F128" i="11" s="1"/>
  <c r="E127" i="11"/>
  <c r="D128" i="11" s="1"/>
  <c r="C125" i="11"/>
  <c r="B126" i="11" s="1"/>
  <c r="G98" i="10"/>
  <c r="D98" i="10"/>
  <c r="G95" i="10"/>
  <c r="N111" i="10" s="1"/>
  <c r="N77" i="10"/>
  <c r="K95" i="10"/>
  <c r="H95" i="10"/>
  <c r="O111" i="10" s="1"/>
  <c r="J95" i="10"/>
  <c r="N78" i="10"/>
  <c r="F94" i="10" s="1"/>
  <c r="C94" i="10"/>
  <c r="C93" i="10"/>
  <c r="K78" i="10"/>
  <c r="F91" i="10" s="1"/>
  <c r="C91" i="10"/>
  <c r="C92" i="10"/>
  <c r="C85" i="10"/>
  <c r="C78" i="10"/>
  <c r="F83" i="10" s="1"/>
  <c r="C83" i="10"/>
  <c r="C84" i="10"/>
  <c r="I78" i="10"/>
  <c r="F89" i="10" s="1"/>
  <c r="C89" i="10"/>
  <c r="C90" i="10"/>
  <c r="H78" i="10"/>
  <c r="F88" i="10" s="1"/>
  <c r="C88" i="10"/>
  <c r="F78" i="10"/>
  <c r="F86" i="10" s="1"/>
  <c r="C86" i="10"/>
  <c r="J77" i="10"/>
  <c r="H77" i="10"/>
  <c r="M77" i="10"/>
  <c r="O16" i="10"/>
  <c r="C110" i="10" s="1"/>
  <c r="K77" i="10"/>
  <c r="O28" i="10"/>
  <c r="C112" i="10" s="1"/>
  <c r="L77" i="10"/>
  <c r="C77" i="10"/>
  <c r="I77" i="10"/>
  <c r="O66" i="10"/>
  <c r="C111" i="10" s="1"/>
  <c r="L78" i="10"/>
  <c r="F92" i="10" s="1"/>
  <c r="E77" i="10"/>
  <c r="J78" i="10"/>
  <c r="F90" i="10" s="1"/>
  <c r="G76" i="10"/>
  <c r="O43" i="10"/>
  <c r="M78" i="10"/>
  <c r="F93" i="10" s="1"/>
  <c r="O3" i="10"/>
  <c r="C107" i="10" s="1"/>
  <c r="D78" i="10"/>
  <c r="F84" i="10" s="1"/>
  <c r="F77" i="10"/>
  <c r="L86" i="10" s="1"/>
  <c r="G77" i="10"/>
  <c r="D77" i="10"/>
  <c r="E78" i="10"/>
  <c r="F85" i="10" s="1"/>
  <c r="O36" i="10"/>
  <c r="C115" i="10" s="1"/>
  <c r="U125" i="11" l="1"/>
  <c r="T126" i="11" s="1"/>
  <c r="S126" i="11"/>
  <c r="R127" i="11" s="1"/>
  <c r="Q296" i="11"/>
  <c r="P297" i="11" s="1"/>
  <c r="K70" i="11"/>
  <c r="W184" i="11"/>
  <c r="AD127" i="11"/>
  <c r="AI127" i="11" s="1"/>
  <c r="O128" i="11"/>
  <c r="N129" i="11" s="1"/>
  <c r="I128" i="11"/>
  <c r="G128" i="11"/>
  <c r="F129" i="11" s="1"/>
  <c r="E128" i="11"/>
  <c r="D129" i="11" s="1"/>
  <c r="C126" i="11"/>
  <c r="B127" i="11" s="1"/>
  <c r="O85" i="10"/>
  <c r="L85" i="10"/>
  <c r="M85" i="10"/>
  <c r="N85" i="10"/>
  <c r="M83" i="10"/>
  <c r="N83" i="10"/>
  <c r="O83" i="10"/>
  <c r="L83" i="10"/>
  <c r="N90" i="10"/>
  <c r="O90" i="10"/>
  <c r="L90" i="10"/>
  <c r="M90" i="10"/>
  <c r="M87" i="10"/>
  <c r="N87" i="10"/>
  <c r="O87" i="10"/>
  <c r="L87" i="10"/>
  <c r="N86" i="10"/>
  <c r="O86" i="10"/>
  <c r="M86" i="10"/>
  <c r="L92" i="10"/>
  <c r="M92" i="10"/>
  <c r="N92" i="10"/>
  <c r="O92" i="10"/>
  <c r="O93" i="10"/>
  <c r="L93" i="10"/>
  <c r="M93" i="10"/>
  <c r="N93" i="10"/>
  <c r="N94" i="10"/>
  <c r="O94" i="10"/>
  <c r="L94" i="10"/>
  <c r="M94" i="10"/>
  <c r="L84" i="10"/>
  <c r="M84" i="10"/>
  <c r="N84" i="10"/>
  <c r="O84" i="10"/>
  <c r="O89" i="10"/>
  <c r="L89" i="10"/>
  <c r="M89" i="10"/>
  <c r="N89" i="10"/>
  <c r="M91" i="10"/>
  <c r="N91" i="10"/>
  <c r="O91" i="10"/>
  <c r="L91" i="10"/>
  <c r="L88" i="10"/>
  <c r="M88" i="10"/>
  <c r="N88" i="10"/>
  <c r="O88" i="10"/>
  <c r="D87" i="10"/>
  <c r="C113" i="10"/>
  <c r="D79" i="10"/>
  <c r="E84" i="10" s="1"/>
  <c r="D84" i="10"/>
  <c r="I79" i="10"/>
  <c r="E89" i="10" s="1"/>
  <c r="D89" i="10"/>
  <c r="K79" i="10"/>
  <c r="E91" i="10" s="1"/>
  <c r="D91" i="10"/>
  <c r="H79" i="10"/>
  <c r="E88" i="10" s="1"/>
  <c r="D88" i="10"/>
  <c r="E79" i="10"/>
  <c r="E85" i="10" s="1"/>
  <c r="D85" i="10"/>
  <c r="C79" i="10"/>
  <c r="C80" i="10" s="1"/>
  <c r="D83" i="10"/>
  <c r="O77" i="10"/>
  <c r="J79" i="10"/>
  <c r="E90" i="10" s="1"/>
  <c r="D90" i="10"/>
  <c r="L79" i="10"/>
  <c r="E92" i="10" s="1"/>
  <c r="D92" i="10"/>
  <c r="M79" i="10"/>
  <c r="E93" i="10" s="1"/>
  <c r="D93" i="10"/>
  <c r="F79" i="10"/>
  <c r="D86" i="10"/>
  <c r="N79" i="10"/>
  <c r="E94" i="10" s="1"/>
  <c r="D94" i="10"/>
  <c r="O76" i="10"/>
  <c r="C87" i="10"/>
  <c r="G79" i="10"/>
  <c r="E87" i="10" s="1"/>
  <c r="G78" i="10"/>
  <c r="U126" i="11" l="1"/>
  <c r="T127" i="11" s="1"/>
  <c r="S127" i="11"/>
  <c r="R128" i="11" s="1"/>
  <c r="Q297" i="11"/>
  <c r="P298" i="11" s="1"/>
  <c r="J71" i="11"/>
  <c r="W185" i="11"/>
  <c r="AD128" i="11"/>
  <c r="AI128" i="11" s="1"/>
  <c r="O129" i="11"/>
  <c r="N130" i="11" s="1"/>
  <c r="I129" i="11"/>
  <c r="G129" i="11"/>
  <c r="F130" i="11" s="1"/>
  <c r="E129" i="11"/>
  <c r="D130" i="11" s="1"/>
  <c r="C127" i="11"/>
  <c r="B128" i="11" s="1"/>
  <c r="E86" i="10"/>
  <c r="E83" i="10"/>
  <c r="D80" i="10"/>
  <c r="E80" i="10" s="1"/>
  <c r="M95" i="10"/>
  <c r="S111" i="10" s="1"/>
  <c r="E113" i="10" s="1"/>
  <c r="O95" i="10"/>
  <c r="U111" i="10" s="1"/>
  <c r="E119" i="10" s="1"/>
  <c r="N95" i="10"/>
  <c r="T111" i="10" s="1"/>
  <c r="E116" i="10" s="1"/>
  <c r="L95" i="10"/>
  <c r="R111" i="10" s="1"/>
  <c r="E110" i="10" s="1"/>
  <c r="O79" i="10"/>
  <c r="O78" i="10"/>
  <c r="F87" i="10"/>
  <c r="D95" i="10"/>
  <c r="K111" i="10" s="1"/>
  <c r="C95" i="10"/>
  <c r="J111" i="10" s="1"/>
  <c r="U127" i="11" l="1"/>
  <c r="T128" i="11" s="1"/>
  <c r="S128" i="11"/>
  <c r="R129" i="11" s="1"/>
  <c r="Q298" i="11"/>
  <c r="P299" i="11" s="1"/>
  <c r="K71" i="11"/>
  <c r="W186" i="11"/>
  <c r="AD129" i="11"/>
  <c r="AI129" i="11" s="1"/>
  <c r="O130" i="11"/>
  <c r="N131" i="11" s="1"/>
  <c r="I130" i="11"/>
  <c r="G130" i="11"/>
  <c r="F131" i="11" s="1"/>
  <c r="E130" i="11"/>
  <c r="D131" i="11" s="1"/>
  <c r="C128" i="11"/>
  <c r="B129" i="11" s="1"/>
  <c r="E95" i="10"/>
  <c r="L111" i="10" s="1"/>
  <c r="F80" i="10"/>
  <c r="G80" i="10" s="1"/>
  <c r="H80" i="10" s="1"/>
  <c r="I80" i="10" s="1"/>
  <c r="J80" i="10" s="1"/>
  <c r="K80" i="10" s="1"/>
  <c r="L80" i="10" s="1"/>
  <c r="M80" i="10" s="1"/>
  <c r="N80" i="10" s="1"/>
  <c r="O80" i="10" s="1"/>
  <c r="F95" i="10"/>
  <c r="M111" i="10" s="1"/>
  <c r="E107" i="10" s="1"/>
  <c r="U128" i="11" l="1"/>
  <c r="T129" i="11" s="1"/>
  <c r="S129" i="11"/>
  <c r="R130" i="11" s="1"/>
  <c r="Q299" i="11"/>
  <c r="P300" i="11" s="1"/>
  <c r="J72" i="11"/>
  <c r="W187" i="11"/>
  <c r="AD130" i="11"/>
  <c r="AI130" i="11" s="1"/>
  <c r="O131" i="11"/>
  <c r="N132" i="11" s="1"/>
  <c r="I131" i="11"/>
  <c r="G131" i="11"/>
  <c r="F132" i="11" s="1"/>
  <c r="E131" i="11"/>
  <c r="D132" i="11" s="1"/>
  <c r="C129" i="11"/>
  <c r="B130" i="11" s="1"/>
  <c r="BL3" i="5"/>
  <c r="U129" i="11" l="1"/>
  <c r="T130" i="11" s="1"/>
  <c r="S130" i="11"/>
  <c r="R131" i="11" s="1"/>
  <c r="Q300" i="11"/>
  <c r="P301" i="11" s="1"/>
  <c r="K72" i="11"/>
  <c r="W188" i="11"/>
  <c r="AD131" i="11"/>
  <c r="AI131" i="11" s="1"/>
  <c r="O132" i="11"/>
  <c r="N133" i="11" s="1"/>
  <c r="I132" i="11"/>
  <c r="G132" i="11"/>
  <c r="F133" i="11" s="1"/>
  <c r="E132" i="11"/>
  <c r="D133" i="11" s="1"/>
  <c r="C130" i="11"/>
  <c r="B131" i="11" s="1"/>
  <c r="BK7" i="5"/>
  <c r="BK11" i="5"/>
  <c r="U130" i="11" l="1"/>
  <c r="T131" i="11" s="1"/>
  <c r="S131" i="11"/>
  <c r="R132" i="11" s="1"/>
  <c r="Q301" i="11"/>
  <c r="P302" i="11" s="1"/>
  <c r="J73" i="11"/>
  <c r="BN3" i="5"/>
  <c r="W189" i="11"/>
  <c r="AD132" i="11"/>
  <c r="AI132" i="11" s="1"/>
  <c r="O133" i="11"/>
  <c r="N134" i="11" s="1"/>
  <c r="I133" i="11"/>
  <c r="G133" i="11"/>
  <c r="F134" i="11" s="1"/>
  <c r="E133" i="11"/>
  <c r="D134" i="11" s="1"/>
  <c r="C131" i="11"/>
  <c r="B132" i="11" s="1"/>
  <c r="U131" i="11" l="1"/>
  <c r="T132" i="11" s="1"/>
  <c r="S132" i="11"/>
  <c r="R133" i="11" s="1"/>
  <c r="Q302" i="11"/>
  <c r="P303" i="11" s="1"/>
  <c r="K73" i="11"/>
  <c r="W190" i="11"/>
  <c r="AD133" i="11"/>
  <c r="AI133" i="11" s="1"/>
  <c r="O134" i="11"/>
  <c r="N135" i="11" s="1"/>
  <c r="I134" i="11"/>
  <c r="G134" i="11"/>
  <c r="F135" i="11" s="1"/>
  <c r="E134" i="11"/>
  <c r="D135" i="11" s="1"/>
  <c r="C132" i="11"/>
  <c r="B133" i="11" s="1"/>
  <c r="U132" i="11" l="1"/>
  <c r="T133" i="11" s="1"/>
  <c r="S133" i="11"/>
  <c r="R134" i="11" s="1"/>
  <c r="Q303" i="11"/>
  <c r="P304" i="11" s="1"/>
  <c r="J74" i="11"/>
  <c r="W191" i="11"/>
  <c r="AD134" i="11"/>
  <c r="AI134" i="11" s="1"/>
  <c r="O135" i="11"/>
  <c r="N136" i="11" s="1"/>
  <c r="I135" i="11"/>
  <c r="G135" i="11"/>
  <c r="F136" i="11" s="1"/>
  <c r="E135" i="11"/>
  <c r="D136" i="11" s="1"/>
  <c r="C133" i="11"/>
  <c r="B134" i="11" s="1"/>
  <c r="U133" i="11" l="1"/>
  <c r="T134" i="11" s="1"/>
  <c r="S134" i="11"/>
  <c r="R135" i="11" s="1"/>
  <c r="Q304" i="11"/>
  <c r="P305" i="11" s="1"/>
  <c r="K74" i="11"/>
  <c r="W192" i="11"/>
  <c r="AD135" i="11"/>
  <c r="AI135" i="11" s="1"/>
  <c r="O136" i="11"/>
  <c r="N137" i="11" s="1"/>
  <c r="I136" i="11"/>
  <c r="G136" i="11"/>
  <c r="F137" i="11" s="1"/>
  <c r="E136" i="11"/>
  <c r="D137" i="11" s="1"/>
  <c r="C134" i="11"/>
  <c r="B135" i="11" s="1"/>
  <c r="U134" i="11" l="1"/>
  <c r="T135" i="11" s="1"/>
  <c r="S135" i="11"/>
  <c r="R136" i="11" s="1"/>
  <c r="Q305" i="11"/>
  <c r="P306" i="11" s="1"/>
  <c r="J75" i="11"/>
  <c r="W193" i="11"/>
  <c r="AD136" i="11"/>
  <c r="AI136" i="11" s="1"/>
  <c r="O137" i="11"/>
  <c r="N138" i="11" s="1"/>
  <c r="I137" i="11"/>
  <c r="G137" i="11"/>
  <c r="F138" i="11" s="1"/>
  <c r="E137" i="11"/>
  <c r="D138" i="11" s="1"/>
  <c r="C135" i="11"/>
  <c r="B136" i="11" s="1"/>
  <c r="U135" i="11" l="1"/>
  <c r="T136" i="11" s="1"/>
  <c r="S136" i="11"/>
  <c r="R137" i="11" s="1"/>
  <c r="Q306" i="11"/>
  <c r="P307" i="11" s="1"/>
  <c r="K75" i="11"/>
  <c r="J76" i="11" s="1"/>
  <c r="W194" i="11"/>
  <c r="AD137" i="11"/>
  <c r="AI137" i="11" s="1"/>
  <c r="O138" i="11"/>
  <c r="N139" i="11" s="1"/>
  <c r="I138" i="11"/>
  <c r="G138" i="11"/>
  <c r="F139" i="11" s="1"/>
  <c r="E138" i="11"/>
  <c r="D139" i="11" s="1"/>
  <c r="C136" i="11"/>
  <c r="B137" i="11" s="1"/>
  <c r="U136" i="11" l="1"/>
  <c r="T137" i="11" s="1"/>
  <c r="S137" i="11"/>
  <c r="R138" i="11" s="1"/>
  <c r="Q307" i="11"/>
  <c r="P308" i="11" s="1"/>
  <c r="K76" i="11"/>
  <c r="J77" i="11" s="1"/>
  <c r="W195" i="11"/>
  <c r="AD138" i="11"/>
  <c r="AI138" i="11" s="1"/>
  <c r="O139" i="11"/>
  <c r="N140" i="11" s="1"/>
  <c r="I139" i="11"/>
  <c r="G139" i="11"/>
  <c r="F140" i="11" s="1"/>
  <c r="E139" i="11"/>
  <c r="D140" i="11" s="1"/>
  <c r="C137" i="11"/>
  <c r="B138" i="11" s="1"/>
  <c r="U137" i="11" l="1"/>
  <c r="T138" i="11" s="1"/>
  <c r="S138" i="11"/>
  <c r="R139" i="11" s="1"/>
  <c r="Q308" i="11"/>
  <c r="P309" i="11" s="1"/>
  <c r="K77" i="11"/>
  <c r="J78" i="11" s="1"/>
  <c r="W196" i="11"/>
  <c r="AD139" i="11"/>
  <c r="AI139" i="11" s="1"/>
  <c r="O140" i="11"/>
  <c r="N141" i="11" s="1"/>
  <c r="I140" i="11"/>
  <c r="G140" i="11"/>
  <c r="F141" i="11" s="1"/>
  <c r="E140" i="11"/>
  <c r="D141" i="11" s="1"/>
  <c r="C138" i="11"/>
  <c r="B139" i="11" s="1"/>
  <c r="U138" i="11" l="1"/>
  <c r="T139" i="11" s="1"/>
  <c r="S139" i="11"/>
  <c r="R140" i="11" s="1"/>
  <c r="Q309" i="11"/>
  <c r="P310" i="11" s="1"/>
  <c r="K78" i="11"/>
  <c r="W197" i="11"/>
  <c r="AD140" i="11"/>
  <c r="AI140" i="11" s="1"/>
  <c r="O141" i="11"/>
  <c r="N142" i="11" s="1"/>
  <c r="I141" i="11"/>
  <c r="G141" i="11"/>
  <c r="F142" i="11" s="1"/>
  <c r="E141" i="11"/>
  <c r="D142" i="11" s="1"/>
  <c r="C139" i="11"/>
  <c r="B140" i="11" s="1"/>
  <c r="U139" i="11" l="1"/>
  <c r="T140" i="11" s="1"/>
  <c r="S140" i="11"/>
  <c r="R141" i="11" s="1"/>
  <c r="Q310" i="11"/>
  <c r="P311" i="11" s="1"/>
  <c r="J79" i="11"/>
  <c r="W198" i="11"/>
  <c r="AD141" i="11"/>
  <c r="AI141" i="11" s="1"/>
  <c r="O142" i="11"/>
  <c r="N143" i="11" s="1"/>
  <c r="I142" i="11"/>
  <c r="G142" i="11"/>
  <c r="F143" i="11" s="1"/>
  <c r="E142" i="11"/>
  <c r="D143" i="11" s="1"/>
  <c r="C140" i="11"/>
  <c r="B141" i="11" s="1"/>
  <c r="U140" i="11" l="1"/>
  <c r="T141" i="11" s="1"/>
  <c r="S141" i="11"/>
  <c r="R142" i="11" s="1"/>
  <c r="Q311" i="11"/>
  <c r="P312" i="11" s="1"/>
  <c r="K79" i="11"/>
  <c r="W199" i="11"/>
  <c r="AD142" i="11"/>
  <c r="AI142" i="11" s="1"/>
  <c r="O143" i="11"/>
  <c r="N144" i="11" s="1"/>
  <c r="I143" i="11"/>
  <c r="G143" i="11"/>
  <c r="F144" i="11" s="1"/>
  <c r="E143" i="11"/>
  <c r="D144" i="11" s="1"/>
  <c r="C141" i="11"/>
  <c r="B142" i="11" s="1"/>
  <c r="U141" i="11" l="1"/>
  <c r="T142" i="11" s="1"/>
  <c r="S142" i="11"/>
  <c r="R143" i="11" s="1"/>
  <c r="Q312" i="11"/>
  <c r="P313" i="11" s="1"/>
  <c r="J80" i="11"/>
  <c r="W200" i="11"/>
  <c r="AD143" i="11"/>
  <c r="AI143" i="11" s="1"/>
  <c r="O144" i="11"/>
  <c r="N145" i="11" s="1"/>
  <c r="I144" i="11"/>
  <c r="G144" i="11"/>
  <c r="F145" i="11" s="1"/>
  <c r="E144" i="11"/>
  <c r="D145" i="11" s="1"/>
  <c r="C142" i="11"/>
  <c r="B143" i="11" s="1"/>
  <c r="U142" i="11" l="1"/>
  <c r="T143" i="11" s="1"/>
  <c r="S143" i="11"/>
  <c r="R144" i="11" s="1"/>
  <c r="Q313" i="11"/>
  <c r="P314" i="11" s="1"/>
  <c r="K80" i="11"/>
  <c r="J81" i="11" s="1"/>
  <c r="W201" i="11"/>
  <c r="AD144" i="11"/>
  <c r="AI144" i="11" s="1"/>
  <c r="O145" i="11"/>
  <c r="N146" i="11" s="1"/>
  <c r="I145" i="11"/>
  <c r="G145" i="11"/>
  <c r="F146" i="11" s="1"/>
  <c r="E145" i="11"/>
  <c r="D146" i="11" s="1"/>
  <c r="C143" i="11"/>
  <c r="B144" i="11" s="1"/>
  <c r="U143" i="11" l="1"/>
  <c r="T144" i="11" s="1"/>
  <c r="S144" i="11"/>
  <c r="R145" i="11" s="1"/>
  <c r="Q314" i="11"/>
  <c r="P315" i="11" s="1"/>
  <c r="K81" i="11"/>
  <c r="W202" i="11"/>
  <c r="AD145" i="11"/>
  <c r="AI145" i="11" s="1"/>
  <c r="O146" i="11"/>
  <c r="N147" i="11" s="1"/>
  <c r="I146" i="11"/>
  <c r="G146" i="11"/>
  <c r="F147" i="11" s="1"/>
  <c r="E146" i="11"/>
  <c r="D147" i="11" s="1"/>
  <c r="C144" i="11"/>
  <c r="B145" i="11" s="1"/>
  <c r="U144" i="11" l="1"/>
  <c r="T145" i="11" s="1"/>
  <c r="S145" i="11"/>
  <c r="R146" i="11" s="1"/>
  <c r="Q315" i="11"/>
  <c r="P316" i="11" s="1"/>
  <c r="J82" i="11"/>
  <c r="W203" i="11"/>
  <c r="AD146" i="11"/>
  <c r="AI146" i="11" s="1"/>
  <c r="O147" i="11"/>
  <c r="N148" i="11" s="1"/>
  <c r="I147" i="11"/>
  <c r="G147" i="11"/>
  <c r="F148" i="11" s="1"/>
  <c r="E147" i="11"/>
  <c r="D148" i="11" s="1"/>
  <c r="C145" i="11"/>
  <c r="B146" i="11" s="1"/>
  <c r="U145" i="11" l="1"/>
  <c r="T146" i="11" s="1"/>
  <c r="S146" i="11"/>
  <c r="R147" i="11" s="1"/>
  <c r="Q316" i="11"/>
  <c r="P317" i="11" s="1"/>
  <c r="K82" i="11"/>
  <c r="W204" i="11"/>
  <c r="AD147" i="11"/>
  <c r="AI147" i="11" s="1"/>
  <c r="O148" i="11"/>
  <c r="N149" i="11" s="1"/>
  <c r="I148" i="11"/>
  <c r="G148" i="11"/>
  <c r="F149" i="11" s="1"/>
  <c r="E148" i="11"/>
  <c r="D149" i="11" s="1"/>
  <c r="C146" i="11"/>
  <c r="B147" i="11" s="1"/>
  <c r="U146" i="11" l="1"/>
  <c r="T147" i="11" s="1"/>
  <c r="S147" i="11"/>
  <c r="R148" i="11" s="1"/>
  <c r="Q317" i="11"/>
  <c r="P318" i="11" s="1"/>
  <c r="J83" i="11"/>
  <c r="W205" i="11"/>
  <c r="AD148" i="11"/>
  <c r="AI148" i="11" s="1"/>
  <c r="O149" i="11"/>
  <c r="N150" i="11" s="1"/>
  <c r="I149" i="11"/>
  <c r="G149" i="11"/>
  <c r="F150" i="11" s="1"/>
  <c r="E149" i="11"/>
  <c r="D150" i="11" s="1"/>
  <c r="C147" i="11"/>
  <c r="B148" i="11" s="1"/>
  <c r="U147" i="11" l="1"/>
  <c r="T148" i="11" s="1"/>
  <c r="S148" i="11"/>
  <c r="R149" i="11" s="1"/>
  <c r="Q318" i="11"/>
  <c r="P319" i="11" s="1"/>
  <c r="K83" i="11"/>
  <c r="W206" i="11"/>
  <c r="AD149" i="11"/>
  <c r="AI149" i="11" s="1"/>
  <c r="O150" i="11"/>
  <c r="N151" i="11" s="1"/>
  <c r="I150" i="11"/>
  <c r="G150" i="11"/>
  <c r="F151" i="11" s="1"/>
  <c r="E150" i="11"/>
  <c r="D151" i="11" s="1"/>
  <c r="C148" i="11"/>
  <c r="B149" i="11" s="1"/>
  <c r="U148" i="11" l="1"/>
  <c r="T149" i="11" s="1"/>
  <c r="S149" i="11"/>
  <c r="R150" i="11" s="1"/>
  <c r="Q319" i="11"/>
  <c r="P320" i="11" s="1"/>
  <c r="J84" i="11"/>
  <c r="W207" i="11"/>
  <c r="AD150" i="11"/>
  <c r="AI150" i="11" s="1"/>
  <c r="O151" i="11"/>
  <c r="N152" i="11" s="1"/>
  <c r="I151" i="11"/>
  <c r="G151" i="11"/>
  <c r="F152" i="11" s="1"/>
  <c r="E151" i="11"/>
  <c r="D152" i="11" s="1"/>
  <c r="C149" i="11"/>
  <c r="B150" i="11" s="1"/>
  <c r="U149" i="11" l="1"/>
  <c r="T150" i="11" s="1"/>
  <c r="S150" i="11"/>
  <c r="R151" i="11" s="1"/>
  <c r="Q320" i="11"/>
  <c r="P321" i="11" s="1"/>
  <c r="K84" i="11"/>
  <c r="W208" i="11"/>
  <c r="AD151" i="11"/>
  <c r="AI151" i="11" s="1"/>
  <c r="O152" i="11"/>
  <c r="N153" i="11" s="1"/>
  <c r="I152" i="11"/>
  <c r="G152" i="11"/>
  <c r="F153" i="11" s="1"/>
  <c r="E152" i="11"/>
  <c r="D153" i="11" s="1"/>
  <c r="C150" i="11"/>
  <c r="B151" i="11" s="1"/>
  <c r="U150" i="11" l="1"/>
  <c r="T151" i="11" s="1"/>
  <c r="S151" i="11"/>
  <c r="R152" i="11" s="1"/>
  <c r="Q321" i="11"/>
  <c r="P322" i="11" s="1"/>
  <c r="J85" i="11"/>
  <c r="W209" i="11"/>
  <c r="AD152" i="11"/>
  <c r="AI152" i="11" s="1"/>
  <c r="O153" i="11"/>
  <c r="N154" i="11" s="1"/>
  <c r="I153" i="11"/>
  <c r="G153" i="11"/>
  <c r="F154" i="11" s="1"/>
  <c r="E153" i="11"/>
  <c r="D154" i="11" s="1"/>
  <c r="C151" i="11"/>
  <c r="B152" i="11" s="1"/>
  <c r="U151" i="11" l="1"/>
  <c r="T152" i="11" s="1"/>
  <c r="S152" i="11"/>
  <c r="R153" i="11" s="1"/>
  <c r="Q322" i="11"/>
  <c r="P323" i="11" s="1"/>
  <c r="K85" i="11"/>
  <c r="J86" i="11" s="1"/>
  <c r="W210" i="11"/>
  <c r="AD153" i="11"/>
  <c r="AI153" i="11" s="1"/>
  <c r="O154" i="11"/>
  <c r="N155" i="11" s="1"/>
  <c r="I154" i="11"/>
  <c r="G154" i="11"/>
  <c r="F155" i="11" s="1"/>
  <c r="E154" i="11"/>
  <c r="D155" i="11" s="1"/>
  <c r="C152" i="11"/>
  <c r="B153" i="11" s="1"/>
  <c r="U152" i="11" l="1"/>
  <c r="T153" i="11" s="1"/>
  <c r="S153" i="11"/>
  <c r="R154" i="11" s="1"/>
  <c r="Q323" i="11"/>
  <c r="P324" i="11" s="1"/>
  <c r="K86" i="11"/>
  <c r="W211" i="11"/>
  <c r="AD154" i="11"/>
  <c r="AI154" i="11" s="1"/>
  <c r="O155" i="11"/>
  <c r="N156" i="11" s="1"/>
  <c r="I155" i="11"/>
  <c r="G155" i="11"/>
  <c r="F156" i="11" s="1"/>
  <c r="E155" i="11"/>
  <c r="D156" i="11" s="1"/>
  <c r="C153" i="11"/>
  <c r="B154" i="11" s="1"/>
  <c r="U153" i="11" l="1"/>
  <c r="T154" i="11" s="1"/>
  <c r="S154" i="11"/>
  <c r="R155" i="11" s="1"/>
  <c r="Q324" i="11"/>
  <c r="P325" i="11" s="1"/>
  <c r="J87" i="11"/>
  <c r="W212" i="11"/>
  <c r="AD155" i="11"/>
  <c r="AI155" i="11" s="1"/>
  <c r="O156" i="11"/>
  <c r="N157" i="11" s="1"/>
  <c r="I156" i="11"/>
  <c r="G156" i="11"/>
  <c r="F157" i="11" s="1"/>
  <c r="E156" i="11"/>
  <c r="D157" i="11" s="1"/>
  <c r="C154" i="11"/>
  <c r="B155" i="11" s="1"/>
  <c r="K87" i="11" l="1"/>
  <c r="J88" i="11" s="1"/>
  <c r="U154" i="11"/>
  <c r="T155" i="11" s="1"/>
  <c r="S155" i="11"/>
  <c r="R156" i="11" s="1"/>
  <c r="Q325" i="11"/>
  <c r="P326" i="11" s="1"/>
  <c r="W213" i="11"/>
  <c r="AD156" i="11"/>
  <c r="AI156" i="11" s="1"/>
  <c r="O157" i="11"/>
  <c r="N158" i="11" s="1"/>
  <c r="I157" i="11"/>
  <c r="G157" i="11"/>
  <c r="F158" i="11" s="1"/>
  <c r="E157" i="11"/>
  <c r="D158" i="11" s="1"/>
  <c r="C155" i="11"/>
  <c r="B156" i="11" s="1"/>
  <c r="U155" i="11" l="1"/>
  <c r="T156" i="11" s="1"/>
  <c r="S156" i="11"/>
  <c r="R157" i="11" s="1"/>
  <c r="Q326" i="11"/>
  <c r="P327" i="11" s="1"/>
  <c r="K88" i="11"/>
  <c r="W214" i="11"/>
  <c r="AD157" i="11"/>
  <c r="AI157" i="11" s="1"/>
  <c r="O158" i="11"/>
  <c r="N159" i="11" s="1"/>
  <c r="I158" i="11"/>
  <c r="G158" i="11"/>
  <c r="F159" i="11" s="1"/>
  <c r="E158" i="11"/>
  <c r="D159" i="11" s="1"/>
  <c r="C156" i="11"/>
  <c r="B157" i="11" s="1"/>
  <c r="U156" i="11" l="1"/>
  <c r="T157" i="11" s="1"/>
  <c r="S157" i="11"/>
  <c r="R158" i="11" s="1"/>
  <c r="Q327" i="11"/>
  <c r="P328" i="11" s="1"/>
  <c r="J89" i="11"/>
  <c r="W215" i="11"/>
  <c r="AD158" i="11"/>
  <c r="AI158" i="11" s="1"/>
  <c r="O159" i="11"/>
  <c r="N160" i="11" s="1"/>
  <c r="I159" i="11"/>
  <c r="G159" i="11"/>
  <c r="F160" i="11" s="1"/>
  <c r="E159" i="11"/>
  <c r="D160" i="11" s="1"/>
  <c r="C157" i="11"/>
  <c r="B158" i="11" s="1"/>
  <c r="U157" i="11" l="1"/>
  <c r="T158" i="11" s="1"/>
  <c r="S158" i="11"/>
  <c r="R159" i="11" s="1"/>
  <c r="Q328" i="11"/>
  <c r="P329" i="11" s="1"/>
  <c r="K89" i="11"/>
  <c r="W216" i="11"/>
  <c r="AD159" i="11"/>
  <c r="AI159" i="11" s="1"/>
  <c r="O160" i="11"/>
  <c r="N161" i="11" s="1"/>
  <c r="I160" i="11"/>
  <c r="G160" i="11"/>
  <c r="F161" i="11" s="1"/>
  <c r="E160" i="11"/>
  <c r="D161" i="11" s="1"/>
  <c r="C158" i="11"/>
  <c r="B159" i="11" s="1"/>
  <c r="U158" i="11" l="1"/>
  <c r="T159" i="11" s="1"/>
  <c r="S159" i="11"/>
  <c r="R160" i="11" s="1"/>
  <c r="Q329" i="11"/>
  <c r="P330" i="11" s="1"/>
  <c r="J90" i="11"/>
  <c r="W217" i="11"/>
  <c r="AD160" i="11"/>
  <c r="AI160" i="11" s="1"/>
  <c r="O161" i="11"/>
  <c r="N162" i="11" s="1"/>
  <c r="I161" i="11"/>
  <c r="G161" i="11"/>
  <c r="F162" i="11" s="1"/>
  <c r="E161" i="11"/>
  <c r="D162" i="11" s="1"/>
  <c r="C159" i="11"/>
  <c r="B160" i="11" s="1"/>
  <c r="U159" i="11" l="1"/>
  <c r="T160" i="11" s="1"/>
  <c r="S160" i="11"/>
  <c r="R161" i="11" s="1"/>
  <c r="Q330" i="11"/>
  <c r="P331" i="11" s="1"/>
  <c r="K90" i="11"/>
  <c r="W218" i="11"/>
  <c r="AD161" i="11"/>
  <c r="AI161" i="11" s="1"/>
  <c r="O162" i="11"/>
  <c r="N163" i="11" s="1"/>
  <c r="I162" i="11"/>
  <c r="G162" i="11"/>
  <c r="F163" i="11" s="1"/>
  <c r="E162" i="11"/>
  <c r="D163" i="11" s="1"/>
  <c r="C160" i="11"/>
  <c r="B161" i="11" s="1"/>
  <c r="U160" i="11" l="1"/>
  <c r="T161" i="11" s="1"/>
  <c r="S161" i="11"/>
  <c r="R162" i="11" s="1"/>
  <c r="Q331" i="11"/>
  <c r="P332" i="11" s="1"/>
  <c r="J91" i="11"/>
  <c r="W219" i="11"/>
  <c r="AD162" i="11"/>
  <c r="AI162" i="11" s="1"/>
  <c r="O163" i="11"/>
  <c r="N164" i="11" s="1"/>
  <c r="I163" i="11"/>
  <c r="G163" i="11"/>
  <c r="F164" i="11" s="1"/>
  <c r="E163" i="11"/>
  <c r="D164" i="11" s="1"/>
  <c r="C161" i="11"/>
  <c r="B162" i="11" s="1"/>
  <c r="U161" i="11" l="1"/>
  <c r="T162" i="11" s="1"/>
  <c r="S162" i="11"/>
  <c r="R163" i="11" s="1"/>
  <c r="Q332" i="11"/>
  <c r="P333" i="11" s="1"/>
  <c r="K91" i="11"/>
  <c r="W220" i="11"/>
  <c r="AD163" i="11"/>
  <c r="AI163" i="11" s="1"/>
  <c r="O164" i="11"/>
  <c r="N165" i="11" s="1"/>
  <c r="I164" i="11"/>
  <c r="G164" i="11"/>
  <c r="F165" i="11" s="1"/>
  <c r="E164" i="11"/>
  <c r="D165" i="11" s="1"/>
  <c r="C162" i="11"/>
  <c r="B163" i="11" s="1"/>
  <c r="U162" i="11" l="1"/>
  <c r="T163" i="11" s="1"/>
  <c r="S163" i="11"/>
  <c r="R164" i="11" s="1"/>
  <c r="Q333" i="11"/>
  <c r="P334" i="11" s="1"/>
  <c r="J92" i="11"/>
  <c r="W221" i="11"/>
  <c r="AD164" i="11"/>
  <c r="AI164" i="11" s="1"/>
  <c r="O165" i="11"/>
  <c r="N166" i="11" s="1"/>
  <c r="I165" i="11"/>
  <c r="G165" i="11"/>
  <c r="F166" i="11" s="1"/>
  <c r="E165" i="11"/>
  <c r="D166" i="11" s="1"/>
  <c r="C163" i="11"/>
  <c r="B164" i="11" s="1"/>
  <c r="U163" i="11" l="1"/>
  <c r="T164" i="11" s="1"/>
  <c r="S164" i="11"/>
  <c r="R165" i="11" s="1"/>
  <c r="Q334" i="11"/>
  <c r="P335" i="11" s="1"/>
  <c r="K92" i="11"/>
  <c r="W222" i="11"/>
  <c r="AD165" i="11"/>
  <c r="AI165" i="11" s="1"/>
  <c r="O166" i="11"/>
  <c r="N167" i="11" s="1"/>
  <c r="I166" i="11"/>
  <c r="G166" i="11"/>
  <c r="F167" i="11" s="1"/>
  <c r="E166" i="11"/>
  <c r="D167" i="11" s="1"/>
  <c r="C164" i="11"/>
  <c r="B165" i="11" s="1"/>
  <c r="U164" i="11" l="1"/>
  <c r="T165" i="11" s="1"/>
  <c r="S165" i="11"/>
  <c r="R166" i="11" s="1"/>
  <c r="Q335" i="11"/>
  <c r="P336" i="11" s="1"/>
  <c r="J93" i="11"/>
  <c r="W223" i="11"/>
  <c r="AD166" i="11"/>
  <c r="AI166" i="11" s="1"/>
  <c r="O167" i="11"/>
  <c r="N168" i="11" s="1"/>
  <c r="I167" i="11"/>
  <c r="G167" i="11"/>
  <c r="F168" i="11" s="1"/>
  <c r="E167" i="11"/>
  <c r="D168" i="11" s="1"/>
  <c r="C165" i="11"/>
  <c r="B166" i="11" s="1"/>
  <c r="U165" i="11" l="1"/>
  <c r="T166" i="11" s="1"/>
  <c r="S166" i="11"/>
  <c r="R167" i="11" s="1"/>
  <c r="Q336" i="11"/>
  <c r="P337" i="11" s="1"/>
  <c r="K93" i="11"/>
  <c r="W224" i="11"/>
  <c r="AD167" i="11"/>
  <c r="AI167" i="11" s="1"/>
  <c r="O168" i="11"/>
  <c r="N169" i="11" s="1"/>
  <c r="I168" i="11"/>
  <c r="G168" i="11"/>
  <c r="F169" i="11" s="1"/>
  <c r="E168" i="11"/>
  <c r="D169" i="11" s="1"/>
  <c r="C166" i="11"/>
  <c r="B167" i="11" s="1"/>
  <c r="U166" i="11" l="1"/>
  <c r="T167" i="11" s="1"/>
  <c r="S167" i="11"/>
  <c r="R168" i="11" s="1"/>
  <c r="Q337" i="11"/>
  <c r="P338" i="11" s="1"/>
  <c r="J94" i="11"/>
  <c r="W225" i="11"/>
  <c r="AD168" i="11"/>
  <c r="AI168" i="11" s="1"/>
  <c r="O169" i="11"/>
  <c r="N170" i="11" s="1"/>
  <c r="I169" i="11"/>
  <c r="G169" i="11"/>
  <c r="F170" i="11" s="1"/>
  <c r="E169" i="11"/>
  <c r="D170" i="11" s="1"/>
  <c r="C167" i="11"/>
  <c r="B168" i="11" s="1"/>
  <c r="U167" i="11" l="1"/>
  <c r="T168" i="11" s="1"/>
  <c r="S168" i="11"/>
  <c r="R169" i="11" s="1"/>
  <c r="Q338" i="11"/>
  <c r="P339" i="11" s="1"/>
  <c r="K94" i="11"/>
  <c r="W226" i="11"/>
  <c r="AD169" i="11"/>
  <c r="AI169" i="11" s="1"/>
  <c r="O170" i="11"/>
  <c r="N171" i="11" s="1"/>
  <c r="I170" i="11"/>
  <c r="G170" i="11"/>
  <c r="F171" i="11" s="1"/>
  <c r="E170" i="11"/>
  <c r="D171" i="11" s="1"/>
  <c r="C168" i="11"/>
  <c r="B169" i="11" s="1"/>
  <c r="U168" i="11" l="1"/>
  <c r="T169" i="11" s="1"/>
  <c r="S169" i="11"/>
  <c r="R170" i="11" s="1"/>
  <c r="Q339" i="11"/>
  <c r="P340" i="11" s="1"/>
  <c r="J95" i="11"/>
  <c r="W227" i="11"/>
  <c r="AD170" i="11"/>
  <c r="AI170" i="11" s="1"/>
  <c r="O171" i="11"/>
  <c r="N172" i="11" s="1"/>
  <c r="I171" i="11"/>
  <c r="G171" i="11"/>
  <c r="F172" i="11" s="1"/>
  <c r="E171" i="11"/>
  <c r="D172" i="11" s="1"/>
  <c r="C169" i="11"/>
  <c r="B170" i="11" s="1"/>
  <c r="K95" i="11" l="1"/>
  <c r="J96" i="11" s="1"/>
  <c r="U169" i="11"/>
  <c r="T170" i="11" s="1"/>
  <c r="S170" i="11"/>
  <c r="R171" i="11" s="1"/>
  <c r="Q340" i="11"/>
  <c r="P341" i="11" s="1"/>
  <c r="W228" i="11"/>
  <c r="AD171" i="11"/>
  <c r="AI171" i="11" s="1"/>
  <c r="O172" i="11"/>
  <c r="N173" i="11" s="1"/>
  <c r="I172" i="11"/>
  <c r="G172" i="11"/>
  <c r="F173" i="11" s="1"/>
  <c r="E172" i="11"/>
  <c r="D173" i="11" s="1"/>
  <c r="C170" i="11"/>
  <c r="B171" i="11" s="1"/>
  <c r="U170" i="11" l="1"/>
  <c r="T171" i="11" s="1"/>
  <c r="S171" i="11"/>
  <c r="R172" i="11" s="1"/>
  <c r="Q341" i="11"/>
  <c r="P342" i="11" s="1"/>
  <c r="K96" i="11"/>
  <c r="W229" i="11"/>
  <c r="AD172" i="11"/>
  <c r="AI172" i="11" s="1"/>
  <c r="O173" i="11"/>
  <c r="N174" i="11" s="1"/>
  <c r="I173" i="11"/>
  <c r="G173" i="11"/>
  <c r="F174" i="11" s="1"/>
  <c r="E173" i="11"/>
  <c r="D174" i="11" s="1"/>
  <c r="C171" i="11"/>
  <c r="B172" i="11" s="1"/>
  <c r="U171" i="11" l="1"/>
  <c r="T172" i="11" s="1"/>
  <c r="S172" i="11"/>
  <c r="R173" i="11" s="1"/>
  <c r="Q342" i="11"/>
  <c r="P343" i="11" s="1"/>
  <c r="J97" i="11"/>
  <c r="W230" i="11"/>
  <c r="AD173" i="11"/>
  <c r="AI173" i="11" s="1"/>
  <c r="O174" i="11"/>
  <c r="N175" i="11" s="1"/>
  <c r="I174" i="11"/>
  <c r="G174" i="11"/>
  <c r="F175" i="11" s="1"/>
  <c r="E174" i="11"/>
  <c r="D175" i="11" s="1"/>
  <c r="C172" i="11"/>
  <c r="B173" i="11" s="1"/>
  <c r="U172" i="11" l="1"/>
  <c r="T173" i="11" s="1"/>
  <c r="S173" i="11"/>
  <c r="R174" i="11" s="1"/>
  <c r="Q343" i="11"/>
  <c r="P344" i="11" s="1"/>
  <c r="K97" i="11"/>
  <c r="W231" i="11"/>
  <c r="AD174" i="11"/>
  <c r="AI174" i="11" s="1"/>
  <c r="O175" i="11"/>
  <c r="N176" i="11" s="1"/>
  <c r="I175" i="11"/>
  <c r="G175" i="11"/>
  <c r="F176" i="11" s="1"/>
  <c r="E175" i="11"/>
  <c r="D176" i="11" s="1"/>
  <c r="C173" i="11"/>
  <c r="B174" i="11" s="1"/>
  <c r="U173" i="11" l="1"/>
  <c r="T174" i="11" s="1"/>
  <c r="S174" i="11"/>
  <c r="R175" i="11" s="1"/>
  <c r="Q344" i="11"/>
  <c r="P345" i="11" s="1"/>
  <c r="J98" i="11"/>
  <c r="W232" i="11"/>
  <c r="AD175" i="11"/>
  <c r="AI175" i="11" s="1"/>
  <c r="O176" i="11"/>
  <c r="N177" i="11" s="1"/>
  <c r="I176" i="11"/>
  <c r="G176" i="11"/>
  <c r="F177" i="11" s="1"/>
  <c r="E176" i="11"/>
  <c r="D177" i="11" s="1"/>
  <c r="C174" i="11"/>
  <c r="B175" i="11" s="1"/>
  <c r="U174" i="11" l="1"/>
  <c r="T175" i="11" s="1"/>
  <c r="S175" i="11"/>
  <c r="R176" i="11" s="1"/>
  <c r="Q345" i="11"/>
  <c r="P346" i="11" s="1"/>
  <c r="K98" i="11"/>
  <c r="W233" i="11"/>
  <c r="AD176" i="11"/>
  <c r="AI176" i="11" s="1"/>
  <c r="O177" i="11"/>
  <c r="N178" i="11" s="1"/>
  <c r="I177" i="11"/>
  <c r="G177" i="11"/>
  <c r="F178" i="11" s="1"/>
  <c r="E177" i="11"/>
  <c r="D178" i="11" s="1"/>
  <c r="C175" i="11"/>
  <c r="B176" i="11" s="1"/>
  <c r="U175" i="11" l="1"/>
  <c r="T176" i="11" s="1"/>
  <c r="Q346" i="11"/>
  <c r="P347" i="11" s="1"/>
  <c r="J99" i="11"/>
  <c r="W234" i="11"/>
  <c r="AD177" i="11"/>
  <c r="AI177" i="11" s="1"/>
  <c r="O178" i="11"/>
  <c r="N179" i="11" s="1"/>
  <c r="I178" i="11"/>
  <c r="G178" i="11"/>
  <c r="F179" i="11" s="1"/>
  <c r="E178" i="11"/>
  <c r="D179" i="11" s="1"/>
  <c r="C176" i="11"/>
  <c r="B177" i="11" s="1"/>
  <c r="U176" i="11" l="1"/>
  <c r="T177" i="11" s="1"/>
  <c r="Q347" i="11"/>
  <c r="P348" i="11" s="1"/>
  <c r="K99" i="11"/>
  <c r="W235" i="11"/>
  <c r="AD178" i="11"/>
  <c r="AI178" i="11" s="1"/>
  <c r="O179" i="11"/>
  <c r="N180" i="11" s="1"/>
  <c r="I179" i="11"/>
  <c r="G179" i="11"/>
  <c r="F180" i="11" s="1"/>
  <c r="E179" i="11"/>
  <c r="D180" i="11" s="1"/>
  <c r="C177" i="11"/>
  <c r="B178" i="11" s="1"/>
  <c r="U177" i="11" l="1"/>
  <c r="T178" i="11" s="1"/>
  <c r="Q348" i="11"/>
  <c r="P349" i="11" s="1"/>
  <c r="J100" i="11"/>
  <c r="W236" i="11"/>
  <c r="AD179" i="11"/>
  <c r="AI179" i="11" s="1"/>
  <c r="O180" i="11"/>
  <c r="N181" i="11" s="1"/>
  <c r="I180" i="11"/>
  <c r="G180" i="11"/>
  <c r="F181" i="11" s="1"/>
  <c r="E180" i="11"/>
  <c r="D181" i="11" s="1"/>
  <c r="C178" i="11"/>
  <c r="B179" i="11" s="1"/>
  <c r="U178" i="11" l="1"/>
  <c r="T179" i="11" s="1"/>
  <c r="Q349" i="11"/>
  <c r="P350" i="11" s="1"/>
  <c r="K100" i="11"/>
  <c r="W237" i="11"/>
  <c r="AD180" i="11"/>
  <c r="AI180" i="11" s="1"/>
  <c r="O181" i="11"/>
  <c r="N182" i="11" s="1"/>
  <c r="I181" i="11"/>
  <c r="G181" i="11"/>
  <c r="F182" i="11" s="1"/>
  <c r="E181" i="11"/>
  <c r="D182" i="11" s="1"/>
  <c r="C179" i="11"/>
  <c r="B180" i="11" s="1"/>
  <c r="U179" i="11" l="1"/>
  <c r="T180" i="11" s="1"/>
  <c r="Q350" i="11"/>
  <c r="P351" i="11" s="1"/>
  <c r="J101" i="11"/>
  <c r="W238" i="11"/>
  <c r="AD181" i="11"/>
  <c r="AI181" i="11" s="1"/>
  <c r="O182" i="11"/>
  <c r="N183" i="11" s="1"/>
  <c r="I182" i="11"/>
  <c r="G182" i="11"/>
  <c r="F183" i="11" s="1"/>
  <c r="E182" i="11"/>
  <c r="D183" i="11" s="1"/>
  <c r="C180" i="11"/>
  <c r="B181" i="11" s="1"/>
  <c r="U180" i="11" l="1"/>
  <c r="T181" i="11" s="1"/>
  <c r="Q351" i="11"/>
  <c r="P352" i="11" s="1"/>
  <c r="K101" i="11"/>
  <c r="W239" i="11"/>
  <c r="AD182" i="11"/>
  <c r="AI182" i="11" s="1"/>
  <c r="O183" i="11"/>
  <c r="N184" i="11" s="1"/>
  <c r="I183" i="11"/>
  <c r="G183" i="11"/>
  <c r="F184" i="11" s="1"/>
  <c r="E183" i="11"/>
  <c r="D184" i="11" s="1"/>
  <c r="C181" i="11"/>
  <c r="B182" i="11" s="1"/>
  <c r="U181" i="11" l="1"/>
  <c r="T182" i="11" s="1"/>
  <c r="Q352" i="11"/>
  <c r="P353" i="11" s="1"/>
  <c r="J102" i="11"/>
  <c r="W240" i="11"/>
  <c r="AD183" i="11"/>
  <c r="AI183" i="11" s="1"/>
  <c r="O184" i="11"/>
  <c r="N185" i="11" s="1"/>
  <c r="I184" i="11"/>
  <c r="G184" i="11"/>
  <c r="F185" i="11" s="1"/>
  <c r="E184" i="11"/>
  <c r="D185" i="11" s="1"/>
  <c r="C182" i="11"/>
  <c r="B183" i="11" s="1"/>
  <c r="U182" i="11" l="1"/>
  <c r="T183" i="11" s="1"/>
  <c r="Q353" i="11"/>
  <c r="P354" i="11" s="1"/>
  <c r="K102" i="11"/>
  <c r="W241" i="11"/>
  <c r="AD184" i="11"/>
  <c r="AI184" i="11" s="1"/>
  <c r="O185" i="11"/>
  <c r="N186" i="11" s="1"/>
  <c r="I185" i="11"/>
  <c r="G185" i="11"/>
  <c r="F186" i="11" s="1"/>
  <c r="E185" i="11"/>
  <c r="D186" i="11" s="1"/>
  <c r="C183" i="11"/>
  <c r="B184" i="11" s="1"/>
  <c r="U183" i="11" l="1"/>
  <c r="T184" i="11" s="1"/>
  <c r="Q354" i="11"/>
  <c r="P355" i="11" s="1"/>
  <c r="J103" i="11"/>
  <c r="W242" i="11"/>
  <c r="AD185" i="11"/>
  <c r="AI185" i="11" s="1"/>
  <c r="O186" i="11"/>
  <c r="N187" i="11" s="1"/>
  <c r="I186" i="11"/>
  <c r="G186" i="11"/>
  <c r="F187" i="11" s="1"/>
  <c r="E186" i="11"/>
  <c r="D187" i="11" s="1"/>
  <c r="C184" i="11"/>
  <c r="B185" i="11" s="1"/>
  <c r="Q355" i="11" l="1"/>
  <c r="P356" i="11" s="1"/>
  <c r="K103" i="11"/>
  <c r="W243" i="11"/>
  <c r="AD186" i="11"/>
  <c r="AI186" i="11" s="1"/>
  <c r="O187" i="11"/>
  <c r="N188" i="11" s="1"/>
  <c r="I187" i="11"/>
  <c r="G187" i="11"/>
  <c r="F188" i="11" s="1"/>
  <c r="E187" i="11"/>
  <c r="D188" i="11" s="1"/>
  <c r="C185" i="11"/>
  <c r="B186" i="11" s="1"/>
  <c r="Q356" i="11" l="1"/>
  <c r="P357" i="11" s="1"/>
  <c r="J104" i="11"/>
  <c r="W244" i="11"/>
  <c r="AD187" i="11"/>
  <c r="AI187" i="11" s="1"/>
  <c r="O188" i="11"/>
  <c r="N189" i="11" s="1"/>
  <c r="I188" i="11"/>
  <c r="G188" i="11"/>
  <c r="F189" i="11" s="1"/>
  <c r="E188" i="11"/>
  <c r="D189" i="11" s="1"/>
  <c r="C186" i="11"/>
  <c r="B187" i="11" s="1"/>
  <c r="Q357" i="11" l="1"/>
  <c r="P358" i="11" s="1"/>
  <c r="K104" i="11"/>
  <c r="W245" i="11"/>
  <c r="AD188" i="11"/>
  <c r="AI188" i="11" s="1"/>
  <c r="O189" i="11"/>
  <c r="N190" i="11" s="1"/>
  <c r="I189" i="11"/>
  <c r="G189" i="11"/>
  <c r="F190" i="11" s="1"/>
  <c r="E189" i="11"/>
  <c r="D190" i="11" s="1"/>
  <c r="C187" i="11"/>
  <c r="B188" i="11" s="1"/>
  <c r="Q358" i="11" l="1"/>
  <c r="P359" i="11" s="1"/>
  <c r="J105" i="11"/>
  <c r="W246" i="11"/>
  <c r="AD189" i="11"/>
  <c r="AI189" i="11" s="1"/>
  <c r="O190" i="11"/>
  <c r="N191" i="11" s="1"/>
  <c r="I190" i="11"/>
  <c r="G190" i="11"/>
  <c r="F191" i="11" s="1"/>
  <c r="E190" i="11"/>
  <c r="D191" i="11" s="1"/>
  <c r="C188" i="11"/>
  <c r="B189" i="11" s="1"/>
  <c r="Q359" i="11" l="1"/>
  <c r="P360" i="11" s="1"/>
  <c r="K105" i="11"/>
  <c r="W247" i="11"/>
  <c r="AD190" i="11"/>
  <c r="AI190" i="11" s="1"/>
  <c r="O191" i="11"/>
  <c r="N192" i="11" s="1"/>
  <c r="I191" i="11"/>
  <c r="G191" i="11"/>
  <c r="F192" i="11" s="1"/>
  <c r="E191" i="11"/>
  <c r="D192" i="11" s="1"/>
  <c r="C189" i="11"/>
  <c r="B190" i="11" s="1"/>
  <c r="Q360" i="11" l="1"/>
  <c r="P361" i="11" s="1"/>
  <c r="J106" i="11"/>
  <c r="W248" i="11"/>
  <c r="AD191" i="11"/>
  <c r="AI191" i="11" s="1"/>
  <c r="O192" i="11"/>
  <c r="N193" i="11" s="1"/>
  <c r="I192" i="11"/>
  <c r="G192" i="11"/>
  <c r="F193" i="11" s="1"/>
  <c r="E192" i="11"/>
  <c r="D193" i="11" s="1"/>
  <c r="C190" i="11"/>
  <c r="B191" i="11" s="1"/>
  <c r="Q361" i="11" l="1"/>
  <c r="P362" i="11" s="1"/>
  <c r="K106" i="11"/>
  <c r="W249" i="11"/>
  <c r="AD192" i="11"/>
  <c r="AI192" i="11" s="1"/>
  <c r="O193" i="11"/>
  <c r="N194" i="11" s="1"/>
  <c r="I193" i="11"/>
  <c r="G193" i="11"/>
  <c r="F194" i="11" s="1"/>
  <c r="E193" i="11"/>
  <c r="D194" i="11" s="1"/>
  <c r="C191" i="11"/>
  <c r="B192" i="11" s="1"/>
  <c r="Q362" i="11" l="1"/>
  <c r="P363" i="11" s="1"/>
  <c r="J107" i="11"/>
  <c r="W250" i="11"/>
  <c r="AD193" i="11"/>
  <c r="AI193" i="11" s="1"/>
  <c r="O194" i="11"/>
  <c r="N195" i="11" s="1"/>
  <c r="I194" i="11"/>
  <c r="G194" i="11"/>
  <c r="F195" i="11" s="1"/>
  <c r="E194" i="11"/>
  <c r="D195" i="11" s="1"/>
  <c r="C192" i="11"/>
  <c r="B193" i="11" s="1"/>
  <c r="Q363" i="11" l="1"/>
  <c r="P364" i="11" s="1"/>
  <c r="K107" i="11"/>
  <c r="W251" i="11"/>
  <c r="AD194" i="11"/>
  <c r="AI194" i="11" s="1"/>
  <c r="O195" i="11"/>
  <c r="N196" i="11" s="1"/>
  <c r="I195" i="11"/>
  <c r="G195" i="11"/>
  <c r="F196" i="11" s="1"/>
  <c r="E195" i="11"/>
  <c r="D196" i="11" s="1"/>
  <c r="C193" i="11"/>
  <c r="B194" i="11" s="1"/>
  <c r="Q364" i="11" l="1"/>
  <c r="P365" i="11" s="1"/>
  <c r="J108" i="11"/>
  <c r="W252" i="11"/>
  <c r="AD195" i="11"/>
  <c r="AI195" i="11" s="1"/>
  <c r="O196" i="11"/>
  <c r="N197" i="11" s="1"/>
  <c r="I196" i="11"/>
  <c r="G196" i="11"/>
  <c r="F197" i="11" s="1"/>
  <c r="E196" i="11"/>
  <c r="D197" i="11" s="1"/>
  <c r="C194" i="11"/>
  <c r="B195" i="11" s="1"/>
  <c r="Q365" i="11" l="1"/>
  <c r="P366" i="11" s="1"/>
  <c r="K108" i="11"/>
  <c r="J109" i="11" s="1"/>
  <c r="W253" i="11"/>
  <c r="AD196" i="11"/>
  <c r="AI196" i="11" s="1"/>
  <c r="O197" i="11"/>
  <c r="N198" i="11" s="1"/>
  <c r="I197" i="11"/>
  <c r="G197" i="11"/>
  <c r="F198" i="11" s="1"/>
  <c r="E197" i="11"/>
  <c r="D198" i="11" s="1"/>
  <c r="C195" i="11"/>
  <c r="B196" i="11" s="1"/>
  <c r="Q366" i="11" l="1"/>
  <c r="P367" i="11" s="1"/>
  <c r="K109" i="11"/>
  <c r="W254" i="11"/>
  <c r="AD197" i="11"/>
  <c r="AI197" i="11" s="1"/>
  <c r="O198" i="11"/>
  <c r="N199" i="11" s="1"/>
  <c r="I198" i="11"/>
  <c r="G198" i="11"/>
  <c r="F199" i="11" s="1"/>
  <c r="E198" i="11"/>
  <c r="D199" i="11" s="1"/>
  <c r="C196" i="11"/>
  <c r="B197" i="11" s="1"/>
  <c r="Q367" i="11" l="1"/>
  <c r="P368" i="11" s="1"/>
  <c r="J110" i="11"/>
  <c r="W255" i="11"/>
  <c r="AD198" i="11"/>
  <c r="AI198" i="11" s="1"/>
  <c r="O199" i="11"/>
  <c r="N200" i="11" s="1"/>
  <c r="I199" i="11"/>
  <c r="G199" i="11"/>
  <c r="F200" i="11" s="1"/>
  <c r="E199" i="11"/>
  <c r="D200" i="11" s="1"/>
  <c r="C197" i="11"/>
  <c r="B198" i="11" s="1"/>
  <c r="Q368" i="11" l="1"/>
  <c r="P369" i="11" s="1"/>
  <c r="K110" i="11"/>
  <c r="W256" i="11"/>
  <c r="AD199" i="11"/>
  <c r="AI199" i="11" s="1"/>
  <c r="O200" i="11"/>
  <c r="N201" i="11" s="1"/>
  <c r="I200" i="11"/>
  <c r="G200" i="11"/>
  <c r="F201" i="11" s="1"/>
  <c r="E200" i="11"/>
  <c r="D201" i="11" s="1"/>
  <c r="C198" i="11"/>
  <c r="B199" i="11" s="1"/>
  <c r="Q369" i="11" l="1"/>
  <c r="P370" i="11" s="1"/>
  <c r="J111" i="11"/>
  <c r="W257" i="11"/>
  <c r="AD200" i="11"/>
  <c r="AI200" i="11" s="1"/>
  <c r="O201" i="11"/>
  <c r="N202" i="11" s="1"/>
  <c r="I201" i="11"/>
  <c r="G201" i="11"/>
  <c r="F202" i="11" s="1"/>
  <c r="E201" i="11"/>
  <c r="D202" i="11" s="1"/>
  <c r="C199" i="11"/>
  <c r="B200" i="11" s="1"/>
  <c r="Q370" i="11" l="1"/>
  <c r="P371" i="11" s="1"/>
  <c r="K111" i="11"/>
  <c r="J112" i="11" s="1"/>
  <c r="AD201" i="11"/>
  <c r="AI201" i="11" s="1"/>
  <c r="O202" i="11"/>
  <c r="N203" i="11" s="1"/>
  <c r="I202" i="11"/>
  <c r="G202" i="11"/>
  <c r="F203" i="11" s="1"/>
  <c r="E202" i="11"/>
  <c r="D203" i="11" s="1"/>
  <c r="C200" i="11"/>
  <c r="B201" i="11" s="1"/>
  <c r="Q371" i="11" l="1"/>
  <c r="P372" i="11" s="1"/>
  <c r="K112" i="11"/>
  <c r="AD202" i="11"/>
  <c r="AI202" i="11" s="1"/>
  <c r="O203" i="11"/>
  <c r="N204" i="11" s="1"/>
  <c r="I203" i="11"/>
  <c r="G203" i="11"/>
  <c r="F204" i="11" s="1"/>
  <c r="E203" i="11"/>
  <c r="D204" i="11" s="1"/>
  <c r="C201" i="11"/>
  <c r="B202" i="11" s="1"/>
  <c r="Q372" i="11" l="1"/>
  <c r="P373" i="11" s="1"/>
  <c r="J113" i="11"/>
  <c r="AD203" i="11"/>
  <c r="AI203" i="11" s="1"/>
  <c r="O204" i="11"/>
  <c r="N205" i="11" s="1"/>
  <c r="I204" i="11"/>
  <c r="G204" i="11"/>
  <c r="F205" i="11" s="1"/>
  <c r="E204" i="11"/>
  <c r="D205" i="11" s="1"/>
  <c r="C202" i="11"/>
  <c r="B203" i="11" s="1"/>
  <c r="Q373" i="11" l="1"/>
  <c r="P374" i="11" s="1"/>
  <c r="K113" i="11"/>
  <c r="AD204" i="11"/>
  <c r="AI204" i="11" s="1"/>
  <c r="O205" i="11"/>
  <c r="N206" i="11" s="1"/>
  <c r="I205" i="11"/>
  <c r="G205" i="11"/>
  <c r="F206" i="11" s="1"/>
  <c r="E205" i="11"/>
  <c r="D206" i="11" s="1"/>
  <c r="C203" i="11"/>
  <c r="B204" i="11" s="1"/>
  <c r="Q374" i="11" l="1"/>
  <c r="P375" i="11" s="1"/>
  <c r="J114" i="11"/>
  <c r="AD205" i="11"/>
  <c r="AI205" i="11" s="1"/>
  <c r="O206" i="11"/>
  <c r="N207" i="11" s="1"/>
  <c r="I206" i="11"/>
  <c r="G206" i="11"/>
  <c r="F207" i="11" s="1"/>
  <c r="E206" i="11"/>
  <c r="D207" i="11" s="1"/>
  <c r="C204" i="11"/>
  <c r="B205" i="11" s="1"/>
  <c r="Q375" i="11" l="1"/>
  <c r="P376" i="11" s="1"/>
  <c r="K114" i="11"/>
  <c r="AD206" i="11"/>
  <c r="AI206" i="11" s="1"/>
  <c r="O207" i="11"/>
  <c r="N208" i="11" s="1"/>
  <c r="I207" i="11"/>
  <c r="G207" i="11"/>
  <c r="F208" i="11" s="1"/>
  <c r="E207" i="11"/>
  <c r="D208" i="11" s="1"/>
  <c r="C205" i="11"/>
  <c r="B206" i="11" s="1"/>
  <c r="Q376" i="11" l="1"/>
  <c r="P377" i="11" s="1"/>
  <c r="J115" i="11"/>
  <c r="AD207" i="11"/>
  <c r="AI207" i="11" s="1"/>
  <c r="O208" i="11"/>
  <c r="N209" i="11" s="1"/>
  <c r="I208" i="11"/>
  <c r="G208" i="11"/>
  <c r="F209" i="11" s="1"/>
  <c r="E208" i="11"/>
  <c r="D209" i="11" s="1"/>
  <c r="C206" i="11"/>
  <c r="B207" i="11" s="1"/>
  <c r="Q377" i="11" l="1"/>
  <c r="P378" i="11" s="1"/>
  <c r="K115" i="11"/>
  <c r="AD208" i="11"/>
  <c r="AI208" i="11" s="1"/>
  <c r="O209" i="11"/>
  <c r="N210" i="11" s="1"/>
  <c r="I209" i="11"/>
  <c r="G209" i="11"/>
  <c r="F210" i="11" s="1"/>
  <c r="E209" i="11"/>
  <c r="D210" i="11" s="1"/>
  <c r="C207" i="11"/>
  <c r="B208" i="11" s="1"/>
  <c r="Q378" i="11" l="1"/>
  <c r="P379" i="11" s="1"/>
  <c r="J116" i="11"/>
  <c r="AD209" i="11"/>
  <c r="AI209" i="11" s="1"/>
  <c r="O210" i="11"/>
  <c r="N211" i="11" s="1"/>
  <c r="I210" i="11"/>
  <c r="G210" i="11"/>
  <c r="F211" i="11" s="1"/>
  <c r="E210" i="11"/>
  <c r="D211" i="11" s="1"/>
  <c r="C208" i="11"/>
  <c r="B209" i="11" s="1"/>
  <c r="Q379" i="11" l="1"/>
  <c r="P380" i="11" s="1"/>
  <c r="K116" i="11"/>
  <c r="AD210" i="11"/>
  <c r="AI210" i="11" s="1"/>
  <c r="O211" i="11"/>
  <c r="N212" i="11" s="1"/>
  <c r="I211" i="11"/>
  <c r="G211" i="11"/>
  <c r="F212" i="11" s="1"/>
  <c r="E211" i="11"/>
  <c r="D212" i="11" s="1"/>
  <c r="C209" i="11"/>
  <c r="B210" i="11" s="1"/>
  <c r="Q380" i="11" l="1"/>
  <c r="P381" i="11" s="1"/>
  <c r="J117" i="11"/>
  <c r="AD211" i="11"/>
  <c r="AI211" i="11" s="1"/>
  <c r="O212" i="11"/>
  <c r="N213" i="11" s="1"/>
  <c r="I212" i="11"/>
  <c r="G212" i="11"/>
  <c r="F213" i="11" s="1"/>
  <c r="E212" i="11"/>
  <c r="D213" i="11" s="1"/>
  <c r="C210" i="11"/>
  <c r="B211" i="11" s="1"/>
  <c r="Q381" i="11" l="1"/>
  <c r="P382" i="11" s="1"/>
  <c r="K117" i="11"/>
  <c r="AD212" i="11"/>
  <c r="AI212" i="11" s="1"/>
  <c r="O213" i="11"/>
  <c r="N214" i="11" s="1"/>
  <c r="I213" i="11"/>
  <c r="G213" i="11"/>
  <c r="F214" i="11" s="1"/>
  <c r="E213" i="11"/>
  <c r="D214" i="11" s="1"/>
  <c r="C211" i="11"/>
  <c r="B212" i="11" s="1"/>
  <c r="Q382" i="11" l="1"/>
  <c r="P383" i="11" s="1"/>
  <c r="J118" i="11"/>
  <c r="W604" i="11"/>
  <c r="AD213" i="11"/>
  <c r="AI213" i="11" s="1"/>
  <c r="O214" i="11"/>
  <c r="N215" i="11" s="1"/>
  <c r="I214" i="11"/>
  <c r="G214" i="11"/>
  <c r="F215" i="11" s="1"/>
  <c r="E214" i="11"/>
  <c r="D215" i="11" s="1"/>
  <c r="C212" i="11"/>
  <c r="B213" i="11" s="1"/>
  <c r="Q383" i="11" l="1"/>
  <c r="P384" i="11" s="1"/>
  <c r="K118" i="11"/>
  <c r="AD214" i="11"/>
  <c r="AI214" i="11" s="1"/>
  <c r="O215" i="11"/>
  <c r="N216" i="11" s="1"/>
  <c r="I215" i="11"/>
  <c r="G215" i="11"/>
  <c r="F216" i="11" s="1"/>
  <c r="E215" i="11"/>
  <c r="D216" i="11" s="1"/>
  <c r="C213" i="11"/>
  <c r="B214" i="11" s="1"/>
  <c r="Q384" i="11" l="1"/>
  <c r="P385" i="11" s="1"/>
  <c r="J119" i="11"/>
  <c r="AD215" i="11"/>
  <c r="AI215" i="11" s="1"/>
  <c r="O216" i="11"/>
  <c r="N217" i="11" s="1"/>
  <c r="I216" i="11"/>
  <c r="G216" i="11"/>
  <c r="F217" i="11" s="1"/>
  <c r="E216" i="11"/>
  <c r="D217" i="11" s="1"/>
  <c r="C214" i="11"/>
  <c r="B215" i="11" s="1"/>
  <c r="Q385" i="11" l="1"/>
  <c r="P386" i="11" s="1"/>
  <c r="K119" i="11"/>
  <c r="AD216" i="11"/>
  <c r="AI216" i="11" s="1"/>
  <c r="O217" i="11"/>
  <c r="N218" i="11" s="1"/>
  <c r="I217" i="11"/>
  <c r="G217" i="11"/>
  <c r="F218" i="11" s="1"/>
  <c r="E217" i="11"/>
  <c r="D218" i="11" s="1"/>
  <c r="C215" i="11"/>
  <c r="B216" i="11" s="1"/>
  <c r="Q386" i="11" l="1"/>
  <c r="P387" i="11" s="1"/>
  <c r="J120" i="11"/>
  <c r="AD217" i="11"/>
  <c r="AI217" i="11" s="1"/>
  <c r="O218" i="11"/>
  <c r="N219" i="11" s="1"/>
  <c r="I218" i="11"/>
  <c r="G218" i="11"/>
  <c r="F219" i="11" s="1"/>
  <c r="E218" i="11"/>
  <c r="D219" i="11" s="1"/>
  <c r="C216" i="11"/>
  <c r="B217" i="11" s="1"/>
  <c r="Q387" i="11" l="1"/>
  <c r="P388" i="11" s="1"/>
  <c r="K120" i="11"/>
  <c r="AD218" i="11"/>
  <c r="AI218" i="11" s="1"/>
  <c r="O219" i="11"/>
  <c r="N220" i="11" s="1"/>
  <c r="I219" i="11"/>
  <c r="G219" i="11"/>
  <c r="F220" i="11" s="1"/>
  <c r="E219" i="11"/>
  <c r="D220" i="11" s="1"/>
  <c r="C217" i="11"/>
  <c r="B218" i="11" s="1"/>
  <c r="Q388" i="11" l="1"/>
  <c r="P389" i="11" s="1"/>
  <c r="J121" i="11"/>
  <c r="AD219" i="11"/>
  <c r="AI219" i="11" s="1"/>
  <c r="O220" i="11"/>
  <c r="N221" i="11" s="1"/>
  <c r="I220" i="11"/>
  <c r="G220" i="11"/>
  <c r="F221" i="11" s="1"/>
  <c r="E220" i="11"/>
  <c r="D221" i="11" s="1"/>
  <c r="C218" i="11"/>
  <c r="B219" i="11" s="1"/>
  <c r="Q389" i="11" l="1"/>
  <c r="P390" i="11" s="1"/>
  <c r="K121" i="11"/>
  <c r="AD220" i="11"/>
  <c r="AI220" i="11" s="1"/>
  <c r="O221" i="11"/>
  <c r="N222" i="11" s="1"/>
  <c r="I221" i="11"/>
  <c r="G221" i="11"/>
  <c r="F222" i="11" s="1"/>
  <c r="E221" i="11"/>
  <c r="D222" i="11" s="1"/>
  <c r="C219" i="11"/>
  <c r="B220" i="11" s="1"/>
  <c r="Q390" i="11" l="1"/>
  <c r="P391" i="11" s="1"/>
  <c r="J122" i="11"/>
  <c r="AD221" i="11"/>
  <c r="AI221" i="11" s="1"/>
  <c r="O222" i="11"/>
  <c r="N223" i="11" s="1"/>
  <c r="I222" i="11"/>
  <c r="G222" i="11"/>
  <c r="F223" i="11" s="1"/>
  <c r="E222" i="11"/>
  <c r="D223" i="11" s="1"/>
  <c r="C220" i="11"/>
  <c r="B221" i="11" s="1"/>
  <c r="Q391" i="11" l="1"/>
  <c r="P392" i="11" s="1"/>
  <c r="K122" i="11"/>
  <c r="AD222" i="11"/>
  <c r="AI222" i="11" s="1"/>
  <c r="O223" i="11"/>
  <c r="N224" i="11" s="1"/>
  <c r="I223" i="11"/>
  <c r="G223" i="11"/>
  <c r="F224" i="11" s="1"/>
  <c r="E223" i="11"/>
  <c r="D224" i="11" s="1"/>
  <c r="C221" i="11"/>
  <c r="B222" i="11" s="1"/>
  <c r="Q392" i="11" l="1"/>
  <c r="P393" i="11" s="1"/>
  <c r="J123" i="11"/>
  <c r="AD223" i="11"/>
  <c r="AI223" i="11" s="1"/>
  <c r="O224" i="11"/>
  <c r="N225" i="11" s="1"/>
  <c r="I224" i="11"/>
  <c r="G224" i="11"/>
  <c r="F225" i="11" s="1"/>
  <c r="E224" i="11"/>
  <c r="D225" i="11" s="1"/>
  <c r="C222" i="11"/>
  <c r="B223" i="11" s="1"/>
  <c r="Q393" i="11" l="1"/>
  <c r="P394" i="11" s="1"/>
  <c r="K123" i="11"/>
  <c r="AD224" i="11"/>
  <c r="AI224" i="11" s="1"/>
  <c r="O225" i="11"/>
  <c r="N226" i="11" s="1"/>
  <c r="I225" i="11"/>
  <c r="G225" i="11"/>
  <c r="F226" i="11" s="1"/>
  <c r="E225" i="11"/>
  <c r="D226" i="11" s="1"/>
  <c r="C223" i="11"/>
  <c r="B224" i="11" s="1"/>
  <c r="Q394" i="11" l="1"/>
  <c r="P395" i="11" s="1"/>
  <c r="J124" i="11"/>
  <c r="AD225" i="11"/>
  <c r="AI225" i="11" s="1"/>
  <c r="O226" i="11"/>
  <c r="N227" i="11" s="1"/>
  <c r="I226" i="11"/>
  <c r="G226" i="11"/>
  <c r="F227" i="11" s="1"/>
  <c r="E226" i="11"/>
  <c r="D227" i="11" s="1"/>
  <c r="C224" i="11"/>
  <c r="B225" i="11" s="1"/>
  <c r="Q395" i="11" l="1"/>
  <c r="P396" i="11" s="1"/>
  <c r="K124" i="11"/>
  <c r="AD226" i="11"/>
  <c r="AI226" i="11" s="1"/>
  <c r="O227" i="11"/>
  <c r="N228" i="11" s="1"/>
  <c r="I227" i="11"/>
  <c r="G227" i="11"/>
  <c r="F228" i="11" s="1"/>
  <c r="E227" i="11"/>
  <c r="D228" i="11" s="1"/>
  <c r="C225" i="11"/>
  <c r="B226" i="11" s="1"/>
  <c r="Q396" i="11" l="1"/>
  <c r="P397" i="11" s="1"/>
  <c r="J125" i="11"/>
  <c r="AD227" i="11"/>
  <c r="AI227" i="11" s="1"/>
  <c r="O228" i="11"/>
  <c r="N229" i="11" s="1"/>
  <c r="I228" i="11"/>
  <c r="G228" i="11"/>
  <c r="F229" i="11" s="1"/>
  <c r="E228" i="11"/>
  <c r="D229" i="11" s="1"/>
  <c r="C226" i="11"/>
  <c r="B227" i="11" s="1"/>
  <c r="Q397" i="11" l="1"/>
  <c r="P398" i="11" s="1"/>
  <c r="K125" i="11"/>
  <c r="J126" i="11" s="1"/>
  <c r="AD228" i="11"/>
  <c r="AI228" i="11" s="1"/>
  <c r="O229" i="11"/>
  <c r="N230" i="11" s="1"/>
  <c r="I229" i="11"/>
  <c r="G229" i="11"/>
  <c r="F230" i="11" s="1"/>
  <c r="E229" i="11"/>
  <c r="D230" i="11" s="1"/>
  <c r="C227" i="11"/>
  <c r="B228" i="11" s="1"/>
  <c r="Q398" i="11" l="1"/>
  <c r="P399" i="11" s="1"/>
  <c r="K126" i="11"/>
  <c r="AD229" i="11"/>
  <c r="AI229" i="11" s="1"/>
  <c r="O230" i="11"/>
  <c r="N231" i="11" s="1"/>
  <c r="I230" i="11"/>
  <c r="G230" i="11"/>
  <c r="F231" i="11" s="1"/>
  <c r="E230" i="11"/>
  <c r="D231" i="11" s="1"/>
  <c r="C228" i="11"/>
  <c r="B229" i="11" s="1"/>
  <c r="Q399" i="11" l="1"/>
  <c r="P400" i="11" s="1"/>
  <c r="J127" i="11"/>
  <c r="AD230" i="11"/>
  <c r="AI230" i="11" s="1"/>
  <c r="O231" i="11"/>
  <c r="N232" i="11" s="1"/>
  <c r="I231" i="11"/>
  <c r="G231" i="11"/>
  <c r="F232" i="11" s="1"/>
  <c r="E231" i="11"/>
  <c r="D232" i="11" s="1"/>
  <c r="C229" i="11"/>
  <c r="B230" i="11" s="1"/>
  <c r="Q400" i="11" l="1"/>
  <c r="P401" i="11" s="1"/>
  <c r="K127" i="11"/>
  <c r="AD231" i="11"/>
  <c r="AI231" i="11" s="1"/>
  <c r="O232" i="11"/>
  <c r="N233" i="11" s="1"/>
  <c r="I232" i="11"/>
  <c r="G232" i="11"/>
  <c r="F233" i="11" s="1"/>
  <c r="E232" i="11"/>
  <c r="D233" i="11" s="1"/>
  <c r="C230" i="11"/>
  <c r="B231" i="11" s="1"/>
  <c r="Q401" i="11" l="1"/>
  <c r="P402" i="11" s="1"/>
  <c r="J128" i="11"/>
  <c r="AD232" i="11"/>
  <c r="AI232" i="11" s="1"/>
  <c r="O233" i="11"/>
  <c r="N234" i="11" s="1"/>
  <c r="I233" i="11"/>
  <c r="G233" i="11"/>
  <c r="F234" i="11" s="1"/>
  <c r="E233" i="11"/>
  <c r="D234" i="11" s="1"/>
  <c r="C231" i="11"/>
  <c r="B232" i="11" s="1"/>
  <c r="Q402" i="11" l="1"/>
  <c r="P403" i="11" s="1"/>
  <c r="K128" i="11"/>
  <c r="AD233" i="11"/>
  <c r="AI233" i="11" s="1"/>
  <c r="O234" i="11"/>
  <c r="N235" i="11" s="1"/>
  <c r="I234" i="11"/>
  <c r="G234" i="11"/>
  <c r="F235" i="11" s="1"/>
  <c r="E234" i="11"/>
  <c r="D235" i="11" s="1"/>
  <c r="C232" i="11"/>
  <c r="B233" i="11" s="1"/>
  <c r="Q403" i="11" l="1"/>
  <c r="P404" i="11" s="1"/>
  <c r="J129" i="11"/>
  <c r="AD234" i="11"/>
  <c r="AI234" i="11" s="1"/>
  <c r="O235" i="11"/>
  <c r="N236" i="11" s="1"/>
  <c r="I235" i="11"/>
  <c r="G235" i="11"/>
  <c r="F236" i="11" s="1"/>
  <c r="E235" i="11"/>
  <c r="D236" i="11" s="1"/>
  <c r="C233" i="11"/>
  <c r="B234" i="11" s="1"/>
  <c r="Q404" i="11" l="1"/>
  <c r="P405" i="11" s="1"/>
  <c r="K129" i="11"/>
  <c r="AD235" i="11"/>
  <c r="AI235" i="11" s="1"/>
  <c r="O236" i="11"/>
  <c r="N237" i="11" s="1"/>
  <c r="I236" i="11"/>
  <c r="G236" i="11"/>
  <c r="F237" i="11" s="1"/>
  <c r="E236" i="11"/>
  <c r="D237" i="11" s="1"/>
  <c r="C234" i="11"/>
  <c r="B235" i="11" s="1"/>
  <c r="Q405" i="11" l="1"/>
  <c r="P406" i="11" s="1"/>
  <c r="J130" i="11"/>
  <c r="AD236" i="11"/>
  <c r="AI236" i="11" s="1"/>
  <c r="O237" i="11"/>
  <c r="N238" i="11" s="1"/>
  <c r="I237" i="11"/>
  <c r="G237" i="11"/>
  <c r="F238" i="11" s="1"/>
  <c r="E237" i="11"/>
  <c r="D238" i="11" s="1"/>
  <c r="C235" i="11"/>
  <c r="B236" i="11" s="1"/>
  <c r="Q406" i="11" l="1"/>
  <c r="P407" i="11" s="1"/>
  <c r="K130" i="11"/>
  <c r="AD237" i="11"/>
  <c r="AI237" i="11" s="1"/>
  <c r="O238" i="11"/>
  <c r="N239" i="11" s="1"/>
  <c r="I238" i="11"/>
  <c r="G238" i="11"/>
  <c r="F239" i="11" s="1"/>
  <c r="E238" i="11"/>
  <c r="D239" i="11" s="1"/>
  <c r="C236" i="11"/>
  <c r="B237" i="11" s="1"/>
  <c r="Q407" i="11" l="1"/>
  <c r="P408" i="11" s="1"/>
  <c r="J131" i="11"/>
  <c r="AD238" i="11"/>
  <c r="AI238" i="11" s="1"/>
  <c r="O239" i="11"/>
  <c r="N240" i="11" s="1"/>
  <c r="I239" i="11"/>
  <c r="G239" i="11"/>
  <c r="F240" i="11" s="1"/>
  <c r="E239" i="11"/>
  <c r="D240" i="11" s="1"/>
  <c r="C237" i="11"/>
  <c r="B238" i="11" s="1"/>
  <c r="Q408" i="11" l="1"/>
  <c r="P409" i="11" s="1"/>
  <c r="K131" i="11"/>
  <c r="AD239" i="11"/>
  <c r="AI239" i="11" s="1"/>
  <c r="O240" i="11"/>
  <c r="N241" i="11" s="1"/>
  <c r="I240" i="11"/>
  <c r="G240" i="11"/>
  <c r="F241" i="11" s="1"/>
  <c r="E240" i="11"/>
  <c r="D241" i="11" s="1"/>
  <c r="C238" i="11"/>
  <c r="B239" i="11" s="1"/>
  <c r="Q409" i="11" l="1"/>
  <c r="P410" i="11" s="1"/>
  <c r="J132" i="11"/>
  <c r="AD240" i="11"/>
  <c r="AI240" i="11" s="1"/>
  <c r="O241" i="11"/>
  <c r="N242" i="11" s="1"/>
  <c r="I241" i="11"/>
  <c r="G241" i="11"/>
  <c r="F242" i="11" s="1"/>
  <c r="E241" i="11"/>
  <c r="D242" i="11" s="1"/>
  <c r="C239" i="11"/>
  <c r="B240" i="11" s="1"/>
  <c r="Q410" i="11" l="1"/>
  <c r="P411" i="11" s="1"/>
  <c r="K132" i="11"/>
  <c r="AD241" i="11"/>
  <c r="AI241" i="11" s="1"/>
  <c r="O242" i="11"/>
  <c r="N243" i="11" s="1"/>
  <c r="I242" i="11"/>
  <c r="G242" i="11"/>
  <c r="F243" i="11" s="1"/>
  <c r="E242" i="11"/>
  <c r="D243" i="11" s="1"/>
  <c r="C240" i="11"/>
  <c r="B241" i="11" s="1"/>
  <c r="Q411" i="11" l="1"/>
  <c r="P412" i="11" s="1"/>
  <c r="J133" i="11"/>
  <c r="AD242" i="11"/>
  <c r="AI242" i="11" s="1"/>
  <c r="O243" i="11"/>
  <c r="N244" i="11" s="1"/>
  <c r="I243" i="11"/>
  <c r="G243" i="11"/>
  <c r="F244" i="11" s="1"/>
  <c r="E243" i="11"/>
  <c r="D244" i="11" s="1"/>
  <c r="C241" i="11"/>
  <c r="B242" i="11" s="1"/>
  <c r="Q412" i="11" l="1"/>
  <c r="P413" i="11" s="1"/>
  <c r="K133" i="11"/>
  <c r="AD243" i="11"/>
  <c r="AI243" i="11" s="1"/>
  <c r="O244" i="11"/>
  <c r="N245" i="11" s="1"/>
  <c r="I244" i="11"/>
  <c r="G244" i="11"/>
  <c r="F245" i="11" s="1"/>
  <c r="E244" i="11"/>
  <c r="D245" i="11" s="1"/>
  <c r="C242" i="11"/>
  <c r="B243" i="11" s="1"/>
  <c r="Q413" i="11" l="1"/>
  <c r="P414" i="11" s="1"/>
  <c r="J134" i="11"/>
  <c r="Y604" i="11"/>
  <c r="AD244" i="11"/>
  <c r="AI244" i="11" s="1"/>
  <c r="O245" i="11"/>
  <c r="N246" i="11" s="1"/>
  <c r="I245" i="11"/>
  <c r="G245" i="11"/>
  <c r="F246" i="11" s="1"/>
  <c r="E245" i="11"/>
  <c r="D246" i="11" s="1"/>
  <c r="C243" i="11"/>
  <c r="B244" i="11" s="1"/>
  <c r="Q414" i="11" l="1"/>
  <c r="P415" i="11" s="1"/>
  <c r="K134" i="11"/>
  <c r="J135" i="11" s="1"/>
  <c r="AD245" i="11"/>
  <c r="AI245" i="11" s="1"/>
  <c r="O246" i="11"/>
  <c r="N247" i="11" s="1"/>
  <c r="I246" i="11"/>
  <c r="G246" i="11"/>
  <c r="F247" i="11" s="1"/>
  <c r="E246" i="11"/>
  <c r="D247" i="11" s="1"/>
  <c r="C244" i="11"/>
  <c r="B245" i="11" s="1"/>
  <c r="Q415" i="11" l="1"/>
  <c r="P416" i="11" s="1"/>
  <c r="K135" i="11"/>
  <c r="AD246" i="11"/>
  <c r="AI246" i="11" s="1"/>
  <c r="O247" i="11"/>
  <c r="N248" i="11" s="1"/>
  <c r="I247" i="11"/>
  <c r="G247" i="11"/>
  <c r="F248" i="11" s="1"/>
  <c r="E247" i="11"/>
  <c r="D248" i="11" s="1"/>
  <c r="C245" i="11"/>
  <c r="B246" i="11" s="1"/>
  <c r="Q416" i="11" l="1"/>
  <c r="P417" i="11" s="1"/>
  <c r="J136" i="11"/>
  <c r="AD247" i="11"/>
  <c r="AI247" i="11" s="1"/>
  <c r="O248" i="11"/>
  <c r="N249" i="11" s="1"/>
  <c r="I248" i="11"/>
  <c r="G248" i="11"/>
  <c r="F249" i="11" s="1"/>
  <c r="E248" i="11"/>
  <c r="D249" i="11" s="1"/>
  <c r="C246" i="11"/>
  <c r="B247" i="11" s="1"/>
  <c r="Q417" i="11" l="1"/>
  <c r="P418" i="11" s="1"/>
  <c r="K136" i="11"/>
  <c r="J137" i="11" s="1"/>
  <c r="AD248" i="11"/>
  <c r="AI248" i="11" s="1"/>
  <c r="R604" i="11"/>
  <c r="S604" i="11" s="1"/>
  <c r="O249" i="11"/>
  <c r="N250" i="11" s="1"/>
  <c r="I249" i="11"/>
  <c r="G249" i="11"/>
  <c r="F250" i="11" s="1"/>
  <c r="E249" i="11"/>
  <c r="D250" i="11" s="1"/>
  <c r="C247" i="11"/>
  <c r="B248" i="11" s="1"/>
  <c r="Q418" i="11" l="1"/>
  <c r="P419" i="11" s="1"/>
  <c r="K137" i="11"/>
  <c r="AD249" i="11"/>
  <c r="AI249" i="11" s="1"/>
  <c r="O250" i="11"/>
  <c r="N251" i="11" s="1"/>
  <c r="I250" i="11"/>
  <c r="G250" i="11"/>
  <c r="F251" i="11" s="1"/>
  <c r="E250" i="11"/>
  <c r="D251" i="11" s="1"/>
  <c r="C248" i="11"/>
  <c r="B249" i="11" s="1"/>
  <c r="Q419" i="11" l="1"/>
  <c r="P420" i="11" s="1"/>
  <c r="J138" i="11"/>
  <c r="AD250" i="11"/>
  <c r="AI250" i="11" s="1"/>
  <c r="O251" i="11"/>
  <c r="N252" i="11" s="1"/>
  <c r="I251" i="11"/>
  <c r="G251" i="11"/>
  <c r="F252" i="11" s="1"/>
  <c r="E251" i="11"/>
  <c r="D252" i="11" s="1"/>
  <c r="C249" i="11"/>
  <c r="B250" i="11" s="1"/>
  <c r="Q420" i="11" l="1"/>
  <c r="P421" i="11" s="1"/>
  <c r="K138" i="11"/>
  <c r="AD251" i="11"/>
  <c r="AI251" i="11" s="1"/>
  <c r="O252" i="11"/>
  <c r="N253" i="11" s="1"/>
  <c r="I252" i="11"/>
  <c r="G252" i="11"/>
  <c r="F253" i="11" s="1"/>
  <c r="E252" i="11"/>
  <c r="D253" i="11" s="1"/>
  <c r="C250" i="11"/>
  <c r="B251" i="11" s="1"/>
  <c r="Q421" i="11" l="1"/>
  <c r="P422" i="11" s="1"/>
  <c r="J139" i="11"/>
  <c r="AD252" i="11"/>
  <c r="AI252" i="11" s="1"/>
  <c r="O253" i="11"/>
  <c r="N254" i="11" s="1"/>
  <c r="I253" i="11"/>
  <c r="G253" i="11"/>
  <c r="F254" i="11" s="1"/>
  <c r="E253" i="11"/>
  <c r="D254" i="11" s="1"/>
  <c r="C251" i="11"/>
  <c r="B252" i="11" s="1"/>
  <c r="Q422" i="11" l="1"/>
  <c r="P423" i="11" s="1"/>
  <c r="K139" i="11"/>
  <c r="AD253" i="11"/>
  <c r="AI253" i="11" s="1"/>
  <c r="O254" i="11"/>
  <c r="N255" i="11" s="1"/>
  <c r="I254" i="11"/>
  <c r="G254" i="11"/>
  <c r="F255" i="11" s="1"/>
  <c r="E254" i="11"/>
  <c r="D255" i="11" s="1"/>
  <c r="C252" i="11"/>
  <c r="B253" i="11" s="1"/>
  <c r="Q423" i="11" l="1"/>
  <c r="P424" i="11" s="1"/>
  <c r="J140" i="11"/>
  <c r="AD254" i="11"/>
  <c r="AI254" i="11" s="1"/>
  <c r="O255" i="11"/>
  <c r="N256" i="11" s="1"/>
  <c r="O256" i="11" s="1"/>
  <c r="N257" i="11" s="1"/>
  <c r="I255" i="11"/>
  <c r="G255" i="11"/>
  <c r="F256" i="11" s="1"/>
  <c r="G256" i="11" s="1"/>
  <c r="F257" i="11" s="1"/>
  <c r="G257" i="11" s="1"/>
  <c r="E255" i="11"/>
  <c r="D256" i="11" s="1"/>
  <c r="C253" i="11"/>
  <c r="B254" i="11" s="1"/>
  <c r="Q424" i="11" l="1"/>
  <c r="P425" i="11" s="1"/>
  <c r="K140" i="11"/>
  <c r="AD255" i="11"/>
  <c r="AI255" i="11" s="1"/>
  <c r="O257" i="11"/>
  <c r="I256" i="11"/>
  <c r="E256" i="11"/>
  <c r="D257" i="11" s="1"/>
  <c r="E257" i="11" s="1"/>
  <c r="C254" i="11"/>
  <c r="B255" i="11" s="1"/>
  <c r="Q425" i="11" l="1"/>
  <c r="P426" i="11" s="1"/>
  <c r="J141" i="11"/>
  <c r="AD256" i="11"/>
  <c r="AI256" i="11" s="1"/>
  <c r="I257" i="11"/>
  <c r="C255" i="11"/>
  <c r="B256" i="11" s="1"/>
  <c r="Q426" i="11" l="1"/>
  <c r="P427" i="11" s="1"/>
  <c r="K141" i="11"/>
  <c r="AD257" i="11"/>
  <c r="AI257" i="11" s="1"/>
  <c r="C256" i="11"/>
  <c r="B257" i="11" s="1"/>
  <c r="Q427" i="11" l="1"/>
  <c r="P428" i="11" s="1"/>
  <c r="J142" i="11"/>
  <c r="C257" i="11"/>
  <c r="Q428" i="11" l="1"/>
  <c r="P429" i="11" s="1"/>
  <c r="K142" i="11"/>
  <c r="Q429" i="11" l="1"/>
  <c r="P430" i="11" s="1"/>
  <c r="J143" i="11"/>
  <c r="Q430" i="11" l="1"/>
  <c r="P431" i="11" s="1"/>
  <c r="K143" i="11"/>
  <c r="T604" i="11"/>
  <c r="U604" i="11" s="1"/>
  <c r="Q431" i="11" l="1"/>
  <c r="P432" i="11" s="1"/>
  <c r="J144" i="11"/>
  <c r="Q432" i="11" l="1"/>
  <c r="P433" i="11" s="1"/>
  <c r="K144" i="11"/>
  <c r="Q433" i="11" l="1"/>
  <c r="P434" i="11" s="1"/>
  <c r="J145" i="11"/>
  <c r="Q434" i="11" l="1"/>
  <c r="P435" i="11" s="1"/>
  <c r="K145" i="11"/>
  <c r="Q435" i="11" l="1"/>
  <c r="P436" i="11" s="1"/>
  <c r="J146" i="11"/>
  <c r="Q436" i="11" l="1"/>
  <c r="P437" i="11" s="1"/>
  <c r="K146" i="11"/>
  <c r="Q437" i="11" l="1"/>
  <c r="P438" i="11" s="1"/>
  <c r="J147" i="11"/>
  <c r="Q438" i="11" l="1"/>
  <c r="P439" i="11" s="1"/>
  <c r="K147" i="11"/>
  <c r="J148" i="11" s="1"/>
  <c r="Q439" i="11" l="1"/>
  <c r="P440" i="11" s="1"/>
  <c r="K148" i="11"/>
  <c r="Q440" i="11" l="1"/>
  <c r="P441" i="11" s="1"/>
  <c r="J149" i="11"/>
  <c r="Q441" i="11" l="1"/>
  <c r="P442" i="11" s="1"/>
  <c r="K149" i="11"/>
  <c r="Q442" i="11" l="1"/>
  <c r="P443" i="11" s="1"/>
  <c r="J150" i="11"/>
  <c r="Q443" i="11" l="1"/>
  <c r="P444" i="11" s="1"/>
  <c r="K150" i="11"/>
  <c r="J151" i="11" s="1"/>
  <c r="Q444" i="11" l="1"/>
  <c r="P445" i="11" s="1"/>
  <c r="K151" i="11"/>
  <c r="Q445" i="11" l="1"/>
  <c r="P446" i="11" s="1"/>
  <c r="J152" i="11"/>
  <c r="Q446" i="11" l="1"/>
  <c r="P447" i="11" s="1"/>
  <c r="K152" i="11"/>
  <c r="Q447" i="11" l="1"/>
  <c r="P448" i="11" s="1"/>
  <c r="J153" i="11"/>
  <c r="Q448" i="11" l="1"/>
  <c r="P449" i="11" s="1"/>
  <c r="K153" i="11"/>
  <c r="Q449" i="11" l="1"/>
  <c r="P450" i="11" s="1"/>
  <c r="J154" i="11"/>
  <c r="Q450" i="11" l="1"/>
  <c r="P451" i="11" s="1"/>
  <c r="K154" i="11"/>
  <c r="Q451" i="11" l="1"/>
  <c r="P452" i="11" s="1"/>
  <c r="J155" i="11"/>
  <c r="Q452" i="11" l="1"/>
  <c r="P453" i="11" s="1"/>
  <c r="K155" i="11"/>
  <c r="Q453" i="11" l="1"/>
  <c r="P454" i="11" s="1"/>
  <c r="J156" i="11"/>
  <c r="Q454" i="11" l="1"/>
  <c r="P455" i="11" s="1"/>
  <c r="K156" i="11"/>
  <c r="Q455" i="11" l="1"/>
  <c r="P456" i="11" s="1"/>
  <c r="J157" i="11"/>
  <c r="Q456" i="11" l="1"/>
  <c r="P457" i="11" s="1"/>
  <c r="K157" i="11"/>
  <c r="Q457" i="11" l="1"/>
  <c r="P458" i="11" s="1"/>
  <c r="J158" i="11"/>
  <c r="Q458" i="11" l="1"/>
  <c r="P459" i="11" s="1"/>
  <c r="K158" i="11"/>
  <c r="Q459" i="11" l="1"/>
  <c r="P460" i="11" s="1"/>
  <c r="J159" i="11"/>
  <c r="Q460" i="11" l="1"/>
  <c r="P461" i="11" s="1"/>
  <c r="K159" i="11"/>
  <c r="J160" i="11" s="1"/>
  <c r="Q461" i="11" l="1"/>
  <c r="P462" i="11" s="1"/>
  <c r="K160" i="11"/>
  <c r="Q462" i="11" l="1"/>
  <c r="P463" i="11" s="1"/>
  <c r="J161" i="11"/>
  <c r="Q463" i="11" l="1"/>
  <c r="P464" i="11" s="1"/>
  <c r="K161" i="11"/>
  <c r="Q464" i="11" l="1"/>
  <c r="P465" i="11" s="1"/>
  <c r="J162" i="11"/>
  <c r="Q465" i="11" l="1"/>
  <c r="P466" i="11" s="1"/>
  <c r="K162" i="11"/>
  <c r="Q466" i="11" l="1"/>
  <c r="P467" i="11" s="1"/>
  <c r="J163" i="11"/>
  <c r="Q467" i="11" l="1"/>
  <c r="P468" i="11" s="1"/>
  <c r="K163" i="11"/>
  <c r="Q468" i="11" l="1"/>
  <c r="P469" i="11" s="1"/>
  <c r="J164" i="11"/>
  <c r="Q469" i="11" l="1"/>
  <c r="P470" i="11" s="1"/>
  <c r="K164" i="11"/>
  <c r="J165" i="11" s="1"/>
  <c r="Q470" i="11" l="1"/>
  <c r="P471" i="11" s="1"/>
  <c r="K165" i="11"/>
  <c r="Q471" i="11" l="1"/>
  <c r="P472" i="11" s="1"/>
  <c r="J166" i="11"/>
  <c r="K166" i="11" s="1"/>
  <c r="Q472" i="11" l="1"/>
  <c r="P473" i="11" s="1"/>
  <c r="J167" i="11"/>
  <c r="Q473" i="11" l="1"/>
  <c r="P474" i="11" s="1"/>
  <c r="K167" i="11"/>
  <c r="Q474" i="11" l="1"/>
  <c r="P475" i="11" s="1"/>
  <c r="J168" i="11"/>
  <c r="Q475" i="11" l="1"/>
  <c r="P476" i="11" s="1"/>
  <c r="K168" i="11"/>
  <c r="J169" i="11" s="1"/>
  <c r="Q476" i="11" l="1"/>
  <c r="P477" i="11" s="1"/>
  <c r="K169" i="11"/>
  <c r="Q477" i="11" l="1"/>
  <c r="P478" i="11" s="1"/>
  <c r="J170" i="11"/>
  <c r="Q478" i="11" l="1"/>
  <c r="P479" i="11" s="1"/>
  <c r="K170" i="11"/>
  <c r="Q479" i="11" l="1"/>
  <c r="P480" i="11" s="1"/>
  <c r="J171" i="11"/>
  <c r="Q480" i="11" l="1"/>
  <c r="P481" i="11" s="1"/>
  <c r="K171" i="11"/>
  <c r="J172" i="11" s="1"/>
  <c r="Q481" i="11" l="1"/>
  <c r="P482" i="11" s="1"/>
  <c r="K172" i="11"/>
  <c r="Q482" i="11" l="1"/>
  <c r="P483" i="11" s="1"/>
  <c r="J173" i="11"/>
  <c r="Q483" i="11" l="1"/>
  <c r="P484" i="11" s="1"/>
  <c r="K173" i="11"/>
  <c r="Q484" i="11" l="1"/>
  <c r="P485" i="11" s="1"/>
  <c r="J174" i="11"/>
  <c r="Q485" i="11" l="1"/>
  <c r="P486" i="11" s="1"/>
  <c r="K174" i="11"/>
  <c r="Q486" i="11" l="1"/>
  <c r="P487" i="11" s="1"/>
  <c r="J175" i="11"/>
  <c r="Q487" i="11" l="1"/>
  <c r="P488" i="11" s="1"/>
  <c r="K175" i="11"/>
  <c r="Q488" i="11" l="1"/>
  <c r="P489" i="11" s="1"/>
  <c r="J176" i="11"/>
  <c r="Q489" i="11" l="1"/>
  <c r="P490" i="11" s="1"/>
  <c r="K176" i="11"/>
  <c r="Q490" i="11" l="1"/>
  <c r="P491" i="11" s="1"/>
  <c r="J177" i="11"/>
  <c r="Q491" i="11" l="1"/>
  <c r="P492" i="11" s="1"/>
  <c r="K177" i="11"/>
  <c r="Q492" i="11" l="1"/>
  <c r="P493" i="11" s="1"/>
  <c r="J178" i="11"/>
  <c r="Q493" i="11" l="1"/>
  <c r="P494" i="11" s="1"/>
  <c r="K178" i="11"/>
  <c r="J179" i="11" s="1"/>
  <c r="Q494" i="11" l="1"/>
  <c r="P495" i="11" s="1"/>
  <c r="K179" i="11"/>
  <c r="J180" i="11" s="1"/>
  <c r="Q495" i="11" l="1"/>
  <c r="P496" i="11" s="1"/>
  <c r="K180" i="11"/>
  <c r="Q496" i="11" l="1"/>
  <c r="P497" i="11" s="1"/>
  <c r="J181" i="11"/>
  <c r="Q497" i="11" l="1"/>
  <c r="P498" i="11" s="1"/>
  <c r="K181" i="11"/>
  <c r="Q498" i="11" l="1"/>
  <c r="P499" i="11" s="1"/>
  <c r="J182" i="11"/>
  <c r="Q499" i="11" l="1"/>
  <c r="P500" i="11" s="1"/>
  <c r="K182" i="11"/>
  <c r="Q500" i="11" l="1"/>
  <c r="P501" i="11" s="1"/>
  <c r="J183" i="11"/>
  <c r="Q501" i="11" l="1"/>
  <c r="P502" i="11" s="1"/>
  <c r="K183" i="11"/>
  <c r="Q502" i="11" l="1"/>
  <c r="P503" i="11" s="1"/>
  <c r="J184" i="11"/>
  <c r="Q503" i="11" l="1"/>
  <c r="P504" i="11" s="1"/>
  <c r="K184" i="11"/>
  <c r="Q504" i="11" l="1"/>
  <c r="P505" i="11" s="1"/>
  <c r="J185" i="11"/>
  <c r="Q505" i="11" l="1"/>
  <c r="P506" i="11" s="1"/>
  <c r="K185" i="11"/>
  <c r="J186" i="11" s="1"/>
  <c r="Q506" i="11" l="1"/>
  <c r="P507" i="11" s="1"/>
  <c r="K186" i="11"/>
  <c r="Q507" i="11" l="1"/>
  <c r="P508" i="11" s="1"/>
  <c r="J187" i="11"/>
  <c r="Q508" i="11" l="1"/>
  <c r="P509" i="11" s="1"/>
  <c r="K187" i="11"/>
  <c r="Q509" i="11" l="1"/>
  <c r="P510" i="11" s="1"/>
  <c r="J188" i="11"/>
  <c r="Q510" i="11" l="1"/>
  <c r="P511" i="11" s="1"/>
  <c r="K188" i="11"/>
  <c r="Q511" i="11" l="1"/>
  <c r="P512" i="11" s="1"/>
  <c r="J189" i="11"/>
  <c r="N604" i="11"/>
  <c r="O604" i="11" s="1"/>
  <c r="Q512" i="11" l="1"/>
  <c r="P513" i="11" s="1"/>
  <c r="K189" i="11"/>
  <c r="J190" i="11" s="1"/>
  <c r="Q513" i="11" l="1"/>
  <c r="P514" i="11" s="1"/>
  <c r="K190" i="11"/>
  <c r="Q514" i="11" l="1"/>
  <c r="P515" i="11" s="1"/>
  <c r="J191" i="11"/>
  <c r="Q515" i="11" l="1"/>
  <c r="P516" i="11" s="1"/>
  <c r="K191" i="11"/>
  <c r="Q516" i="11" l="1"/>
  <c r="P517" i="11" s="1"/>
  <c r="J192" i="11"/>
  <c r="Q517" i="11" l="1"/>
  <c r="P518" i="11" s="1"/>
  <c r="K192" i="11"/>
  <c r="Q518" i="11" l="1"/>
  <c r="P519" i="11" s="1"/>
  <c r="J193" i="11"/>
  <c r="Q519" i="11" l="1"/>
  <c r="P520" i="11" s="1"/>
  <c r="K193" i="11"/>
  <c r="Q520" i="11" l="1"/>
  <c r="P521" i="11" s="1"/>
  <c r="J194" i="11"/>
  <c r="Q521" i="11" l="1"/>
  <c r="P522" i="11" s="1"/>
  <c r="K194" i="11"/>
  <c r="Q522" i="11" l="1"/>
  <c r="P523" i="11" s="1"/>
  <c r="J195" i="11"/>
  <c r="Q523" i="11" l="1"/>
  <c r="P524" i="11" s="1"/>
  <c r="K195" i="11"/>
  <c r="Q524" i="11" l="1"/>
  <c r="P525" i="11" s="1"/>
  <c r="J196" i="11"/>
  <c r="Q525" i="11" l="1"/>
  <c r="P526" i="11" s="1"/>
  <c r="K196" i="11"/>
  <c r="Q526" i="11" l="1"/>
  <c r="P527" i="11" s="1"/>
  <c r="J197" i="11"/>
  <c r="Q527" i="11" l="1"/>
  <c r="P528" i="11" s="1"/>
  <c r="K197" i="11"/>
  <c r="J198" i="11" s="1"/>
  <c r="Q528" i="11" l="1"/>
  <c r="P529" i="11" s="1"/>
  <c r="K198" i="11"/>
  <c r="Q529" i="11" l="1"/>
  <c r="P530" i="11" s="1"/>
  <c r="J199" i="11"/>
  <c r="Q530" i="11" l="1"/>
  <c r="P531" i="11" s="1"/>
  <c r="K199" i="11"/>
  <c r="Q531" i="11" l="1"/>
  <c r="P532" i="11" s="1"/>
  <c r="J200" i="11"/>
  <c r="Q532" i="11" l="1"/>
  <c r="P533" i="11" s="1"/>
  <c r="K200" i="11"/>
  <c r="Q533" i="11" l="1"/>
  <c r="P534" i="11" s="1"/>
  <c r="J201" i="11"/>
  <c r="Q534" i="11" l="1"/>
  <c r="P535" i="11" s="1"/>
  <c r="K201" i="11"/>
  <c r="Q535" i="11" l="1"/>
  <c r="P536" i="11" s="1"/>
  <c r="J202" i="11"/>
  <c r="Q536" i="11" l="1"/>
  <c r="P537" i="11" s="1"/>
  <c r="K202" i="11"/>
  <c r="Q537" i="11" l="1"/>
  <c r="P538" i="11" s="1"/>
  <c r="J203" i="11"/>
  <c r="Q538" i="11" l="1"/>
  <c r="P539" i="11" s="1"/>
  <c r="K203" i="11"/>
  <c r="Q539" i="11" l="1"/>
  <c r="P540" i="11" s="1"/>
  <c r="J204" i="11"/>
  <c r="Q540" i="11" l="1"/>
  <c r="P541" i="11" s="1"/>
  <c r="K204" i="11"/>
  <c r="Q541" i="11" l="1"/>
  <c r="P542" i="11" s="1"/>
  <c r="J205" i="11"/>
  <c r="Q542" i="11" l="1"/>
  <c r="P543" i="11" s="1"/>
  <c r="K205" i="11"/>
  <c r="Q543" i="11" l="1"/>
  <c r="P544" i="11" s="1"/>
  <c r="J206" i="11"/>
  <c r="Q544" i="11" l="1"/>
  <c r="P545" i="11" s="1"/>
  <c r="K206" i="11"/>
  <c r="J207" i="11" s="1"/>
  <c r="Q545" i="11" l="1"/>
  <c r="P546" i="11" s="1"/>
  <c r="K207" i="11"/>
  <c r="J208" i="11" s="1"/>
  <c r="Q546" i="11" l="1"/>
  <c r="P547" i="11" s="1"/>
  <c r="K208" i="11"/>
  <c r="Q547" i="11" l="1"/>
  <c r="P548" i="11" s="1"/>
  <c r="J209" i="11"/>
  <c r="Q548" i="11" l="1"/>
  <c r="P549" i="11" s="1"/>
  <c r="K209" i="11"/>
  <c r="J210" i="11" s="1"/>
  <c r="Q549" i="11" l="1"/>
  <c r="P550" i="11" s="1"/>
  <c r="K210" i="11"/>
  <c r="Q550" i="11" l="1"/>
  <c r="P551" i="11" s="1"/>
  <c r="J211" i="11"/>
  <c r="Q551" i="11" l="1"/>
  <c r="P552" i="11" s="1"/>
  <c r="K211" i="11"/>
  <c r="Q552" i="11" l="1"/>
  <c r="P553" i="11" s="1"/>
  <c r="J212" i="11"/>
  <c r="Q553" i="11" l="1"/>
  <c r="P554" i="11" s="1"/>
  <c r="K212" i="11"/>
  <c r="Q554" i="11" l="1"/>
  <c r="P555" i="11" s="1"/>
  <c r="J213" i="11"/>
  <c r="Q555" i="11" l="1"/>
  <c r="P556" i="11" s="1"/>
  <c r="K213" i="11"/>
  <c r="Q556" i="11" l="1"/>
  <c r="P557" i="11" s="1"/>
  <c r="J214" i="11"/>
  <c r="Q557" i="11" l="1"/>
  <c r="P558" i="11" s="1"/>
  <c r="K214" i="11"/>
  <c r="Q558" i="11" l="1"/>
  <c r="P559" i="11" s="1"/>
  <c r="J215" i="11"/>
  <c r="Q559" i="11" l="1"/>
  <c r="P560" i="11" s="1"/>
  <c r="K215" i="11"/>
  <c r="J216" i="11" s="1"/>
  <c r="Q560" i="11" l="1"/>
  <c r="P561" i="11" s="1"/>
  <c r="K216" i="11"/>
  <c r="Q561" i="11" l="1"/>
  <c r="P562" i="11" s="1"/>
  <c r="J217" i="11"/>
  <c r="Q562" i="11" l="1"/>
  <c r="P563" i="11" s="1"/>
  <c r="K217" i="11"/>
  <c r="Q563" i="11" l="1"/>
  <c r="P564" i="11" s="1"/>
  <c r="J218" i="11"/>
  <c r="Q564" i="11" l="1"/>
  <c r="P565" i="11" s="1"/>
  <c r="K218" i="11"/>
  <c r="J219" i="11" s="1"/>
  <c r="Q565" i="11" l="1"/>
  <c r="P566" i="11" s="1"/>
  <c r="K219" i="11"/>
  <c r="Q566" i="11" l="1"/>
  <c r="P567" i="11" s="1"/>
  <c r="J220" i="11"/>
  <c r="Q567" i="11" l="1"/>
  <c r="P568" i="11" s="1"/>
  <c r="K220" i="11"/>
  <c r="J221" i="11" s="1"/>
  <c r="Q568" i="11" l="1"/>
  <c r="P569" i="11" s="1"/>
  <c r="K221" i="11"/>
  <c r="Q569" i="11" l="1"/>
  <c r="P570" i="11" s="1"/>
  <c r="J222" i="11"/>
  <c r="Q570" i="11" l="1"/>
  <c r="P571" i="11" s="1"/>
  <c r="K222" i="11"/>
  <c r="Q571" i="11" l="1"/>
  <c r="P572" i="11" s="1"/>
  <c r="J223" i="11"/>
  <c r="Q572" i="11" l="1"/>
  <c r="P573" i="11" s="1"/>
  <c r="K223" i="11"/>
  <c r="Q573" i="11" l="1"/>
  <c r="P574" i="11" s="1"/>
  <c r="J224" i="11"/>
  <c r="Q574" i="11" l="1"/>
  <c r="P575" i="11" s="1"/>
  <c r="K224" i="11"/>
  <c r="Q575" i="11" l="1"/>
  <c r="P576" i="11" s="1"/>
  <c r="J225" i="11"/>
  <c r="Q576" i="11" l="1"/>
  <c r="P577" i="11" s="1"/>
  <c r="K225" i="11"/>
  <c r="Q577" i="11" l="1"/>
  <c r="P578" i="11" s="1"/>
  <c r="J226" i="11"/>
  <c r="Q578" i="11" l="1"/>
  <c r="P579" i="11" s="1"/>
  <c r="K226" i="11"/>
  <c r="Q579" i="11" l="1"/>
  <c r="P580" i="11" s="1"/>
  <c r="J227" i="11"/>
  <c r="Q580" i="11" l="1"/>
  <c r="P581" i="11" s="1"/>
  <c r="K227" i="11"/>
  <c r="J228" i="11" s="1"/>
  <c r="Q581" i="11" l="1"/>
  <c r="P582" i="11" s="1"/>
  <c r="K228" i="11"/>
  <c r="J229" i="11" s="1"/>
  <c r="Q582" i="11" l="1"/>
  <c r="P583" i="11" s="1"/>
  <c r="K229" i="11"/>
  <c r="Q583" i="11" l="1"/>
  <c r="P584" i="11" s="1"/>
  <c r="J230" i="11"/>
  <c r="Q584" i="11" l="1"/>
  <c r="P585" i="11" s="1"/>
  <c r="K230" i="11"/>
  <c r="Q585" i="11" l="1"/>
  <c r="P586" i="11" s="1"/>
  <c r="J231" i="11"/>
  <c r="Q586" i="11" l="1"/>
  <c r="P587" i="11" s="1"/>
  <c r="K231" i="11"/>
  <c r="Q587" i="11" l="1"/>
  <c r="P588" i="11" s="1"/>
  <c r="J232" i="11"/>
  <c r="F604" i="11"/>
  <c r="G604" i="11" s="1"/>
  <c r="Q588" i="11" l="1"/>
  <c r="P589" i="11" s="1"/>
  <c r="K232" i="11"/>
  <c r="D604" i="11"/>
  <c r="E604" i="11" s="1"/>
  <c r="Q589" i="11" l="1"/>
  <c r="P590" i="11" s="1"/>
  <c r="J233" i="11"/>
  <c r="Q590" i="11" l="1"/>
  <c r="P591" i="11" s="1"/>
  <c r="K233" i="11"/>
  <c r="Q591" i="11" l="1"/>
  <c r="P592" i="11" s="1"/>
  <c r="J234" i="11"/>
  <c r="Q592" i="11" l="1"/>
  <c r="P593" i="11" s="1"/>
  <c r="K234" i="11"/>
  <c r="Q593" i="11" l="1"/>
  <c r="P594" i="11" s="1"/>
  <c r="J235" i="11"/>
  <c r="Q594" i="11" l="1"/>
  <c r="P595" i="11" s="1"/>
  <c r="K235" i="11"/>
  <c r="Q595" i="11" l="1"/>
  <c r="P596" i="11" s="1"/>
  <c r="J236" i="11"/>
  <c r="Q596" i="11" l="1"/>
  <c r="P597" i="11" s="1"/>
  <c r="K236" i="11"/>
  <c r="Q597" i="11" l="1"/>
  <c r="P598" i="11" s="1"/>
  <c r="J237" i="11"/>
  <c r="Q598" i="11" l="1"/>
  <c r="P599" i="11" s="1"/>
  <c r="K237" i="11"/>
  <c r="Q599" i="11" l="1"/>
  <c r="P600" i="11" s="1"/>
  <c r="J238" i="11"/>
  <c r="Q600" i="11" l="1"/>
  <c r="P601" i="11" s="1"/>
  <c r="K238" i="11"/>
  <c r="Q601" i="11" l="1"/>
  <c r="P602" i="11" s="1"/>
  <c r="J239" i="11"/>
  <c r="Q602" i="11" l="1"/>
  <c r="P603" i="11" s="1"/>
  <c r="K239" i="11"/>
  <c r="J240" i="11" s="1"/>
  <c r="Q603" i="11" l="1"/>
  <c r="P604" i="11"/>
  <c r="Q604" i="11" s="1"/>
  <c r="K240" i="11"/>
  <c r="J241" i="11" l="1"/>
  <c r="K241" i="11" l="1"/>
  <c r="J242" i="11" l="1"/>
  <c r="K242" i="11" l="1"/>
  <c r="J243" i="11" l="1"/>
  <c r="K243" i="11" l="1"/>
  <c r="J244" i="11" l="1"/>
  <c r="K244" i="11" l="1"/>
  <c r="J245" i="11" l="1"/>
  <c r="K245" i="11" l="1"/>
  <c r="J246" i="11" l="1"/>
  <c r="K246" i="11" l="1"/>
  <c r="J247" i="11" l="1"/>
  <c r="K247" i="11" l="1"/>
  <c r="J248" i="11" l="1"/>
  <c r="K248" i="11" l="1"/>
  <c r="J249" i="11" l="1"/>
  <c r="K249" i="11" l="1"/>
  <c r="J250" i="11" l="1"/>
  <c r="K250" i="11" l="1"/>
  <c r="J251" i="11" l="1"/>
  <c r="K251" i="11" l="1"/>
  <c r="J252" i="11" l="1"/>
  <c r="K252" i="11" l="1"/>
  <c r="J253" i="11" s="1"/>
  <c r="K253" i="11" l="1"/>
  <c r="J254" i="11" l="1"/>
  <c r="K254" i="11" l="1"/>
  <c r="J255" i="11" l="1"/>
  <c r="K255" i="11" l="1"/>
  <c r="J256" i="11" l="1"/>
  <c r="K256" i="11" l="1"/>
  <c r="J257" i="11" s="1"/>
  <c r="K257" i="11" l="1"/>
  <c r="H604" i="11" l="1"/>
  <c r="I604" i="11" s="1"/>
  <c r="B604" i="11"/>
  <c r="C604" i="11" l="1"/>
  <c r="AD604" i="11"/>
  <c r="AE604" i="11" s="1"/>
  <c r="J604" i="11" l="1"/>
  <c r="K604" i="11" l="1"/>
  <c r="M19" i="11" l="1"/>
  <c r="L20" i="11" l="1"/>
  <c r="M20" i="11" l="1"/>
  <c r="L21" i="11" s="1"/>
  <c r="AG20" i="11"/>
  <c r="AL20" i="11" l="1"/>
  <c r="AP20" i="11"/>
  <c r="M21" i="11"/>
  <c r="L22" i="11" s="1"/>
  <c r="AG21" i="11"/>
  <c r="AM21" i="11" s="1"/>
  <c r="AN21" i="11" s="1"/>
  <c r="AM20" i="11"/>
  <c r="AN20" i="11" s="1"/>
  <c r="AL21" i="11" l="1"/>
  <c r="AP21" i="11"/>
  <c r="M22" i="11"/>
  <c r="L23" i="11" s="1"/>
  <c r="AG22" i="11"/>
  <c r="AL22" i="11" l="1"/>
  <c r="AP22" i="11"/>
  <c r="M23" i="11"/>
  <c r="AG23" i="11"/>
  <c r="AM22" i="11"/>
  <c r="AN22" i="11" s="1"/>
  <c r="L24" i="11"/>
  <c r="AL23" i="11" l="1"/>
  <c r="AP23" i="11"/>
  <c r="M24" i="11"/>
  <c r="L25" i="11" s="1"/>
  <c r="AG24" i="11"/>
  <c r="AM23" i="11"/>
  <c r="AN23" i="11" s="1"/>
  <c r="AL24" i="11" l="1"/>
  <c r="AP24" i="11"/>
  <c r="M25" i="11"/>
  <c r="AG25" i="11"/>
  <c r="L26" i="11"/>
  <c r="AG26" i="11" s="1"/>
  <c r="AM24" i="11"/>
  <c r="AN24" i="11" s="1"/>
  <c r="AL26" i="11" l="1"/>
  <c r="AP26" i="11"/>
  <c r="AL25" i="11"/>
  <c r="AP25" i="11"/>
  <c r="M26" i="11"/>
  <c r="L27" i="11" s="1"/>
  <c r="AG27" i="11" s="1"/>
  <c r="AM26" i="11"/>
  <c r="AN26" i="11" s="1"/>
  <c r="AM25" i="11"/>
  <c r="AN25" i="11" s="1"/>
  <c r="AL27" i="11" l="1"/>
  <c r="AP27" i="11"/>
  <c r="M27" i="11"/>
  <c r="L28" i="11" s="1"/>
  <c r="AG28" i="11" s="1"/>
  <c r="AL28" i="11" l="1"/>
  <c r="AP28" i="11"/>
  <c r="M28" i="11"/>
  <c r="L29" i="11" s="1"/>
  <c r="AG29" i="11" s="1"/>
  <c r="AM27" i="11"/>
  <c r="AN27" i="11" s="1"/>
  <c r="AL29" i="11" l="1"/>
  <c r="AP29" i="11"/>
  <c r="M29" i="11"/>
  <c r="AM28" i="11"/>
  <c r="AN28" i="11" s="1"/>
  <c r="L30" i="11" l="1"/>
  <c r="AG30" i="11" s="1"/>
  <c r="AM29" i="11"/>
  <c r="AN29" i="11" s="1"/>
  <c r="AL30" i="11" l="1"/>
  <c r="AP30" i="11"/>
  <c r="M30" i="11"/>
  <c r="AM30" i="11"/>
  <c r="AN30" i="11" s="1"/>
  <c r="L31" i="11" l="1"/>
  <c r="AG31" i="11" s="1"/>
  <c r="AL31" i="11" l="1"/>
  <c r="AP31" i="11"/>
  <c r="M31" i="11"/>
  <c r="AM31" i="11" l="1"/>
  <c r="AN31" i="11" s="1"/>
  <c r="L32" i="11"/>
  <c r="AG32" i="11" s="1"/>
  <c r="AL32" i="11" l="1"/>
  <c r="AP32" i="11"/>
  <c r="M32" i="11"/>
  <c r="L33" i="11" s="1"/>
  <c r="AG33" i="11" s="1"/>
  <c r="AL33" i="11" l="1"/>
  <c r="AP33" i="11"/>
  <c r="M33" i="11"/>
  <c r="AM32" i="11"/>
  <c r="AN32" i="11" s="1"/>
  <c r="AM33" i="11" l="1"/>
  <c r="AN33" i="11" s="1"/>
  <c r="L34" i="11"/>
  <c r="AG34" i="11" s="1"/>
  <c r="AL34" i="11" l="1"/>
  <c r="AP34" i="11"/>
  <c r="M34" i="11"/>
  <c r="AM34" i="11" l="1"/>
  <c r="AN34" i="11" s="1"/>
  <c r="L35" i="11"/>
  <c r="AG35" i="11" s="1"/>
  <c r="AL35" i="11" l="1"/>
  <c r="AP35" i="11"/>
  <c r="AM35" i="11"/>
  <c r="AN35" i="11" s="1"/>
  <c r="M35" i="11"/>
  <c r="L36" i="11" l="1"/>
  <c r="AG36" i="11" s="1"/>
  <c r="AL36" i="11" l="1"/>
  <c r="AP36" i="11"/>
  <c r="AM36" i="11"/>
  <c r="AN36" i="11" s="1"/>
  <c r="M36" i="11"/>
  <c r="L37" i="11" l="1"/>
  <c r="AG37" i="11" s="1"/>
  <c r="AL37" i="11" l="1"/>
  <c r="AP37" i="11"/>
  <c r="M37" i="11"/>
  <c r="AM37" i="11" l="1"/>
  <c r="AN37" i="11" s="1"/>
  <c r="L38" i="11"/>
  <c r="AG38" i="11" s="1"/>
  <c r="AL38" i="11" l="1"/>
  <c r="AP38" i="11"/>
  <c r="M38" i="11"/>
  <c r="AM38" i="11" l="1"/>
  <c r="AN38" i="11" s="1"/>
  <c r="L39" i="11"/>
  <c r="AG39" i="11" s="1"/>
  <c r="AL39" i="11" l="1"/>
  <c r="AP39" i="11"/>
  <c r="AM39" i="11"/>
  <c r="AN39" i="11" s="1"/>
  <c r="M39" i="11"/>
  <c r="L40" i="11" l="1"/>
  <c r="AG40" i="11" s="1"/>
  <c r="AL40" i="11" l="1"/>
  <c r="AP40" i="11"/>
  <c r="M40" i="11"/>
  <c r="L41" i="11" s="1"/>
  <c r="AG41" i="11" s="1"/>
  <c r="AM40" i="11"/>
  <c r="AN40" i="11" s="1"/>
  <c r="AL41" i="11" l="1"/>
  <c r="AP41" i="11"/>
  <c r="M41" i="11"/>
  <c r="AM41" i="11" l="1"/>
  <c r="AN41" i="11" s="1"/>
  <c r="L42" i="11"/>
  <c r="AG42" i="11" s="1"/>
  <c r="AL42" i="11" l="1"/>
  <c r="AP42" i="11"/>
  <c r="M42" i="11"/>
  <c r="AM42" i="11" l="1"/>
  <c r="AN42" i="11" s="1"/>
  <c r="L43" i="11"/>
  <c r="AG43" i="11" s="1"/>
  <c r="AL43" i="11" l="1"/>
  <c r="AP43" i="11"/>
  <c r="AM43" i="11"/>
  <c r="AN43" i="11" s="1"/>
  <c r="M43" i="11"/>
  <c r="L44" i="11" l="1"/>
  <c r="AG44" i="11" s="1"/>
  <c r="AL44" i="11" l="1"/>
  <c r="AP44" i="11"/>
  <c r="M44" i="11"/>
  <c r="L45" i="11" s="1"/>
  <c r="AG45" i="11" s="1"/>
  <c r="AL45" i="11" l="1"/>
  <c r="AP45" i="11"/>
  <c r="AM44" i="11"/>
  <c r="AN44" i="11" s="1"/>
  <c r="M45" i="11"/>
  <c r="L46" i="11" s="1"/>
  <c r="AG46" i="11" s="1"/>
  <c r="AL46" i="11" l="1"/>
  <c r="AP46" i="11"/>
  <c r="AM45" i="11"/>
  <c r="AN45" i="11" s="1"/>
  <c r="M46" i="11"/>
  <c r="L47" i="11" s="1"/>
  <c r="AG47" i="11" s="1"/>
  <c r="AL47" i="11" l="1"/>
  <c r="AP47" i="11"/>
  <c r="M47" i="11"/>
  <c r="L48" i="11" s="1"/>
  <c r="AG48" i="11" s="1"/>
  <c r="AM46" i="11"/>
  <c r="AN46" i="11" s="1"/>
  <c r="AL48" i="11" l="1"/>
  <c r="AP48" i="11"/>
  <c r="M48" i="11"/>
  <c r="L49" i="11" s="1"/>
  <c r="AG49" i="11" s="1"/>
  <c r="AM47" i="11"/>
  <c r="AN47" i="11" s="1"/>
  <c r="AL49" i="11" l="1"/>
  <c r="AP49" i="11"/>
  <c r="M49" i="11"/>
  <c r="AM48" i="11"/>
  <c r="AN48" i="11" s="1"/>
  <c r="AM49" i="11" l="1"/>
  <c r="AN49" i="11" s="1"/>
  <c r="L50" i="11"/>
  <c r="AG50" i="11" s="1"/>
  <c r="AL50" i="11" l="1"/>
  <c r="AP50" i="11"/>
  <c r="M50" i="11"/>
  <c r="L51" i="11" s="1"/>
  <c r="AG51" i="11" s="1"/>
  <c r="AL51" i="11" l="1"/>
  <c r="AP51" i="11"/>
  <c r="M51" i="11"/>
  <c r="L52" i="11" s="1"/>
  <c r="AG52" i="11" s="1"/>
  <c r="AM50" i="11"/>
  <c r="AN50" i="11" s="1"/>
  <c r="AL52" i="11" l="1"/>
  <c r="AP52" i="11"/>
  <c r="M52" i="11"/>
  <c r="L53" i="11" s="1"/>
  <c r="AG53" i="11" s="1"/>
  <c r="AM51" i="11"/>
  <c r="AN51" i="11" s="1"/>
  <c r="AL53" i="11" l="1"/>
  <c r="AP53" i="11"/>
  <c r="M53" i="11"/>
  <c r="L54" i="11" s="1"/>
  <c r="AG54" i="11" s="1"/>
  <c r="AM52" i="11"/>
  <c r="AN52" i="11" s="1"/>
  <c r="AL54" i="11" l="1"/>
  <c r="AP54" i="11"/>
  <c r="M54" i="11"/>
  <c r="AM53" i="11"/>
  <c r="AN53" i="11" s="1"/>
  <c r="AM54" i="11" l="1"/>
  <c r="AN54" i="11" s="1"/>
  <c r="L55" i="11"/>
  <c r="AG55" i="11" s="1"/>
  <c r="AL55" i="11" l="1"/>
  <c r="AP55" i="11"/>
  <c r="M55" i="11"/>
  <c r="AM55" i="11" l="1"/>
  <c r="AN55" i="11" s="1"/>
  <c r="L56" i="11"/>
  <c r="AG56" i="11" s="1"/>
  <c r="AL56" i="11" l="1"/>
  <c r="AP56" i="11"/>
  <c r="M56" i="11"/>
  <c r="AM56" i="11" l="1"/>
  <c r="AN56" i="11" s="1"/>
  <c r="L57" i="11"/>
  <c r="AG57" i="11" s="1"/>
  <c r="AL57" i="11" l="1"/>
  <c r="AP57" i="11"/>
  <c r="M57" i="11"/>
  <c r="AM57" i="11" l="1"/>
  <c r="AN57" i="11" s="1"/>
  <c r="L58" i="11"/>
  <c r="AG58" i="11" s="1"/>
  <c r="AL58" i="11" l="1"/>
  <c r="AP58" i="11"/>
  <c r="AM58" i="11"/>
  <c r="AN58" i="11" s="1"/>
  <c r="M58" i="11"/>
  <c r="L59" i="11" s="1"/>
  <c r="AG59" i="11" s="1"/>
  <c r="AL59" i="11" l="1"/>
  <c r="AP59" i="11"/>
  <c r="M59" i="11"/>
  <c r="AM59" i="11" l="1"/>
  <c r="AN59" i="11" s="1"/>
  <c r="L60" i="11"/>
  <c r="AG60" i="11" s="1"/>
  <c r="AL60" i="11" l="1"/>
  <c r="AP60" i="11"/>
  <c r="M60" i="11"/>
  <c r="AM60" i="11"/>
  <c r="AN60" i="11" s="1"/>
  <c r="L61" i="11" l="1"/>
  <c r="AG61" i="11" s="1"/>
  <c r="AL61" i="11" l="1"/>
  <c r="AP61" i="11"/>
  <c r="M61" i="11"/>
  <c r="AM61" i="11" l="1"/>
  <c r="AN61" i="11" s="1"/>
  <c r="L62" i="11"/>
  <c r="AG62" i="11" s="1"/>
  <c r="AL62" i="11" l="1"/>
  <c r="AP62" i="11"/>
  <c r="M62" i="11"/>
  <c r="AM62" i="11" l="1"/>
  <c r="AN62" i="11" s="1"/>
  <c r="L63" i="11"/>
  <c r="AG63" i="11" s="1"/>
  <c r="AL63" i="11" l="1"/>
  <c r="AP63" i="11"/>
  <c r="M63" i="11"/>
  <c r="AM63" i="11" l="1"/>
  <c r="AN63" i="11" s="1"/>
  <c r="L64" i="11"/>
  <c r="AG64" i="11" s="1"/>
  <c r="AL64" i="11" l="1"/>
  <c r="AP64" i="11"/>
  <c r="M64" i="11"/>
  <c r="AM64" i="11" l="1"/>
  <c r="AN64" i="11" s="1"/>
  <c r="L65" i="11"/>
  <c r="AG65" i="11" s="1"/>
  <c r="AL65" i="11" l="1"/>
  <c r="AP65" i="11"/>
  <c r="M65" i="11"/>
  <c r="AM65" i="11" l="1"/>
  <c r="AN65" i="11" s="1"/>
  <c r="L66" i="11"/>
  <c r="AG66" i="11" s="1"/>
  <c r="AL66" i="11" l="1"/>
  <c r="AP66" i="11"/>
  <c r="M66" i="11"/>
  <c r="L67" i="11" s="1"/>
  <c r="AG67" i="11" s="1"/>
  <c r="AL67" i="11" l="1"/>
  <c r="AP67" i="11"/>
  <c r="AM66" i="11"/>
  <c r="AN66" i="11" s="1"/>
  <c r="M67" i="11"/>
  <c r="L68" i="11" s="1"/>
  <c r="AG68" i="11" s="1"/>
  <c r="AL68" i="11" l="1"/>
  <c r="AP68" i="11"/>
  <c r="M68" i="11"/>
  <c r="AM67" i="11"/>
  <c r="AN67" i="11" s="1"/>
  <c r="AM68" i="11" l="1"/>
  <c r="AN68" i="11" s="1"/>
  <c r="L69" i="11"/>
  <c r="AG69" i="11" s="1"/>
  <c r="AL69" i="11" l="1"/>
  <c r="AP69" i="11"/>
  <c r="M69" i="11"/>
  <c r="AM69" i="11"/>
  <c r="AN69" i="11" s="1"/>
  <c r="L70" i="11" l="1"/>
  <c r="AG70" i="11" s="1"/>
  <c r="AL70" i="11" l="1"/>
  <c r="AP70" i="11"/>
  <c r="M70" i="11"/>
  <c r="AM70" i="11" l="1"/>
  <c r="AN70" i="11" s="1"/>
  <c r="L71" i="11"/>
  <c r="AG71" i="11" s="1"/>
  <c r="AL71" i="11" l="1"/>
  <c r="AP71" i="11"/>
  <c r="M71" i="11"/>
  <c r="AM71" i="11" l="1"/>
  <c r="AN71" i="11" s="1"/>
  <c r="L72" i="11"/>
  <c r="AG72" i="11" s="1"/>
  <c r="AL72" i="11" l="1"/>
  <c r="AP72" i="11"/>
  <c r="M72" i="11"/>
  <c r="L73" i="11" s="1"/>
  <c r="AG73" i="11" s="1"/>
  <c r="AL73" i="11" l="1"/>
  <c r="AP73" i="11"/>
  <c r="M73" i="11"/>
  <c r="AM72" i="11"/>
  <c r="AN72" i="11" s="1"/>
  <c r="AM73" i="11" l="1"/>
  <c r="AN73" i="11" s="1"/>
  <c r="L74" i="11"/>
  <c r="AG74" i="11" s="1"/>
  <c r="AL74" i="11" l="1"/>
  <c r="AP74" i="11"/>
  <c r="M74" i="11"/>
  <c r="AM74" i="11"/>
  <c r="AN74" i="11" s="1"/>
  <c r="L75" i="11" l="1"/>
  <c r="AG75" i="11" s="1"/>
  <c r="AL75" i="11" l="1"/>
  <c r="AP75" i="11"/>
  <c r="AM75" i="11"/>
  <c r="AN75" i="11" s="1"/>
  <c r="M75" i="11"/>
  <c r="L76" i="11" s="1"/>
  <c r="AG76" i="11" s="1"/>
  <c r="AL76" i="11" l="1"/>
  <c r="AP76" i="11"/>
  <c r="M76" i="11"/>
  <c r="AM76" i="11" l="1"/>
  <c r="AN76" i="11" s="1"/>
  <c r="L77" i="11"/>
  <c r="AG77" i="11" s="1"/>
  <c r="AL77" i="11" l="1"/>
  <c r="AP77" i="11"/>
  <c r="M77" i="11"/>
  <c r="L78" i="11" s="1"/>
  <c r="AG78" i="11" s="1"/>
  <c r="AL78" i="11" l="1"/>
  <c r="AP78" i="11"/>
  <c r="M78" i="11"/>
  <c r="L79" i="11" s="1"/>
  <c r="AG79" i="11" s="1"/>
  <c r="AM77" i="11"/>
  <c r="AN77" i="11" s="1"/>
  <c r="AL79" i="11" l="1"/>
  <c r="AP79" i="11"/>
  <c r="M79" i="11"/>
  <c r="AM78" i="11"/>
  <c r="AN78" i="11" s="1"/>
  <c r="AM79" i="11" l="1"/>
  <c r="AN79" i="11" s="1"/>
  <c r="L80" i="11"/>
  <c r="AG80" i="11" s="1"/>
  <c r="AL80" i="11" l="1"/>
  <c r="AP80" i="11"/>
  <c r="M80" i="11"/>
  <c r="AM80" i="11" l="1"/>
  <c r="AN80" i="11" s="1"/>
  <c r="L81" i="11"/>
  <c r="AG81" i="11" s="1"/>
  <c r="AL81" i="11" l="1"/>
  <c r="AP81" i="11"/>
  <c r="M81" i="11"/>
  <c r="AM81" i="11" l="1"/>
  <c r="AN81" i="11" s="1"/>
  <c r="L82" i="11"/>
  <c r="AG82" i="11" s="1"/>
  <c r="AL82" i="11" l="1"/>
  <c r="AP82" i="11"/>
  <c r="M82" i="11"/>
  <c r="AM82" i="11" l="1"/>
  <c r="AN82" i="11" s="1"/>
  <c r="L83" i="11"/>
  <c r="AG83" i="11" s="1"/>
  <c r="AL83" i="11" l="1"/>
  <c r="AP83" i="11"/>
  <c r="M83" i="11"/>
  <c r="AM83" i="11"/>
  <c r="AN83" i="11" s="1"/>
  <c r="L84" i="11" l="1"/>
  <c r="AG84" i="11" s="1"/>
  <c r="AL84" i="11" l="1"/>
  <c r="AP84" i="11"/>
  <c r="M84" i="11"/>
  <c r="AM84" i="11" l="1"/>
  <c r="AN84" i="11" s="1"/>
  <c r="L85" i="11"/>
  <c r="AG85" i="11" s="1"/>
  <c r="AL85" i="11" l="1"/>
  <c r="AP85" i="11"/>
  <c r="M85" i="11"/>
  <c r="AM85" i="11" l="1"/>
  <c r="AN85" i="11" s="1"/>
  <c r="L86" i="11"/>
  <c r="AG86" i="11" s="1"/>
  <c r="AL86" i="11" l="1"/>
  <c r="AP86" i="11"/>
  <c r="M86" i="11"/>
  <c r="AM86" i="11" l="1"/>
  <c r="AN86" i="11" s="1"/>
  <c r="L87" i="11"/>
  <c r="AG87" i="11" s="1"/>
  <c r="AL87" i="11" l="1"/>
  <c r="AP87" i="11"/>
  <c r="M87" i="11"/>
  <c r="AM87" i="11"/>
  <c r="AN87" i="11" s="1"/>
  <c r="L88" i="11" l="1"/>
  <c r="AG88" i="11" s="1"/>
  <c r="AL88" i="11" l="1"/>
  <c r="AP88" i="11"/>
  <c r="AM88" i="11"/>
  <c r="AN88" i="11" s="1"/>
  <c r="M88" i="11"/>
  <c r="L89" i="11" l="1"/>
  <c r="AG89" i="11" s="1"/>
  <c r="AL89" i="11" l="1"/>
  <c r="AP89" i="11"/>
  <c r="M89" i="11"/>
  <c r="AM89" i="11" l="1"/>
  <c r="AN89" i="11" s="1"/>
  <c r="L90" i="11"/>
  <c r="AG90" i="11" s="1"/>
  <c r="AL90" i="11" l="1"/>
  <c r="AP90" i="11"/>
  <c r="AM90" i="11"/>
  <c r="AN90" i="11" s="1"/>
  <c r="M90" i="11"/>
  <c r="L91" i="11" l="1"/>
  <c r="AG91" i="11" s="1"/>
  <c r="AL91" i="11" l="1"/>
  <c r="AP91" i="11"/>
  <c r="M91" i="11"/>
  <c r="L92" i="11" s="1"/>
  <c r="AG92" i="11" s="1"/>
  <c r="AL92" i="11" l="1"/>
  <c r="AP92" i="11"/>
  <c r="M92" i="11"/>
  <c r="AM91" i="11"/>
  <c r="AN91" i="11" s="1"/>
  <c r="AM92" i="11" l="1"/>
  <c r="AN92" i="11" s="1"/>
  <c r="L93" i="11"/>
  <c r="AG93" i="11" s="1"/>
  <c r="AL93" i="11" l="1"/>
  <c r="AP93" i="11"/>
  <c r="AM93" i="11"/>
  <c r="AN93" i="11" s="1"/>
  <c r="M93" i="11"/>
  <c r="L94" i="11" l="1"/>
  <c r="AG94" i="11" s="1"/>
  <c r="AL94" i="11" l="1"/>
  <c r="AP94" i="11"/>
  <c r="M94" i="11"/>
  <c r="L95" i="11" s="1"/>
  <c r="AG95" i="11" s="1"/>
  <c r="AL95" i="11" l="1"/>
  <c r="AP95" i="11"/>
  <c r="AM94" i="11"/>
  <c r="AN94" i="11" s="1"/>
  <c r="M95" i="11"/>
  <c r="AM95" i="11" l="1"/>
  <c r="AN95" i="11" s="1"/>
  <c r="L96" i="11"/>
  <c r="AG96" i="11" s="1"/>
  <c r="AL96" i="11" l="1"/>
  <c r="AP96" i="11"/>
  <c r="AM96" i="11"/>
  <c r="AN96" i="11" s="1"/>
  <c r="M96" i="11"/>
  <c r="L97" i="11" l="1"/>
  <c r="AG97" i="11" s="1"/>
  <c r="AL97" i="11" l="1"/>
  <c r="AP97" i="11"/>
  <c r="M97" i="11"/>
  <c r="AM97" i="11" l="1"/>
  <c r="AN97" i="11" s="1"/>
  <c r="L98" i="11"/>
  <c r="AG98" i="11" s="1"/>
  <c r="AL98" i="11" l="1"/>
  <c r="AP98" i="11"/>
  <c r="M98" i="11"/>
  <c r="L99" i="11" s="1"/>
  <c r="AG99" i="11" s="1"/>
  <c r="AL99" i="11" l="1"/>
  <c r="AP99" i="11"/>
  <c r="AM98" i="11"/>
  <c r="AN98" i="11" s="1"/>
  <c r="M99" i="11"/>
  <c r="L100" i="11" l="1"/>
  <c r="AG100" i="11" s="1"/>
  <c r="AM99" i="11"/>
  <c r="AN99" i="11" s="1"/>
  <c r="AL100" i="11" l="1"/>
  <c r="AP100" i="11"/>
  <c r="M100" i="11"/>
  <c r="L101" i="11" s="1"/>
  <c r="AG101" i="11" s="1"/>
  <c r="AL101" i="11" l="1"/>
  <c r="AP101" i="11"/>
  <c r="M101" i="11"/>
  <c r="L102" i="11" s="1"/>
  <c r="AG102" i="11" s="1"/>
  <c r="AM100" i="11"/>
  <c r="AN100" i="11" s="1"/>
  <c r="AL102" i="11" l="1"/>
  <c r="AP102" i="11"/>
  <c r="AM101" i="11"/>
  <c r="AN101" i="11" s="1"/>
  <c r="M102" i="11"/>
  <c r="AM102" i="11" l="1"/>
  <c r="AN102" i="11" s="1"/>
  <c r="L103" i="11"/>
  <c r="AG103" i="11" s="1"/>
  <c r="AL103" i="11" l="1"/>
  <c r="AP103" i="11"/>
  <c r="M103" i="11"/>
  <c r="AM103" i="11" l="1"/>
  <c r="AN103" i="11" s="1"/>
  <c r="L104" i="11"/>
  <c r="AG104" i="11" s="1"/>
  <c r="AL104" i="11" l="1"/>
  <c r="AP104" i="11"/>
  <c r="AM104" i="11"/>
  <c r="AN104" i="11" s="1"/>
  <c r="M104" i="11"/>
  <c r="L105" i="11" l="1"/>
  <c r="AG105" i="11" s="1"/>
  <c r="AL105" i="11" l="1"/>
  <c r="AP105" i="11"/>
  <c r="AM105" i="11"/>
  <c r="AN105" i="11" s="1"/>
  <c r="M105" i="11"/>
  <c r="L106" i="11" s="1"/>
  <c r="AG106" i="11" s="1"/>
  <c r="AL106" i="11" l="1"/>
  <c r="AP106" i="11"/>
  <c r="M106" i="11"/>
  <c r="AM106" i="11" l="1"/>
  <c r="AN106" i="11" s="1"/>
  <c r="L107" i="11"/>
  <c r="AG107" i="11" s="1"/>
  <c r="AL107" i="11" l="1"/>
  <c r="AP107" i="11"/>
  <c r="M107" i="11"/>
  <c r="AM107" i="11" l="1"/>
  <c r="AN107" i="11" s="1"/>
  <c r="L108" i="11"/>
  <c r="AG108" i="11" s="1"/>
  <c r="AL108" i="11" l="1"/>
  <c r="AP108" i="11"/>
  <c r="M108" i="11"/>
  <c r="AM108" i="11"/>
  <c r="AN108" i="11" s="1"/>
  <c r="L109" i="11" l="1"/>
  <c r="AG109" i="11" s="1"/>
  <c r="AL109" i="11" l="1"/>
  <c r="AP109" i="11"/>
  <c r="M109" i="11"/>
  <c r="AM109" i="11" l="1"/>
  <c r="AN109" i="11" s="1"/>
  <c r="L110" i="11"/>
  <c r="AG110" i="11" s="1"/>
  <c r="AL110" i="11" l="1"/>
  <c r="AP110" i="11"/>
  <c r="M110" i="11"/>
  <c r="AM110" i="11" l="1"/>
  <c r="AN110" i="11" s="1"/>
  <c r="L111" i="11"/>
  <c r="AG111" i="11" s="1"/>
  <c r="AL111" i="11" l="1"/>
  <c r="AP111" i="11"/>
  <c r="AM111" i="11"/>
  <c r="AN111" i="11" s="1"/>
  <c r="M111" i="11"/>
  <c r="L112" i="11" l="1"/>
  <c r="AG112" i="11" s="1"/>
  <c r="AL112" i="11" l="1"/>
  <c r="AP112" i="11"/>
  <c r="M112" i="11"/>
  <c r="L113" i="11" s="1"/>
  <c r="AG113" i="11" s="1"/>
  <c r="AL113" i="11" l="1"/>
  <c r="AP113" i="11"/>
  <c r="M113" i="11"/>
  <c r="L114" i="11" s="1"/>
  <c r="AG114" i="11" s="1"/>
  <c r="AM112" i="11"/>
  <c r="AN112" i="11" s="1"/>
  <c r="AL114" i="11" l="1"/>
  <c r="AP114" i="11"/>
  <c r="AM113" i="11"/>
  <c r="AN113" i="11" s="1"/>
  <c r="M114" i="11"/>
  <c r="L115" i="11" s="1"/>
  <c r="AG115" i="11" s="1"/>
  <c r="AL115" i="11" l="1"/>
  <c r="AP115" i="11"/>
  <c r="M115" i="11"/>
  <c r="L116" i="11" s="1"/>
  <c r="AG116" i="11" s="1"/>
  <c r="AM114" i="11"/>
  <c r="AN114" i="11" s="1"/>
  <c r="AL116" i="11" l="1"/>
  <c r="AP116" i="11"/>
  <c r="AM115" i="11"/>
  <c r="AN115" i="11" s="1"/>
  <c r="M116" i="11"/>
  <c r="L117" i="11" l="1"/>
  <c r="AG117" i="11" s="1"/>
  <c r="AM116" i="11"/>
  <c r="AN116" i="11" s="1"/>
  <c r="AL117" i="11" l="1"/>
  <c r="AP117" i="11"/>
  <c r="M117" i="11"/>
  <c r="AM117" i="11" l="1"/>
  <c r="AN117" i="11" s="1"/>
  <c r="L118" i="11"/>
  <c r="AG118" i="11" s="1"/>
  <c r="AL118" i="11" l="1"/>
  <c r="AP118" i="11"/>
  <c r="M118" i="11"/>
  <c r="AM118" i="11" l="1"/>
  <c r="AN118" i="11" s="1"/>
  <c r="L119" i="11"/>
  <c r="AG119" i="11" s="1"/>
  <c r="AL119" i="11" l="1"/>
  <c r="AP119" i="11"/>
  <c r="M119" i="11"/>
  <c r="AM119" i="11" l="1"/>
  <c r="AN119" i="11" s="1"/>
  <c r="L120" i="11"/>
  <c r="AG120" i="11" s="1"/>
  <c r="AL120" i="11" l="1"/>
  <c r="AP120" i="11"/>
  <c r="M120" i="11"/>
  <c r="AM120" i="11" l="1"/>
  <c r="AN120" i="11" s="1"/>
  <c r="L121" i="11"/>
  <c r="AG121" i="11" s="1"/>
  <c r="AL121" i="11" l="1"/>
  <c r="AP121" i="11"/>
  <c r="M121" i="11"/>
  <c r="L122" i="11" s="1"/>
  <c r="AG122" i="11" s="1"/>
  <c r="AL122" i="11" l="1"/>
  <c r="AP122" i="11"/>
  <c r="M122" i="11"/>
  <c r="AM121" i="11"/>
  <c r="AN121" i="11" s="1"/>
  <c r="AM122" i="11" l="1"/>
  <c r="AN122" i="11" s="1"/>
  <c r="L123" i="11"/>
  <c r="AG123" i="11" s="1"/>
  <c r="AL123" i="11" l="1"/>
  <c r="AP123" i="11"/>
  <c r="M123" i="11"/>
  <c r="AM123" i="11" l="1"/>
  <c r="AN123" i="11" s="1"/>
  <c r="L124" i="11"/>
  <c r="AG124" i="11" s="1"/>
  <c r="AL124" i="11" l="1"/>
  <c r="AP124" i="11"/>
  <c r="M124" i="11"/>
  <c r="AM124" i="11" l="1"/>
  <c r="AN124" i="11" s="1"/>
  <c r="L125" i="11"/>
  <c r="AG125" i="11" s="1"/>
  <c r="AL125" i="11" l="1"/>
  <c r="AP125" i="11"/>
  <c r="M125" i="11"/>
  <c r="AM125" i="11" l="1"/>
  <c r="AN125" i="11" s="1"/>
  <c r="L126" i="11"/>
  <c r="AG126" i="11" s="1"/>
  <c r="AL126" i="11" l="1"/>
  <c r="AP126" i="11"/>
  <c r="M126" i="11"/>
  <c r="AM126" i="11" l="1"/>
  <c r="AN126" i="11" s="1"/>
  <c r="L127" i="11"/>
  <c r="AG127" i="11" s="1"/>
  <c r="AL127" i="11" l="1"/>
  <c r="AP127" i="11"/>
  <c r="M127" i="11"/>
  <c r="AM127" i="11" l="1"/>
  <c r="AN127" i="11" s="1"/>
  <c r="L128" i="11"/>
  <c r="AG128" i="11" s="1"/>
  <c r="AL128" i="11" l="1"/>
  <c r="AP128" i="11"/>
  <c r="M128" i="11"/>
  <c r="AM128" i="11" l="1"/>
  <c r="AN128" i="11" s="1"/>
  <c r="L129" i="11"/>
  <c r="AG129" i="11" s="1"/>
  <c r="AL129" i="11" l="1"/>
  <c r="AP129" i="11"/>
  <c r="M129" i="11"/>
  <c r="AM129" i="11" l="1"/>
  <c r="AN129" i="11" s="1"/>
  <c r="L130" i="11"/>
  <c r="AG130" i="11" s="1"/>
  <c r="AL130" i="11" l="1"/>
  <c r="AP130" i="11"/>
  <c r="M130" i="11"/>
  <c r="AM130" i="11" l="1"/>
  <c r="AN130" i="11" s="1"/>
  <c r="L131" i="11"/>
  <c r="AG131" i="11" s="1"/>
  <c r="AL131" i="11" l="1"/>
  <c r="AP131" i="11"/>
  <c r="M131" i="11"/>
  <c r="AM131" i="11" l="1"/>
  <c r="AN131" i="11" s="1"/>
  <c r="L132" i="11"/>
  <c r="AG132" i="11" s="1"/>
  <c r="AL132" i="11" l="1"/>
  <c r="AP132" i="11"/>
  <c r="AM132" i="11"/>
  <c r="AN132" i="11" s="1"/>
  <c r="M132" i="11"/>
  <c r="L133" i="11" l="1"/>
  <c r="AG133" i="11" s="1"/>
  <c r="AL133" i="11" l="1"/>
  <c r="AP133" i="11"/>
  <c r="M133" i="11"/>
  <c r="AM133" i="11" l="1"/>
  <c r="AN133" i="11" s="1"/>
  <c r="L134" i="11"/>
  <c r="AG134" i="11" s="1"/>
  <c r="AL134" i="11" l="1"/>
  <c r="AP134" i="11"/>
  <c r="M134" i="11"/>
  <c r="AM134" i="11" l="1"/>
  <c r="AN134" i="11" s="1"/>
  <c r="L135" i="11"/>
  <c r="AG135" i="11" s="1"/>
  <c r="AL135" i="11" l="1"/>
  <c r="AP135" i="11"/>
  <c r="M135" i="11"/>
  <c r="AM135" i="11" l="1"/>
  <c r="AN135" i="11" s="1"/>
  <c r="L136" i="11"/>
  <c r="AG136" i="11" s="1"/>
  <c r="AL136" i="11" l="1"/>
  <c r="AP136" i="11"/>
  <c r="M136" i="11"/>
  <c r="AM136" i="11" l="1"/>
  <c r="AN136" i="11" s="1"/>
  <c r="L137" i="11"/>
  <c r="AG137" i="11" s="1"/>
  <c r="AL137" i="11" l="1"/>
  <c r="AP137" i="11"/>
  <c r="M137" i="11"/>
  <c r="AM137" i="11" l="1"/>
  <c r="AN137" i="11" s="1"/>
  <c r="L138" i="11"/>
  <c r="AG138" i="11" s="1"/>
  <c r="AL138" i="11" l="1"/>
  <c r="AP138" i="11"/>
  <c r="M138" i="11"/>
  <c r="AM138" i="11" l="1"/>
  <c r="AN138" i="11" s="1"/>
  <c r="L139" i="11"/>
  <c r="AG139" i="11" s="1"/>
  <c r="AL139" i="11" l="1"/>
  <c r="AP139" i="11"/>
  <c r="M139" i="11"/>
  <c r="AM139" i="11" l="1"/>
  <c r="AN139" i="11" s="1"/>
  <c r="L140" i="11"/>
  <c r="AG140" i="11" s="1"/>
  <c r="AL140" i="11" l="1"/>
  <c r="AP140" i="11"/>
  <c r="M140" i="11"/>
  <c r="AM140" i="11" l="1"/>
  <c r="AN140" i="11" s="1"/>
  <c r="L141" i="11"/>
  <c r="AG141" i="11" s="1"/>
  <c r="AL141" i="11" l="1"/>
  <c r="AP141" i="11"/>
  <c r="M141" i="11"/>
  <c r="AM141" i="11"/>
  <c r="AN141" i="11" s="1"/>
  <c r="L142" i="11" l="1"/>
  <c r="AG142" i="11" s="1"/>
  <c r="AL142" i="11" l="1"/>
  <c r="AP142" i="11"/>
  <c r="M142" i="11"/>
  <c r="AM142" i="11" l="1"/>
  <c r="AN142" i="11" s="1"/>
  <c r="L143" i="11"/>
  <c r="AG143" i="11" s="1"/>
  <c r="AL143" i="11" l="1"/>
  <c r="AP143" i="11"/>
  <c r="M143" i="11"/>
  <c r="L144" i="11" s="1"/>
  <c r="AG144" i="11" s="1"/>
  <c r="AL144" i="11" l="1"/>
  <c r="AP144" i="11"/>
  <c r="M144" i="11"/>
  <c r="AM143" i="11"/>
  <c r="AN143" i="11" s="1"/>
  <c r="AM144" i="11" l="1"/>
  <c r="AN144" i="11" s="1"/>
  <c r="L145" i="11"/>
  <c r="AG145" i="11" s="1"/>
  <c r="AL145" i="11" l="1"/>
  <c r="AP145" i="11"/>
  <c r="AM145" i="11"/>
  <c r="AN145" i="11" s="1"/>
  <c r="M145" i="11"/>
  <c r="L146" i="11" l="1"/>
  <c r="AG146" i="11" s="1"/>
  <c r="AL146" i="11" l="1"/>
  <c r="AP146" i="11"/>
  <c r="M146" i="11"/>
  <c r="AM146" i="11"/>
  <c r="AN146" i="11" s="1"/>
  <c r="L147" i="11" l="1"/>
  <c r="AG147" i="11" s="1"/>
  <c r="AL147" i="11" l="1"/>
  <c r="AP147" i="11"/>
  <c r="M147" i="11"/>
  <c r="AM147" i="11" l="1"/>
  <c r="AN147" i="11" s="1"/>
  <c r="L148" i="11"/>
  <c r="AG148" i="11" s="1"/>
  <c r="AL148" i="11" l="1"/>
  <c r="AP148" i="11"/>
  <c r="AM148" i="11"/>
  <c r="AN148" i="11" s="1"/>
  <c r="M148" i="11"/>
  <c r="L149" i="11" l="1"/>
  <c r="AG149" i="11" s="1"/>
  <c r="AL149" i="11" l="1"/>
  <c r="AP149" i="11"/>
  <c r="M149" i="11"/>
  <c r="AM149" i="11" l="1"/>
  <c r="AN149" i="11" s="1"/>
  <c r="L150" i="11"/>
  <c r="AG150" i="11" s="1"/>
  <c r="AL150" i="11" l="1"/>
  <c r="AP150" i="11"/>
  <c r="M150" i="11"/>
  <c r="AM150" i="11"/>
  <c r="AN150" i="11" s="1"/>
  <c r="L151" i="11" l="1"/>
  <c r="AG151" i="11" s="1"/>
  <c r="AL151" i="11" l="1"/>
  <c r="AP151" i="11"/>
  <c r="M151" i="11"/>
  <c r="AM151" i="11" l="1"/>
  <c r="AN151" i="11" s="1"/>
  <c r="L152" i="11"/>
  <c r="AG152" i="11" s="1"/>
  <c r="AL152" i="11" l="1"/>
  <c r="AP152" i="11"/>
  <c r="M152" i="11"/>
  <c r="AM152" i="11" l="1"/>
  <c r="AN152" i="11" s="1"/>
  <c r="L153" i="11"/>
  <c r="AG153" i="11" s="1"/>
  <c r="AL153" i="11" l="1"/>
  <c r="AP153" i="11"/>
  <c r="AM153" i="11"/>
  <c r="AN153" i="11" s="1"/>
  <c r="M153" i="11"/>
  <c r="L154" i="11" l="1"/>
  <c r="AG154" i="11" s="1"/>
  <c r="AL154" i="11" l="1"/>
  <c r="AP154" i="11"/>
  <c r="M154" i="11"/>
  <c r="L155" i="11" s="1"/>
  <c r="AG155" i="11" s="1"/>
  <c r="AL155" i="11" l="1"/>
  <c r="AP155" i="11"/>
  <c r="M155" i="11"/>
  <c r="AM154" i="11"/>
  <c r="AN154" i="11" s="1"/>
  <c r="AM155" i="11" l="1"/>
  <c r="AN155" i="11" s="1"/>
  <c r="L156" i="11"/>
  <c r="AG156" i="11" s="1"/>
  <c r="AL156" i="11" l="1"/>
  <c r="AP156" i="11"/>
  <c r="M156" i="11"/>
  <c r="AM156" i="11" l="1"/>
  <c r="AN156" i="11" s="1"/>
  <c r="L157" i="11"/>
  <c r="AG157" i="11" s="1"/>
  <c r="AL157" i="11" l="1"/>
  <c r="AP157" i="11"/>
  <c r="M157" i="11"/>
  <c r="AM157" i="11" l="1"/>
  <c r="AN157" i="11" s="1"/>
  <c r="L158" i="11"/>
  <c r="AG158" i="11" s="1"/>
  <c r="AL158" i="11" l="1"/>
  <c r="AP158" i="11"/>
  <c r="AM158" i="11"/>
  <c r="AN158" i="11" s="1"/>
  <c r="M158" i="11"/>
  <c r="L159" i="11" l="1"/>
  <c r="AG159" i="11" s="1"/>
  <c r="AL159" i="11" l="1"/>
  <c r="AP159" i="11"/>
  <c r="M159" i="11"/>
  <c r="L160" i="11" s="1"/>
  <c r="AG160" i="11" s="1"/>
  <c r="AL160" i="11" l="1"/>
  <c r="AP160" i="11"/>
  <c r="M160" i="11"/>
  <c r="AM159" i="11"/>
  <c r="AN159" i="11" s="1"/>
  <c r="L161" i="11" l="1"/>
  <c r="AM160" i="11"/>
  <c r="AN160" i="11" s="1"/>
  <c r="AG161" i="11" l="1"/>
  <c r="M161" i="11"/>
  <c r="L162" i="11" s="1"/>
  <c r="AM161" i="11" l="1"/>
  <c r="AN161" i="11" s="1"/>
  <c r="AL161" i="11"/>
  <c r="AP161" i="11"/>
  <c r="M162" i="11"/>
  <c r="L163" i="11" s="1"/>
  <c r="AG163" i="11" s="1"/>
  <c r="AG162" i="11"/>
  <c r="AM162" i="11" s="1"/>
  <c r="AN162" i="11" s="1"/>
  <c r="AL163" i="11" l="1"/>
  <c r="AP163" i="11"/>
  <c r="AL162" i="11"/>
  <c r="AP162" i="11"/>
  <c r="M163" i="11"/>
  <c r="L164" i="11" s="1"/>
  <c r="AG164" i="11" s="1"/>
  <c r="AL164" i="11" l="1"/>
  <c r="AP164" i="11"/>
  <c r="M164" i="11"/>
  <c r="AM163" i="11"/>
  <c r="AN163" i="11" s="1"/>
  <c r="AM164" i="11" l="1"/>
  <c r="AN164" i="11" s="1"/>
  <c r="L165" i="11"/>
  <c r="AG165" i="11" s="1"/>
  <c r="AL165" i="11" l="1"/>
  <c r="AP165" i="11"/>
  <c r="M165" i="11"/>
  <c r="AM165" i="11" l="1"/>
  <c r="AN165" i="11" s="1"/>
  <c r="L166" i="11"/>
  <c r="AG166" i="11" s="1"/>
  <c r="AL166" i="11" l="1"/>
  <c r="AP166" i="11"/>
  <c r="M166" i="11"/>
  <c r="L167" i="11" l="1"/>
  <c r="AG167" i="11" s="1"/>
  <c r="AM166" i="11"/>
  <c r="AN166" i="11" s="1"/>
  <c r="AL167" i="11" l="1"/>
  <c r="AP167" i="11"/>
  <c r="M167" i="11"/>
  <c r="AM167" i="11" l="1"/>
  <c r="AN167" i="11" s="1"/>
  <c r="L168" i="11"/>
  <c r="AG168" i="11" s="1"/>
  <c r="AL168" i="11" l="1"/>
  <c r="AP168" i="11"/>
  <c r="M168" i="11"/>
  <c r="AM168" i="11"/>
  <c r="AN168" i="11" s="1"/>
  <c r="L169" i="11" l="1"/>
  <c r="AG169" i="11" s="1"/>
  <c r="AL169" i="11" l="1"/>
  <c r="AP169" i="11"/>
  <c r="M169" i="11"/>
  <c r="AM169" i="11" l="1"/>
  <c r="AN169" i="11" s="1"/>
  <c r="L170" i="11"/>
  <c r="AG170" i="11" s="1"/>
  <c r="AL170" i="11" l="1"/>
  <c r="AP170" i="11"/>
  <c r="M170" i="11"/>
  <c r="AM170" i="11" l="1"/>
  <c r="AN170" i="11" s="1"/>
  <c r="L171" i="11"/>
  <c r="AG171" i="11" s="1"/>
  <c r="AL171" i="11" l="1"/>
  <c r="AP171" i="11"/>
  <c r="M171" i="11"/>
  <c r="AM171" i="11"/>
  <c r="AN171" i="11" s="1"/>
  <c r="L172" i="11" l="1"/>
  <c r="AG172" i="11" s="1"/>
  <c r="AL172" i="11" l="1"/>
  <c r="AP172" i="11"/>
  <c r="M172" i="11"/>
  <c r="AM172" i="11"/>
  <c r="AN172" i="11" s="1"/>
  <c r="L173" i="11" l="1"/>
  <c r="AG173" i="11" s="1"/>
  <c r="AL173" i="11" l="1"/>
  <c r="AP173" i="11"/>
  <c r="M173" i="11"/>
  <c r="AM173" i="11"/>
  <c r="AN173" i="11" s="1"/>
  <c r="L174" i="11" l="1"/>
  <c r="AG174" i="11" s="1"/>
  <c r="AL174" i="11" l="1"/>
  <c r="AP174" i="11"/>
  <c r="AM174" i="11"/>
  <c r="AN174" i="11" s="1"/>
  <c r="M174" i="11"/>
  <c r="L175" i="11" l="1"/>
  <c r="AG175" i="11" s="1"/>
  <c r="AL175" i="11" l="1"/>
  <c r="AP175" i="11"/>
  <c r="M175" i="11"/>
  <c r="AM175" i="11" l="1"/>
  <c r="AN175" i="11" s="1"/>
  <c r="L176" i="11"/>
  <c r="AG176" i="11" s="1"/>
  <c r="AL176" i="11" l="1"/>
  <c r="AP176" i="11"/>
  <c r="M176" i="11"/>
  <c r="AM176" i="11" l="1"/>
  <c r="AN176" i="11" s="1"/>
  <c r="L177" i="11"/>
  <c r="AG177" i="11" s="1"/>
  <c r="AL177" i="11" l="1"/>
  <c r="AP177" i="11"/>
  <c r="M177" i="11"/>
  <c r="AM177" i="11" l="1"/>
  <c r="AN177" i="11" s="1"/>
  <c r="L178" i="11"/>
  <c r="AG178" i="11" s="1"/>
  <c r="AL178" i="11" l="1"/>
  <c r="AP178" i="11"/>
  <c r="M178" i="11"/>
  <c r="AM178" i="11" l="1"/>
  <c r="AN178" i="11" s="1"/>
  <c r="L179" i="11"/>
  <c r="AG179" i="11" s="1"/>
  <c r="AL179" i="11" l="1"/>
  <c r="AP179" i="11"/>
  <c r="M179" i="11"/>
  <c r="AM179" i="11" l="1"/>
  <c r="AN179" i="11" s="1"/>
  <c r="L180" i="11"/>
  <c r="AG180" i="11" s="1"/>
  <c r="AL180" i="11" l="1"/>
  <c r="AP180" i="11"/>
  <c r="M180" i="11"/>
  <c r="AM180" i="11" l="1"/>
  <c r="AN180" i="11" s="1"/>
  <c r="L181" i="11"/>
  <c r="AG181" i="11" s="1"/>
  <c r="AL181" i="11" l="1"/>
  <c r="AP181" i="11"/>
  <c r="M181" i="11"/>
  <c r="AM181" i="11" l="1"/>
  <c r="AN181" i="11" s="1"/>
  <c r="L182" i="11"/>
  <c r="AG182" i="11" s="1"/>
  <c r="AL182" i="11" l="1"/>
  <c r="AP182" i="11"/>
  <c r="AM182" i="11"/>
  <c r="AN182" i="11" s="1"/>
  <c r="M182" i="11"/>
  <c r="L183" i="11" l="1"/>
  <c r="AG183" i="11" s="1"/>
  <c r="AL183" i="11" l="1"/>
  <c r="AP183" i="11"/>
  <c r="M183" i="11"/>
  <c r="AM183" i="11" l="1"/>
  <c r="AN183" i="11" s="1"/>
  <c r="L184" i="11"/>
  <c r="AG184" i="11" s="1"/>
  <c r="AL184" i="11" l="1"/>
  <c r="AP184" i="11"/>
  <c r="M184" i="11"/>
  <c r="AM184" i="11" l="1"/>
  <c r="AN184" i="11" s="1"/>
  <c r="L185" i="11"/>
  <c r="AG185" i="11" s="1"/>
  <c r="AL185" i="11" l="1"/>
  <c r="AP185" i="11"/>
  <c r="M185" i="11"/>
  <c r="L186" i="11" s="1"/>
  <c r="AG186" i="11" s="1"/>
  <c r="AL186" i="11" l="1"/>
  <c r="AP186" i="11"/>
  <c r="M186" i="11"/>
  <c r="AM185" i="11"/>
  <c r="AN185" i="11" s="1"/>
  <c r="AM186" i="11" l="1"/>
  <c r="AN186" i="11" s="1"/>
  <c r="L187" i="11"/>
  <c r="AG187" i="11" s="1"/>
  <c r="AL187" i="11" l="1"/>
  <c r="AP187" i="11"/>
  <c r="M187" i="11"/>
  <c r="AM187" i="11" l="1"/>
  <c r="AN187" i="11" s="1"/>
  <c r="L188" i="11"/>
  <c r="AG188" i="11" s="1"/>
  <c r="AL188" i="11" l="1"/>
  <c r="AP188" i="11"/>
  <c r="M188" i="11"/>
  <c r="AM188" i="11" l="1"/>
  <c r="AN188" i="11" s="1"/>
  <c r="L189" i="11"/>
  <c r="AG189" i="11" s="1"/>
  <c r="AL189" i="11" l="1"/>
  <c r="AP189" i="11"/>
  <c r="AM189" i="11"/>
  <c r="AN189" i="11" s="1"/>
  <c r="M189" i="11"/>
  <c r="L190" i="11" l="1"/>
  <c r="AG190" i="11" s="1"/>
  <c r="AL190" i="11" l="1"/>
  <c r="AP190" i="11"/>
  <c r="M190" i="11"/>
  <c r="AM190" i="11" l="1"/>
  <c r="AN190" i="11" s="1"/>
  <c r="L191" i="11"/>
  <c r="AG191" i="11" s="1"/>
  <c r="AL191" i="11" l="1"/>
  <c r="AP191" i="11"/>
  <c r="M191" i="11"/>
  <c r="AM191" i="11" l="1"/>
  <c r="AN191" i="11" s="1"/>
  <c r="L192" i="11"/>
  <c r="AG192" i="11" s="1"/>
  <c r="AL192" i="11" l="1"/>
  <c r="AP192" i="11"/>
  <c r="M192" i="11"/>
  <c r="L193" i="11" l="1"/>
  <c r="AG193" i="11" s="1"/>
  <c r="AM192" i="11"/>
  <c r="AN192" i="11" s="1"/>
  <c r="AL193" i="11" l="1"/>
  <c r="AP193" i="11"/>
  <c r="M193" i="11"/>
  <c r="AM193" i="11" l="1"/>
  <c r="AN193" i="11" s="1"/>
  <c r="L194" i="11"/>
  <c r="AG194" i="11" s="1"/>
  <c r="AL194" i="11" l="1"/>
  <c r="AP194" i="11"/>
  <c r="M194" i="11"/>
  <c r="AM194" i="11" l="1"/>
  <c r="AN194" i="11" s="1"/>
  <c r="L195" i="11"/>
  <c r="AG195" i="11" s="1"/>
  <c r="AL195" i="11" l="1"/>
  <c r="AP195" i="11"/>
  <c r="M195" i="11"/>
  <c r="AM195" i="11" l="1"/>
  <c r="AN195" i="11" s="1"/>
  <c r="L196" i="11"/>
  <c r="AG196" i="11" s="1"/>
  <c r="AL196" i="11" l="1"/>
  <c r="AP196" i="11"/>
  <c r="M196" i="11"/>
  <c r="AM196" i="11" l="1"/>
  <c r="AN196" i="11" s="1"/>
  <c r="L197" i="11"/>
  <c r="AG197" i="11" s="1"/>
  <c r="AL197" i="11" l="1"/>
  <c r="AP197" i="11"/>
  <c r="M197" i="11"/>
  <c r="AM197" i="11" l="1"/>
  <c r="AN197" i="11" s="1"/>
  <c r="L198" i="11"/>
  <c r="AG198" i="11" s="1"/>
  <c r="AL198" i="11" l="1"/>
  <c r="AP198" i="11"/>
  <c r="M198" i="11"/>
  <c r="AM198" i="11" l="1"/>
  <c r="AN198" i="11" s="1"/>
  <c r="L199" i="11"/>
  <c r="AG199" i="11" s="1"/>
  <c r="AL199" i="11" l="1"/>
  <c r="AP199" i="11"/>
  <c r="AM199" i="11"/>
  <c r="AN199" i="11" s="1"/>
  <c r="M199" i="11"/>
  <c r="L200" i="11" l="1"/>
  <c r="AG200" i="11" s="1"/>
  <c r="AL200" i="11" l="1"/>
  <c r="AP200" i="11"/>
  <c r="M200" i="11"/>
  <c r="AM200" i="11" l="1"/>
  <c r="AN200" i="11" s="1"/>
  <c r="L201" i="11"/>
  <c r="AG201" i="11" s="1"/>
  <c r="AL201" i="11" l="1"/>
  <c r="AP201" i="11"/>
  <c r="M201" i="11"/>
  <c r="AM201" i="11" l="1"/>
  <c r="AN201" i="11" s="1"/>
  <c r="L202" i="11"/>
  <c r="AG202" i="11" s="1"/>
  <c r="AL202" i="11" l="1"/>
  <c r="AP202" i="11"/>
  <c r="AM202" i="11"/>
  <c r="AN202" i="11" s="1"/>
  <c r="M202" i="11"/>
  <c r="L203" i="11" l="1"/>
  <c r="AG203" i="11" s="1"/>
  <c r="AL203" i="11" l="1"/>
  <c r="AP203" i="11"/>
  <c r="M203" i="11"/>
  <c r="AM203" i="11"/>
  <c r="AN203" i="11" s="1"/>
  <c r="L204" i="11" l="1"/>
  <c r="AG204" i="11" s="1"/>
  <c r="AL204" i="11" l="1"/>
  <c r="AP204" i="11"/>
  <c r="M204" i="11"/>
  <c r="AM204" i="11" l="1"/>
  <c r="AN204" i="11" s="1"/>
  <c r="L205" i="11"/>
  <c r="AG205" i="11" s="1"/>
  <c r="AL205" i="11" l="1"/>
  <c r="AP205" i="11"/>
  <c r="M205" i="11"/>
  <c r="AM205" i="11" l="1"/>
  <c r="AN205" i="11" s="1"/>
  <c r="L206" i="11"/>
  <c r="AG206" i="11" s="1"/>
  <c r="AL206" i="11" l="1"/>
  <c r="AP206" i="11"/>
  <c r="M206" i="11"/>
  <c r="AM206" i="11" l="1"/>
  <c r="AN206" i="11" s="1"/>
  <c r="L207" i="11"/>
  <c r="AG207" i="11" s="1"/>
  <c r="AL207" i="11" l="1"/>
  <c r="AP207" i="11"/>
  <c r="M207" i="11"/>
  <c r="AM207" i="11" l="1"/>
  <c r="AN207" i="11" s="1"/>
  <c r="L208" i="11"/>
  <c r="AG208" i="11" s="1"/>
  <c r="AL208" i="11" l="1"/>
  <c r="AP208" i="11"/>
  <c r="M208" i="11"/>
  <c r="AM208" i="11" l="1"/>
  <c r="AN208" i="11" s="1"/>
  <c r="L209" i="11"/>
  <c r="AG209" i="11" s="1"/>
  <c r="AL209" i="11" l="1"/>
  <c r="AP209" i="11"/>
  <c r="M209" i="11"/>
  <c r="L210" i="11" s="1"/>
  <c r="AG210" i="11" s="1"/>
  <c r="AL210" i="11" l="1"/>
  <c r="AP210" i="11"/>
  <c r="M210" i="11"/>
  <c r="L211" i="11" s="1"/>
  <c r="AG211" i="11" s="1"/>
  <c r="AM209" i="11"/>
  <c r="AN209" i="11" s="1"/>
  <c r="AL211" i="11" l="1"/>
  <c r="AP211" i="11"/>
  <c r="AM210" i="11"/>
  <c r="AN210" i="11" s="1"/>
  <c r="M211" i="11"/>
  <c r="AM211" i="11" l="1"/>
  <c r="AN211" i="11" s="1"/>
  <c r="L212" i="11"/>
  <c r="AG212" i="11" s="1"/>
  <c r="AL212" i="11" l="1"/>
  <c r="AP212" i="11"/>
  <c r="M212" i="11"/>
  <c r="AM212" i="11"/>
  <c r="AN212" i="11" s="1"/>
  <c r="L213" i="11" l="1"/>
  <c r="AG213" i="11" s="1"/>
  <c r="AL213" i="11" l="1"/>
  <c r="AP213" i="11"/>
  <c r="AM213" i="11"/>
  <c r="AN213" i="11" s="1"/>
  <c r="M213" i="11"/>
  <c r="L214" i="11" l="1"/>
  <c r="AG214" i="11" s="1"/>
  <c r="AL214" i="11" l="1"/>
  <c r="AP214" i="11"/>
  <c r="M214" i="11"/>
  <c r="AM214" i="11" l="1"/>
  <c r="AN214" i="11" s="1"/>
  <c r="L215" i="11"/>
  <c r="AG215" i="11" s="1"/>
  <c r="AL215" i="11" l="1"/>
  <c r="AP215" i="11"/>
  <c r="M215" i="11"/>
  <c r="L216" i="11" l="1"/>
  <c r="AG216" i="11" s="1"/>
  <c r="AM215" i="11"/>
  <c r="AN215" i="11" s="1"/>
  <c r="AL216" i="11" l="1"/>
  <c r="AP216" i="11"/>
  <c r="M216" i="11"/>
  <c r="AM216" i="11" l="1"/>
  <c r="AN216" i="11" s="1"/>
  <c r="L217" i="11"/>
  <c r="AG217" i="11" s="1"/>
  <c r="AL217" i="11" l="1"/>
  <c r="AP217" i="11"/>
  <c r="M217" i="11"/>
  <c r="AM217" i="11" l="1"/>
  <c r="AN217" i="11" s="1"/>
  <c r="L218" i="11"/>
  <c r="AG218" i="11" s="1"/>
  <c r="AL218" i="11" l="1"/>
  <c r="AP218" i="11"/>
  <c r="M218" i="11"/>
  <c r="AM218" i="11" l="1"/>
  <c r="AN218" i="11" s="1"/>
  <c r="L219" i="11"/>
  <c r="AG219" i="11" s="1"/>
  <c r="AL219" i="11" l="1"/>
  <c r="AP219" i="11"/>
  <c r="M219" i="11"/>
  <c r="AM219" i="11" l="1"/>
  <c r="AN219" i="11" s="1"/>
  <c r="L220" i="11"/>
  <c r="AG220" i="11" s="1"/>
  <c r="AL220" i="11" l="1"/>
  <c r="AP220" i="11"/>
  <c r="M220" i="11"/>
  <c r="AM220" i="11" l="1"/>
  <c r="AN220" i="11" s="1"/>
  <c r="L221" i="11"/>
  <c r="AG221" i="11" s="1"/>
  <c r="AL221" i="11" l="1"/>
  <c r="AP221" i="11"/>
  <c r="M221" i="11"/>
  <c r="L222" i="11" s="1"/>
  <c r="AG222" i="11" s="1"/>
  <c r="AL222" i="11" l="1"/>
  <c r="AP222" i="11"/>
  <c r="M222" i="11"/>
  <c r="AM221" i="11"/>
  <c r="AN221" i="11" s="1"/>
  <c r="AM222" i="11" l="1"/>
  <c r="AN222" i="11" s="1"/>
  <c r="L223" i="11"/>
  <c r="AG223" i="11" s="1"/>
  <c r="AL223" i="11" l="1"/>
  <c r="AP223" i="11"/>
  <c r="M223" i="11"/>
  <c r="L224" i="11" s="1"/>
  <c r="AG224" i="11" s="1"/>
  <c r="AL224" i="11" l="1"/>
  <c r="AP224" i="11"/>
  <c r="M224" i="11"/>
  <c r="AM223" i="11"/>
  <c r="AN223" i="11" s="1"/>
  <c r="AM224" i="11" l="1"/>
  <c r="AN224" i="11" s="1"/>
  <c r="L225" i="11"/>
  <c r="AG225" i="11" s="1"/>
  <c r="AL225" i="11" l="1"/>
  <c r="AP225" i="11"/>
  <c r="AM225" i="11"/>
  <c r="AN225" i="11" s="1"/>
  <c r="M225" i="11"/>
  <c r="L226" i="11" l="1"/>
  <c r="AG226" i="11" s="1"/>
  <c r="AL226" i="11" l="1"/>
  <c r="AP226" i="11"/>
  <c r="M226" i="11"/>
  <c r="L227" i="11" s="1"/>
  <c r="AG227" i="11" s="1"/>
  <c r="AL227" i="11" l="1"/>
  <c r="AP227" i="11"/>
  <c r="M227" i="11"/>
  <c r="AM226" i="11"/>
  <c r="AN226" i="11" s="1"/>
  <c r="L228" i="11" l="1"/>
  <c r="AG228" i="11" s="1"/>
  <c r="AM227" i="11"/>
  <c r="AN227" i="11" s="1"/>
  <c r="AL228" i="11" l="1"/>
  <c r="AP228" i="11"/>
  <c r="M228" i="11"/>
  <c r="L229" i="11" s="1"/>
  <c r="AG229" i="11" s="1"/>
  <c r="AM228" i="11"/>
  <c r="AN228" i="11" s="1"/>
  <c r="AL229" i="11" l="1"/>
  <c r="AP229" i="11"/>
  <c r="M229" i="11"/>
  <c r="L230" i="11" s="1"/>
  <c r="AG230" i="11" s="1"/>
  <c r="AL230" i="11" l="1"/>
  <c r="AP230" i="11"/>
  <c r="M230" i="11"/>
  <c r="L231" i="11" s="1"/>
  <c r="AG231" i="11" s="1"/>
  <c r="AM229" i="11"/>
  <c r="AN229" i="11" s="1"/>
  <c r="AL231" i="11" l="1"/>
  <c r="AP231" i="11"/>
  <c r="M231" i="11"/>
  <c r="AM230" i="11"/>
  <c r="AN230" i="11" s="1"/>
  <c r="AM231" i="11" l="1"/>
  <c r="AN231" i="11" s="1"/>
  <c r="L232" i="11"/>
  <c r="AG232" i="11" s="1"/>
  <c r="AL232" i="11" l="1"/>
  <c r="AP232" i="11"/>
  <c r="M232" i="11"/>
  <c r="AM232" i="11" l="1"/>
  <c r="AN232" i="11" s="1"/>
  <c r="L233" i="11"/>
  <c r="AG233" i="11" s="1"/>
  <c r="AL233" i="11" l="1"/>
  <c r="AP233" i="11"/>
  <c r="M233" i="11"/>
  <c r="AM233" i="11" l="1"/>
  <c r="AN233" i="11" s="1"/>
  <c r="L234" i="11"/>
  <c r="AG234" i="11" s="1"/>
  <c r="AL234" i="11" l="1"/>
  <c r="AP234" i="11"/>
  <c r="M234" i="11"/>
  <c r="AM234" i="11" l="1"/>
  <c r="AN234" i="11" s="1"/>
  <c r="L235" i="11"/>
  <c r="AG235" i="11" s="1"/>
  <c r="AL235" i="11" l="1"/>
  <c r="AP235" i="11"/>
  <c r="M235" i="11"/>
  <c r="AM235" i="11" l="1"/>
  <c r="AN235" i="11" s="1"/>
  <c r="L236" i="11"/>
  <c r="AG236" i="11" s="1"/>
  <c r="AL236" i="11" l="1"/>
  <c r="AP236" i="11"/>
  <c r="M236" i="11"/>
  <c r="L237" i="11" s="1"/>
  <c r="AG237" i="11" s="1"/>
  <c r="AL237" i="11" l="1"/>
  <c r="AP237" i="11"/>
  <c r="AM236" i="11"/>
  <c r="AN236" i="11" s="1"/>
  <c r="M237" i="11"/>
  <c r="L238" i="11" l="1"/>
  <c r="AG238" i="11" s="1"/>
  <c r="AM237" i="11"/>
  <c r="AN237" i="11" s="1"/>
  <c r="AL238" i="11" l="1"/>
  <c r="AP238" i="11"/>
  <c r="M238" i="11"/>
  <c r="AM238" i="11"/>
  <c r="AN238" i="11" s="1"/>
  <c r="L239" i="11" l="1"/>
  <c r="AG239" i="11" s="1"/>
  <c r="AL239" i="11" l="1"/>
  <c r="AP239" i="11"/>
  <c r="AM239" i="11"/>
  <c r="AN239" i="11" s="1"/>
  <c r="M239" i="11"/>
  <c r="L240" i="11" s="1"/>
  <c r="AG240" i="11" s="1"/>
  <c r="AL240" i="11" l="1"/>
  <c r="AP240" i="11"/>
  <c r="M240" i="11"/>
  <c r="AM240" i="11" l="1"/>
  <c r="AN240" i="11" s="1"/>
  <c r="L241" i="11"/>
  <c r="AG241" i="11" s="1"/>
  <c r="AL241" i="11" l="1"/>
  <c r="AP241" i="11"/>
  <c r="AM241" i="11"/>
  <c r="AN241" i="11" s="1"/>
  <c r="M241" i="11"/>
  <c r="L242" i="11" l="1"/>
  <c r="AG242" i="11" s="1"/>
  <c r="AL242" i="11" l="1"/>
  <c r="AP242" i="11"/>
  <c r="M242" i="11"/>
  <c r="AM242" i="11" l="1"/>
  <c r="AN242" i="11" s="1"/>
  <c r="L243" i="11"/>
  <c r="AG243" i="11" s="1"/>
  <c r="AL243" i="11" l="1"/>
  <c r="AP243" i="11"/>
  <c r="M243" i="11"/>
  <c r="AM243" i="11" l="1"/>
  <c r="AN243" i="11" s="1"/>
  <c r="L244" i="11"/>
  <c r="AG244" i="11" s="1"/>
  <c r="AL244" i="11" l="1"/>
  <c r="AP244" i="11"/>
  <c r="M244" i="11"/>
  <c r="AM244" i="11" l="1"/>
  <c r="AN244" i="11" s="1"/>
  <c r="L245" i="11"/>
  <c r="AG245" i="11" s="1"/>
  <c r="AL245" i="11" l="1"/>
  <c r="AP245" i="11"/>
  <c r="M245" i="11"/>
  <c r="AM245" i="11" l="1"/>
  <c r="AN245" i="11" s="1"/>
  <c r="L246" i="11"/>
  <c r="AG246" i="11" s="1"/>
  <c r="AL246" i="11" l="1"/>
  <c r="AP246" i="11"/>
  <c r="M246" i="11"/>
  <c r="AM246" i="11" l="1"/>
  <c r="AN246" i="11" s="1"/>
  <c r="L247" i="11"/>
  <c r="AG247" i="11" s="1"/>
  <c r="AL247" i="11" l="1"/>
  <c r="AP247" i="11"/>
  <c r="M247" i="11"/>
  <c r="AM247" i="11" l="1"/>
  <c r="AN247" i="11" s="1"/>
  <c r="L248" i="11"/>
  <c r="AG248" i="11" s="1"/>
  <c r="AL248" i="11" l="1"/>
  <c r="AP248" i="11"/>
  <c r="M248" i="11"/>
  <c r="L249" i="11" s="1"/>
  <c r="AG249" i="11" s="1"/>
  <c r="AL249" i="11" l="1"/>
  <c r="AP249" i="11"/>
  <c r="M249" i="11"/>
  <c r="AM248" i="11"/>
  <c r="AN248" i="11" s="1"/>
  <c r="AM249" i="11" l="1"/>
  <c r="AN249" i="11" s="1"/>
  <c r="L250" i="11"/>
  <c r="AG250" i="11" s="1"/>
  <c r="AL250" i="11" l="1"/>
  <c r="AP250" i="11"/>
  <c r="M250" i="11"/>
  <c r="AM250" i="11"/>
  <c r="AN250" i="11" s="1"/>
  <c r="L251" i="11" l="1"/>
  <c r="AG251" i="11" s="1"/>
  <c r="AL251" i="11" l="1"/>
  <c r="AP251" i="11"/>
  <c r="M251" i="11"/>
  <c r="AM251" i="11" l="1"/>
  <c r="AN251" i="11" s="1"/>
  <c r="L252" i="11"/>
  <c r="AG252" i="11" s="1"/>
  <c r="AL252" i="11" l="1"/>
  <c r="AP252" i="11"/>
  <c r="M252" i="11"/>
  <c r="AM252" i="11" l="1"/>
  <c r="AN252" i="11" s="1"/>
  <c r="L253" i="11"/>
  <c r="AG253" i="11" s="1"/>
  <c r="AL253" i="11" l="1"/>
  <c r="AP253" i="11"/>
  <c r="M253" i="11"/>
  <c r="AM253" i="11" l="1"/>
  <c r="AN253" i="11" s="1"/>
  <c r="L254" i="11"/>
  <c r="AG254" i="11" s="1"/>
  <c r="AL254" i="11" l="1"/>
  <c r="AP254" i="11"/>
  <c r="M254" i="11"/>
  <c r="AM254" i="11" l="1"/>
  <c r="AN254" i="11" s="1"/>
  <c r="L255" i="11"/>
  <c r="AG255" i="11" s="1"/>
  <c r="AL255" i="11" l="1"/>
  <c r="AP255" i="11"/>
  <c r="M255" i="11"/>
  <c r="L256" i="11" s="1"/>
  <c r="AG256" i="11" s="1"/>
  <c r="AL256" i="11" l="1"/>
  <c r="AP256" i="11"/>
  <c r="M256" i="11"/>
  <c r="L257" i="11" s="1"/>
  <c r="AG257" i="11" s="1"/>
  <c r="AM255" i="11"/>
  <c r="AN255" i="11" s="1"/>
  <c r="AL257" i="11" l="1"/>
  <c r="AP257" i="11"/>
  <c r="M257" i="11"/>
  <c r="L604" i="11"/>
  <c r="M604" i="11" s="1"/>
  <c r="AM256" i="11"/>
  <c r="AN256" i="11" s="1"/>
  <c r="AM257" i="11" l="1"/>
  <c r="AN25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Caixa</author>
    <author>Daniele Goncalves Ferreira J Vasconcelos</author>
  </authors>
  <commentList>
    <comment ref="B20" authorId="0" shapeId="0" xr:uid="{00000000-0006-0000-0300-00000B000000}">
      <text>
        <r>
          <rPr>
            <sz val="11"/>
            <color indexed="8"/>
            <rFont val="Helvetica Neue"/>
          </rPr>
          <t>Sequencial:</t>
        </r>
      </text>
    </comment>
    <comment ref="B21" authorId="0" shapeId="0" xr:uid="{00000000-0006-0000-0300-00000C000000}">
      <text>
        <r>
          <rPr>
            <sz val="11"/>
            <color indexed="8"/>
            <rFont val="Helvetica Neue"/>
          </rPr>
          <t xml:space="preserve">Nº </t>
        </r>
      </text>
    </comment>
    <comment ref="Z21" authorId="0" shapeId="0" xr:uid="{00000000-0006-0000-0300-00000D000000}">
      <text>
        <r>
          <rPr>
            <sz val="11"/>
            <color indexed="8"/>
            <rFont val="Helvetica Neue"/>
          </rPr>
          <t xml:space="preserve">Caixa:
Niver Adriana 50
Niver Rita 50
Niver filha Adriana e Natal 50
Natal Adriana 50
Natal Rita 50
Dia dos professores 40
Páscoa Adriana 20
Páscoa Rita 20
Páscoa filha Adriana 20
Páscoa professoras 40
Niver Bia 40
Niver Raíssa 50
Niver Malu 50
Niver Belinha 50
Niver Mari Galvão 50
Niver Natália 40
Niver Larissa 40
Niver Mar Maciel 40
</t>
        </r>
      </text>
    </comment>
    <comment ref="B22" authorId="1" shapeId="0" xr:uid="{DE72F9FF-D951-4C00-B5A7-05211D973B9B}">
      <text>
        <r>
          <rPr>
            <b/>
            <sz val="9"/>
            <color indexed="81"/>
            <rFont val="Segoe UI"/>
            <family val="2"/>
          </rPr>
          <t>vale até 02/10/2024</t>
        </r>
      </text>
    </comment>
    <comment ref="O29" authorId="1" shapeId="0" xr:uid="{FD2F451D-E803-481D-A9B4-A10E8E77306F}">
      <text>
        <r>
          <rPr>
            <b/>
            <sz val="9"/>
            <color indexed="81"/>
            <rFont val="Segoe UI"/>
            <family val="2"/>
          </rPr>
          <t>Foi 1351,39 este ano</t>
        </r>
      </text>
    </comment>
    <comment ref="N33" authorId="1" shapeId="0" xr:uid="{00000000-0006-0000-0300-000010000000}">
      <text>
        <r>
          <rPr>
            <b/>
            <sz val="9"/>
            <color indexed="81"/>
            <rFont val="Segoe UI"/>
            <family val="2"/>
          </rPr>
          <t>revisão prevista 618,13, balanceamento 110 e 55 , limpeza ar 15,00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Daniele Goncalves Ferreira J Vasconcelos</author>
  </authors>
  <commentList>
    <comment ref="G922" authorId="0" shapeId="0" xr:uid="{9A633E4D-3870-4EE6-A62E-1B21709715AC}">
      <text>
        <r>
          <rPr>
            <b/>
            <sz val="9"/>
            <color indexed="81"/>
            <rFont val="Segoe UI"/>
            <family val="2"/>
          </rPr>
          <t>19,90 bandeja</t>
        </r>
      </text>
    </comment>
    <comment ref="G923" authorId="0" shapeId="0" xr:uid="{C77C2BB7-9514-4A7E-B797-E890864AEC69}">
      <text>
        <r>
          <rPr>
            <b/>
            <sz val="9"/>
            <color indexed="81"/>
            <rFont val="Segoe UI"/>
            <family val="2"/>
          </rPr>
          <t>19,90 bandeja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Daniele Goncalves Ferreira J Vasconcelos</author>
  </authors>
  <commentList>
    <comment ref="I3" authorId="0" shapeId="0" xr:uid="{4ABAFC45-49D3-4EA2-9CF0-C62FA1EEE153}">
      <text>
        <r>
          <rPr>
            <b/>
            <sz val="9"/>
            <color indexed="81"/>
            <rFont val="Segoe UI"/>
            <family val="2"/>
          </rPr>
          <t>DIVIDIDOPELO VALOR INVESTIDO</t>
        </r>
      </text>
    </comment>
    <comment ref="W3" authorId="0" shapeId="0" xr:uid="{FCAF697F-1184-4DD7-BD80-5FF83E27E16F}">
      <text>
        <r>
          <rPr>
            <b/>
            <sz val="9"/>
            <color indexed="81"/>
            <rFont val="Segoe UI"/>
            <family val="2"/>
          </rPr>
          <t>SUBSTITUIR 10 PELO VALOR INVESTIDO COM AS TAXAS</t>
        </r>
      </text>
    </comment>
    <comment ref="Y3" authorId="0" shapeId="0" xr:uid="{7074C040-59F1-4C54-8867-63795C4E605C}">
      <text>
        <r>
          <rPr>
            <b/>
            <sz val="9"/>
            <color indexed="81"/>
            <rFont val="Segoe UI"/>
            <family val="2"/>
          </rPr>
          <t>SUBSTITUIR 10 PELO VALOR INVESTIDO COM AS TAXAS</t>
        </r>
      </text>
    </comment>
  </commentList>
</comments>
</file>

<file path=xl/sharedStrings.xml><?xml version="1.0" encoding="utf-8"?>
<sst xmlns="http://schemas.openxmlformats.org/spreadsheetml/2006/main" count="269" uniqueCount="182">
  <si>
    <t>Janeiro</t>
  </si>
  <si>
    <t>Fevereiro</t>
  </si>
  <si>
    <t>Março</t>
  </si>
  <si>
    <t>Abril</t>
  </si>
  <si>
    <t>Maio</t>
  </si>
  <si>
    <t>Junho</t>
  </si>
  <si>
    <t>Julho</t>
  </si>
  <si>
    <t>Agosto</t>
  </si>
  <si>
    <t>Setembro</t>
  </si>
  <si>
    <t>Outubro</t>
  </si>
  <si>
    <t>Novembro</t>
  </si>
  <si>
    <t>Dezembro</t>
  </si>
  <si>
    <t>TOTAL</t>
  </si>
  <si>
    <t>Ano</t>
  </si>
  <si>
    <t>Férias</t>
  </si>
  <si>
    <t>PLR</t>
  </si>
  <si>
    <t>APIP</t>
  </si>
  <si>
    <t>Restituição IR</t>
  </si>
  <si>
    <t>FGTS</t>
  </si>
  <si>
    <t>Outros</t>
  </si>
  <si>
    <t>380, 70 ingles + 425 livros + 300 eventos e agenda + 195 material</t>
  </si>
  <si>
    <t>HABITAÇÃO</t>
  </si>
  <si>
    <t>Condomínio</t>
  </si>
  <si>
    <t>Celpe</t>
  </si>
  <si>
    <t>Internet</t>
  </si>
  <si>
    <t>Seguro Residencial</t>
  </si>
  <si>
    <t xml:space="preserve">Outros </t>
  </si>
  <si>
    <t>AUTOMÓVEL</t>
  </si>
  <si>
    <t>Seguro</t>
  </si>
  <si>
    <t>Deu 13.800,00 em 04/01/2016</t>
  </si>
  <si>
    <t>IPVA/EMPLACAMENTO</t>
  </si>
  <si>
    <t>Revisão</t>
  </si>
  <si>
    <t>pedir a rodrigo 18700,00. Final do ano vejo se faltou alguma coisa</t>
  </si>
  <si>
    <t>DEPENDENTES</t>
  </si>
  <si>
    <t>13º</t>
  </si>
  <si>
    <t>DESPESAS PESSOAIS</t>
  </si>
  <si>
    <t>Seguro de Vida</t>
  </si>
  <si>
    <t>Lazer</t>
  </si>
  <si>
    <t>Farmácia</t>
  </si>
  <si>
    <t>Devolver mainha</t>
  </si>
  <si>
    <t>Fundos</t>
  </si>
  <si>
    <t>CARTÕES</t>
  </si>
  <si>
    <t>Rendimentos</t>
  </si>
  <si>
    <t>Gastos</t>
  </si>
  <si>
    <t>Saldo do Mês</t>
  </si>
  <si>
    <t>Saldo Acumulado</t>
  </si>
  <si>
    <t>RESUMO PARA O GRÁFICO</t>
  </si>
  <si>
    <t>Elo</t>
  </si>
  <si>
    <t>Presente</t>
  </si>
  <si>
    <t>Roupa</t>
  </si>
  <si>
    <t>Juliana</t>
  </si>
  <si>
    <t>Bompreço</t>
  </si>
  <si>
    <t>Gasolina</t>
  </si>
  <si>
    <t>FUNCEF</t>
  </si>
  <si>
    <t>MAINHA ME DEVE</t>
  </si>
  <si>
    <t>Milhas GOL</t>
  </si>
  <si>
    <t>Milhas TAM</t>
  </si>
  <si>
    <t>Milhas TAP</t>
  </si>
  <si>
    <t>Cartões</t>
  </si>
  <si>
    <t>Despesas</t>
  </si>
  <si>
    <t>Cartão</t>
  </si>
  <si>
    <t>Data</t>
  </si>
  <si>
    <t>Valor</t>
  </si>
  <si>
    <t>Item</t>
  </si>
  <si>
    <t>Observação</t>
  </si>
  <si>
    <t>Master</t>
  </si>
  <si>
    <t>Visa</t>
  </si>
  <si>
    <t>Total Geral</t>
  </si>
  <si>
    <t>Rótulos de Linha</t>
  </si>
  <si>
    <t>Mês</t>
  </si>
  <si>
    <t>Data Compra</t>
  </si>
  <si>
    <t>Salário</t>
  </si>
  <si>
    <t>Retirada de Aplicação</t>
  </si>
  <si>
    <t>Receitas</t>
  </si>
  <si>
    <t>Despesas Pessoais</t>
  </si>
  <si>
    <t>Percentual poupado</t>
  </si>
  <si>
    <t>Mainha</t>
  </si>
  <si>
    <t>Meses</t>
  </si>
  <si>
    <t>% poupado</t>
  </si>
  <si>
    <t>% Poupado</t>
  </si>
  <si>
    <t>Casa</t>
  </si>
  <si>
    <t>Carro</t>
  </si>
  <si>
    <t>Pessoal</t>
  </si>
  <si>
    <t>% pessoal</t>
  </si>
  <si>
    <t>% Juliana</t>
  </si>
  <si>
    <t>% casa</t>
  </si>
  <si>
    <t>% carro</t>
  </si>
  <si>
    <t>Inglês</t>
  </si>
  <si>
    <t>Passarinho</t>
  </si>
  <si>
    <t>Lavagem carro</t>
  </si>
  <si>
    <t>BTG</t>
  </si>
  <si>
    <t>Inter</t>
  </si>
  <si>
    <t>CAIXA</t>
  </si>
  <si>
    <t xml:space="preserve">RENDA </t>
  </si>
  <si>
    <t>INVESTIMENTOS</t>
  </si>
  <si>
    <t>DESPESAS</t>
  </si>
  <si>
    <t>∆% período</t>
  </si>
  <si>
    <t>Livelo</t>
  </si>
  <si>
    <t>Despesas Dani</t>
  </si>
  <si>
    <t>Despesas Diane</t>
  </si>
  <si>
    <t>Transferências</t>
  </si>
  <si>
    <t>Contas</t>
  </si>
  <si>
    <t>Outras pessoas</t>
  </si>
  <si>
    <t>Taxa de Bombeiros Ayrton</t>
  </si>
  <si>
    <t>TPC</t>
  </si>
  <si>
    <t>Extra</t>
  </si>
  <si>
    <t>Milhas Azul</t>
  </si>
  <si>
    <t>Deveria ser no máximo 1500,00por mês</t>
  </si>
  <si>
    <t>LCA 4,73+IPCA(04/09/24)</t>
  </si>
  <si>
    <t>LCA 5%+IPCA(16/09/24)</t>
  </si>
  <si>
    <t>Nomad (dolar)</t>
  </si>
  <si>
    <t>Faxina</t>
  </si>
  <si>
    <t>ATIVO</t>
  </si>
  <si>
    <t>COMPRA</t>
  </si>
  <si>
    <t>Quantidade</t>
  </si>
  <si>
    <t>Preço unitário</t>
  </si>
  <si>
    <t>Taxas</t>
  </si>
  <si>
    <t>Valor Total</t>
  </si>
  <si>
    <t>FIIs</t>
  </si>
  <si>
    <t>Preço Médio</t>
  </si>
  <si>
    <t>VENDA</t>
  </si>
  <si>
    <t>RESULTADO</t>
  </si>
  <si>
    <t>Lucro</t>
  </si>
  <si>
    <t>IMPOSTO A PAGAR: FIIs acima de R$ 10,00
Ações vendas acima de R$ 20mil no mês
Ações EUA vendas acima de R$ 35mil/mês</t>
  </si>
  <si>
    <t>HABT11</t>
  </si>
  <si>
    <t>IPTU</t>
  </si>
  <si>
    <t>Gympass</t>
  </si>
  <si>
    <t>Esfera</t>
  </si>
  <si>
    <t>Previsão</t>
  </si>
  <si>
    <t>Faculdade</t>
  </si>
  <si>
    <t>Nomad</t>
  </si>
  <si>
    <t>Em dolar</t>
  </si>
  <si>
    <t>1% am</t>
  </si>
  <si>
    <t>Teve caschback nesse dia. Somado na linha 1825</t>
  </si>
  <si>
    <t>98% LCI</t>
  </si>
  <si>
    <t>Funcional</t>
  </si>
  <si>
    <t>94 CDI</t>
  </si>
  <si>
    <t>Azul</t>
  </si>
  <si>
    <t>0,9%am</t>
  </si>
  <si>
    <t>Previsão em 04/2035:</t>
  </si>
  <si>
    <t>Planilha para Orçamento Doméstico - 2024</t>
  </si>
  <si>
    <t>TESOURO DIRETO</t>
  </si>
  <si>
    <t>Total sem Nomad</t>
  </si>
  <si>
    <t>RECARGA PAY</t>
  </si>
  <si>
    <t>VGIR11</t>
  </si>
  <si>
    <t>Dividendos</t>
  </si>
  <si>
    <t>%</t>
  </si>
  <si>
    <t>Wise</t>
  </si>
  <si>
    <t>Wise (Euro)</t>
  </si>
  <si>
    <t>Em euro</t>
  </si>
  <si>
    <t>Ir aumentando 5% a cada ano por causa da inflação</t>
  </si>
  <si>
    <t>BINANCE</t>
  </si>
  <si>
    <t>Viagem</t>
  </si>
  <si>
    <t>Smiles</t>
  </si>
  <si>
    <t>SADI11</t>
  </si>
  <si>
    <t>RZAK11</t>
  </si>
  <si>
    <t>VGIA11</t>
  </si>
  <si>
    <t>Valor ideal</t>
  </si>
  <si>
    <t>último dividendo</t>
  </si>
  <si>
    <t>rendimento valor hoje</t>
  </si>
  <si>
    <t>Valor hoje</t>
  </si>
  <si>
    <t>Data pagamento</t>
  </si>
  <si>
    <t>Data ex</t>
  </si>
  <si>
    <t>21 - 23</t>
  </si>
  <si>
    <t>14 - 16</t>
  </si>
  <si>
    <t>28 - 31</t>
  </si>
  <si>
    <t>10 e 14</t>
  </si>
  <si>
    <t>10 e 13</t>
  </si>
  <si>
    <t>19 - 21</t>
  </si>
  <si>
    <t>FII</t>
  </si>
  <si>
    <t>Cripto</t>
  </si>
  <si>
    <t>RF</t>
  </si>
  <si>
    <t>Saldo em 23/02/2024</t>
  </si>
  <si>
    <t>Em 23/02/2024</t>
  </si>
  <si>
    <t>em 23/02/2024</t>
  </si>
  <si>
    <t>53 ANOS</t>
  </si>
  <si>
    <t xml:space="preserve">        </t>
  </si>
  <si>
    <t>MILHAS</t>
  </si>
  <si>
    <t>Depósitos em real</t>
  </si>
  <si>
    <t>Distribuição por ativo - sem dolar nem euro</t>
  </si>
  <si>
    <t>Natal Faxineira e prédio</t>
  </si>
  <si>
    <t>Celular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</si>
</sst>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41" formatCode="_-* #,##0_-;\-* #,##0_-;_-* &quot;-&quot;_-;_-@_-"/>
    <numFmt numFmtId="44" formatCode="_-&quot;R$&quot;\ * #,##0.00_-;\-&quot;R$&quot;\ * #,##0.00_-;_-&quot;R$&quot;\ * &quot;-&quot;??_-;_-@_-"/>
    <numFmt numFmtId="43" formatCode="_-* #,##0.00_-;\-* #,##0.00_-;_-* &quot;-&quot;??_-;_-@_-"/>
    <numFmt numFmtId="164" formatCode="_-&quot;R$&quot;* #,##0.00_-;\-&quot;R$&quot;* #,##0.00_-;_-&quot;R$&quot;* &quot;-&quot;??_-;_-@_-"/>
    <numFmt numFmtId="165" formatCode="&quot; &quot;* #,##0.00&quot; &quot;;&quot; &quot;* \(#,##0.00\);&quot; &quot;* &quot;-&quot;??&quot; &quot;"/>
    <numFmt numFmtId="166" formatCode="&quot; R$&quot;* #,##0.00&quot; &quot;;&quot; R$&quot;* \(#,##0.00\);&quot; R$&quot;* &quot;-&quot;??&quot; &quot;"/>
    <numFmt numFmtId="167" formatCode="&quot; R$ &quot;* #,##0.00&quot; &quot;;&quot;-R$ &quot;* #,##0.00&quot; &quot;;&quot; R$ &quot;* &quot;-&quot;??&quot; &quot;"/>
    <numFmt numFmtId="168" formatCode="&quot; &quot;* #,##0.00&quot; &quot;;&quot;-&quot;* #,##0.00&quot; &quot;;&quot; &quot;* &quot;-&quot;??&quot; &quot;"/>
    <numFmt numFmtId="170" formatCode="0.000%"/>
    <numFmt numFmtId="171" formatCode="_-[$$-409]* #,##0.00_ ;_-[$$-409]* \-#,##0.00\ ;_-[$$-409]* &quot;-&quot;??_ ;_-@_ "/>
    <numFmt numFmtId="172" formatCode="_-[$R$-416]\ * #,##0.00_-;\-[$R$-416]\ * #,##0.00_-;_-[$R$-416]\ * &quot;-&quot;??_-;_-@_-"/>
    <numFmt numFmtId="173" formatCode="_-* #,##0_-;\-* #,##0_-;_-* &quot;-&quot;??_-;_-@_-"/>
    <numFmt numFmtId="174" formatCode="[$$-409]#,##0.00_ ;\-[$$-409]#,##0.00\ "/>
    <numFmt numFmtId="177" formatCode="&quot; &quot;* #,##0&quot; &quot;;&quot; &quot;* \(#,##0\);&quot; &quot;* &quot;-&quot;??&quot; &quot;"/>
    <numFmt numFmtId="179" formatCode="_-[$€-2]\ * #,##0.00_-;\-[$€-2]\ * #,##0.00_-;_-[$€-2]\ * &quot;-&quot;??_-;_-@_-"/>
    <numFmt numFmtId="181" formatCode="_-&quot;R$&quot;\ * #,##0.00000_-;\-&quot;R$&quot;\ * #,##0.00000_-;_-&quot;R$&quot;\ * &quot;-&quot;??_-;_-@_-"/>
  </numFmts>
  <fonts count="70">
    <font>
      <sz val="11"/>
      <color theme="1"/>
      <name val="Calibri"/>
      <family val="2"/>
      <scheme val="minor"/>
    </font>
    <font>
      <b/>
      <sz val="10"/>
      <color indexed="8"/>
      <name val="Arial"/>
      <family val="2"/>
    </font>
    <font>
      <sz val="11"/>
      <color indexed="8"/>
      <name val="Helvetica Neue"/>
    </font>
    <font>
      <b/>
      <sz val="10"/>
      <color theme="8" tint="-0.249977111117893"/>
      <name val="Arial"/>
      <family val="2"/>
    </font>
    <font>
      <b/>
      <sz val="10"/>
      <color indexed="11"/>
      <name val="Arial"/>
      <family val="2"/>
    </font>
    <font>
      <b/>
      <sz val="10"/>
      <color indexed="8"/>
      <name val="=1209,72+"/>
    </font>
    <font>
      <b/>
      <sz val="10"/>
      <color theme="0"/>
      <name val="Arial"/>
      <family val="2"/>
    </font>
    <font>
      <b/>
      <sz val="20"/>
      <color indexed="12"/>
      <name val="Calibri"/>
      <family val="2"/>
    </font>
    <font>
      <sz val="11"/>
      <color theme="1"/>
      <name val="Calibri"/>
      <family val="2"/>
    </font>
    <font>
      <b/>
      <i/>
      <sz val="11"/>
      <color indexed="12"/>
      <name val="Calibri"/>
      <family val="2"/>
    </font>
    <font>
      <b/>
      <sz val="11"/>
      <color indexed="12"/>
      <name val="Calibri"/>
      <family val="2"/>
    </font>
    <font>
      <b/>
      <sz val="11"/>
      <color theme="8" tint="-0.249977111117893"/>
      <name val="Calibri"/>
      <family val="2"/>
    </font>
    <font>
      <sz val="11"/>
      <color indexed="12"/>
      <name val="Calibri"/>
      <family val="2"/>
    </font>
    <font>
      <b/>
      <sz val="11"/>
      <color indexed="8"/>
      <name val="Calibri"/>
      <family val="2"/>
    </font>
    <font>
      <sz val="11"/>
      <color rgb="FFFF0000"/>
      <name val="Calibri"/>
      <family val="2"/>
    </font>
    <font>
      <b/>
      <sz val="11"/>
      <color indexed="11"/>
      <name val="Calibri"/>
      <family val="2"/>
    </font>
    <font>
      <b/>
      <sz val="11"/>
      <color rgb="FFFF0000"/>
      <name val="Calibri"/>
      <family val="2"/>
    </font>
    <font>
      <sz val="11"/>
      <color indexed="8"/>
      <name val="Calibri"/>
      <family val="2"/>
    </font>
    <font>
      <b/>
      <sz val="11"/>
      <color theme="1"/>
      <name val="Calibri"/>
      <family val="2"/>
    </font>
    <font>
      <b/>
      <sz val="9"/>
      <color indexed="81"/>
      <name val="Segoe UI"/>
      <family val="2"/>
    </font>
    <font>
      <sz val="11"/>
      <color rgb="FFFF0000"/>
      <name val="Calibri"/>
      <family val="2"/>
      <scheme val="minor"/>
    </font>
    <font>
      <sz val="11"/>
      <color theme="1"/>
      <name val="Calibri"/>
      <family val="2"/>
      <scheme val="minor"/>
    </font>
    <font>
      <b/>
      <sz val="11"/>
      <color theme="0"/>
      <name val="Calibri"/>
      <family val="2"/>
      <scheme val="minor"/>
    </font>
    <font>
      <sz val="11"/>
      <color rgb="FF002060"/>
      <name val="Calibri"/>
      <family val="2"/>
      <scheme val="minor"/>
    </font>
    <font>
      <b/>
      <sz val="11"/>
      <color rgb="FF002060"/>
      <name val="Calibri"/>
      <family val="2"/>
      <scheme val="minor"/>
    </font>
    <font>
      <b/>
      <sz val="11"/>
      <color rgb="FF0070C0"/>
      <name val="Calibri"/>
      <family val="2"/>
    </font>
    <font>
      <b/>
      <sz val="11"/>
      <color theme="1"/>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name val="Calibri"/>
      <family val="2"/>
      <scheme val="minor"/>
    </font>
    <font>
      <sz val="11"/>
      <color theme="0"/>
      <name val="Calibri"/>
      <family val="2"/>
      <scheme val="minor"/>
    </font>
    <font>
      <sz val="11"/>
      <color theme="9"/>
      <name val="Calibri"/>
      <family val="2"/>
      <scheme val="minor"/>
    </font>
    <font>
      <sz val="11"/>
      <name val="Calibri"/>
      <family val="2"/>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b/>
      <sz val="11"/>
      <color rgb="FFFF0000"/>
      <name val="Calibri"/>
      <family val="2"/>
      <scheme val="minor"/>
    </font>
    <font>
      <sz val="11"/>
      <color rgb="FFFFFFFF"/>
      <name val="Calibri"/>
      <family val="2"/>
      <scheme val="minor"/>
    </font>
    <font>
      <sz val="11"/>
      <color rgb="FF002060"/>
      <name val="Calibri"/>
      <family val="2"/>
      <scheme val="minor"/>
    </font>
    <font>
      <sz val="11"/>
      <color rgb="FF002060"/>
      <name val="Calibri"/>
      <family val="2"/>
      <scheme val="minor"/>
    </font>
    <font>
      <sz val="11"/>
      <color theme="4" tint="-0.249977111117893"/>
      <name val="Calibri"/>
      <family val="2"/>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b/>
      <sz val="11"/>
      <name val="Calibri"/>
      <family val="2"/>
      <scheme val="minor"/>
    </font>
    <font>
      <sz val="11"/>
      <color rgb="FF002060"/>
      <name val="Calibri"/>
      <family val="2"/>
      <scheme val="minor"/>
    </font>
    <font>
      <b/>
      <sz val="11"/>
      <color theme="4"/>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family val="2"/>
      <scheme val="minor"/>
    </font>
    <font>
      <sz val="11"/>
      <color rgb="FF002060"/>
      <name val="Calibri"/>
      <scheme val="minor"/>
    </font>
    <font>
      <sz val="11"/>
      <color theme="0"/>
      <name val="Calibri"/>
      <family val="2"/>
    </font>
    <font>
      <b/>
      <sz val="11"/>
      <color theme="0"/>
      <name val="Calibri"/>
      <family val="2"/>
    </font>
  </fonts>
  <fills count="32">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70C0"/>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rgb="FFFFFF00"/>
        <bgColor indexed="64"/>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rgb="FFFEC6F7"/>
        <bgColor indexed="64"/>
      </patternFill>
    </fill>
    <fill>
      <patternFill patternType="solid">
        <fgColor theme="9" tint="0.39997558519241921"/>
        <bgColor indexed="64"/>
      </patternFill>
    </fill>
    <fill>
      <patternFill patternType="solid">
        <fgColor rgb="FFCC9DE1"/>
        <bgColor indexed="64"/>
      </patternFill>
    </fill>
    <fill>
      <patternFill patternType="solid">
        <fgColor rgb="FFFBFB9B"/>
        <bgColor indexed="64"/>
      </patternFill>
    </fill>
    <fill>
      <patternFill patternType="solid">
        <fgColor rgb="FFFFC000"/>
        <bgColor indexed="64"/>
      </patternFill>
    </fill>
    <fill>
      <patternFill patternType="solid">
        <fgColor rgb="FFFA60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tint="-0.34998626667073579"/>
        <bgColor indexed="64"/>
      </patternFill>
    </fill>
    <fill>
      <patternFill patternType="solid">
        <fgColor theme="2"/>
        <bgColor indexed="64"/>
      </patternFill>
    </fill>
    <fill>
      <patternFill patternType="solid">
        <fgColor rgb="FF002060"/>
        <bgColor indexed="64"/>
      </patternFill>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6" tint="-0.249977111117893"/>
        <bgColor indexed="64"/>
      </patternFill>
    </fill>
    <fill>
      <patternFill patternType="solid">
        <fgColor theme="5" tint="0.79998168889431442"/>
        <bgColor indexed="64"/>
      </patternFill>
    </fill>
  </fills>
  <borders count="107">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diagonal/>
    </border>
    <border>
      <left style="thin">
        <color indexed="14"/>
      </left>
      <right/>
      <top/>
      <bottom style="medium">
        <color indexed="8"/>
      </bottom>
      <diagonal/>
    </border>
    <border>
      <left/>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diagonal/>
    </border>
    <border>
      <left/>
      <right/>
      <top/>
      <bottom style="hair">
        <color indexed="8"/>
      </bottom>
      <diagonal/>
    </border>
    <border>
      <left/>
      <right style="medium">
        <color indexed="8"/>
      </right>
      <top/>
      <bottom style="hair">
        <color indexed="8"/>
      </bottom>
      <diagonal/>
    </border>
    <border>
      <left/>
      <right/>
      <top style="hair">
        <color indexed="8"/>
      </top>
      <bottom style="hair">
        <color indexed="8"/>
      </bottom>
      <diagonal/>
    </border>
    <border>
      <left/>
      <right style="medium">
        <color indexed="8"/>
      </right>
      <top style="hair">
        <color indexed="8"/>
      </top>
      <bottom style="hair">
        <color indexed="8"/>
      </bottom>
      <diagonal/>
    </border>
    <border>
      <left style="medium">
        <color indexed="8"/>
      </left>
      <right/>
      <top/>
      <bottom style="medium">
        <color indexed="8"/>
      </bottom>
      <diagonal/>
    </border>
    <border>
      <left/>
      <right/>
      <top style="hair">
        <color indexed="8"/>
      </top>
      <bottom style="medium">
        <color indexed="8"/>
      </bottom>
      <diagonal/>
    </border>
    <border>
      <left/>
      <right style="medium">
        <color indexed="8"/>
      </right>
      <top style="hair">
        <color indexed="8"/>
      </top>
      <bottom style="medium">
        <color indexed="8"/>
      </bottom>
      <diagonal/>
    </border>
    <border>
      <left style="thin">
        <color indexed="14"/>
      </left>
      <right/>
      <top style="medium">
        <color indexed="8"/>
      </top>
      <bottom style="medium">
        <color indexed="8"/>
      </bottom>
      <diagonal/>
    </border>
    <border>
      <left/>
      <right/>
      <top style="medium">
        <color indexed="8"/>
      </top>
      <bottom style="medium">
        <color indexed="8"/>
      </bottom>
      <diagonal/>
    </border>
    <border>
      <left/>
      <right/>
      <top style="medium">
        <color indexed="8"/>
      </top>
      <bottom style="hair">
        <color indexed="8"/>
      </bottom>
      <diagonal/>
    </border>
    <border>
      <left/>
      <right/>
      <top/>
      <bottom style="thin">
        <color indexed="8"/>
      </bottom>
      <diagonal/>
    </border>
    <border>
      <left/>
      <right/>
      <top style="thin">
        <color indexed="8"/>
      </top>
      <bottom/>
      <diagonal/>
    </border>
    <border>
      <left style="thin">
        <color indexed="14"/>
      </left>
      <right/>
      <top style="medium">
        <color indexed="8"/>
      </top>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thin">
        <color indexed="14"/>
      </left>
      <right style="thin">
        <color indexed="8"/>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bottom style="thin">
        <color indexed="14"/>
      </bottom>
      <diagonal/>
    </border>
    <border>
      <left/>
      <right/>
      <top/>
      <bottom style="thin">
        <color indexed="14"/>
      </bottom>
      <diagonal/>
    </border>
    <border>
      <left/>
      <right style="thin">
        <color indexed="14"/>
      </right>
      <top/>
      <bottom style="thin">
        <color indexed="1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4"/>
      </left>
      <right/>
      <top/>
      <bottom style="thin">
        <color indexed="14"/>
      </bottom>
      <diagonal/>
    </border>
    <border>
      <left style="thin">
        <color indexed="14"/>
      </left>
      <right style="hair">
        <color indexed="8"/>
      </right>
      <top/>
      <bottom/>
      <diagonal/>
    </border>
    <border>
      <left style="hair">
        <color indexed="8"/>
      </left>
      <right/>
      <top/>
      <bottom/>
      <diagonal/>
    </border>
    <border>
      <left/>
      <right/>
      <top style="hair">
        <color indexed="8"/>
      </top>
      <bottom/>
      <diagonal/>
    </border>
    <border>
      <left/>
      <right style="hair">
        <color indexed="8"/>
      </right>
      <top/>
      <bottom/>
      <diagonal/>
    </border>
    <border>
      <left/>
      <right/>
      <top style="thin">
        <color indexed="8"/>
      </top>
      <bottom style="thin">
        <color indexed="14"/>
      </bottom>
      <diagonal/>
    </border>
    <border>
      <left style="thin">
        <color indexed="64"/>
      </left>
      <right style="thin">
        <color indexed="64"/>
      </right>
      <top style="thin">
        <color indexed="64"/>
      </top>
      <bottom style="thin">
        <color indexed="64"/>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206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8"/>
      </left>
      <right style="medium">
        <color indexed="8"/>
      </right>
      <top style="medium">
        <color indexed="8"/>
      </top>
      <bottom/>
      <diagonal/>
    </border>
    <border>
      <left style="hair">
        <color indexed="8"/>
      </left>
      <right style="medium">
        <color indexed="8"/>
      </right>
      <top/>
      <bottom style="hair">
        <color indexed="8"/>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style="hair">
        <color rgb="FF002060"/>
      </right>
      <top style="medium">
        <color rgb="FF002060"/>
      </top>
      <bottom style="hair">
        <color rgb="FF002060"/>
      </bottom>
      <diagonal/>
    </border>
    <border>
      <left style="hair">
        <color rgb="FF002060"/>
      </left>
      <right style="hair">
        <color rgb="FF002060"/>
      </right>
      <top style="medium">
        <color rgb="FF002060"/>
      </top>
      <bottom style="hair">
        <color rgb="FF002060"/>
      </bottom>
      <diagonal/>
    </border>
    <border>
      <left style="medium">
        <color rgb="FF002060"/>
      </left>
      <right style="hair">
        <color rgb="FF002060"/>
      </right>
      <top style="hair">
        <color rgb="FF002060"/>
      </top>
      <bottom style="hair">
        <color rgb="FF002060"/>
      </bottom>
      <diagonal/>
    </border>
    <border>
      <left style="hair">
        <color rgb="FF002060"/>
      </left>
      <right style="hair">
        <color rgb="FF002060"/>
      </right>
      <top style="hair">
        <color rgb="FF002060"/>
      </top>
      <bottom style="hair">
        <color rgb="FF002060"/>
      </bottom>
      <diagonal/>
    </border>
    <border>
      <left style="hair">
        <color rgb="FF002060"/>
      </left>
      <right style="medium">
        <color rgb="FF002060"/>
      </right>
      <top style="hair">
        <color rgb="FF002060"/>
      </top>
      <bottom style="hair">
        <color rgb="FF002060"/>
      </bottom>
      <diagonal/>
    </border>
    <border>
      <left style="medium">
        <color rgb="FF002060"/>
      </left>
      <right style="hair">
        <color rgb="FF002060"/>
      </right>
      <top style="hair">
        <color rgb="FF002060"/>
      </top>
      <bottom style="medium">
        <color rgb="FF002060"/>
      </bottom>
      <diagonal/>
    </border>
    <border>
      <left style="hair">
        <color rgb="FF002060"/>
      </left>
      <right style="hair">
        <color rgb="FF002060"/>
      </right>
      <top style="hair">
        <color rgb="FF002060"/>
      </top>
      <bottom style="medium">
        <color rgb="FF002060"/>
      </bottom>
      <diagonal/>
    </border>
    <border>
      <left style="hair">
        <color rgb="FF002060"/>
      </left>
      <right style="medium">
        <color rgb="FF002060"/>
      </right>
      <top style="hair">
        <color rgb="FF002060"/>
      </top>
      <bottom style="medium">
        <color rgb="FF002060"/>
      </bottom>
      <diagonal/>
    </border>
    <border>
      <left/>
      <right style="hair">
        <color rgb="FF002060"/>
      </right>
      <top style="medium">
        <color rgb="FF002060"/>
      </top>
      <bottom style="hair">
        <color rgb="FF002060"/>
      </bottom>
      <diagonal/>
    </border>
    <border>
      <left/>
      <right style="hair">
        <color rgb="FF002060"/>
      </right>
      <top style="hair">
        <color rgb="FF002060"/>
      </top>
      <bottom style="hair">
        <color rgb="FF002060"/>
      </bottom>
      <diagonal/>
    </border>
    <border>
      <left/>
      <right style="hair">
        <color rgb="FF002060"/>
      </right>
      <top style="hair">
        <color rgb="FF002060"/>
      </top>
      <bottom style="medium">
        <color rgb="FF002060"/>
      </bottom>
      <diagonal/>
    </border>
    <border>
      <left style="medium">
        <color rgb="FF002060"/>
      </left>
      <right style="thin">
        <color indexed="64"/>
      </right>
      <top/>
      <bottom/>
      <diagonal/>
    </border>
    <border>
      <left style="medium">
        <color rgb="FF002060"/>
      </left>
      <right style="thin">
        <color indexed="64"/>
      </right>
      <top/>
      <bottom style="medium">
        <color rgb="FF002060"/>
      </bottom>
      <diagonal/>
    </border>
    <border>
      <left style="medium">
        <color rgb="FF002060"/>
      </left>
      <right style="thin">
        <color indexed="64"/>
      </right>
      <top style="medium">
        <color rgb="FF002060"/>
      </top>
      <bottom style="thin">
        <color indexed="64"/>
      </bottom>
      <diagonal/>
    </border>
    <border>
      <left style="hair">
        <color rgb="FF002060"/>
      </left>
      <right style="medium">
        <color rgb="FF002060"/>
      </right>
      <top style="medium">
        <color rgb="FF002060"/>
      </top>
      <bottom/>
      <diagonal/>
    </border>
    <border>
      <left style="hair">
        <color rgb="FF002060"/>
      </left>
      <right style="medium">
        <color rgb="FF002060"/>
      </right>
      <top/>
      <bottom style="hair">
        <color rgb="FF002060"/>
      </bottom>
      <diagonal/>
    </border>
    <border>
      <left style="hair">
        <color rgb="FF002060"/>
      </left>
      <right/>
      <top style="hair">
        <color rgb="FF002060"/>
      </top>
      <bottom style="medium">
        <color rgb="FF002060"/>
      </bottom>
      <diagonal/>
    </border>
    <border>
      <left style="hair">
        <color rgb="FF002060"/>
      </left>
      <right/>
      <top style="medium">
        <color rgb="FF002060"/>
      </top>
      <bottom/>
      <diagonal/>
    </border>
    <border>
      <left style="hair">
        <color rgb="FF002060"/>
      </left>
      <right style="hair">
        <color rgb="FF002060"/>
      </right>
      <top style="medium">
        <color rgb="FF002060"/>
      </top>
      <bottom/>
      <diagonal/>
    </border>
    <border>
      <left style="medium">
        <color rgb="FF002060"/>
      </left>
      <right style="thin">
        <color indexed="64"/>
      </right>
      <top style="thin">
        <color indexed="64"/>
      </top>
      <bottom/>
      <diagonal/>
    </border>
    <border>
      <left style="hair">
        <color rgb="FF002060"/>
      </left>
      <right style="medium">
        <color rgb="FF002060"/>
      </right>
      <top style="medium">
        <color rgb="FF002060"/>
      </top>
      <bottom style="hair">
        <color rgb="FF002060"/>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8"/>
      </top>
      <bottom style="thin">
        <color indexed="8"/>
      </bottom>
      <diagonal/>
    </border>
  </borders>
  <cellStyleXfs count="5">
    <xf numFmtId="0" fontId="0" fillId="0" borderId="0"/>
    <xf numFmtId="44" fontId="21" fillId="0" borderId="0" applyFont="0" applyFill="0" applyBorder="0" applyAlignment="0" applyProtection="0"/>
    <xf numFmtId="9" fontId="21" fillId="0" borderId="0" applyFont="0" applyFill="0" applyBorder="0" applyAlignment="0" applyProtection="0"/>
    <xf numFmtId="43" fontId="21" fillId="0" borderId="0" applyFont="0" applyFill="0" applyBorder="0" applyAlignment="0" applyProtection="0"/>
    <xf numFmtId="0" fontId="38" fillId="0" borderId="0"/>
  </cellStyleXfs>
  <cellXfs count="692">
    <xf numFmtId="0" fontId="0" fillId="0" borderId="0" xfId="0"/>
    <xf numFmtId="0" fontId="0" fillId="0" borderId="2" xfId="0" applyFont="1" applyFill="1" applyBorder="1" applyAlignment="1"/>
    <xf numFmtId="0" fontId="0" fillId="0" borderId="3" xfId="0" applyFont="1" applyFill="1" applyBorder="1" applyAlignment="1"/>
    <xf numFmtId="0" fontId="0" fillId="0" borderId="0" xfId="0" applyNumberFormat="1" applyFont="1" applyFill="1" applyAlignment="1"/>
    <xf numFmtId="0" fontId="0" fillId="0" borderId="0" xfId="0" applyFont="1" applyFill="1" applyAlignment="1"/>
    <xf numFmtId="0" fontId="0" fillId="0" borderId="4" xfId="0" applyFont="1" applyFill="1" applyBorder="1" applyAlignment="1"/>
    <xf numFmtId="0" fontId="0" fillId="0" borderId="0" xfId="0" applyFont="1" applyFill="1" applyBorder="1" applyAlignment="1"/>
    <xf numFmtId="0" fontId="0" fillId="0" borderId="5" xfId="0" applyFont="1" applyFill="1" applyBorder="1" applyAlignment="1"/>
    <xf numFmtId="49" fontId="0" fillId="0" borderId="0" xfId="0" applyNumberFormat="1" applyFont="1" applyFill="1" applyBorder="1" applyAlignment="1"/>
    <xf numFmtId="0" fontId="0" fillId="0" borderId="37" xfId="0" applyFont="1" applyFill="1" applyBorder="1" applyAlignment="1"/>
    <xf numFmtId="0" fontId="0" fillId="0" borderId="38" xfId="0" applyFont="1" applyFill="1" applyBorder="1" applyAlignment="1"/>
    <xf numFmtId="0" fontId="0" fillId="0" borderId="1" xfId="0" applyFont="1" applyFill="1" applyBorder="1" applyAlignment="1"/>
    <xf numFmtId="0" fontId="0" fillId="0" borderId="23" xfId="0" applyFont="1" applyFill="1" applyBorder="1" applyAlignment="1"/>
    <xf numFmtId="0" fontId="0" fillId="0" borderId="41" xfId="0" applyFont="1" applyFill="1" applyBorder="1" applyAlignment="1"/>
    <xf numFmtId="0" fontId="1" fillId="0" borderId="4" xfId="0" applyFont="1" applyFill="1" applyBorder="1" applyAlignment="1">
      <alignment horizontal="center"/>
    </xf>
    <xf numFmtId="49" fontId="1" fillId="0" borderId="7" xfId="0" applyNumberFormat="1" applyFont="1" applyFill="1" applyBorder="1" applyAlignment="1">
      <alignment horizontal="center"/>
    </xf>
    <xf numFmtId="49" fontId="0" fillId="0" borderId="7" xfId="0" applyNumberFormat="1" applyFont="1" applyFill="1" applyBorder="1" applyAlignment="1"/>
    <xf numFmtId="49" fontId="1" fillId="0" borderId="5" xfId="0" applyNumberFormat="1" applyFont="1" applyFill="1" applyBorder="1" applyAlignment="1"/>
    <xf numFmtId="0" fontId="4" fillId="0" borderId="42" xfId="0" applyFont="1" applyFill="1" applyBorder="1" applyAlignment="1"/>
    <xf numFmtId="165" fontId="1" fillId="0" borderId="26" xfId="0" applyNumberFormat="1" applyFont="1" applyFill="1" applyBorder="1" applyAlignment="1"/>
    <xf numFmtId="0" fontId="1" fillId="0" borderId="26" xfId="0" applyNumberFormat="1" applyFont="1" applyFill="1" applyBorder="1" applyAlignment="1"/>
    <xf numFmtId="0" fontId="0" fillId="0" borderId="43" xfId="0" applyFont="1" applyFill="1" applyBorder="1" applyAlignment="1"/>
    <xf numFmtId="168" fontId="1" fillId="0" borderId="5" xfId="0" applyNumberFormat="1" applyFont="1" applyFill="1" applyBorder="1" applyAlignment="1"/>
    <xf numFmtId="0" fontId="0" fillId="0" borderId="44" xfId="0" applyFont="1" applyFill="1" applyBorder="1" applyAlignment="1"/>
    <xf numFmtId="0" fontId="0" fillId="0" borderId="45" xfId="0" applyFont="1" applyFill="1" applyBorder="1" applyAlignment="1"/>
    <xf numFmtId="4" fontId="1" fillId="0" borderId="26" xfId="0" applyNumberFormat="1" applyFont="1" applyFill="1" applyBorder="1" applyAlignment="1"/>
    <xf numFmtId="4" fontId="5" fillId="0" borderId="26" xfId="0" applyNumberFormat="1" applyFont="1" applyFill="1" applyBorder="1" applyAlignment="1"/>
    <xf numFmtId="167" fontId="1" fillId="0" borderId="0" xfId="0" applyNumberFormat="1" applyFont="1" applyFill="1" applyBorder="1" applyAlignment="1"/>
    <xf numFmtId="3" fontId="0" fillId="0" borderId="0" xfId="0" applyNumberFormat="1" applyFont="1" applyFill="1" applyBorder="1" applyAlignment="1"/>
    <xf numFmtId="0" fontId="0" fillId="0" borderId="46" xfId="0" applyFont="1" applyFill="1" applyBorder="1" applyAlignment="1"/>
    <xf numFmtId="9" fontId="0" fillId="0" borderId="37" xfId="0" applyNumberFormat="1" applyFont="1" applyFill="1" applyBorder="1" applyAlignment="1"/>
    <xf numFmtId="0" fontId="4" fillId="5" borderId="26" xfId="0" applyFont="1" applyFill="1" applyBorder="1" applyAlignment="1"/>
    <xf numFmtId="17" fontId="3" fillId="0" borderId="7" xfId="0" applyNumberFormat="1" applyFont="1" applyFill="1" applyBorder="1" applyAlignment="1">
      <alignment horizontal="center"/>
    </xf>
    <xf numFmtId="0" fontId="8" fillId="0" borderId="2" xfId="0" applyFont="1" applyFill="1" applyBorder="1" applyAlignment="1"/>
    <xf numFmtId="0" fontId="8" fillId="0" borderId="3" xfId="0" applyFont="1" applyFill="1" applyBorder="1" applyAlignment="1"/>
    <xf numFmtId="0" fontId="8" fillId="0" borderId="0" xfId="0" applyNumberFormat="1" applyFont="1" applyFill="1" applyAlignment="1"/>
    <xf numFmtId="0" fontId="8" fillId="0" borderId="0" xfId="0" applyFont="1" applyFill="1" applyAlignment="1"/>
    <xf numFmtId="0" fontId="8" fillId="0" borderId="4" xfId="0" applyFont="1" applyFill="1" applyBorder="1" applyAlignment="1"/>
    <xf numFmtId="0" fontId="8" fillId="0" borderId="0" xfId="0" applyFont="1" applyFill="1" applyBorder="1" applyAlignment="1"/>
    <xf numFmtId="0" fontId="8" fillId="0" borderId="5" xfId="0" applyFont="1" applyFill="1" applyBorder="1" applyAlignment="1"/>
    <xf numFmtId="0" fontId="8" fillId="0" borderId="11" xfId="0" applyFont="1" applyFill="1" applyBorder="1" applyAlignment="1"/>
    <xf numFmtId="49" fontId="8" fillId="0" borderId="12" xfId="0" applyNumberFormat="1" applyFont="1" applyFill="1" applyBorder="1" applyAlignment="1"/>
    <xf numFmtId="165" fontId="8" fillId="0" borderId="12" xfId="0" applyNumberFormat="1" applyFont="1" applyFill="1" applyBorder="1" applyAlignment="1">
      <alignment horizontal="center"/>
    </xf>
    <xf numFmtId="49" fontId="8" fillId="0" borderId="14" xfId="0" applyNumberFormat="1" applyFont="1" applyFill="1" applyBorder="1" applyAlignment="1"/>
    <xf numFmtId="165" fontId="8" fillId="0" borderId="14" xfId="0" applyNumberFormat="1" applyFont="1" applyFill="1" applyBorder="1" applyAlignment="1">
      <alignment horizontal="center"/>
    </xf>
    <xf numFmtId="165" fontId="8" fillId="0" borderId="14" xfId="0" applyNumberFormat="1" applyFont="1" applyFill="1" applyBorder="1" applyAlignment="1"/>
    <xf numFmtId="166" fontId="8" fillId="0" borderId="0" xfId="0" applyNumberFormat="1" applyFont="1" applyFill="1" applyBorder="1" applyAlignment="1"/>
    <xf numFmtId="49" fontId="8" fillId="0" borderId="17" xfId="0" applyNumberFormat="1" applyFont="1" applyFill="1" applyBorder="1" applyAlignment="1"/>
    <xf numFmtId="165" fontId="8" fillId="0" borderId="17" xfId="0" applyNumberFormat="1" applyFont="1" applyFill="1" applyBorder="1" applyAlignment="1">
      <alignment horizontal="center"/>
    </xf>
    <xf numFmtId="49" fontId="8" fillId="0" borderId="0" xfId="0" applyNumberFormat="1" applyFont="1" applyFill="1" applyBorder="1" applyAlignment="1"/>
    <xf numFmtId="0" fontId="8" fillId="0" borderId="19" xfId="0" applyFont="1" applyFill="1" applyBorder="1" applyAlignment="1"/>
    <xf numFmtId="0" fontId="8" fillId="0" borderId="20" xfId="0" applyFont="1" applyFill="1" applyBorder="1" applyAlignment="1"/>
    <xf numFmtId="165" fontId="8" fillId="0" borderId="20" xfId="0" applyNumberFormat="1" applyFont="1" applyFill="1" applyBorder="1" applyAlignment="1">
      <alignment horizontal="center"/>
    </xf>
    <xf numFmtId="165" fontId="8" fillId="0" borderId="20" xfId="0" applyNumberFormat="1" applyFont="1" applyFill="1" applyBorder="1" applyAlignment="1"/>
    <xf numFmtId="0" fontId="8" fillId="0" borderId="0" xfId="0" applyNumberFormat="1" applyFont="1" applyFill="1" applyBorder="1" applyAlignment="1"/>
    <xf numFmtId="166" fontId="8" fillId="0" borderId="23" xfId="0" applyNumberFormat="1" applyFont="1" applyFill="1" applyBorder="1" applyAlignment="1"/>
    <xf numFmtId="165" fontId="8" fillId="0" borderId="17" xfId="0" applyNumberFormat="1" applyFont="1" applyFill="1" applyBorder="1" applyAlignment="1"/>
    <xf numFmtId="166" fontId="8" fillId="0" borderId="22" xfId="0" applyNumberFormat="1" applyFont="1" applyFill="1" applyBorder="1" applyAlignment="1"/>
    <xf numFmtId="167" fontId="8" fillId="0" borderId="0" xfId="0" applyNumberFormat="1" applyFont="1" applyFill="1" applyBorder="1" applyAlignment="1"/>
    <xf numFmtId="168" fontId="8" fillId="0" borderId="0" xfId="0" applyNumberFormat="1" applyFont="1" applyFill="1" applyBorder="1" applyAlignment="1"/>
    <xf numFmtId="0" fontId="8" fillId="0" borderId="24" xfId="0" applyFont="1" applyFill="1" applyBorder="1" applyAlignment="1"/>
    <xf numFmtId="0" fontId="8" fillId="0" borderId="9" xfId="0" applyFont="1" applyFill="1" applyBorder="1" applyAlignment="1"/>
    <xf numFmtId="165" fontId="8" fillId="0" borderId="9" xfId="0" applyNumberFormat="1" applyFont="1" applyFill="1" applyBorder="1" applyAlignment="1">
      <alignment horizontal="center"/>
    </xf>
    <xf numFmtId="165" fontId="8" fillId="0" borderId="9" xfId="0" applyNumberFormat="1" applyFont="1" applyFill="1" applyBorder="1" applyAlignment="1"/>
    <xf numFmtId="0" fontId="8" fillId="0" borderId="6" xfId="0" applyFont="1" applyFill="1" applyBorder="1" applyAlignment="1"/>
    <xf numFmtId="0" fontId="8" fillId="0" borderId="7" xfId="0" applyFont="1" applyFill="1" applyBorder="1" applyAlignment="1"/>
    <xf numFmtId="0" fontId="8" fillId="0" borderId="22" xfId="0" applyFont="1" applyFill="1" applyBorder="1" applyAlignment="1"/>
    <xf numFmtId="0" fontId="8" fillId="0" borderId="35" xfId="0" applyFont="1" applyFill="1" applyBorder="1" applyAlignment="1"/>
    <xf numFmtId="0" fontId="8" fillId="0" borderId="36" xfId="0" applyFont="1" applyFill="1" applyBorder="1" applyAlignment="1"/>
    <xf numFmtId="0" fontId="12" fillId="0" borderId="0" xfId="0" applyFont="1" applyFill="1" applyBorder="1" applyAlignment="1"/>
    <xf numFmtId="0" fontId="13" fillId="5" borderId="9" xfId="0" applyFont="1" applyFill="1" applyBorder="1" applyAlignment="1"/>
    <xf numFmtId="165" fontId="13" fillId="5" borderId="9" xfId="0" applyNumberFormat="1" applyFont="1" applyFill="1" applyBorder="1" applyAlignment="1">
      <alignment horizontal="center"/>
    </xf>
    <xf numFmtId="165" fontId="13" fillId="5" borderId="9" xfId="0" applyNumberFormat="1" applyFont="1" applyFill="1" applyBorder="1" applyAlignment="1"/>
    <xf numFmtId="165" fontId="13" fillId="5" borderId="10" xfId="0" applyNumberFormat="1" applyFont="1" applyFill="1" applyBorder="1" applyAlignment="1"/>
    <xf numFmtId="165" fontId="13" fillId="5" borderId="13" xfId="0" applyNumberFormat="1" applyFont="1" applyFill="1" applyBorder="1" applyAlignment="1"/>
    <xf numFmtId="0" fontId="13" fillId="0" borderId="0" xfId="0" applyFont="1" applyFill="1" applyBorder="1" applyAlignment="1"/>
    <xf numFmtId="165" fontId="13" fillId="5" borderId="15" xfId="0" applyNumberFormat="1" applyFont="1" applyFill="1" applyBorder="1" applyAlignment="1"/>
    <xf numFmtId="49" fontId="13" fillId="0" borderId="0" xfId="0" applyNumberFormat="1" applyFont="1" applyFill="1" applyBorder="1" applyAlignment="1"/>
    <xf numFmtId="166" fontId="13" fillId="0" borderId="0" xfId="0" applyNumberFormat="1" applyFont="1" applyFill="1" applyBorder="1" applyAlignment="1"/>
    <xf numFmtId="165" fontId="13" fillId="0" borderId="17" xfId="0" applyNumberFormat="1" applyFont="1" applyFill="1" applyBorder="1" applyAlignment="1">
      <alignment horizontal="center"/>
    </xf>
    <xf numFmtId="165" fontId="13" fillId="5" borderId="18" xfId="0" applyNumberFormat="1" applyFont="1" applyFill="1" applyBorder="1" applyAlignment="1"/>
    <xf numFmtId="0" fontId="15" fillId="0" borderId="0" xfId="0" applyFont="1" applyFill="1" applyBorder="1" applyAlignment="1"/>
    <xf numFmtId="165" fontId="13" fillId="5" borderId="21" xfId="0" applyNumberFormat="1" applyFont="1" applyFill="1" applyBorder="1" applyAlignment="1"/>
    <xf numFmtId="166" fontId="13" fillId="0" borderId="22" xfId="0" applyNumberFormat="1" applyFont="1" applyFill="1" applyBorder="1" applyAlignment="1"/>
    <xf numFmtId="0" fontId="10" fillId="0" borderId="0" xfId="0" applyFont="1" applyFill="1" applyBorder="1" applyAlignment="1"/>
    <xf numFmtId="0" fontId="10" fillId="0" borderId="0" xfId="0" applyFont="1" applyFill="1" applyBorder="1" applyAlignment="1">
      <alignment wrapText="1"/>
    </xf>
    <xf numFmtId="0" fontId="15" fillId="2" borderId="25" xfId="0" applyFont="1" applyFill="1" applyBorder="1" applyAlignment="1"/>
    <xf numFmtId="49" fontId="11" fillId="5" borderId="26" xfId="0" applyNumberFormat="1" applyFont="1" applyFill="1" applyBorder="1" applyAlignment="1"/>
    <xf numFmtId="0" fontId="15" fillId="3" borderId="27" xfId="0" applyFont="1" applyFill="1" applyBorder="1" applyAlignment="1"/>
    <xf numFmtId="49" fontId="11" fillId="5" borderId="28" xfId="0" applyNumberFormat="1" applyFont="1" applyFill="1" applyBorder="1" applyAlignment="1"/>
    <xf numFmtId="0" fontId="15" fillId="4" borderId="27" xfId="0" applyFont="1" applyFill="1" applyBorder="1" applyAlignment="1"/>
    <xf numFmtId="0" fontId="15" fillId="5" borderId="30" xfId="0" applyFont="1" applyFill="1" applyBorder="1" applyAlignment="1"/>
    <xf numFmtId="49" fontId="11" fillId="5" borderId="31" xfId="0" applyNumberFormat="1" applyFont="1" applyFill="1" applyBorder="1" applyAlignment="1"/>
    <xf numFmtId="165" fontId="13" fillId="0" borderId="32" xfId="0" applyNumberFormat="1" applyFont="1" applyFill="1" applyBorder="1" applyAlignment="1"/>
    <xf numFmtId="0" fontId="16" fillId="0" borderId="0" xfId="0" applyFont="1" applyFill="1" applyBorder="1" applyAlignment="1"/>
    <xf numFmtId="2" fontId="8" fillId="0" borderId="0" xfId="0" applyNumberFormat="1" applyFont="1" applyFill="1" applyBorder="1" applyAlignment="1"/>
    <xf numFmtId="44" fontId="22" fillId="0" borderId="0" xfId="1" applyFont="1" applyFill="1" applyBorder="1" applyAlignment="1">
      <alignment horizontal="center"/>
    </xf>
    <xf numFmtId="0" fontId="0" fillId="0" borderId="0" xfId="0" applyFill="1"/>
    <xf numFmtId="44" fontId="0" fillId="0" borderId="0" xfId="1" applyFont="1"/>
    <xf numFmtId="0" fontId="0" fillId="0" borderId="0" xfId="0" applyAlignment="1">
      <alignment horizontal="center"/>
    </xf>
    <xf numFmtId="0" fontId="23" fillId="0" borderId="0" xfId="0" applyFont="1"/>
    <xf numFmtId="44" fontId="0" fillId="0" borderId="0" xfId="1" applyFont="1" applyAlignment="1">
      <alignment horizontal="center"/>
    </xf>
    <xf numFmtId="44" fontId="23" fillId="0" borderId="0" xfId="1" applyFont="1"/>
    <xf numFmtId="0" fontId="0" fillId="0" borderId="0" xfId="0" pivotButton="1"/>
    <xf numFmtId="0" fontId="0" fillId="0" borderId="0" xfId="0" applyAlignment="1">
      <alignment horizontal="left"/>
    </xf>
    <xf numFmtId="17" fontId="23" fillId="0" borderId="0" xfId="0" applyNumberFormat="1" applyFont="1" applyAlignment="1">
      <alignment horizontal="center"/>
    </xf>
    <xf numFmtId="0" fontId="23" fillId="0" borderId="0" xfId="0" applyFont="1" applyAlignment="1">
      <alignment horizontal="center"/>
    </xf>
    <xf numFmtId="14" fontId="23" fillId="0" borderId="0" xfId="0" applyNumberFormat="1" applyFont="1" applyAlignment="1">
      <alignment horizontal="center"/>
    </xf>
    <xf numFmtId="4" fontId="0" fillId="0" borderId="0" xfId="0" applyNumberFormat="1"/>
    <xf numFmtId="17" fontId="22" fillId="0" borderId="0" xfId="1" applyNumberFormat="1" applyFont="1" applyFill="1" applyBorder="1" applyAlignment="1">
      <alignment horizontal="center"/>
    </xf>
    <xf numFmtId="17" fontId="0" fillId="0" borderId="0" xfId="0" applyNumberFormat="1"/>
    <xf numFmtId="17" fontId="0" fillId="0" borderId="0" xfId="0" applyNumberFormat="1" applyAlignment="1">
      <alignment horizontal="center"/>
    </xf>
    <xf numFmtId="44" fontId="23" fillId="0" borderId="0" xfId="1" applyFont="1" applyFill="1" applyBorder="1" applyAlignment="1"/>
    <xf numFmtId="4" fontId="22" fillId="0" borderId="0" xfId="1" applyNumberFormat="1" applyFont="1" applyFill="1" applyBorder="1" applyAlignment="1">
      <alignment horizontal="center"/>
    </xf>
    <xf numFmtId="49" fontId="17" fillId="0" borderId="47" xfId="0" applyNumberFormat="1" applyFont="1" applyFill="1" applyBorder="1" applyAlignment="1"/>
    <xf numFmtId="165" fontId="8" fillId="0" borderId="47" xfId="0" applyNumberFormat="1" applyFont="1" applyFill="1" applyBorder="1" applyAlignment="1"/>
    <xf numFmtId="0" fontId="0" fillId="0" borderId="0" xfId="0" applyFill="1" applyAlignment="1">
      <alignment horizontal="left"/>
    </xf>
    <xf numFmtId="4" fontId="0" fillId="0" borderId="0" xfId="0" applyNumberFormat="1" applyFill="1"/>
    <xf numFmtId="17" fontId="11" fillId="0" borderId="7" xfId="0" applyNumberFormat="1" applyFont="1" applyFill="1" applyBorder="1" applyAlignment="1">
      <alignment horizontal="center" vertical="center"/>
    </xf>
    <xf numFmtId="165" fontId="17" fillId="0" borderId="12" xfId="0" applyNumberFormat="1" applyFont="1" applyFill="1" applyBorder="1" applyAlignment="1">
      <alignment horizontal="center"/>
    </xf>
    <xf numFmtId="49" fontId="11" fillId="5" borderId="52" xfId="0" applyNumberFormat="1" applyFont="1" applyFill="1" applyBorder="1" applyAlignment="1"/>
    <xf numFmtId="17" fontId="11" fillId="0" borderId="52" xfId="0" applyNumberFormat="1" applyFont="1" applyFill="1" applyBorder="1" applyAlignment="1">
      <alignment horizontal="center" vertical="center"/>
    </xf>
    <xf numFmtId="0" fontId="25" fillId="0" borderId="52" xfId="0" applyFont="1" applyFill="1" applyBorder="1" applyAlignment="1">
      <alignment horizontal="center"/>
    </xf>
    <xf numFmtId="49" fontId="11" fillId="5" borderId="52" xfId="0" applyNumberFormat="1" applyFont="1" applyFill="1" applyBorder="1" applyAlignment="1">
      <alignment horizontal="center"/>
    </xf>
    <xf numFmtId="49" fontId="11" fillId="5" borderId="53" xfId="0" applyNumberFormat="1" applyFont="1" applyFill="1" applyBorder="1" applyAlignment="1">
      <alignment horizontal="center"/>
    </xf>
    <xf numFmtId="165" fontId="13" fillId="5" borderId="21" xfId="0" applyNumberFormat="1" applyFont="1" applyFill="1" applyBorder="1" applyAlignment="1">
      <alignment horizontal="center"/>
    </xf>
    <xf numFmtId="0" fontId="8" fillId="0" borderId="20" xfId="0" applyFont="1" applyFill="1" applyBorder="1" applyAlignment="1">
      <alignment horizontal="center"/>
    </xf>
    <xf numFmtId="0" fontId="8" fillId="0" borderId="9" xfId="0" applyFont="1" applyFill="1" applyBorder="1" applyAlignment="1">
      <alignment horizontal="center"/>
    </xf>
    <xf numFmtId="0" fontId="0" fillId="0" borderId="52" xfId="0" applyBorder="1" applyAlignment="1">
      <alignment horizontal="center"/>
    </xf>
    <xf numFmtId="0" fontId="8" fillId="0" borderId="0" xfId="0" applyNumberFormat="1" applyFont="1" applyFill="1" applyAlignment="1">
      <alignment horizontal="center"/>
    </xf>
    <xf numFmtId="14" fontId="23" fillId="0" borderId="0" xfId="0" applyNumberFormat="1" applyFont="1" applyBorder="1" applyAlignment="1">
      <alignment horizontal="center"/>
    </xf>
    <xf numFmtId="0" fontId="8" fillId="0" borderId="0" xfId="0" applyNumberFormat="1" applyFont="1" applyFill="1" applyAlignment="1">
      <alignment horizontal="left"/>
    </xf>
    <xf numFmtId="49" fontId="8" fillId="8" borderId="14" xfId="0" applyNumberFormat="1" applyFont="1" applyFill="1" applyBorder="1" applyAlignment="1"/>
    <xf numFmtId="165" fontId="17" fillId="0" borderId="12" xfId="0" applyNumberFormat="1" applyFont="1" applyFill="1" applyBorder="1" applyAlignment="1"/>
    <xf numFmtId="44" fontId="20" fillId="0" borderId="0" xfId="1" applyFont="1"/>
    <xf numFmtId="44" fontId="20" fillId="0" borderId="0" xfId="1" applyFont="1" applyFill="1" applyBorder="1" applyAlignment="1"/>
    <xf numFmtId="0" fontId="23" fillId="0" borderId="0" xfId="0" applyFont="1" applyBorder="1"/>
    <xf numFmtId="17" fontId="11" fillId="17" borderId="7" xfId="0" applyNumberFormat="1" applyFont="1" applyFill="1" applyBorder="1" applyAlignment="1">
      <alignment horizontal="center" vertical="center"/>
    </xf>
    <xf numFmtId="49" fontId="11" fillId="17" borderId="7" xfId="0" applyNumberFormat="1" applyFont="1" applyFill="1" applyBorder="1" applyAlignment="1">
      <alignment horizontal="center" vertical="center"/>
    </xf>
    <xf numFmtId="0" fontId="8" fillId="17" borderId="20" xfId="0" applyFont="1" applyFill="1" applyBorder="1" applyAlignment="1"/>
    <xf numFmtId="49" fontId="8" fillId="10" borderId="17" xfId="0" applyNumberFormat="1" applyFont="1" applyFill="1" applyBorder="1" applyAlignment="1"/>
    <xf numFmtId="49" fontId="8" fillId="11" borderId="14" xfId="0" applyNumberFormat="1" applyFont="1" applyFill="1" applyBorder="1" applyAlignment="1"/>
    <xf numFmtId="49" fontId="8" fillId="12" borderId="14" xfId="0" applyNumberFormat="1" applyFont="1" applyFill="1" applyBorder="1" applyAlignment="1"/>
    <xf numFmtId="49" fontId="8" fillId="14" borderId="14" xfId="0" applyNumberFormat="1" applyFont="1" applyFill="1" applyBorder="1" applyAlignment="1"/>
    <xf numFmtId="49" fontId="8" fillId="14" borderId="17" xfId="0" applyNumberFormat="1" applyFont="1" applyFill="1" applyBorder="1" applyAlignment="1"/>
    <xf numFmtId="49" fontId="8" fillId="15" borderId="12" xfId="0" applyNumberFormat="1" applyFont="1" applyFill="1" applyBorder="1" applyAlignment="1"/>
    <xf numFmtId="49" fontId="8" fillId="18" borderId="12" xfId="0" applyNumberFormat="1" applyFont="1" applyFill="1" applyBorder="1" applyAlignment="1"/>
    <xf numFmtId="49" fontId="8" fillId="18" borderId="14" xfId="0" applyNumberFormat="1" applyFont="1" applyFill="1" applyBorder="1" applyAlignment="1"/>
    <xf numFmtId="165" fontId="17" fillId="10" borderId="12" xfId="0" applyNumberFormat="1" applyFont="1" applyFill="1" applyBorder="1" applyAlignment="1">
      <alignment horizontal="center"/>
    </xf>
    <xf numFmtId="165" fontId="17" fillId="11" borderId="12" xfId="0" applyNumberFormat="1" applyFont="1" applyFill="1" applyBorder="1" applyAlignment="1">
      <alignment horizontal="center"/>
    </xf>
    <xf numFmtId="165" fontId="17" fillId="12" borderId="12" xfId="0" applyNumberFormat="1" applyFont="1" applyFill="1" applyBorder="1" applyAlignment="1">
      <alignment horizontal="center"/>
    </xf>
    <xf numFmtId="165" fontId="17" fillId="14" borderId="12" xfId="0" applyNumberFormat="1" applyFont="1" applyFill="1" applyBorder="1" applyAlignment="1">
      <alignment horizontal="center"/>
    </xf>
    <xf numFmtId="165" fontId="13" fillId="14" borderId="12" xfId="0" applyNumberFormat="1" applyFont="1" applyFill="1" applyBorder="1" applyAlignment="1">
      <alignment horizontal="center"/>
    </xf>
    <xf numFmtId="165" fontId="13" fillId="18" borderId="12" xfId="0" applyNumberFormat="1" applyFont="1" applyFill="1" applyBorder="1" applyAlignment="1">
      <alignment horizontal="center"/>
    </xf>
    <xf numFmtId="165" fontId="17" fillId="18" borderId="12" xfId="0" applyNumberFormat="1" applyFont="1" applyFill="1" applyBorder="1" applyAlignment="1">
      <alignment horizontal="center"/>
    </xf>
    <xf numFmtId="165" fontId="17" fillId="5" borderId="26" xfId="0" applyNumberFormat="1" applyFont="1" applyFill="1" applyBorder="1" applyAlignment="1"/>
    <xf numFmtId="165" fontId="17" fillId="5" borderId="28" xfId="0" applyNumberFormat="1" applyFont="1" applyFill="1" applyBorder="1" applyAlignment="1"/>
    <xf numFmtId="165" fontId="17" fillId="5" borderId="31" xfId="0" applyNumberFormat="1" applyFont="1" applyFill="1" applyBorder="1" applyAlignment="1"/>
    <xf numFmtId="10" fontId="17" fillId="5" borderId="28" xfId="2" applyNumberFormat="1" applyFont="1" applyFill="1" applyBorder="1" applyAlignment="1"/>
    <xf numFmtId="10" fontId="13" fillId="0" borderId="29" xfId="2" applyNumberFormat="1" applyFont="1" applyFill="1" applyBorder="1" applyAlignment="1"/>
    <xf numFmtId="10" fontId="8" fillId="0" borderId="52" xfId="2" applyNumberFormat="1" applyFont="1" applyFill="1" applyBorder="1" applyAlignment="1">
      <alignment horizontal="center"/>
    </xf>
    <xf numFmtId="0" fontId="17" fillId="0" borderId="47" xfId="0" applyNumberFormat="1" applyFont="1" applyFill="1" applyBorder="1" applyAlignment="1"/>
    <xf numFmtId="0" fontId="8" fillId="0" borderId="47" xfId="0" applyNumberFormat="1" applyFont="1" applyFill="1" applyBorder="1" applyAlignment="1"/>
    <xf numFmtId="165" fontId="17" fillId="0" borderId="47" xfId="0" applyNumberFormat="1" applyFont="1" applyFill="1" applyBorder="1" applyAlignment="1"/>
    <xf numFmtId="10" fontId="0" fillId="0" borderId="52" xfId="2" applyNumberFormat="1" applyFont="1" applyBorder="1"/>
    <xf numFmtId="10" fontId="8" fillId="0" borderId="0" xfId="2" applyNumberFormat="1" applyFont="1" applyFill="1" applyBorder="1" applyAlignment="1"/>
    <xf numFmtId="43" fontId="0" fillId="0" borderId="52" xfId="3" applyFont="1" applyBorder="1"/>
    <xf numFmtId="165" fontId="17" fillId="0" borderId="52" xfId="0" applyNumberFormat="1" applyFont="1" applyFill="1" applyBorder="1" applyAlignment="1">
      <alignment horizontal="center"/>
    </xf>
    <xf numFmtId="10" fontId="17" fillId="0" borderId="52" xfId="2" applyNumberFormat="1" applyFont="1" applyFill="1" applyBorder="1" applyAlignment="1">
      <alignment horizontal="center"/>
    </xf>
    <xf numFmtId="165" fontId="13" fillId="0" borderId="74" xfId="0" applyNumberFormat="1" applyFont="1" applyFill="1" applyBorder="1" applyAlignment="1"/>
    <xf numFmtId="165" fontId="13" fillId="0" borderId="75" xfId="0" applyNumberFormat="1" applyFont="1" applyFill="1" applyBorder="1" applyAlignment="1"/>
    <xf numFmtId="165" fontId="13" fillId="0" borderId="29" xfId="0" applyNumberFormat="1" applyFont="1" applyFill="1" applyBorder="1" applyAlignment="1"/>
    <xf numFmtId="17" fontId="11" fillId="0" borderId="0" xfId="0" applyNumberFormat="1" applyFont="1" applyFill="1" applyBorder="1" applyAlignment="1">
      <alignment horizontal="center" vertical="center"/>
    </xf>
    <xf numFmtId="44" fontId="20" fillId="0" borderId="0" xfId="1" applyFont="1" applyBorder="1"/>
    <xf numFmtId="43" fontId="8" fillId="0" borderId="11" xfId="0" applyNumberFormat="1" applyFont="1" applyFill="1" applyBorder="1" applyAlignment="1"/>
    <xf numFmtId="44" fontId="27" fillId="0" borderId="0" xfId="1" applyFont="1"/>
    <xf numFmtId="0" fontId="23" fillId="0" borderId="0" xfId="0" applyFont="1" applyFill="1"/>
    <xf numFmtId="0" fontId="28" fillId="0" borderId="0" xfId="0" applyFont="1"/>
    <xf numFmtId="14" fontId="28" fillId="0" borderId="0" xfId="0" applyNumberFormat="1" applyFont="1" applyAlignment="1">
      <alignment horizontal="center"/>
    </xf>
    <xf numFmtId="17" fontId="28" fillId="0" borderId="0" xfId="0" applyNumberFormat="1" applyFont="1" applyAlignment="1">
      <alignment horizontal="center"/>
    </xf>
    <xf numFmtId="0" fontId="23" fillId="0" borderId="0" xfId="0" applyFont="1" applyFill="1" applyBorder="1"/>
    <xf numFmtId="17" fontId="29" fillId="0" borderId="0" xfId="0" applyNumberFormat="1" applyFont="1" applyAlignment="1">
      <alignment horizontal="center"/>
    </xf>
    <xf numFmtId="14" fontId="29" fillId="0" borderId="0" xfId="0" applyNumberFormat="1" applyFont="1" applyAlignment="1">
      <alignment horizontal="center"/>
    </xf>
    <xf numFmtId="17" fontId="30" fillId="0" borderId="0" xfId="0" applyNumberFormat="1" applyFont="1" applyAlignment="1">
      <alignment horizontal="center"/>
    </xf>
    <xf numFmtId="14" fontId="30" fillId="0" borderId="0" xfId="0" applyNumberFormat="1" applyFont="1" applyAlignment="1">
      <alignment horizontal="center"/>
    </xf>
    <xf numFmtId="17" fontId="23" fillId="0" borderId="0" xfId="0" applyNumberFormat="1" applyFont="1" applyFill="1" applyBorder="1" applyAlignment="1">
      <alignment horizontal="center"/>
    </xf>
    <xf numFmtId="0" fontId="0" fillId="0" borderId="0" xfId="0" applyNumberFormat="1" applyFont="1" applyFill="1" applyBorder="1" applyAlignment="1"/>
    <xf numFmtId="0" fontId="31" fillId="0" borderId="0" xfId="0" applyFont="1" applyBorder="1"/>
    <xf numFmtId="17" fontId="32" fillId="0" borderId="0" xfId="0" applyNumberFormat="1" applyFont="1" applyAlignment="1">
      <alignment horizontal="center"/>
    </xf>
    <xf numFmtId="14" fontId="32" fillId="0" borderId="0" xfId="0" applyNumberFormat="1" applyFont="1" applyBorder="1" applyAlignment="1">
      <alignment horizontal="center"/>
    </xf>
    <xf numFmtId="44" fontId="32" fillId="0" borderId="0" xfId="1" applyFont="1"/>
    <xf numFmtId="0" fontId="32" fillId="0" borderId="0" xfId="0" applyFont="1"/>
    <xf numFmtId="17" fontId="33" fillId="0" borderId="0" xfId="0" applyNumberFormat="1" applyFont="1" applyAlignment="1">
      <alignment horizontal="center"/>
    </xf>
    <xf numFmtId="44" fontId="33" fillId="0" borderId="0" xfId="1" applyFont="1"/>
    <xf numFmtId="0" fontId="33" fillId="0" borderId="0" xfId="0" applyFont="1"/>
    <xf numFmtId="14" fontId="33" fillId="0" borderId="0" xfId="0" applyNumberFormat="1" applyFont="1" applyBorder="1" applyAlignment="1">
      <alignment horizontal="center"/>
    </xf>
    <xf numFmtId="17" fontId="34" fillId="0" borderId="0" xfId="0" applyNumberFormat="1" applyFont="1" applyAlignment="1">
      <alignment horizontal="center"/>
    </xf>
    <xf numFmtId="44" fontId="34" fillId="0" borderId="0" xfId="1" applyFont="1"/>
    <xf numFmtId="0" fontId="0" fillId="0" borderId="0" xfId="0" applyFill="1" applyBorder="1"/>
    <xf numFmtId="14" fontId="34" fillId="0" borderId="0" xfId="0" applyNumberFormat="1" applyFont="1" applyBorder="1" applyAlignment="1">
      <alignment horizontal="center"/>
    </xf>
    <xf numFmtId="16" fontId="34" fillId="0" borderId="0" xfId="0" applyNumberFormat="1" applyFont="1"/>
    <xf numFmtId="43" fontId="0" fillId="0" borderId="0" xfId="3" applyFont="1" applyFill="1" applyBorder="1" applyAlignment="1"/>
    <xf numFmtId="166" fontId="1" fillId="0" borderId="0" xfId="0" applyNumberFormat="1" applyFont="1" applyFill="1" applyBorder="1" applyAlignment="1"/>
    <xf numFmtId="0" fontId="16" fillId="0" borderId="0" xfId="0" applyNumberFormat="1" applyFont="1" applyFill="1" applyAlignment="1"/>
    <xf numFmtId="43" fontId="0" fillId="0" borderId="0" xfId="3" applyFont="1"/>
    <xf numFmtId="44" fontId="23" fillId="0" borderId="0" xfId="1" applyFont="1" applyBorder="1" applyAlignment="1">
      <alignment horizontal="left"/>
    </xf>
    <xf numFmtId="43" fontId="0" fillId="0" borderId="0" xfId="0" applyNumberFormat="1" applyFont="1" applyFill="1" applyBorder="1" applyAlignment="1"/>
    <xf numFmtId="0" fontId="26" fillId="0" borderId="5" xfId="0" applyFont="1" applyFill="1" applyBorder="1" applyAlignment="1"/>
    <xf numFmtId="43" fontId="26" fillId="0" borderId="5" xfId="3" applyFont="1" applyFill="1" applyBorder="1" applyAlignment="1"/>
    <xf numFmtId="0" fontId="0" fillId="0" borderId="0" xfId="0" applyNumberFormat="1" applyFont="1" applyFill="1" applyAlignment="1">
      <alignment horizontal="right"/>
    </xf>
    <xf numFmtId="4" fontId="26" fillId="0" borderId="0" xfId="0" applyNumberFormat="1" applyFont="1" applyFill="1" applyAlignment="1"/>
    <xf numFmtId="0" fontId="0" fillId="0" borderId="79" xfId="0" applyBorder="1"/>
    <xf numFmtId="0" fontId="0" fillId="21" borderId="93" xfId="0" applyFill="1" applyBorder="1"/>
    <xf numFmtId="43" fontId="22" fillId="2" borderId="96" xfId="3" applyFont="1" applyFill="1" applyBorder="1"/>
    <xf numFmtId="14" fontId="0" fillId="0" borderId="91" xfId="0" applyNumberFormat="1" applyBorder="1" applyAlignment="1">
      <alignment horizontal="center"/>
    </xf>
    <xf numFmtId="0" fontId="0" fillId="0" borderId="84" xfId="0" applyBorder="1" applyAlignment="1">
      <alignment horizontal="center"/>
    </xf>
    <xf numFmtId="0" fontId="0" fillId="0" borderId="86" xfId="0" applyBorder="1" applyAlignment="1">
      <alignment horizontal="center"/>
    </xf>
    <xf numFmtId="0" fontId="0" fillId="21" borderId="89" xfId="0" applyFill="1" applyBorder="1" applyAlignment="1">
      <alignment horizontal="center"/>
    </xf>
    <xf numFmtId="44" fontId="0" fillId="0" borderId="84" xfId="1" applyFont="1" applyBorder="1" applyAlignment="1">
      <alignment horizontal="center"/>
    </xf>
    <xf numFmtId="44" fontId="0" fillId="21" borderId="89" xfId="1" applyFont="1" applyFill="1" applyBorder="1" applyAlignment="1">
      <alignment horizontal="center"/>
    </xf>
    <xf numFmtId="44" fontId="0" fillId="21" borderId="99" xfId="1" applyFont="1" applyFill="1" applyBorder="1" applyAlignment="1">
      <alignment horizontal="center"/>
    </xf>
    <xf numFmtId="44" fontId="0" fillId="0" borderId="86" xfId="1" applyFont="1" applyBorder="1" applyAlignment="1">
      <alignment horizontal="center"/>
    </xf>
    <xf numFmtId="14" fontId="0" fillId="0" borderId="92" xfId="0" applyNumberFormat="1" applyBorder="1" applyAlignment="1">
      <alignment horizontal="center"/>
    </xf>
    <xf numFmtId="14" fontId="0" fillId="0" borderId="83" xfId="0" applyNumberFormat="1" applyBorder="1" applyAlignment="1">
      <alignment horizontal="center"/>
    </xf>
    <xf numFmtId="44" fontId="0" fillId="0" borderId="97" xfId="1" applyFont="1" applyBorder="1" applyAlignment="1">
      <alignment horizontal="center"/>
    </xf>
    <xf numFmtId="14" fontId="0" fillId="0" borderId="85" xfId="0" applyNumberFormat="1" applyBorder="1" applyAlignment="1">
      <alignment horizontal="center"/>
    </xf>
    <xf numFmtId="44" fontId="0" fillId="0" borderId="87" xfId="1" applyFont="1" applyBorder="1" applyAlignment="1">
      <alignment horizontal="center"/>
    </xf>
    <xf numFmtId="0" fontId="0" fillId="0" borderId="85" xfId="0" applyBorder="1" applyAlignment="1">
      <alignment horizontal="center"/>
    </xf>
    <xf numFmtId="44" fontId="0" fillId="0" borderId="98" xfId="1" applyFont="1" applyBorder="1" applyAlignment="1">
      <alignment horizontal="center"/>
    </xf>
    <xf numFmtId="0" fontId="0" fillId="21" borderId="88" xfId="0" applyFill="1" applyBorder="1"/>
    <xf numFmtId="44" fontId="0" fillId="21" borderId="90" xfId="1" applyFont="1" applyFill="1" applyBorder="1" applyAlignment="1">
      <alignment horizontal="center"/>
    </xf>
    <xf numFmtId="0" fontId="36" fillId="20" borderId="79" xfId="0" applyFont="1" applyFill="1" applyBorder="1" applyAlignment="1">
      <alignment wrapText="1"/>
    </xf>
    <xf numFmtId="0" fontId="36" fillId="20" borderId="79" xfId="0" applyFont="1" applyFill="1" applyBorder="1" applyAlignment="1">
      <alignment horizontal="center" vertical="center"/>
    </xf>
    <xf numFmtId="44" fontId="0" fillId="0" borderId="83" xfId="1" applyFont="1" applyBorder="1" applyAlignment="1">
      <alignment horizontal="center"/>
    </xf>
    <xf numFmtId="44" fontId="0" fillId="0" borderId="85" xfId="1" applyFont="1" applyBorder="1" applyAlignment="1">
      <alignment horizontal="center"/>
    </xf>
    <xf numFmtId="44" fontId="0" fillId="0" borderId="101" xfId="1" applyFont="1" applyBorder="1" applyAlignment="1">
      <alignment horizontal="center"/>
    </xf>
    <xf numFmtId="0" fontId="0" fillId="0" borderId="79" xfId="0" applyBorder="1" applyAlignment="1">
      <alignment vertical="center"/>
    </xf>
    <xf numFmtId="164" fontId="0" fillId="0" borderId="79" xfId="0" applyNumberFormat="1" applyBorder="1" applyAlignment="1">
      <alignment vertical="center"/>
    </xf>
    <xf numFmtId="44" fontId="0" fillId="0" borderId="84" xfId="1" applyFont="1" applyFill="1" applyBorder="1" applyAlignment="1">
      <alignment horizontal="center"/>
    </xf>
    <xf numFmtId="44" fontId="0" fillId="0" borderId="100" xfId="1" applyFont="1" applyFill="1" applyBorder="1" applyAlignment="1">
      <alignment horizontal="center"/>
    </xf>
    <xf numFmtId="44" fontId="0" fillId="0" borderId="86" xfId="1" applyFont="1" applyFill="1" applyBorder="1" applyAlignment="1">
      <alignment horizontal="center"/>
    </xf>
    <xf numFmtId="43" fontId="37" fillId="21" borderId="94" xfId="3" applyFont="1" applyFill="1" applyBorder="1" applyAlignment="1">
      <alignment horizontal="left"/>
    </xf>
    <xf numFmtId="43" fontId="37" fillId="21" borderId="95" xfId="3" applyFont="1" applyFill="1" applyBorder="1" applyAlignment="1">
      <alignment horizontal="left"/>
    </xf>
    <xf numFmtId="41" fontId="0" fillId="0" borderId="0" xfId="3" applyNumberFormat="1" applyFont="1" applyFill="1" applyBorder="1" applyAlignment="1">
      <alignment horizontal="center"/>
    </xf>
    <xf numFmtId="165" fontId="1" fillId="0" borderId="0" xfId="0" applyNumberFormat="1" applyFont="1" applyFill="1" applyBorder="1" applyAlignment="1"/>
    <xf numFmtId="4" fontId="5" fillId="0" borderId="0" xfId="0" applyNumberFormat="1" applyFont="1" applyFill="1" applyBorder="1" applyAlignment="1"/>
    <xf numFmtId="4" fontId="1" fillId="0" borderId="0" xfId="0" applyNumberFormat="1" applyFont="1" applyFill="1" applyBorder="1" applyAlignment="1"/>
    <xf numFmtId="44" fontId="23" fillId="0" borderId="0" xfId="1" applyFont="1" applyFill="1" applyBorder="1" applyAlignment="1">
      <alignment horizontal="center"/>
    </xf>
    <xf numFmtId="44" fontId="36" fillId="0" borderId="0" xfId="1" applyFont="1" applyAlignment="1">
      <alignment horizontal="center"/>
    </xf>
    <xf numFmtId="164" fontId="0" fillId="0" borderId="86" xfId="0" applyNumberFormat="1" applyBorder="1" applyAlignment="1">
      <alignment horizontal="center"/>
    </xf>
    <xf numFmtId="49" fontId="8" fillId="12" borderId="12" xfId="0" applyNumberFormat="1" applyFont="1" applyFill="1" applyBorder="1" applyAlignment="1"/>
    <xf numFmtId="2" fontId="8" fillId="0" borderId="11" xfId="0" applyNumberFormat="1" applyFont="1" applyFill="1" applyBorder="1" applyAlignment="1"/>
    <xf numFmtId="165" fontId="13" fillId="10" borderId="12" xfId="0" applyNumberFormat="1" applyFont="1" applyFill="1" applyBorder="1" applyAlignment="1">
      <alignment horizontal="center"/>
    </xf>
    <xf numFmtId="43" fontId="1" fillId="0" borderId="0" xfId="3" applyFont="1" applyFill="1" applyBorder="1" applyAlignment="1"/>
    <xf numFmtId="44" fontId="23" fillId="0" borderId="54" xfId="1" applyFont="1" applyBorder="1" applyAlignment="1">
      <alignment horizontal="center"/>
    </xf>
    <xf numFmtId="44" fontId="0" fillId="0" borderId="103" xfId="1" applyFont="1" applyBorder="1" applyAlignment="1">
      <alignment horizontal="center"/>
    </xf>
    <xf numFmtId="44" fontId="0" fillId="0" borderId="87" xfId="1" applyFont="1" applyFill="1" applyBorder="1" applyAlignment="1">
      <alignment horizontal="center"/>
    </xf>
    <xf numFmtId="14" fontId="39" fillId="0" borderId="0" xfId="0" applyNumberFormat="1" applyFont="1" applyAlignment="1">
      <alignment horizontal="center"/>
    </xf>
    <xf numFmtId="17" fontId="39" fillId="0" borderId="0" xfId="0" applyNumberFormat="1" applyFont="1" applyAlignment="1">
      <alignment horizontal="center"/>
    </xf>
    <xf numFmtId="44" fontId="39" fillId="0" borderId="0" xfId="1" applyFont="1" applyBorder="1" applyAlignment="1">
      <alignment horizontal="left"/>
    </xf>
    <xf numFmtId="14" fontId="40" fillId="0" borderId="0" xfId="0" applyNumberFormat="1" applyFont="1" applyAlignment="1">
      <alignment horizontal="center"/>
    </xf>
    <xf numFmtId="44" fontId="40" fillId="0" borderId="0" xfId="1" applyFont="1"/>
    <xf numFmtId="0" fontId="40" fillId="0" borderId="0" xfId="0" applyFont="1"/>
    <xf numFmtId="17" fontId="40" fillId="0" borderId="0" xfId="0" applyNumberFormat="1" applyFont="1" applyAlignment="1">
      <alignment horizontal="center"/>
    </xf>
    <xf numFmtId="14" fontId="8" fillId="0" borderId="0" xfId="0" applyNumberFormat="1" applyFont="1" applyFill="1" applyBorder="1" applyAlignment="1"/>
    <xf numFmtId="43" fontId="8" fillId="0" borderId="0" xfId="0" applyNumberFormat="1" applyFont="1" applyFill="1" applyBorder="1" applyAlignment="1"/>
    <xf numFmtId="44" fontId="23" fillId="9" borderId="54" xfId="1" applyFont="1" applyFill="1" applyBorder="1" applyAlignment="1">
      <alignment horizontal="left"/>
    </xf>
    <xf numFmtId="17" fontId="41" fillId="0" borderId="0" xfId="0" applyNumberFormat="1" applyFont="1" applyAlignment="1">
      <alignment horizontal="center"/>
    </xf>
    <xf numFmtId="14" fontId="42" fillId="0" borderId="0" xfId="0" applyNumberFormat="1" applyFont="1" applyAlignment="1">
      <alignment horizontal="center"/>
    </xf>
    <xf numFmtId="44" fontId="20" fillId="0" borderId="0" xfId="1" applyFont="1" applyFill="1" applyBorder="1" applyAlignment="1">
      <alignment horizontal="center"/>
    </xf>
    <xf numFmtId="14" fontId="43" fillId="0" borderId="0" xfId="0" applyNumberFormat="1" applyFont="1" applyAlignment="1">
      <alignment horizontal="center"/>
    </xf>
    <xf numFmtId="17" fontId="43" fillId="0" borderId="0" xfId="0" applyNumberFormat="1" applyFont="1" applyAlignment="1">
      <alignment horizontal="center"/>
    </xf>
    <xf numFmtId="17" fontId="44" fillId="0" borderId="0" xfId="0" applyNumberFormat="1" applyFont="1" applyAlignment="1">
      <alignment horizontal="center"/>
    </xf>
    <xf numFmtId="44" fontId="8" fillId="0" borderId="0" xfId="1" applyFont="1" applyFill="1" applyBorder="1" applyAlignment="1">
      <alignment horizontal="center"/>
    </xf>
    <xf numFmtId="43" fontId="8" fillId="0" borderId="0" xfId="0" applyNumberFormat="1" applyFont="1" applyFill="1" applyAlignment="1"/>
    <xf numFmtId="14" fontId="45" fillId="0" borderId="0" xfId="0" applyNumberFormat="1" applyFont="1" applyAlignment="1">
      <alignment horizontal="center"/>
    </xf>
    <xf numFmtId="17" fontId="45" fillId="0" borderId="0" xfId="0" applyNumberFormat="1" applyFont="1" applyAlignment="1">
      <alignment horizontal="center"/>
    </xf>
    <xf numFmtId="14" fontId="45" fillId="0" borderId="0" xfId="0" applyNumberFormat="1" applyFont="1" applyBorder="1" applyAlignment="1">
      <alignment horizontal="center"/>
    </xf>
    <xf numFmtId="165" fontId="14" fillId="0" borderId="20" xfId="0" applyNumberFormat="1" applyFont="1" applyFill="1" applyBorder="1" applyAlignment="1"/>
    <xf numFmtId="0" fontId="0" fillId="0" borderId="0" xfId="0" applyAlignment="1">
      <alignment horizontal="center"/>
    </xf>
    <xf numFmtId="17" fontId="46" fillId="0" borderId="0" xfId="0" applyNumberFormat="1" applyFont="1" applyAlignment="1">
      <alignment horizontal="center"/>
    </xf>
    <xf numFmtId="43" fontId="8" fillId="0" borderId="20" xfId="0" applyNumberFormat="1" applyFont="1" applyFill="1" applyBorder="1" applyAlignment="1"/>
    <xf numFmtId="165" fontId="17" fillId="5" borderId="26" xfId="0" applyNumberFormat="1" applyFont="1" applyFill="1" applyBorder="1" applyAlignment="1">
      <alignment horizontal="center"/>
    </xf>
    <xf numFmtId="165" fontId="17" fillId="5" borderId="28" xfId="0" applyNumberFormat="1" applyFont="1" applyFill="1" applyBorder="1" applyAlignment="1">
      <alignment horizontal="center"/>
    </xf>
    <xf numFmtId="10" fontId="17" fillId="5" borderId="28" xfId="2" applyNumberFormat="1" applyFont="1" applyFill="1" applyBorder="1" applyAlignment="1">
      <alignment horizontal="right"/>
    </xf>
    <xf numFmtId="165" fontId="17" fillId="5" borderId="31" xfId="0" applyNumberFormat="1" applyFont="1" applyFill="1" applyBorder="1" applyAlignment="1">
      <alignment horizontal="center"/>
    </xf>
    <xf numFmtId="17" fontId="23" fillId="9" borderId="54" xfId="0" applyNumberFormat="1" applyFont="1" applyFill="1" applyBorder="1" applyAlignment="1">
      <alignment horizontal="center"/>
    </xf>
    <xf numFmtId="0" fontId="20" fillId="0" borderId="0" xfId="0" applyFont="1"/>
    <xf numFmtId="0" fontId="0" fillId="0" borderId="58" xfId="0" applyBorder="1"/>
    <xf numFmtId="0" fontId="0" fillId="0" borderId="60" xfId="0" applyBorder="1"/>
    <xf numFmtId="44" fontId="26" fillId="24" borderId="64" xfId="1" applyFont="1" applyFill="1" applyBorder="1" applyAlignment="1"/>
    <xf numFmtId="44" fontId="26" fillId="7" borderId="62" xfId="1" applyFont="1" applyFill="1" applyBorder="1" applyAlignment="1">
      <alignment horizontal="right"/>
    </xf>
    <xf numFmtId="44" fontId="26" fillId="7" borderId="69" xfId="1" applyFont="1" applyFill="1" applyBorder="1" applyAlignment="1">
      <alignment horizontal="right"/>
    </xf>
    <xf numFmtId="44" fontId="26" fillId="25" borderId="62" xfId="1" applyFont="1" applyFill="1" applyBorder="1" applyAlignment="1">
      <alignment horizontal="right"/>
    </xf>
    <xf numFmtId="164" fontId="0" fillId="0" borderId="47" xfId="0" applyNumberFormat="1" applyBorder="1"/>
    <xf numFmtId="14" fontId="0" fillId="0" borderId="59" xfId="0" applyNumberFormat="1" applyBorder="1"/>
    <xf numFmtId="44" fontId="0" fillId="0" borderId="66" xfId="1" applyFont="1" applyBorder="1"/>
    <xf numFmtId="44" fontId="0" fillId="0" borderId="65" xfId="1" applyFont="1" applyBorder="1"/>
    <xf numFmtId="44" fontId="0" fillId="0" borderId="56" xfId="1" applyFont="1" applyFill="1" applyBorder="1"/>
    <xf numFmtId="44" fontId="18" fillId="0" borderId="71" xfId="1" applyFont="1" applyBorder="1" applyAlignment="1">
      <alignment horizontal="center"/>
    </xf>
    <xf numFmtId="170" fontId="0" fillId="0" borderId="73" xfId="2" applyNumberFormat="1" applyFont="1" applyBorder="1"/>
    <xf numFmtId="44" fontId="48" fillId="0" borderId="71" xfId="1" applyFont="1" applyBorder="1"/>
    <xf numFmtId="44" fontId="48" fillId="0" borderId="72" xfId="1" applyFont="1" applyBorder="1"/>
    <xf numFmtId="170" fontId="0" fillId="0" borderId="76" xfId="2" applyNumberFormat="1" applyFont="1" applyBorder="1"/>
    <xf numFmtId="44" fontId="48" fillId="0" borderId="72" xfId="1" applyFont="1" applyFill="1" applyBorder="1"/>
    <xf numFmtId="10" fontId="23" fillId="0" borderId="72" xfId="2" applyNumberFormat="1" applyFont="1" applyBorder="1" applyAlignment="1">
      <alignment horizontal="center"/>
    </xf>
    <xf numFmtId="14" fontId="8" fillId="0" borderId="0" xfId="0" applyNumberFormat="1" applyFont="1" applyFill="1" applyBorder="1" applyAlignment="1">
      <alignment horizontal="right"/>
    </xf>
    <xf numFmtId="171" fontId="26" fillId="7" borderId="62" xfId="1" applyNumberFormat="1" applyFont="1" applyFill="1" applyBorder="1" applyAlignment="1">
      <alignment horizontal="right"/>
    </xf>
    <xf numFmtId="44" fontId="47" fillId="0" borderId="0" xfId="1" applyFont="1"/>
    <xf numFmtId="171" fontId="0" fillId="0" borderId="0" xfId="1" applyNumberFormat="1" applyFont="1"/>
    <xf numFmtId="44" fontId="0" fillId="28" borderId="47" xfId="1" applyFont="1" applyFill="1" applyBorder="1"/>
    <xf numFmtId="170" fontId="0" fillId="0" borderId="0" xfId="0" applyNumberFormat="1"/>
    <xf numFmtId="170" fontId="0" fillId="0" borderId="65" xfId="2" applyNumberFormat="1" applyFont="1" applyFill="1" applyBorder="1"/>
    <xf numFmtId="164" fontId="20" fillId="0" borderId="0" xfId="0" applyNumberFormat="1" applyFont="1"/>
    <xf numFmtId="164" fontId="0" fillId="0" borderId="0" xfId="0" applyNumberFormat="1"/>
    <xf numFmtId="14" fontId="18" fillId="0" borderId="0" xfId="0" applyNumberFormat="1" applyFont="1" applyFill="1" applyBorder="1" applyAlignment="1">
      <alignment horizontal="center"/>
    </xf>
    <xf numFmtId="14" fontId="26" fillId="24" borderId="64" xfId="1" applyNumberFormat="1" applyFont="1" applyFill="1" applyBorder="1" applyAlignment="1">
      <alignment horizontal="right"/>
    </xf>
    <xf numFmtId="0" fontId="0" fillId="0" borderId="0" xfId="0" applyAlignment="1">
      <alignment horizontal="center"/>
    </xf>
    <xf numFmtId="44" fontId="20" fillId="0" borderId="0" xfId="1" applyNumberFormat="1" applyFont="1" applyBorder="1"/>
    <xf numFmtId="44" fontId="23" fillId="0" borderId="0" xfId="1" applyNumberFormat="1" applyFont="1" applyBorder="1"/>
    <xf numFmtId="44" fontId="0" fillId="0" borderId="0" xfId="0" applyNumberFormat="1"/>
    <xf numFmtId="165" fontId="18" fillId="0" borderId="17" xfId="0" applyNumberFormat="1" applyFont="1" applyFill="1" applyBorder="1" applyAlignment="1"/>
    <xf numFmtId="14" fontId="11" fillId="0" borderId="0" xfId="0" applyNumberFormat="1" applyFont="1" applyFill="1" applyBorder="1" applyAlignment="1"/>
    <xf numFmtId="0" fontId="0" fillId="0" borderId="0" xfId="0" applyAlignment="1">
      <alignment horizontal="center"/>
    </xf>
    <xf numFmtId="14" fontId="18" fillId="0" borderId="0" xfId="0" applyNumberFormat="1" applyFont="1" applyFill="1" applyBorder="1" applyAlignment="1"/>
    <xf numFmtId="44" fontId="21" fillId="0" borderId="66" xfId="1" applyFont="1" applyBorder="1"/>
    <xf numFmtId="0" fontId="26" fillId="0" borderId="0" xfId="0" applyNumberFormat="1" applyFont="1" applyFill="1" applyAlignment="1"/>
    <xf numFmtId="43" fontId="0" fillId="0" borderId="0" xfId="0" applyNumberFormat="1" applyFont="1" applyFill="1" applyAlignment="1"/>
    <xf numFmtId="0" fontId="0" fillId="0" borderId="0" xfId="0" applyAlignment="1">
      <alignment horizontal="center"/>
    </xf>
    <xf numFmtId="171" fontId="0" fillId="0" borderId="65" xfId="1" applyNumberFormat="1" applyFont="1" applyBorder="1"/>
    <xf numFmtId="44" fontId="23" fillId="0" borderId="0" xfId="1" applyNumberFormat="1" applyFont="1"/>
    <xf numFmtId="44" fontId="23" fillId="0" borderId="54" xfId="1" applyNumberFormat="1" applyFont="1" applyBorder="1"/>
    <xf numFmtId="17" fontId="49" fillId="0" borderId="0" xfId="0" applyNumberFormat="1" applyFont="1" applyAlignment="1">
      <alignment horizontal="center"/>
    </xf>
    <xf numFmtId="14" fontId="49" fillId="0" borderId="0" xfId="0" applyNumberFormat="1" applyFont="1" applyAlignment="1">
      <alignment horizontal="center"/>
    </xf>
    <xf numFmtId="44" fontId="20" fillId="0" borderId="0" xfId="1" applyNumberFormat="1" applyFont="1"/>
    <xf numFmtId="0" fontId="49" fillId="0" borderId="0" xfId="0" applyFont="1" applyAlignment="1">
      <alignment horizontal="center"/>
    </xf>
    <xf numFmtId="44" fontId="49" fillId="0" borderId="0" xfId="1" applyFont="1"/>
    <xf numFmtId="0" fontId="50" fillId="0" borderId="0" xfId="0" applyFont="1" applyAlignment="1">
      <alignment horizontal="center"/>
    </xf>
    <xf numFmtId="17" fontId="50" fillId="0" borderId="0" xfId="0" applyNumberFormat="1" applyFont="1" applyAlignment="1">
      <alignment horizontal="center"/>
    </xf>
    <xf numFmtId="14" fontId="50" fillId="0" borderId="0" xfId="0" applyNumberFormat="1" applyFont="1" applyAlignment="1">
      <alignment horizontal="center"/>
    </xf>
    <xf numFmtId="0" fontId="50" fillId="0" borderId="0" xfId="0" applyFont="1"/>
    <xf numFmtId="44" fontId="50" fillId="0" borderId="0" xfId="1" applyFont="1"/>
    <xf numFmtId="0" fontId="0" fillId="0" borderId="0" xfId="0" applyAlignment="1">
      <alignment horizontal="center"/>
    </xf>
    <xf numFmtId="44" fontId="20" fillId="0" borderId="0" xfId="1" applyNumberFormat="1" applyFont="1" applyFill="1"/>
    <xf numFmtId="0" fontId="0" fillId="0" borderId="0" xfId="0" applyAlignment="1">
      <alignment horizontal="center"/>
    </xf>
    <xf numFmtId="0" fontId="0" fillId="0" borderId="0" xfId="0" applyAlignment="1">
      <alignment horizontal="center"/>
    </xf>
    <xf numFmtId="0" fontId="52" fillId="0" borderId="0" xfId="0" applyFont="1" applyAlignment="1">
      <alignment horizontal="center"/>
    </xf>
    <xf numFmtId="17" fontId="52" fillId="0" borderId="0" xfId="0" applyNumberFormat="1" applyFont="1" applyAlignment="1">
      <alignment horizontal="center"/>
    </xf>
    <xf numFmtId="14" fontId="52" fillId="0" borderId="0" xfId="0" applyNumberFormat="1" applyFont="1" applyAlignment="1">
      <alignment horizontal="center"/>
    </xf>
    <xf numFmtId="0" fontId="52" fillId="0" borderId="0" xfId="0" applyFont="1"/>
    <xf numFmtId="44" fontId="52" fillId="0" borderId="0" xfId="1" applyFont="1"/>
    <xf numFmtId="49" fontId="11" fillId="0" borderId="0" xfId="0" applyNumberFormat="1" applyFont="1" applyFill="1" applyBorder="1" applyAlignment="1">
      <alignment horizontal="center"/>
    </xf>
    <xf numFmtId="44" fontId="52" fillId="0" borderId="0" xfId="1" applyFont="1" applyFill="1" applyBorder="1" applyAlignment="1"/>
    <xf numFmtId="44" fontId="20" fillId="0" borderId="0" xfId="1" applyFont="1" applyFill="1" applyBorder="1"/>
    <xf numFmtId="44" fontId="40" fillId="0" borderId="0" xfId="1" applyFont="1" applyFill="1" applyBorder="1" applyAlignment="1">
      <alignment horizontal="left"/>
    </xf>
    <xf numFmtId="0" fontId="40" fillId="0" borderId="0" xfId="0" applyFont="1" applyFill="1" applyBorder="1"/>
    <xf numFmtId="44" fontId="23" fillId="0" borderId="0" xfId="1" applyFont="1" applyFill="1" applyBorder="1" applyAlignment="1">
      <alignment horizontal="left"/>
    </xf>
    <xf numFmtId="0" fontId="23" fillId="0" borderId="0" xfId="0" applyFont="1" applyFill="1" applyBorder="1" applyAlignment="1">
      <alignment horizontal="left"/>
    </xf>
    <xf numFmtId="44" fontId="45" fillId="0" borderId="0" xfId="1" applyFont="1" applyFill="1" applyBorder="1" applyAlignment="1">
      <alignment horizontal="left"/>
    </xf>
    <xf numFmtId="0" fontId="45" fillId="0" borderId="0" xfId="0" applyFont="1" applyFill="1" applyBorder="1"/>
    <xf numFmtId="44" fontId="23" fillId="0" borderId="0" xfId="1" applyFont="1" applyFill="1" applyBorder="1"/>
    <xf numFmtId="44" fontId="46" fillId="0" borderId="0" xfId="1" applyFont="1" applyFill="1" applyBorder="1" applyAlignment="1">
      <alignment horizontal="left"/>
    </xf>
    <xf numFmtId="0" fontId="46" fillId="0" borderId="0" xfId="0" applyFont="1" applyFill="1" applyBorder="1"/>
    <xf numFmtId="0" fontId="0" fillId="0" borderId="0" xfId="0" applyFill="1" applyBorder="1" applyAlignment="1">
      <alignment horizontal="left"/>
    </xf>
    <xf numFmtId="0" fontId="52" fillId="0" borderId="0" xfId="0" applyFont="1" applyBorder="1"/>
    <xf numFmtId="0" fontId="52" fillId="0" borderId="0" xfId="0" applyFont="1" applyFill="1" applyBorder="1"/>
    <xf numFmtId="165" fontId="17" fillId="26" borderId="12" xfId="0" applyNumberFormat="1" applyFont="1" applyFill="1" applyBorder="1" applyAlignment="1">
      <alignment horizontal="center"/>
    </xf>
    <xf numFmtId="0" fontId="52" fillId="0" borderId="0" xfId="0" applyFont="1" applyFill="1"/>
    <xf numFmtId="14" fontId="52" fillId="0" borderId="0" xfId="0" applyNumberFormat="1" applyFont="1" applyFill="1" applyAlignment="1">
      <alignment horizontal="center"/>
    </xf>
    <xf numFmtId="170" fontId="0" fillId="0" borderId="57" xfId="2" applyNumberFormat="1" applyFont="1" applyFill="1" applyBorder="1"/>
    <xf numFmtId="44" fontId="0" fillId="0" borderId="100" xfId="1" applyFont="1" applyBorder="1" applyAlignment="1">
      <alignment horizontal="center"/>
    </xf>
    <xf numFmtId="0" fontId="0" fillId="0" borderId="97" xfId="0" applyBorder="1" applyAlignment="1">
      <alignment horizontal="center"/>
    </xf>
    <xf numFmtId="43" fontId="0" fillId="0" borderId="0" xfId="2" applyNumberFormat="1" applyFont="1"/>
    <xf numFmtId="0" fontId="0" fillId="0" borderId="87" xfId="0" applyBorder="1" applyAlignment="1">
      <alignment horizontal="center"/>
    </xf>
    <xf numFmtId="0" fontId="0" fillId="0" borderId="98" xfId="0" applyBorder="1" applyAlignment="1">
      <alignment horizontal="center"/>
    </xf>
    <xf numFmtId="44" fontId="0" fillId="0" borderId="88" xfId="0" applyNumberFormat="1" applyBorder="1"/>
    <xf numFmtId="44" fontId="0" fillId="0" borderId="0" xfId="1" applyFont="1" applyFill="1" applyBorder="1" applyAlignment="1">
      <alignment horizontal="center"/>
    </xf>
    <xf numFmtId="10" fontId="0" fillId="0" borderId="0" xfId="2" applyNumberFormat="1" applyFont="1"/>
    <xf numFmtId="44" fontId="0" fillId="0" borderId="67" xfId="1" applyFont="1" applyFill="1" applyBorder="1"/>
    <xf numFmtId="171" fontId="26" fillId="0" borderId="66" xfId="1" applyNumberFormat="1" applyFont="1" applyBorder="1"/>
    <xf numFmtId="174" fontId="0" fillId="0" borderId="47" xfId="0" applyNumberFormat="1" applyBorder="1"/>
    <xf numFmtId="170" fontId="0" fillId="0" borderId="73" xfId="2" applyNumberFormat="1" applyFont="1" applyFill="1" applyBorder="1"/>
    <xf numFmtId="0" fontId="53" fillId="0" borderId="0" xfId="0" applyFont="1" applyAlignment="1">
      <alignment horizontal="center"/>
    </xf>
    <xf numFmtId="17" fontId="53" fillId="0" borderId="0" xfId="0" applyNumberFormat="1" applyFont="1" applyAlignment="1">
      <alignment horizontal="center"/>
    </xf>
    <xf numFmtId="14" fontId="53" fillId="0" borderId="0" xfId="0" applyNumberFormat="1" applyFont="1" applyAlignment="1">
      <alignment horizontal="center"/>
    </xf>
    <xf numFmtId="44" fontId="53" fillId="0" borderId="0" xfId="1" applyFont="1"/>
    <xf numFmtId="0" fontId="53" fillId="0" borderId="0" xfId="0" applyFont="1"/>
    <xf numFmtId="0" fontId="0" fillId="0" borderId="0" xfId="0" applyAlignment="1">
      <alignment horizontal="center"/>
    </xf>
    <xf numFmtId="44" fontId="53" fillId="9" borderId="54" xfId="1" applyFont="1" applyFill="1" applyBorder="1" applyAlignment="1">
      <alignment horizontal="left"/>
    </xf>
    <xf numFmtId="0" fontId="0" fillId="0" borderId="0" xfId="0" applyAlignment="1">
      <alignment horizontal="center"/>
    </xf>
    <xf numFmtId="0" fontId="24" fillId="7" borderId="80" xfId="0" applyFont="1" applyFill="1" applyBorder="1" applyAlignment="1">
      <alignment horizontal="center"/>
    </xf>
    <xf numFmtId="0" fontId="24" fillId="7" borderId="81" xfId="0" applyFont="1" applyFill="1" applyBorder="1" applyAlignment="1">
      <alignment horizontal="center"/>
    </xf>
    <xf numFmtId="0" fontId="24" fillId="7" borderId="82" xfId="0" applyFont="1" applyFill="1" applyBorder="1" applyAlignment="1">
      <alignment horizontal="center"/>
    </xf>
    <xf numFmtId="0" fontId="22" fillId="23" borderId="80" xfId="0" applyFont="1" applyFill="1" applyBorder="1" applyAlignment="1">
      <alignment horizontal="center"/>
    </xf>
    <xf numFmtId="0" fontId="22" fillId="23" borderId="82" xfId="0" applyFont="1" applyFill="1" applyBorder="1" applyAlignment="1">
      <alignment horizontal="center"/>
    </xf>
    <xf numFmtId="171" fontId="26" fillId="2" borderId="62" xfId="1" applyNumberFormat="1" applyFont="1" applyFill="1" applyBorder="1" applyAlignment="1">
      <alignment horizontal="right"/>
    </xf>
    <xf numFmtId="44" fontId="26" fillId="2" borderId="69" xfId="1" applyFont="1" applyFill="1" applyBorder="1" applyAlignment="1">
      <alignment horizontal="right"/>
    </xf>
    <xf numFmtId="44" fontId="26" fillId="0" borderId="57" xfId="1" applyFont="1" applyBorder="1"/>
    <xf numFmtId="44" fontId="26" fillId="0" borderId="66" xfId="1" applyFont="1" applyBorder="1"/>
    <xf numFmtId="44" fontId="26" fillId="0" borderId="56" xfId="1" applyFont="1" applyBorder="1"/>
    <xf numFmtId="164" fontId="26" fillId="0" borderId="47" xfId="0" applyNumberFormat="1" applyFont="1" applyBorder="1"/>
    <xf numFmtId="174" fontId="26" fillId="0" borderId="47" xfId="0" applyNumberFormat="1" applyFont="1" applyBorder="1"/>
    <xf numFmtId="164" fontId="26" fillId="0" borderId="0" xfId="0" applyNumberFormat="1" applyFont="1"/>
    <xf numFmtId="164" fontId="47" fillId="0" borderId="0" xfId="0" applyNumberFormat="1" applyFont="1"/>
    <xf numFmtId="44" fontId="26" fillId="0" borderId="67" xfId="1" applyFont="1" applyFill="1" applyBorder="1"/>
    <xf numFmtId="9" fontId="47" fillId="0" borderId="0" xfId="2" applyFont="1"/>
    <xf numFmtId="9" fontId="47" fillId="0" borderId="0" xfId="1" applyNumberFormat="1" applyFont="1"/>
    <xf numFmtId="179" fontId="26" fillId="0" borderId="47" xfId="0" applyNumberFormat="1" applyFont="1" applyBorder="1"/>
    <xf numFmtId="179" fontId="0" fillId="0" borderId="47" xfId="0" applyNumberFormat="1" applyBorder="1"/>
    <xf numFmtId="172" fontId="26" fillId="0" borderId="66" xfId="1" applyNumberFormat="1" applyFont="1" applyFill="1" applyBorder="1"/>
    <xf numFmtId="172" fontId="26" fillId="0" borderId="67" xfId="1" applyNumberFormat="1" applyFont="1" applyFill="1" applyBorder="1"/>
    <xf numFmtId="44" fontId="21" fillId="0" borderId="71" xfId="1" applyFont="1" applyFill="1" applyBorder="1"/>
    <xf numFmtId="170" fontId="21" fillId="0" borderId="73" xfId="2" applyNumberFormat="1" applyFont="1" applyFill="1" applyBorder="1"/>
    <xf numFmtId="179" fontId="26" fillId="0" borderId="66" xfId="1" applyNumberFormat="1" applyFont="1" applyBorder="1"/>
    <xf numFmtId="17" fontId="53" fillId="9" borderId="54" xfId="0" applyNumberFormat="1" applyFont="1" applyFill="1" applyBorder="1" applyAlignment="1">
      <alignment horizontal="center"/>
    </xf>
    <xf numFmtId="44" fontId="26" fillId="0" borderId="55" xfId="1" applyFont="1" applyFill="1" applyBorder="1"/>
    <xf numFmtId="44" fontId="21" fillId="0" borderId="66" xfId="1" applyFont="1" applyFill="1" applyBorder="1"/>
    <xf numFmtId="0" fontId="54" fillId="0" borderId="0" xfId="0" applyFont="1" applyAlignment="1">
      <alignment horizontal="center"/>
    </xf>
    <xf numFmtId="17" fontId="54" fillId="0" borderId="0" xfId="0" applyNumberFormat="1" applyFont="1" applyAlignment="1">
      <alignment horizontal="center"/>
    </xf>
    <xf numFmtId="14" fontId="54" fillId="0" borderId="0" xfId="0" applyNumberFormat="1" applyFont="1" applyAlignment="1">
      <alignment horizontal="center"/>
    </xf>
    <xf numFmtId="17" fontId="54" fillId="9" borderId="54" xfId="0" applyNumberFormat="1" applyFont="1" applyFill="1" applyBorder="1" applyAlignment="1">
      <alignment horizontal="center"/>
    </xf>
    <xf numFmtId="44" fontId="54" fillId="0" borderId="0" xfId="1" applyFont="1"/>
    <xf numFmtId="0" fontId="54" fillId="0" borderId="0" xfId="0" applyFont="1"/>
    <xf numFmtId="0" fontId="0" fillId="0" borderId="0" xfId="0" applyAlignment="1">
      <alignment horizontal="center"/>
    </xf>
    <xf numFmtId="49" fontId="8" fillId="30" borderId="14" xfId="0" applyNumberFormat="1" applyFont="1" applyFill="1" applyBorder="1" applyAlignment="1"/>
    <xf numFmtId="17" fontId="35" fillId="0" borderId="0" xfId="0" applyNumberFormat="1" applyFont="1" applyFill="1"/>
    <xf numFmtId="0" fontId="55" fillId="0" borderId="0" xfId="0" applyFont="1" applyAlignment="1">
      <alignment horizontal="center"/>
    </xf>
    <xf numFmtId="17" fontId="55" fillId="9" borderId="54" xfId="0" applyNumberFormat="1" applyFont="1" applyFill="1" applyBorder="1" applyAlignment="1">
      <alignment horizontal="center"/>
    </xf>
    <xf numFmtId="14" fontId="55" fillId="0" borderId="0" xfId="0" applyNumberFormat="1" applyFont="1" applyAlignment="1">
      <alignment horizontal="center"/>
    </xf>
    <xf numFmtId="44" fontId="55" fillId="0" borderId="0" xfId="1" applyFont="1"/>
    <xf numFmtId="0" fontId="55" fillId="0" borderId="0" xfId="0" applyFont="1"/>
    <xf numFmtId="0" fontId="0" fillId="0" borderId="0" xfId="0" applyAlignment="1">
      <alignment horizontal="center"/>
    </xf>
    <xf numFmtId="0" fontId="0" fillId="0" borderId="0" xfId="0" applyAlignment="1">
      <alignment horizontal="center"/>
    </xf>
    <xf numFmtId="44" fontId="0" fillId="0" borderId="56" xfId="1" applyFont="1" applyBorder="1"/>
    <xf numFmtId="44" fontId="0" fillId="0" borderId="78" xfId="1" applyFont="1" applyBorder="1"/>
    <xf numFmtId="0" fontId="0" fillId="0" borderId="33" xfId="0" applyBorder="1"/>
    <xf numFmtId="3" fontId="6" fillId="5" borderId="34" xfId="0" applyNumberFormat="1" applyFont="1" applyFill="1" applyBorder="1"/>
    <xf numFmtId="14" fontId="6" fillId="5" borderId="34" xfId="0" applyNumberFormat="1" applyFont="1" applyFill="1" applyBorder="1"/>
    <xf numFmtId="0" fontId="0" fillId="0" borderId="35" xfId="0" applyBorder="1"/>
    <xf numFmtId="3" fontId="0" fillId="0" borderId="35" xfId="0" applyNumberFormat="1" applyBorder="1"/>
    <xf numFmtId="0" fontId="0" fillId="0" borderId="4" xfId="0" applyBorder="1"/>
    <xf numFmtId="3" fontId="20" fillId="0" borderId="0" xfId="0" applyNumberFormat="1" applyFont="1"/>
    <xf numFmtId="14" fontId="0" fillId="0" borderId="0" xfId="0" applyNumberFormat="1"/>
    <xf numFmtId="17" fontId="3" fillId="0" borderId="7" xfId="0" applyNumberFormat="1" applyFont="1" applyBorder="1" applyAlignment="1">
      <alignment horizontal="center"/>
    </xf>
    <xf numFmtId="4" fontId="1" fillId="0" borderId="26" xfId="0" applyNumberFormat="1" applyFont="1" applyBorder="1"/>
    <xf numFmtId="0" fontId="56" fillId="0" borderId="0" xfId="0" applyFont="1" applyAlignment="1">
      <alignment horizontal="center"/>
    </xf>
    <xf numFmtId="17" fontId="56" fillId="9" borderId="54" xfId="0" applyNumberFormat="1" applyFont="1" applyFill="1" applyBorder="1" applyAlignment="1">
      <alignment horizontal="center"/>
    </xf>
    <xf numFmtId="14" fontId="56" fillId="0" borderId="0" xfId="0" applyNumberFormat="1" applyFont="1" applyAlignment="1">
      <alignment horizontal="center"/>
    </xf>
    <xf numFmtId="0" fontId="56" fillId="0" borderId="0" xfId="0" applyFont="1"/>
    <xf numFmtId="0" fontId="57" fillId="0" borderId="0" xfId="0" applyFont="1" applyAlignment="1">
      <alignment horizontal="center"/>
    </xf>
    <xf numFmtId="17" fontId="57" fillId="9" borderId="54" xfId="0" applyNumberFormat="1" applyFont="1" applyFill="1" applyBorder="1" applyAlignment="1">
      <alignment horizontal="center"/>
    </xf>
    <xf numFmtId="14" fontId="57" fillId="0" borderId="0" xfId="0" applyNumberFormat="1" applyFont="1" applyAlignment="1">
      <alignment horizontal="center"/>
    </xf>
    <xf numFmtId="44" fontId="57" fillId="0" borderId="0" xfId="1" applyFont="1"/>
    <xf numFmtId="0" fontId="57" fillId="0" borderId="0" xfId="0" applyFont="1"/>
    <xf numFmtId="44" fontId="26" fillId="0" borderId="56" xfId="1" applyFont="1" applyFill="1" applyBorder="1"/>
    <xf numFmtId="0" fontId="0" fillId="0" borderId="0" xfId="0" applyAlignment="1">
      <alignment horizontal="center"/>
    </xf>
    <xf numFmtId="9" fontId="26" fillId="0" borderId="0" xfId="2" applyFont="1"/>
    <xf numFmtId="44" fontId="26" fillId="0" borderId="66" xfId="1" applyFont="1" applyFill="1" applyBorder="1"/>
    <xf numFmtId="170" fontId="47" fillId="0" borderId="0" xfId="2" applyNumberFormat="1" applyFont="1"/>
    <xf numFmtId="0" fontId="0" fillId="0" borderId="0" xfId="0" applyAlignment="1">
      <alignment horizontal="center"/>
    </xf>
    <xf numFmtId="44" fontId="47" fillId="0" borderId="47" xfId="1" applyFont="1" applyBorder="1"/>
    <xf numFmtId="164" fontId="47" fillId="0" borderId="47" xfId="0" applyNumberFormat="1" applyFont="1" applyBorder="1"/>
    <xf numFmtId="10" fontId="47" fillId="0" borderId="47" xfId="2" applyNumberFormat="1" applyFont="1" applyBorder="1"/>
    <xf numFmtId="0" fontId="47" fillId="0" borderId="47" xfId="2" applyNumberFormat="1" applyFont="1" applyBorder="1"/>
    <xf numFmtId="44" fontId="47" fillId="19" borderId="47" xfId="1" applyFont="1" applyFill="1" applyBorder="1"/>
    <xf numFmtId="164" fontId="47" fillId="19" borderId="47" xfId="0" applyNumberFormat="1" applyFont="1" applyFill="1" applyBorder="1"/>
    <xf numFmtId="44" fontId="58" fillId="25" borderId="62" xfId="1" applyFont="1" applyFill="1" applyBorder="1" applyAlignment="1">
      <alignment horizontal="right"/>
    </xf>
    <xf numFmtId="44" fontId="58" fillId="10" borderId="62" xfId="1" applyFont="1" applyFill="1" applyBorder="1" applyAlignment="1">
      <alignment horizontal="right"/>
    </xf>
    <xf numFmtId="14" fontId="58" fillId="10" borderId="62" xfId="1" applyNumberFormat="1" applyFont="1" applyFill="1" applyBorder="1" applyAlignment="1">
      <alignment horizontal="right"/>
    </xf>
    <xf numFmtId="0" fontId="0" fillId="0" borderId="0" xfId="0" applyAlignment="1">
      <alignment horizontal="center"/>
    </xf>
    <xf numFmtId="17" fontId="57" fillId="0" borderId="0" xfId="0" applyNumberFormat="1" applyFont="1" applyAlignment="1">
      <alignment horizontal="center"/>
    </xf>
    <xf numFmtId="44" fontId="23" fillId="0" borderId="0" xfId="1" applyNumberFormat="1" applyFont="1" applyFill="1" applyBorder="1"/>
    <xf numFmtId="44" fontId="47" fillId="0" borderId="0" xfId="1" applyFont="1" applyBorder="1"/>
    <xf numFmtId="164" fontId="47" fillId="0" borderId="0" xfId="0" applyNumberFormat="1" applyFont="1" applyBorder="1"/>
    <xf numFmtId="164" fontId="20" fillId="0" borderId="0" xfId="0" applyNumberFormat="1" applyFont="1" applyBorder="1"/>
    <xf numFmtId="0" fontId="0" fillId="0" borderId="0" xfId="0" applyBorder="1"/>
    <xf numFmtId="44" fontId="0" fillId="0" borderId="0" xfId="0" applyNumberFormat="1" applyBorder="1"/>
    <xf numFmtId="44" fontId="20" fillId="0" borderId="0" xfId="1" applyNumberFormat="1" applyFont="1" applyFill="1" applyBorder="1"/>
    <xf numFmtId="0" fontId="26" fillId="0" borderId="0" xfId="0" applyNumberFormat="1" applyFont="1"/>
    <xf numFmtId="181" fontId="47" fillId="0" borderId="0" xfId="1" applyNumberFormat="1" applyFont="1"/>
    <xf numFmtId="0" fontId="47" fillId="0" borderId="0" xfId="2" applyNumberFormat="1" applyFont="1"/>
    <xf numFmtId="0" fontId="0" fillId="0" borderId="0" xfId="0" applyAlignment="1">
      <alignment horizontal="center"/>
    </xf>
    <xf numFmtId="0" fontId="59" fillId="0" borderId="0" xfId="0" applyFont="1" applyAlignment="1">
      <alignment horizontal="center"/>
    </xf>
    <xf numFmtId="17" fontId="59" fillId="9" borderId="54" xfId="0" applyNumberFormat="1" applyFont="1" applyFill="1" applyBorder="1" applyAlignment="1">
      <alignment horizontal="center"/>
    </xf>
    <xf numFmtId="14" fontId="59" fillId="0" borderId="0" xfId="0" applyNumberFormat="1" applyFont="1" applyAlignment="1">
      <alignment horizontal="center"/>
    </xf>
    <xf numFmtId="0" fontId="59" fillId="0" borderId="0" xfId="0" applyFont="1"/>
    <xf numFmtId="0" fontId="0" fillId="0" borderId="0" xfId="0" applyAlignment="1">
      <alignment horizontal="center"/>
    </xf>
    <xf numFmtId="44" fontId="20" fillId="0" borderId="54" xfId="1" applyFont="1" applyBorder="1" applyAlignment="1">
      <alignment horizontal="center"/>
    </xf>
    <xf numFmtId="0" fontId="0" fillId="0" borderId="0" xfId="0" applyAlignment="1">
      <alignment horizontal="center"/>
    </xf>
    <xf numFmtId="44" fontId="59" fillId="0" borderId="0" xfId="1" applyFont="1"/>
    <xf numFmtId="165" fontId="13" fillId="15" borderId="12" xfId="0" applyNumberFormat="1" applyFont="1" applyFill="1" applyBorder="1" applyAlignment="1">
      <alignment horizontal="center"/>
    </xf>
    <xf numFmtId="165" fontId="13" fillId="5" borderId="26" xfId="0" applyNumberFormat="1" applyFont="1" applyFill="1" applyBorder="1" applyAlignment="1"/>
    <xf numFmtId="165" fontId="13" fillId="5" borderId="28" xfId="0" applyNumberFormat="1" applyFont="1" applyFill="1" applyBorder="1" applyAlignment="1"/>
    <xf numFmtId="10" fontId="13" fillId="5" borderId="28" xfId="2" applyNumberFormat="1" applyFont="1" applyFill="1" applyBorder="1" applyAlignment="1"/>
    <xf numFmtId="165" fontId="13" fillId="5" borderId="31" xfId="0" applyNumberFormat="1" applyFont="1" applyFill="1" applyBorder="1" applyAlignment="1"/>
    <xf numFmtId="17" fontId="59" fillId="0" borderId="0" xfId="0" applyNumberFormat="1" applyFont="1" applyAlignment="1">
      <alignment horizontal="center"/>
    </xf>
    <xf numFmtId="10" fontId="47" fillId="0" borderId="0" xfId="2" applyNumberFormat="1" applyFont="1"/>
    <xf numFmtId="179" fontId="26" fillId="0" borderId="0" xfId="0" applyNumberFormat="1" applyFont="1" applyBorder="1"/>
    <xf numFmtId="179" fontId="0" fillId="0" borderId="0" xfId="0" applyNumberFormat="1" applyBorder="1"/>
    <xf numFmtId="10" fontId="23" fillId="0" borderId="0" xfId="2" applyNumberFormat="1" applyFont="1" applyBorder="1" applyAlignment="1">
      <alignment horizontal="center"/>
    </xf>
    <xf numFmtId="0" fontId="26" fillId="0" borderId="0" xfId="1" applyNumberFormat="1" applyFont="1" applyFill="1" applyBorder="1" applyAlignment="1">
      <alignment horizontal="center" wrapText="1"/>
    </xf>
    <xf numFmtId="0" fontId="26" fillId="24" borderId="47" xfId="1" applyNumberFormat="1" applyFont="1" applyFill="1" applyBorder="1" applyAlignment="1">
      <alignment horizontal="center" wrapText="1"/>
    </xf>
    <xf numFmtId="172" fontId="26" fillId="0" borderId="47" xfId="0" applyNumberFormat="1" applyFont="1" applyBorder="1"/>
    <xf numFmtId="10" fontId="60" fillId="0" borderId="47" xfId="2" applyNumberFormat="1" applyFont="1" applyBorder="1"/>
    <xf numFmtId="44" fontId="26" fillId="0" borderId="47" xfId="1" applyFont="1" applyBorder="1"/>
    <xf numFmtId="0" fontId="61" fillId="0" borderId="0" xfId="0" applyFont="1" applyAlignment="1">
      <alignment horizontal="center"/>
    </xf>
    <xf numFmtId="17" fontId="61" fillId="9" borderId="54" xfId="0" applyNumberFormat="1" applyFont="1" applyFill="1" applyBorder="1" applyAlignment="1">
      <alignment horizontal="center"/>
    </xf>
    <xf numFmtId="14" fontId="61" fillId="0" borderId="0" xfId="0" applyNumberFormat="1" applyFont="1" applyAlignment="1">
      <alignment horizontal="center"/>
    </xf>
    <xf numFmtId="0" fontId="62" fillId="0" borderId="0" xfId="0" applyFont="1" applyAlignment="1">
      <alignment horizontal="center"/>
    </xf>
    <xf numFmtId="14" fontId="62" fillId="0" borderId="0" xfId="0" applyNumberFormat="1" applyFont="1" applyAlignment="1">
      <alignment horizontal="center"/>
    </xf>
    <xf numFmtId="0" fontId="62" fillId="0" borderId="0" xfId="0" applyFont="1"/>
    <xf numFmtId="17" fontId="62" fillId="0" borderId="0" xfId="0" applyNumberFormat="1" applyFont="1" applyAlignment="1">
      <alignment horizontal="center"/>
    </xf>
    <xf numFmtId="17" fontId="62" fillId="9" borderId="54" xfId="0" applyNumberFormat="1" applyFont="1" applyFill="1" applyBorder="1" applyAlignment="1">
      <alignment horizontal="center"/>
    </xf>
    <xf numFmtId="44" fontId="62" fillId="0" borderId="0" xfId="1" applyFont="1"/>
    <xf numFmtId="43" fontId="26" fillId="0" borderId="0" xfId="0" applyNumberFormat="1" applyFont="1" applyFill="1" applyAlignment="1"/>
    <xf numFmtId="3" fontId="22" fillId="0" borderId="0" xfId="0" applyNumberFormat="1" applyFont="1" applyFill="1" applyBorder="1"/>
    <xf numFmtId="17" fontId="47" fillId="7" borderId="0" xfId="0" applyNumberFormat="1" applyFont="1" applyFill="1"/>
    <xf numFmtId="44" fontId="20" fillId="7" borderId="0" xfId="1" applyFont="1" applyFill="1"/>
    <xf numFmtId="0" fontId="63" fillId="0" borderId="0" xfId="0" applyFont="1" applyAlignment="1">
      <alignment horizontal="center"/>
    </xf>
    <xf numFmtId="17" fontId="63" fillId="9" borderId="54" xfId="0" applyNumberFormat="1" applyFont="1" applyFill="1" applyBorder="1" applyAlignment="1">
      <alignment horizontal="center"/>
    </xf>
    <xf numFmtId="14" fontId="63" fillId="0" borderId="0" xfId="0" applyNumberFormat="1" applyFont="1" applyAlignment="1">
      <alignment horizontal="center"/>
    </xf>
    <xf numFmtId="0" fontId="63" fillId="0" borderId="0" xfId="0" applyFont="1"/>
    <xf numFmtId="17" fontId="63" fillId="0" borderId="0" xfId="0" applyNumberFormat="1" applyFont="1" applyAlignment="1">
      <alignment horizontal="center"/>
    </xf>
    <xf numFmtId="44" fontId="63" fillId="0" borderId="0" xfId="1" applyFont="1"/>
    <xf numFmtId="43" fontId="37" fillId="21" borderId="102" xfId="3" applyFont="1" applyFill="1" applyBorder="1" applyAlignment="1">
      <alignment vertical="top"/>
    </xf>
    <xf numFmtId="43" fontId="37" fillId="21" borderId="94" xfId="3" applyFont="1" applyFill="1" applyBorder="1" applyAlignment="1">
      <alignment vertical="top"/>
    </xf>
    <xf numFmtId="43" fontId="37" fillId="21" borderId="95" xfId="3" applyFont="1" applyFill="1" applyBorder="1" applyAlignment="1">
      <alignment vertical="top"/>
    </xf>
    <xf numFmtId="165" fontId="14" fillId="0" borderId="9" xfId="0" applyNumberFormat="1" applyFont="1" applyFill="1" applyBorder="1" applyAlignment="1">
      <alignment horizontal="center"/>
    </xf>
    <xf numFmtId="17" fontId="64" fillId="0" borderId="0" xfId="0" applyNumberFormat="1" applyFont="1" applyAlignment="1">
      <alignment horizontal="center"/>
    </xf>
    <xf numFmtId="14" fontId="64" fillId="0" borderId="0" xfId="0" applyNumberFormat="1" applyFont="1" applyAlignment="1">
      <alignment horizontal="center"/>
    </xf>
    <xf numFmtId="44" fontId="64" fillId="0" borderId="0" xfId="1" applyFont="1"/>
    <xf numFmtId="0" fontId="64" fillId="0" borderId="0" xfId="0" applyFont="1" applyAlignment="1">
      <alignment horizontal="center"/>
    </xf>
    <xf numFmtId="17" fontId="64" fillId="9" borderId="54" xfId="0" applyNumberFormat="1" applyFont="1" applyFill="1" applyBorder="1" applyAlignment="1">
      <alignment horizontal="center"/>
    </xf>
    <xf numFmtId="0" fontId="64" fillId="0" borderId="0" xfId="0" applyFont="1"/>
    <xf numFmtId="0" fontId="65" fillId="0" borderId="0" xfId="0" applyFont="1" applyAlignment="1">
      <alignment horizontal="center"/>
    </xf>
    <xf numFmtId="17" fontId="65" fillId="9" borderId="54" xfId="0" applyNumberFormat="1" applyFont="1" applyFill="1" applyBorder="1" applyAlignment="1">
      <alignment horizontal="center"/>
    </xf>
    <xf numFmtId="14" fontId="65" fillId="0" borderId="0" xfId="0" applyNumberFormat="1" applyFont="1" applyAlignment="1">
      <alignment horizontal="center"/>
    </xf>
    <xf numFmtId="44" fontId="65" fillId="0" borderId="0" xfId="1" applyFont="1"/>
    <xf numFmtId="0" fontId="65" fillId="0" borderId="0" xfId="0" applyFont="1"/>
    <xf numFmtId="173" fontId="47" fillId="0" borderId="0" xfId="3" applyNumberFormat="1" applyFont="1" applyFill="1" applyBorder="1" applyAlignment="1"/>
    <xf numFmtId="0" fontId="0" fillId="0" borderId="0" xfId="0" applyAlignment="1">
      <alignment horizontal="center"/>
    </xf>
    <xf numFmtId="17" fontId="65" fillId="0" borderId="0" xfId="0" applyNumberFormat="1" applyFont="1" applyAlignment="1">
      <alignment horizontal="center"/>
    </xf>
    <xf numFmtId="170" fontId="26" fillId="0" borderId="65" xfId="2" applyNumberFormat="1" applyFont="1" applyFill="1" applyBorder="1"/>
    <xf numFmtId="14" fontId="0" fillId="0" borderId="59" xfId="0" applyNumberFormat="1" applyFill="1" applyBorder="1"/>
    <xf numFmtId="0" fontId="0" fillId="0" borderId="0" xfId="0" applyAlignment="1">
      <alignment horizontal="center"/>
    </xf>
    <xf numFmtId="44" fontId="47" fillId="0" borderId="47" xfId="1" applyFont="1" applyFill="1" applyBorder="1"/>
    <xf numFmtId="10" fontId="47" fillId="0" borderId="47" xfId="2" applyNumberFormat="1" applyFont="1" applyFill="1" applyBorder="1"/>
    <xf numFmtId="0" fontId="47" fillId="0" borderId="47" xfId="2" applyNumberFormat="1" applyFont="1" applyFill="1" applyBorder="1"/>
    <xf numFmtId="17" fontId="66" fillId="9" borderId="54" xfId="0" applyNumberFormat="1" applyFont="1" applyFill="1" applyBorder="1" applyAlignment="1">
      <alignment horizontal="center"/>
    </xf>
    <xf numFmtId="14" fontId="66" fillId="0" borderId="0" xfId="0" applyNumberFormat="1" applyFont="1" applyAlignment="1">
      <alignment horizontal="center"/>
    </xf>
    <xf numFmtId="0" fontId="0" fillId="0" borderId="0" xfId="0" applyAlignment="1">
      <alignment horizontal="center"/>
    </xf>
    <xf numFmtId="0" fontId="0" fillId="0" borderId="0" xfId="0" applyAlignment="1">
      <alignment horizontal="center"/>
    </xf>
    <xf numFmtId="14" fontId="35" fillId="0" borderId="92" xfId="0" applyNumberFormat="1" applyFont="1" applyBorder="1" applyAlignment="1">
      <alignment horizontal="center"/>
    </xf>
    <xf numFmtId="0" fontId="35" fillId="0" borderId="86" xfId="0" applyFont="1" applyBorder="1" applyAlignment="1">
      <alignment horizontal="center"/>
    </xf>
    <xf numFmtId="44" fontId="35" fillId="0" borderId="86" xfId="1" applyFont="1" applyFill="1" applyBorder="1" applyAlignment="1">
      <alignment horizontal="center"/>
    </xf>
    <xf numFmtId="164" fontId="35" fillId="0" borderId="86" xfId="0" applyNumberFormat="1" applyFont="1" applyBorder="1" applyAlignment="1">
      <alignment horizontal="center"/>
    </xf>
    <xf numFmtId="0" fontId="67" fillId="0" borderId="0" xfId="0" applyFont="1" applyAlignment="1">
      <alignment horizontal="center"/>
    </xf>
    <xf numFmtId="17" fontId="67" fillId="9" borderId="54" xfId="0" applyNumberFormat="1" applyFont="1" applyFill="1" applyBorder="1" applyAlignment="1">
      <alignment horizontal="center"/>
    </xf>
    <xf numFmtId="14" fontId="67" fillId="0" borderId="0" xfId="0" applyNumberFormat="1" applyFont="1" applyAlignment="1">
      <alignment horizontal="center"/>
    </xf>
    <xf numFmtId="44" fontId="67" fillId="0" borderId="0" xfId="1" applyFont="1"/>
    <xf numFmtId="0" fontId="67" fillId="0" borderId="0" xfId="0" applyFont="1"/>
    <xf numFmtId="165" fontId="68" fillId="30" borderId="14" xfId="0" applyNumberFormat="1" applyFont="1" applyFill="1" applyBorder="1" applyAlignment="1"/>
    <xf numFmtId="165" fontId="68" fillId="30" borderId="12" xfId="0" applyNumberFormat="1" applyFont="1" applyFill="1" applyBorder="1" applyAlignment="1"/>
    <xf numFmtId="165" fontId="69" fillId="30" borderId="12" xfId="0" applyNumberFormat="1" applyFont="1" applyFill="1" applyBorder="1" applyAlignment="1"/>
    <xf numFmtId="0" fontId="0" fillId="0" borderId="0" xfId="0" applyAlignment="1">
      <alignment horizontal="center"/>
    </xf>
    <xf numFmtId="17" fontId="67" fillId="0" borderId="0" xfId="0" applyNumberFormat="1" applyFont="1" applyAlignment="1">
      <alignment horizontal="center"/>
    </xf>
    <xf numFmtId="164" fontId="20" fillId="0" borderId="47" xfId="0" applyNumberFormat="1" applyFont="1" applyFill="1" applyBorder="1"/>
    <xf numFmtId="164" fontId="20" fillId="0" borderId="47" xfId="0" applyNumberFormat="1" applyFont="1" applyBorder="1"/>
    <xf numFmtId="0" fontId="0" fillId="0" borderId="0" xfId="0" applyAlignment="1">
      <alignment horizontal="center"/>
    </xf>
    <xf numFmtId="49" fontId="7" fillId="10" borderId="2" xfId="0" applyNumberFormat="1" applyFont="1" applyFill="1" applyBorder="1" applyAlignment="1">
      <alignment horizontal="center" vertical="center"/>
    </xf>
    <xf numFmtId="0" fontId="9" fillId="0" borderId="1" xfId="0" applyFont="1" applyFill="1" applyBorder="1" applyAlignment="1">
      <alignment horizontal="center"/>
    </xf>
    <xf numFmtId="0" fontId="9" fillId="0" borderId="2" xfId="0" applyFont="1" applyFill="1" applyBorder="1" applyAlignment="1">
      <alignment horizontal="center"/>
    </xf>
    <xf numFmtId="0" fontId="9" fillId="0" borderId="6" xfId="0" applyFont="1" applyFill="1" applyBorder="1" applyAlignment="1">
      <alignment horizontal="center"/>
    </xf>
    <xf numFmtId="0" fontId="9" fillId="0" borderId="7" xfId="0" applyFont="1" applyFill="1" applyBorder="1" applyAlignment="1">
      <alignment horizontal="center"/>
    </xf>
    <xf numFmtId="0" fontId="13" fillId="10" borderId="8" xfId="0" applyNumberFormat="1" applyFont="1" applyFill="1" applyBorder="1" applyAlignment="1">
      <alignment horizontal="center" vertical="center"/>
    </xf>
    <xf numFmtId="0" fontId="13" fillId="10" borderId="11" xfId="0" applyNumberFormat="1" applyFont="1" applyFill="1" applyBorder="1" applyAlignment="1">
      <alignment horizontal="center" vertical="center"/>
    </xf>
    <xf numFmtId="0" fontId="13" fillId="10" borderId="16" xfId="0" applyNumberFormat="1" applyFont="1" applyFill="1" applyBorder="1" applyAlignment="1">
      <alignment horizontal="center" vertical="center"/>
    </xf>
    <xf numFmtId="0" fontId="13" fillId="11" borderId="8" xfId="0" applyNumberFormat="1" applyFont="1" applyFill="1" applyBorder="1" applyAlignment="1">
      <alignment horizontal="center" vertical="center"/>
    </xf>
    <xf numFmtId="0" fontId="13" fillId="11" borderId="11" xfId="0" applyNumberFormat="1" applyFont="1" applyFill="1" applyBorder="1" applyAlignment="1">
      <alignment horizontal="center" vertical="center"/>
    </xf>
    <xf numFmtId="0" fontId="13" fillId="11" borderId="16" xfId="0" applyNumberFormat="1" applyFont="1" applyFill="1" applyBorder="1" applyAlignment="1">
      <alignment horizontal="center" vertical="center"/>
    </xf>
    <xf numFmtId="0" fontId="13" fillId="18" borderId="8" xfId="0" applyNumberFormat="1" applyFont="1" applyFill="1" applyBorder="1" applyAlignment="1">
      <alignment horizontal="center" vertical="center"/>
    </xf>
    <xf numFmtId="0" fontId="13" fillId="18" borderId="11" xfId="0" applyNumberFormat="1" applyFont="1" applyFill="1" applyBorder="1" applyAlignment="1">
      <alignment horizontal="center" vertical="center"/>
    </xf>
    <xf numFmtId="0" fontId="13" fillId="18" borderId="16" xfId="0" applyNumberFormat="1" applyFont="1" applyFill="1" applyBorder="1" applyAlignment="1">
      <alignment horizontal="center" vertical="center"/>
    </xf>
    <xf numFmtId="0" fontId="18" fillId="17" borderId="20" xfId="0" applyFont="1" applyFill="1" applyBorder="1" applyAlignment="1">
      <alignment horizontal="center"/>
    </xf>
    <xf numFmtId="0" fontId="13" fillId="12" borderId="8" xfId="0" applyNumberFormat="1" applyFont="1" applyFill="1" applyBorder="1" applyAlignment="1">
      <alignment horizontal="center" vertical="center"/>
    </xf>
    <xf numFmtId="0" fontId="13" fillId="12" borderId="11" xfId="0" applyNumberFormat="1" applyFont="1" applyFill="1" applyBorder="1" applyAlignment="1">
      <alignment horizontal="center" vertical="center"/>
    </xf>
    <xf numFmtId="0" fontId="13" fillId="12" borderId="16" xfId="0" applyNumberFormat="1" applyFont="1" applyFill="1" applyBorder="1" applyAlignment="1">
      <alignment horizontal="center" vertical="center"/>
    </xf>
    <xf numFmtId="0" fontId="13" fillId="13" borderId="8" xfId="0" applyNumberFormat="1" applyFont="1" applyFill="1" applyBorder="1" applyAlignment="1">
      <alignment horizontal="center" vertical="center"/>
    </xf>
    <xf numFmtId="0" fontId="13" fillId="13" borderId="11" xfId="0" applyNumberFormat="1" applyFont="1" applyFill="1" applyBorder="1" applyAlignment="1">
      <alignment horizontal="center" vertical="center"/>
    </xf>
    <xf numFmtId="0" fontId="13" fillId="13" borderId="1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wrapText="1"/>
    </xf>
    <xf numFmtId="0" fontId="13" fillId="14" borderId="11" xfId="0" applyNumberFormat="1" applyFont="1" applyFill="1" applyBorder="1" applyAlignment="1">
      <alignment horizontal="center" vertical="center" wrapText="1"/>
    </xf>
    <xf numFmtId="0" fontId="13" fillId="14" borderId="16" xfId="0" applyNumberFormat="1" applyFont="1" applyFill="1" applyBorder="1" applyAlignment="1">
      <alignment horizontal="center" vertical="center" wrapText="1"/>
    </xf>
    <xf numFmtId="49" fontId="13" fillId="15" borderId="8" xfId="0" applyNumberFormat="1" applyFont="1" applyFill="1" applyBorder="1" applyAlignment="1">
      <alignment horizontal="center" vertical="center" wrapText="1"/>
    </xf>
    <xf numFmtId="49" fontId="13" fillId="15" borderId="11" xfId="0" applyNumberFormat="1" applyFont="1" applyFill="1" applyBorder="1" applyAlignment="1">
      <alignment horizontal="center" vertical="center" wrapText="1"/>
    </xf>
    <xf numFmtId="49" fontId="13" fillId="15" borderId="16" xfId="0" applyNumberFormat="1" applyFont="1" applyFill="1" applyBorder="1" applyAlignment="1">
      <alignment horizontal="center" vertical="center" wrapText="1"/>
    </xf>
    <xf numFmtId="0" fontId="13" fillId="16" borderId="8" xfId="0" applyNumberFormat="1" applyFont="1" applyFill="1" applyBorder="1" applyAlignment="1">
      <alignment horizontal="center" vertical="center"/>
    </xf>
    <xf numFmtId="0" fontId="13" fillId="16" borderId="11" xfId="0" applyNumberFormat="1" applyFont="1" applyFill="1" applyBorder="1" applyAlignment="1">
      <alignment horizontal="center" vertical="center"/>
    </xf>
    <xf numFmtId="0" fontId="13" fillId="16" borderId="16" xfId="0" applyNumberFormat="1" applyFont="1" applyFill="1" applyBorder="1" applyAlignment="1">
      <alignment horizontal="center" vertical="center"/>
    </xf>
    <xf numFmtId="0" fontId="22" fillId="6" borderId="51" xfId="0" applyFont="1" applyFill="1" applyBorder="1" applyAlignment="1">
      <alignment horizontal="center"/>
    </xf>
    <xf numFmtId="44" fontId="22" fillId="6" borderId="48" xfId="1" applyFont="1" applyFill="1" applyBorder="1" applyAlignment="1">
      <alignment horizontal="center"/>
    </xf>
    <xf numFmtId="44" fontId="22" fillId="6" borderId="49" xfId="1" applyFont="1" applyFill="1" applyBorder="1" applyAlignment="1">
      <alignment horizontal="center"/>
    </xf>
    <xf numFmtId="44" fontId="22" fillId="6" borderId="50" xfId="1" applyFont="1" applyFill="1" applyBorder="1" applyAlignment="1">
      <alignment horizontal="center"/>
    </xf>
    <xf numFmtId="0" fontId="0" fillId="0" borderId="0" xfId="0" applyAlignment="1">
      <alignment horizontal="center"/>
    </xf>
    <xf numFmtId="49" fontId="6" fillId="5" borderId="39" xfId="0" applyNumberFormat="1" applyFont="1" applyFill="1" applyBorder="1" applyAlignment="1">
      <alignment horizontal="center"/>
    </xf>
    <xf numFmtId="0" fontId="6" fillId="5" borderId="40" xfId="0" applyFont="1" applyFill="1" applyBorder="1" applyAlignment="1">
      <alignment horizontal="center"/>
    </xf>
    <xf numFmtId="49" fontId="6" fillId="5" borderId="40" xfId="0" applyNumberFormat="1" applyFont="1" applyFill="1" applyBorder="1" applyAlignment="1">
      <alignment horizontal="center"/>
    </xf>
    <xf numFmtId="15" fontId="6" fillId="5" borderId="40" xfId="0" applyNumberFormat="1" applyFont="1" applyFill="1" applyBorder="1" applyAlignment="1">
      <alignment horizontal="center"/>
    </xf>
    <xf numFmtId="0" fontId="26" fillId="0" borderId="0" xfId="0" applyNumberFormat="1" applyFont="1" applyFill="1" applyAlignment="1">
      <alignment horizontal="center"/>
    </xf>
    <xf numFmtId="0" fontId="26" fillId="27" borderId="47" xfId="1" applyNumberFormat="1" applyFont="1" applyFill="1" applyBorder="1" applyAlignment="1">
      <alignment horizontal="center" wrapText="1"/>
    </xf>
    <xf numFmtId="0" fontId="26" fillId="12" borderId="47" xfId="1" applyNumberFormat="1" applyFont="1" applyFill="1" applyBorder="1" applyAlignment="1">
      <alignment horizontal="center" wrapText="1"/>
    </xf>
    <xf numFmtId="0" fontId="22" fillId="2" borderId="79" xfId="0" applyFont="1" applyFill="1" applyBorder="1" applyAlignment="1">
      <alignment horizontal="center" vertical="center"/>
    </xf>
    <xf numFmtId="0" fontId="22" fillId="22" borderId="79" xfId="0" applyFont="1" applyFill="1" applyBorder="1" applyAlignment="1">
      <alignment horizontal="center"/>
    </xf>
    <xf numFmtId="0" fontId="0" fillId="0" borderId="79" xfId="0" applyBorder="1" applyAlignment="1">
      <alignment horizontal="center" vertical="center"/>
    </xf>
    <xf numFmtId="0" fontId="24" fillId="7" borderId="80" xfId="0" applyFont="1" applyFill="1" applyBorder="1" applyAlignment="1">
      <alignment horizontal="center"/>
    </xf>
    <xf numFmtId="0" fontId="24" fillId="7" borderId="81" xfId="0" applyFont="1" applyFill="1" applyBorder="1" applyAlignment="1">
      <alignment horizontal="center"/>
    </xf>
    <xf numFmtId="0" fontId="24" fillId="7" borderId="82" xfId="0" applyFont="1" applyFill="1" applyBorder="1" applyAlignment="1">
      <alignment horizontal="center"/>
    </xf>
    <xf numFmtId="0" fontId="22" fillId="23" borderId="80" xfId="0" applyFont="1" applyFill="1" applyBorder="1" applyAlignment="1">
      <alignment horizontal="center"/>
    </xf>
    <xf numFmtId="0" fontId="22" fillId="23" borderId="82" xfId="0" applyFont="1" applyFill="1" applyBorder="1" applyAlignment="1">
      <alignment horizontal="center"/>
    </xf>
    <xf numFmtId="0" fontId="26" fillId="29" borderId="62" xfId="3" applyNumberFormat="1" applyFont="1" applyFill="1" applyBorder="1" applyAlignment="1">
      <alignment horizontal="center"/>
    </xf>
    <xf numFmtId="0" fontId="26" fillId="29" borderId="77" xfId="3" applyNumberFormat="1" applyFont="1" applyFill="1" applyBorder="1" applyAlignment="1">
      <alignment horizontal="center"/>
    </xf>
    <xf numFmtId="44" fontId="26" fillId="0" borderId="104" xfId="1" applyFont="1" applyFill="1" applyBorder="1" applyAlignment="1">
      <alignment horizontal="center"/>
    </xf>
    <xf numFmtId="44" fontId="26" fillId="0" borderId="105" xfId="1" applyFont="1" applyFill="1" applyBorder="1" applyAlignment="1">
      <alignment horizontal="center"/>
    </xf>
    <xf numFmtId="44" fontId="26" fillId="20" borderId="47" xfId="1" applyFont="1" applyFill="1" applyBorder="1" applyAlignment="1">
      <alignment horizontal="center" vertical="center" wrapText="1"/>
    </xf>
    <xf numFmtId="44" fontId="26" fillId="24" borderId="68" xfId="1" applyFont="1" applyFill="1" applyBorder="1" applyAlignment="1">
      <alignment horizontal="center"/>
    </xf>
    <xf numFmtId="0" fontId="26" fillId="29" borderId="63" xfId="1" applyNumberFormat="1" applyFont="1" applyFill="1" applyBorder="1" applyAlignment="1">
      <alignment horizontal="center"/>
    </xf>
    <xf numFmtId="0" fontId="26" fillId="29" borderId="68" xfId="1" applyNumberFormat="1" applyFont="1" applyFill="1" applyBorder="1" applyAlignment="1">
      <alignment horizontal="center"/>
    </xf>
    <xf numFmtId="0" fontId="26" fillId="7" borderId="68" xfId="1" applyNumberFormat="1" applyFont="1" applyFill="1" applyBorder="1" applyAlignment="1">
      <alignment horizontal="center"/>
    </xf>
    <xf numFmtId="0" fontId="26" fillId="7" borderId="70" xfId="1" applyNumberFormat="1" applyFont="1" applyFill="1" applyBorder="1" applyAlignment="1">
      <alignment horizontal="center"/>
    </xf>
    <xf numFmtId="44" fontId="47" fillId="31" borderId="65" xfId="1" applyFont="1" applyFill="1" applyBorder="1" applyAlignment="1">
      <alignment horizontal="center"/>
    </xf>
    <xf numFmtId="44" fontId="47" fillId="31" borderId="67" xfId="1" applyFont="1" applyFill="1" applyBorder="1" applyAlignment="1">
      <alignment horizontal="center"/>
    </xf>
    <xf numFmtId="44" fontId="47" fillId="31" borderId="61" xfId="1" applyFont="1" applyFill="1" applyBorder="1" applyAlignment="1">
      <alignment horizontal="center"/>
    </xf>
    <xf numFmtId="0" fontId="26" fillId="7" borderId="63" xfId="1" applyNumberFormat="1" applyFont="1" applyFill="1" applyBorder="1" applyAlignment="1">
      <alignment horizontal="center"/>
    </xf>
    <xf numFmtId="0" fontId="26" fillId="2" borderId="63" xfId="1" applyNumberFormat="1" applyFont="1" applyFill="1" applyBorder="1" applyAlignment="1">
      <alignment horizontal="center"/>
    </xf>
    <xf numFmtId="0" fontId="26" fillId="2" borderId="68" xfId="1" applyNumberFormat="1" applyFont="1" applyFill="1" applyBorder="1" applyAlignment="1">
      <alignment horizontal="center"/>
    </xf>
    <xf numFmtId="44" fontId="26" fillId="10" borderId="63" xfId="1" applyFont="1" applyFill="1" applyBorder="1" applyAlignment="1">
      <alignment horizontal="center"/>
    </xf>
    <xf numFmtId="44" fontId="26" fillId="10" borderId="68" xfId="1" applyFont="1" applyFill="1" applyBorder="1" applyAlignment="1">
      <alignment horizontal="center"/>
    </xf>
    <xf numFmtId="44" fontId="26" fillId="25" borderId="63" xfId="1" applyFont="1" applyFill="1" applyBorder="1" applyAlignment="1">
      <alignment horizontal="center"/>
    </xf>
    <xf numFmtId="44" fontId="26" fillId="25" borderId="68" xfId="1" applyFont="1" applyFill="1" applyBorder="1" applyAlignment="1">
      <alignment horizontal="center"/>
    </xf>
    <xf numFmtId="0" fontId="26" fillId="24" borderId="47" xfId="1" applyNumberFormat="1" applyFont="1" applyFill="1" applyBorder="1" applyAlignment="1">
      <alignment horizontal="center" wrapText="1"/>
    </xf>
    <xf numFmtId="44" fontId="23" fillId="0" borderId="0" xfId="1" applyFont="1" applyBorder="1" applyAlignment="1">
      <alignment horizontal="center"/>
    </xf>
    <xf numFmtId="44" fontId="20" fillId="0" borderId="0" xfId="1" applyFont="1" applyBorder="1" applyAlignment="1">
      <alignment horizontal="center"/>
    </xf>
    <xf numFmtId="44" fontId="50" fillId="0" borderId="0" xfId="1" applyFont="1" applyBorder="1" applyAlignment="1">
      <alignment horizontal="center"/>
    </xf>
    <xf numFmtId="44" fontId="52" fillId="0" borderId="0" xfId="1" applyFont="1" applyBorder="1" applyAlignment="1">
      <alignment horizontal="center"/>
    </xf>
    <xf numFmtId="44" fontId="52" fillId="0" borderId="0" xfId="1" applyFont="1" applyFill="1" applyBorder="1" applyAlignment="1">
      <alignment horizontal="center"/>
    </xf>
    <xf numFmtId="44" fontId="53" fillId="0" borderId="0" xfId="1" applyFont="1" applyBorder="1" applyAlignment="1">
      <alignment horizontal="center"/>
    </xf>
    <xf numFmtId="44" fontId="54" fillId="0" borderId="0" xfId="1" applyFont="1" applyBorder="1" applyAlignment="1">
      <alignment horizontal="center"/>
    </xf>
    <xf numFmtId="44" fontId="57" fillId="0" borderId="0" xfId="1" applyFont="1" applyBorder="1" applyAlignment="1">
      <alignment horizontal="center"/>
    </xf>
    <xf numFmtId="44" fontId="59" fillId="0" borderId="0" xfId="1" applyFont="1" applyBorder="1" applyAlignment="1">
      <alignment horizontal="center"/>
    </xf>
    <xf numFmtId="44" fontId="62" fillId="0" borderId="0" xfId="1" applyFont="1" applyBorder="1" applyAlignment="1">
      <alignment horizontal="center"/>
    </xf>
    <xf numFmtId="44" fontId="63" fillId="0" borderId="0" xfId="1" applyFont="1" applyBorder="1" applyAlignment="1">
      <alignment horizontal="center"/>
    </xf>
    <xf numFmtId="44" fontId="64" fillId="0" borderId="0" xfId="1" applyFont="1" applyBorder="1" applyAlignment="1">
      <alignment horizontal="center"/>
    </xf>
    <xf numFmtId="44" fontId="65" fillId="0" borderId="0" xfId="1" applyFont="1" applyBorder="1" applyAlignment="1">
      <alignment horizontal="center"/>
    </xf>
    <xf numFmtId="44" fontId="66" fillId="0" borderId="0" xfId="1" applyFont="1" applyBorder="1" applyAlignment="1">
      <alignment horizontal="center"/>
    </xf>
    <xf numFmtId="44" fontId="67" fillId="0" borderId="0" xfId="1" applyFont="1" applyBorder="1" applyAlignment="1">
      <alignment horizontal="center"/>
    </xf>
    <xf numFmtId="0" fontId="0" fillId="0" borderId="0" xfId="0" applyBorder="1" applyAlignment="1">
      <alignment horizontal="center"/>
    </xf>
    <xf numFmtId="0" fontId="22" fillId="0" borderId="0" xfId="0" applyFont="1" applyFill="1" applyBorder="1" applyAlignment="1">
      <alignment horizontal="center"/>
    </xf>
    <xf numFmtId="4" fontId="0" fillId="0" borderId="0" xfId="0" applyNumberFormat="1" applyFill="1" applyBorder="1"/>
    <xf numFmtId="49" fontId="1" fillId="0" borderId="0" xfId="0" applyNumberFormat="1" applyFont="1" applyFill="1" applyBorder="1" applyAlignment="1"/>
    <xf numFmtId="49" fontId="1" fillId="0" borderId="0" xfId="0" applyNumberFormat="1" applyFont="1" applyFill="1" applyBorder="1" applyAlignment="1">
      <alignment horizontal="left"/>
    </xf>
    <xf numFmtId="0" fontId="1" fillId="0" borderId="0" xfId="0" applyFont="1" applyFill="1" applyBorder="1" applyAlignment="1">
      <alignment horizontal="left"/>
    </xf>
    <xf numFmtId="0" fontId="0" fillId="0" borderId="0" xfId="0" applyNumberFormat="1" applyFont="1" applyFill="1" applyBorder="1" applyAlignment="1">
      <alignment horizontal="center"/>
    </xf>
    <xf numFmtId="0" fontId="0" fillId="0" borderId="0" xfId="0" applyFont="1" applyFill="1" applyBorder="1" applyAlignment="1">
      <alignment horizontal="center"/>
    </xf>
    <xf numFmtId="0" fontId="1" fillId="0" borderId="0" xfId="0" applyFont="1" applyFill="1" applyBorder="1" applyAlignment="1"/>
    <xf numFmtId="49" fontId="0" fillId="0" borderId="0" xfId="0" applyNumberFormat="1" applyFont="1" applyFill="1" applyBorder="1" applyAlignment="1">
      <alignment horizontal="center"/>
    </xf>
    <xf numFmtId="43" fontId="26" fillId="0" borderId="0" xfId="0" applyNumberFormat="1" applyFont="1" applyFill="1" applyBorder="1" applyAlignment="1"/>
    <xf numFmtId="49" fontId="6" fillId="5" borderId="106" xfId="0" applyNumberFormat="1" applyFont="1" applyFill="1" applyBorder="1" applyAlignment="1">
      <alignment horizontal="center"/>
    </xf>
    <xf numFmtId="49"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0" applyNumberFormat="1" applyFont="1" applyFill="1" applyBorder="1" applyAlignment="1">
      <alignment horizontal="center"/>
    </xf>
    <xf numFmtId="0" fontId="22" fillId="23" borderId="63" xfId="1" applyNumberFormat="1" applyFont="1" applyFill="1" applyBorder="1" applyAlignment="1">
      <alignment horizontal="center"/>
    </xf>
    <xf numFmtId="0" fontId="22" fillId="23" borderId="68" xfId="1" applyNumberFormat="1" applyFont="1" applyFill="1" applyBorder="1" applyAlignment="1">
      <alignment horizontal="center"/>
    </xf>
    <xf numFmtId="171" fontId="22" fillId="23" borderId="62" xfId="1" applyNumberFormat="1" applyFont="1" applyFill="1" applyBorder="1" applyAlignment="1">
      <alignment horizontal="right"/>
    </xf>
    <xf numFmtId="44" fontId="22" fillId="23" borderId="69" xfId="1" applyFont="1" applyFill="1" applyBorder="1" applyAlignment="1">
      <alignment horizontal="right"/>
    </xf>
    <xf numFmtId="172" fontId="26" fillId="0" borderId="66" xfId="1" applyNumberFormat="1" applyFont="1" applyBorder="1"/>
    <xf numFmtId="164" fontId="47" fillId="0" borderId="47" xfId="0" applyNumberFormat="1" applyFont="1" applyFill="1" applyBorder="1"/>
    <xf numFmtId="44" fontId="0" fillId="0" borderId="103" xfId="1" applyFont="1" applyFill="1" applyBorder="1" applyAlignment="1">
      <alignment horizontal="center"/>
    </xf>
    <xf numFmtId="43" fontId="22" fillId="0" borderId="0" xfId="3" applyFont="1" applyFill="1" applyBorder="1"/>
    <xf numFmtId="14" fontId="0" fillId="0" borderId="0" xfId="0" applyNumberFormat="1" applyFill="1" applyBorder="1" applyAlignment="1">
      <alignment horizontal="center"/>
    </xf>
    <xf numFmtId="0" fontId="0" fillId="0" borderId="0" xfId="0" applyFill="1" applyBorder="1" applyAlignment="1">
      <alignment horizontal="center"/>
    </xf>
    <xf numFmtId="43" fontId="37" fillId="0" borderId="0" xfId="3" applyFont="1" applyFill="1" applyBorder="1" applyAlignment="1">
      <alignment horizontal="center" vertical="top"/>
    </xf>
    <xf numFmtId="164" fontId="0" fillId="0" borderId="0" xfId="0" applyNumberFormat="1" applyFill="1" applyBorder="1" applyAlignment="1">
      <alignment horizontal="center"/>
    </xf>
    <xf numFmtId="44" fontId="0" fillId="0" borderId="0" xfId="0" applyNumberFormat="1" applyFill="1" applyBorder="1"/>
    <xf numFmtId="43" fontId="37" fillId="0" borderId="0" xfId="3" applyFont="1" applyFill="1" applyBorder="1" applyAlignment="1">
      <alignment horizontal="left"/>
    </xf>
    <xf numFmtId="14" fontId="20" fillId="0" borderId="0" xfId="0" applyNumberFormat="1" applyFont="1" applyFill="1" applyBorder="1" applyAlignment="1">
      <alignment horizontal="center"/>
    </xf>
    <xf numFmtId="0" fontId="20" fillId="0" borderId="0" xfId="0" applyFont="1" applyFill="1" applyBorder="1" applyAlignment="1">
      <alignment horizontal="center"/>
    </xf>
    <xf numFmtId="164" fontId="20" fillId="0" borderId="0" xfId="0" applyNumberFormat="1" applyFont="1" applyFill="1" applyBorder="1" applyAlignment="1">
      <alignment horizontal="center"/>
    </xf>
    <xf numFmtId="0" fontId="26" fillId="11" borderId="47" xfId="0" applyFont="1" applyFill="1" applyBorder="1"/>
    <xf numFmtId="0" fontId="26" fillId="11" borderId="47" xfId="0" applyFont="1" applyFill="1" applyBorder="1" applyAlignment="1">
      <alignment horizontal="center"/>
    </xf>
    <xf numFmtId="177" fontId="14" fillId="0" borderId="9" xfId="0" applyNumberFormat="1" applyFont="1" applyFill="1" applyBorder="1" applyAlignment="1"/>
    <xf numFmtId="177" fontId="51" fillId="0" borderId="9" xfId="0" applyNumberFormat="1" applyFont="1" applyFill="1" applyBorder="1" applyAlignment="1"/>
    <xf numFmtId="177" fontId="16" fillId="0" borderId="9" xfId="0" applyNumberFormat="1" applyFont="1" applyFill="1" applyBorder="1" applyAlignment="1"/>
  </cellXfs>
  <cellStyles count="5">
    <cellStyle name="Moeda" xfId="1" builtinId="4"/>
    <cellStyle name="Normal" xfId="0" builtinId="0"/>
    <cellStyle name="Normal 3" xfId="4" xr:uid="{B01D28CF-2E6D-466D-B733-890D0FE173F1}"/>
    <cellStyle name="Porcentagem" xfId="2" builtinId="5"/>
    <cellStyle name="Vírgula" xfId="3" builtinId="3"/>
  </cellStyles>
  <dxfs count="275">
    <dxf>
      <font>
        <b/>
        <i val="0"/>
        <color rgb="FFFF0000"/>
      </font>
    </dxf>
    <dxf>
      <font>
        <b/>
        <i val="0"/>
        <color theme="8"/>
      </font>
    </dxf>
    <dxf>
      <font>
        <b/>
        <i val="0"/>
        <color rgb="FFFF0000"/>
      </font>
    </dxf>
    <dxf>
      <font>
        <b/>
        <i val="0"/>
        <color theme="8"/>
      </font>
    </dxf>
    <dxf>
      <font>
        <color theme="8"/>
      </font>
      <fill>
        <patternFill>
          <bgColor rgb="FFFFFF00"/>
        </patternFill>
      </fill>
    </dxf>
    <dxf>
      <font>
        <color theme="8"/>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8"/>
      </font>
      <fill>
        <patternFill>
          <bgColor rgb="FFFFFF00"/>
        </patternFill>
      </fill>
    </dxf>
    <dxf>
      <font>
        <b val="0"/>
        <i/>
      </font>
      <fill>
        <patternFill>
          <bgColor rgb="FFFFE9AB"/>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8"/>
      </font>
      <fill>
        <patternFill>
          <bgColor rgb="FFFFFF00"/>
        </patternFill>
      </fill>
    </dxf>
    <dxf>
      <font>
        <b val="0"/>
        <i/>
      </font>
      <fill>
        <patternFill>
          <bgColor rgb="FFFFE9AB"/>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8"/>
      </font>
      <fill>
        <patternFill>
          <bgColor rgb="FFFFFF00"/>
        </patternFill>
      </fill>
    </dxf>
    <dxf>
      <font>
        <b val="0"/>
        <i/>
      </font>
      <fill>
        <patternFill>
          <bgColor rgb="FFFFE9AB"/>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4"/>
      </font>
      <fill>
        <patternFill>
          <bgColor rgb="FFFFFF00"/>
        </patternFill>
      </fill>
    </dxf>
    <dxf>
      <font>
        <color theme="8"/>
      </font>
      <fill>
        <patternFill>
          <bgColor rgb="FFFFFF00"/>
        </patternFill>
      </fill>
    </dxf>
    <dxf>
      <font>
        <color theme="4"/>
      </font>
      <fill>
        <patternFill>
          <bgColor rgb="FFFFFF00"/>
        </patternFill>
      </fill>
    </dxf>
    <dxf>
      <font>
        <b val="0"/>
        <i/>
      </font>
      <fill>
        <patternFill>
          <bgColor rgb="FFFFE9AB"/>
        </patternFill>
      </fill>
    </dxf>
    <dxf>
      <font>
        <color theme="4"/>
      </font>
      <fill>
        <patternFill>
          <bgColor rgb="FFFFFF00"/>
        </patternFill>
      </fill>
    </dxf>
    <dxf>
      <font>
        <color theme="8"/>
      </font>
      <fill>
        <patternFill>
          <bgColor rgb="FFFFFF00"/>
        </patternFill>
      </fill>
    </dxf>
    <dxf>
      <font>
        <color theme="4"/>
      </font>
      <fill>
        <patternFill>
          <bgColor rgb="FFFFFF00"/>
        </patternFill>
      </fill>
    </dxf>
    <dxf>
      <font>
        <color theme="4"/>
      </font>
      <fill>
        <patternFill>
          <bgColor rgb="FFFFFF00"/>
        </patternFill>
      </fill>
    </dxf>
    <dxf>
      <font>
        <b val="0"/>
        <i/>
      </font>
      <fill>
        <patternFill>
          <bgColor rgb="FFFFE9AB"/>
        </patternFill>
      </fill>
    </dxf>
    <dxf>
      <font>
        <b/>
        <i val="0"/>
        <color rgb="FFFF0000"/>
      </font>
    </dxf>
    <dxf>
      <font>
        <b/>
        <i val="0"/>
        <color theme="8"/>
      </font>
    </dxf>
    <dxf>
      <font>
        <b/>
        <i val="0"/>
        <color rgb="FFFF0000"/>
      </font>
    </dxf>
    <dxf>
      <font>
        <b/>
        <i val="0"/>
        <color theme="8"/>
      </font>
    </dxf>
    <dxf>
      <font>
        <color theme="4"/>
      </font>
      <fill>
        <patternFill>
          <bgColor rgb="FFFFFF00"/>
        </patternFill>
      </fill>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color rgb="FFFF0000"/>
      </font>
    </dxf>
    <dxf>
      <font>
        <b/>
        <i val="0"/>
        <color rgb="FFFF0000"/>
      </font>
    </dxf>
    <dxf>
      <font>
        <b/>
        <i val="0"/>
        <color theme="8"/>
      </font>
    </dxf>
    <dxf>
      <font>
        <color rgb="FFFF0000"/>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color theme="8"/>
      </font>
      <fill>
        <patternFill>
          <bgColor rgb="FFFFFF00"/>
        </patternFill>
      </fill>
    </dxf>
    <dxf>
      <font>
        <color theme="8"/>
      </font>
      <fill>
        <patternFill>
          <bgColor rgb="FFFFFF00"/>
        </patternFill>
      </fill>
    </dxf>
    <dxf>
      <font>
        <color theme="4"/>
      </font>
      <fill>
        <patternFill>
          <bgColor rgb="FFFFFF00"/>
        </patternFill>
      </fill>
    </dxf>
    <dxf>
      <font>
        <color theme="8"/>
      </font>
      <fill>
        <patternFill>
          <bgColor rgb="FFFFFF00"/>
        </patternFill>
      </fill>
    </dxf>
    <dxf>
      <font>
        <color theme="8"/>
      </font>
      <fill>
        <patternFill>
          <bgColor rgb="FFFFFF00"/>
        </patternFill>
      </fill>
    </dxf>
    <dxf>
      <font>
        <color theme="4"/>
      </font>
      <fill>
        <patternFill>
          <bgColor rgb="FFFFFF00"/>
        </patternFill>
      </fill>
    </dxf>
    <dxf>
      <font>
        <b val="0"/>
        <i/>
      </font>
      <fill>
        <patternFill>
          <bgColor rgb="FFFFE9AB"/>
        </patternFill>
      </fill>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b/>
        <i val="0"/>
        <color rgb="FFFF0000"/>
      </font>
    </dxf>
    <dxf>
      <font>
        <b/>
        <i val="0"/>
        <color theme="8"/>
      </font>
    </dxf>
    <dxf>
      <font>
        <color rgb="FFFF0000"/>
      </font>
    </dxf>
    <dxf>
      <font>
        <color rgb="FFFF0000"/>
      </font>
    </dxf>
    <dxf>
      <font>
        <color rgb="FFFF0000"/>
      </font>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11"/>
        <color rgb="FF002060"/>
        <name val="Calibri"/>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rgb="FF002060"/>
        <name val="Calibri"/>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rgb="FF002060"/>
        <name val="Calibri"/>
        <family val="2"/>
        <scheme val="minor"/>
      </font>
      <numFmt numFmtId="34" formatCode="_-&quot;R$&quot;\ * #,##0.00_-;\-&quot;R$&quot;\ * #,##0.00_-;_-&quot;R$&quot;\ * &quot;-&quot;??_-;_-@_-"/>
      <fill>
        <patternFill patternType="none">
          <fgColor indexed="64"/>
          <bgColor indexed="65"/>
        </patternFill>
      </fill>
    </dxf>
    <dxf>
      <font>
        <b val="0"/>
        <i val="0"/>
        <strike val="0"/>
        <condense val="0"/>
        <extend val="0"/>
        <outline val="0"/>
        <shadow val="0"/>
        <u val="none"/>
        <vertAlign val="baseline"/>
        <sz val="11"/>
        <color rgb="FF002060"/>
        <name val="Calibri"/>
        <scheme val="minor"/>
      </font>
      <numFmt numFmtId="22" formatCode="mmm/yy"/>
      <alignment horizontal="center" vertical="bottom" textRotation="0" wrapText="0" indent="0" justifyLastLine="0" shrinkToFit="0" readingOrder="0"/>
    </dxf>
    <dxf>
      <font>
        <strike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scheme val="minor"/>
      </font>
      <numFmt numFmtId="19" formatCode="dd/mm/yyyy"/>
      <alignment horizontal="center" vertical="bottom" textRotation="0" wrapText="0" indent="0" justifyLastLine="0" shrinkToFit="0" readingOrder="0"/>
    </dxf>
    <dxf>
      <font>
        <strike val="0"/>
        <outline val="0"/>
        <shadow val="0"/>
        <u val="none"/>
        <vertAlign val="baseline"/>
        <sz val="11"/>
        <color rgb="FF002060"/>
        <name val="Calibri"/>
        <scheme val="minor"/>
      </font>
      <numFmt numFmtId="22" formatCode="mmm/yy"/>
      <alignment horizontal="center" vertical="bottom" textRotation="0" wrapText="0" indent="0" justifyLastLine="0" shrinkToFit="0" readingOrder="0"/>
    </dxf>
    <dxf>
      <font>
        <strike val="0"/>
        <outline val="0"/>
        <shadow val="0"/>
        <u val="none"/>
        <vertAlign val="baseline"/>
        <sz val="11"/>
        <color rgb="FF002060"/>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dxf>
    <dxf>
      <font>
        <strike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family val="2"/>
        <scheme val="minor"/>
      </font>
    </dxf>
    <dxf>
      <font>
        <strike val="0"/>
        <outline val="0"/>
        <shadow val="0"/>
        <u val="none"/>
        <vertAlign val="baseline"/>
        <sz val="11"/>
        <color rgb="FF002060"/>
        <name val="Calibri"/>
        <scheme val="minor"/>
      </font>
    </dxf>
    <dxf>
      <font>
        <b val="0"/>
        <i val="0"/>
        <strike val="0"/>
        <condense val="0"/>
        <extend val="0"/>
        <outline val="0"/>
        <shadow val="0"/>
        <u val="none"/>
        <vertAlign val="baseline"/>
        <sz val="11"/>
        <color rgb="FF00206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alignment horizontal="center" vertical="bottom" textRotation="0" wrapText="0" indent="0" justifyLastLine="0" shrinkToFit="0" readingOrder="0"/>
    </dxf>
    <dxf>
      <font>
        <strike val="0"/>
        <outline val="0"/>
        <shadow val="0"/>
        <u val="none"/>
        <vertAlign val="baseline"/>
        <sz val="11"/>
        <color rgb="FF002060"/>
        <name val="Calibri"/>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22" formatCode="mmm/yy"/>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scheme val="minor"/>
      </font>
      <numFmt numFmtId="22" formatCode="mmm/yy"/>
      <alignment horizontal="center"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alignment horizontal="center" vertical="bottom" textRotation="0" wrapText="0" indent="0" justifyLastLine="0" shrinkToFit="0" readingOrder="0"/>
    </dxf>
    <dxf>
      <font>
        <strike val="0"/>
        <outline val="0"/>
        <shadow val="0"/>
        <u val="none"/>
        <vertAlign val="baseline"/>
        <sz val="11"/>
        <color rgb="FF002060"/>
        <name val="Calibri"/>
        <scheme val="minor"/>
      </font>
      <alignment horizontal="center" vertical="bottom" textRotation="0" wrapText="0" indent="0" justifyLastLine="0" shrinkToFit="0" readingOrder="0"/>
    </dxf>
    <dxf>
      <font>
        <strike val="0"/>
        <outline val="0"/>
        <shadow val="0"/>
        <u val="none"/>
        <vertAlign val="baseline"/>
        <sz val="11"/>
        <color rgb="FF002060"/>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general" vertical="bottom" textRotation="0" wrapText="0" indent="0" justifyLastLine="0" shrinkToFit="0" readingOrder="0"/>
    </dxf>
    <dxf>
      <font>
        <color theme="2" tint="-0.499984740745262"/>
      </font>
    </dxf>
    <dxf>
      <font>
        <b/>
        <i val="0"/>
        <color rgb="FFFFFFFF"/>
      </font>
      <fill>
        <patternFill patternType="solid">
          <bgColor theme="1" tint="0.34998626667073579"/>
        </patternFill>
      </fill>
      <border diagonalUp="0" diagonalDown="0">
        <left style="medium">
          <color theme="4" tint="-0.24994659260841701"/>
        </left>
        <right style="medium">
          <color theme="4" tint="-0.24994659260841701"/>
        </right>
        <top style="medium">
          <color theme="4" tint="-0.24994659260841701"/>
        </top>
        <bottom style="medium">
          <color theme="4" tint="-0.24994659260841701"/>
        </bottom>
        <vertical/>
        <horizontal/>
      </border>
    </dxf>
    <dxf>
      <font>
        <b/>
        <i val="0"/>
        <color theme="8" tint="-0.499984740745262"/>
      </font>
      <fill>
        <patternFill patternType="solid">
          <fgColor indexed="64"/>
          <bgColor rgb="FFBFBFBF"/>
        </patternFill>
      </fill>
      <border>
        <left style="thin">
          <color theme="3"/>
        </left>
        <right style="thin">
          <color theme="3"/>
        </right>
        <top style="thin">
          <color theme="3"/>
        </top>
        <bottom style="thin">
          <color theme="3"/>
        </bottom>
      </border>
    </dxf>
  </dxfs>
  <tableStyles count="2" defaultTableStyle="TableStyleMedium2" defaultPivotStyle="PivotStyleLight16">
    <tableStyle name="Estilo de Segmentação de Dados 1" pivot="0" table="0" count="5" xr9:uid="{00000000-0011-0000-FFFF-FFFF00000000}">
      <tableStyleElement type="wholeTable" dxfId="274"/>
      <tableStyleElement type="headerRow" dxfId="273"/>
    </tableStyle>
    <tableStyle name="Estilo de Tabela 1" pivot="0" count="1" xr9:uid="{B7CAAA9D-C1F5-44D2-9824-0315FB62A245}">
      <tableStyleElement type="wholeTable" dxfId="272"/>
    </tableStyle>
  </tableStyles>
  <colors>
    <mruColors>
      <color rgb="FFFEC6F7"/>
      <color rgb="FFCC9DE1"/>
      <color rgb="FFFFE8A7"/>
      <color rgb="FFFFFFFF"/>
      <color rgb="FFFA6085"/>
      <color rgb="FFFFFF99"/>
      <color rgb="FFFBFB9B"/>
      <color rgb="FFFFE9AB"/>
      <color rgb="FFA6A6A6"/>
      <color rgb="FFBFBFBF"/>
    </mruColors>
  </colors>
  <extLst>
    <ext xmlns:x14="http://schemas.microsoft.com/office/spreadsheetml/2009/9/main" uri="{46F421CA-312F-682f-3DD2-61675219B42D}">
      <x14:dxfs count="3">
        <dxf>
          <fill>
            <patternFill>
              <fgColor rgb="FF002060"/>
              <bgColor rgb="FF002060"/>
            </patternFill>
          </fill>
        </dxf>
        <dxf>
          <font>
            <b/>
            <i val="0"/>
            <color theme="0"/>
          </font>
          <fill>
            <patternFill>
              <bgColor rgb="FFFF0000"/>
            </patternFill>
          </fill>
        </dxf>
        <dxf>
          <font>
            <color theme="0"/>
          </font>
          <fill>
            <patternFill>
              <bgColor rgb="FF002060"/>
            </patternFill>
          </fill>
        </dxf>
      </x14:dxfs>
    </ext>
    <ext xmlns:x14="http://schemas.microsoft.com/office/spreadsheetml/2009/9/main" uri="{EB79DEF2-80B8-43e5-95BD-54CBDDF9020C}">
      <x14:slicerStyles defaultSlicerStyle="SlicerStyleLight1">
        <x14:slicerStyle name="Estilo de Segmentação de Dados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7.pn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11.pn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14.pn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15.png"/><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9520329511961544E-2"/>
          <c:w val="0.93888888888888888"/>
          <c:h val="0.78351758357894863"/>
        </c:manualLayout>
      </c:layout>
      <c:barChart>
        <c:barDir val="col"/>
        <c:grouping val="clustered"/>
        <c:varyColors val="0"/>
        <c:ser>
          <c:idx val="0"/>
          <c:order val="0"/>
          <c:tx>
            <c:strRef>
              <c:f>Ano!$E$106</c:f>
              <c:strCache>
                <c:ptCount val="1"/>
                <c:pt idx="0">
                  <c:v>% poupado</c:v>
                </c:pt>
              </c:strCache>
            </c:strRef>
          </c:tx>
          <c:spPr>
            <a:blipFill>
              <a:blip xmlns:r="http://schemas.openxmlformats.org/officeDocument/2006/relationships" r:embed="rId3"/>
              <a:stretch>
                <a:fillRect/>
              </a:stretch>
            </a:blipFill>
            <a:ln>
              <a:noFill/>
            </a:ln>
            <a:effectLst/>
          </c:spPr>
          <c:invertIfNegative val="0"/>
          <c:pictureOptions>
            <c:pictureFormat val="stack"/>
          </c:pictureOptions>
          <c:dLbls>
            <c:dLbl>
              <c:idx val="0"/>
              <c:layout>
                <c:manualLayout>
                  <c:x val="3.3333333333333284E-2"/>
                  <c:y val="0.74784834763635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15-4E02-8963-3ADCE91A7A4D}"/>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Ano!$E$107</c:f>
              <c:numCache>
                <c:formatCode>0.00%</c:formatCode>
                <c:ptCount val="1"/>
                <c:pt idx="0">
                  <c:v>0.70234222567112226</c:v>
                </c:pt>
              </c:numCache>
            </c:numRef>
          </c:val>
          <c:extLst>
            <c:ext xmlns:c16="http://schemas.microsoft.com/office/drawing/2014/chart" uri="{C3380CC4-5D6E-409C-BE32-E72D297353CC}">
              <c16:uniqueId val="{00000001-FD15-4E02-8963-3ADCE91A7A4D}"/>
            </c:ext>
          </c:extLst>
        </c:ser>
        <c:dLbls>
          <c:showLegendKey val="0"/>
          <c:showVal val="0"/>
          <c:showCatName val="0"/>
          <c:showSerName val="0"/>
          <c:showPercent val="0"/>
          <c:showBubbleSize val="0"/>
        </c:dLbls>
        <c:gapWidth val="219"/>
        <c:overlap val="-27"/>
        <c:axId val="314689088"/>
        <c:axId val="314689472"/>
      </c:barChart>
      <c:catAx>
        <c:axId val="314689088"/>
        <c:scaling>
          <c:orientation val="minMax"/>
        </c:scaling>
        <c:delete val="1"/>
        <c:axPos val="b"/>
        <c:numFmt formatCode="General" sourceLinked="1"/>
        <c:majorTickMark val="none"/>
        <c:minorTickMark val="none"/>
        <c:tickLblPos val="nextTo"/>
        <c:crossAx val="314689472"/>
        <c:crosses val="autoZero"/>
        <c:auto val="1"/>
        <c:lblAlgn val="ctr"/>
        <c:lblOffset val="100"/>
        <c:noMultiLvlLbl val="0"/>
      </c:catAx>
      <c:valAx>
        <c:axId val="314689472"/>
        <c:scaling>
          <c:orientation val="minMax"/>
          <c:max val="1"/>
          <c:min val="0"/>
        </c:scaling>
        <c:delete val="1"/>
        <c:axPos val="l"/>
        <c:numFmt formatCode="0.00%" sourceLinked="1"/>
        <c:majorTickMark val="none"/>
        <c:minorTickMark val="none"/>
        <c:tickLblPos val="nextTo"/>
        <c:crossAx val="314689088"/>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0715630885122412E-2"/>
          <c:y val="0"/>
          <c:w val="0.9792843691148776"/>
          <c:h val="0.87049303958027513"/>
        </c:manualLayout>
      </c:layout>
      <c:barChart>
        <c:barDir val="col"/>
        <c:grouping val="clustered"/>
        <c:varyColors val="0"/>
        <c:dLbls>
          <c:showLegendKey val="0"/>
          <c:showVal val="0"/>
          <c:showCatName val="0"/>
          <c:showSerName val="0"/>
          <c:showPercent val="0"/>
          <c:showBubbleSize val="0"/>
        </c:dLbls>
        <c:gapWidth val="219"/>
        <c:overlap val="-27"/>
        <c:axId val="314759128"/>
        <c:axId val="314759512"/>
      </c:barChart>
      <c:catAx>
        <c:axId val="314759128"/>
        <c:scaling>
          <c:orientation val="minMax"/>
        </c:scaling>
        <c:delete val="1"/>
        <c:axPos val="b"/>
        <c:numFmt formatCode="General" sourceLinked="1"/>
        <c:majorTickMark val="none"/>
        <c:minorTickMark val="none"/>
        <c:tickLblPos val="nextTo"/>
        <c:crossAx val="314759512"/>
        <c:crosses val="autoZero"/>
        <c:auto val="1"/>
        <c:lblAlgn val="ctr"/>
        <c:lblOffset val="100"/>
        <c:noMultiLvlLbl val="0"/>
      </c:catAx>
      <c:valAx>
        <c:axId val="314759512"/>
        <c:scaling>
          <c:orientation val="minMax"/>
          <c:max val="1"/>
        </c:scaling>
        <c:delete val="1"/>
        <c:axPos val="l"/>
        <c:numFmt formatCode="0%" sourceLinked="1"/>
        <c:majorTickMark val="none"/>
        <c:minorTickMark val="none"/>
        <c:tickLblPos val="nextTo"/>
        <c:crossAx val="31475912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010752688172046E-2"/>
          <c:y val="0.21368975374893426"/>
          <c:w val="0.92721257237386268"/>
          <c:h val="0.68302388952973225"/>
        </c:manualLayout>
      </c:layout>
      <c:barChart>
        <c:barDir val="col"/>
        <c:grouping val="clustered"/>
        <c:varyColors val="0"/>
        <c:ser>
          <c:idx val="0"/>
          <c:order val="0"/>
          <c:tx>
            <c:strRef>
              <c:f>Ano!$I$111</c:f>
              <c:strCache>
                <c:ptCount val="1"/>
                <c:pt idx="0">
                  <c:v>Novembro</c:v>
                </c:pt>
              </c:strCache>
            </c:strRef>
          </c:tx>
          <c:spPr>
            <a:blipFill>
              <a:blip xmlns:r="http://schemas.openxmlformats.org/officeDocument/2006/relationships" r:embed="rId3"/>
              <a:stretch>
                <a:fillRect/>
              </a:stretch>
            </a:blipFill>
            <a:ln>
              <a:noFill/>
            </a:ln>
            <a:effectLst/>
          </c:spPr>
          <c:invertIfNegative val="0"/>
          <c:pictureOptions>
            <c:pictureFormat val="stack"/>
          </c:pictureOptions>
          <c:dLbls>
            <c:dLbl>
              <c:idx val="0"/>
              <c:layout>
                <c:manualLayout>
                  <c:x val="6.6169086184326214E-3"/>
                  <c:y val="-5.9447983014862003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22334173488859796"/>
                      <c:h val="0.23980952380952381"/>
                    </c:manualLayout>
                  </c15:layout>
                </c:ext>
                <c:ext xmlns:c16="http://schemas.microsoft.com/office/drawing/2014/chart" uri="{C3380CC4-5D6E-409C-BE32-E72D297353CC}">
                  <c16:uniqueId val="{00000000-5409-45F4-99BD-CE0F0C8C922D}"/>
                </c:ext>
              </c:extLst>
            </c:dLbl>
            <c:dLbl>
              <c:idx val="1"/>
              <c:layout>
                <c:manualLayout>
                  <c:x val="-3.3085194375516956E-3"/>
                  <c:y val="-0.54285714285714282"/>
                </c:manualLayout>
              </c:layout>
              <c:showLegendKey val="0"/>
              <c:showVal val="1"/>
              <c:showCatName val="0"/>
              <c:showSerName val="0"/>
              <c:showPercent val="0"/>
              <c:showBubbleSize val="0"/>
              <c:extLst>
                <c:ext xmlns:c15="http://schemas.microsoft.com/office/drawing/2012/chart" uri="{CE6537A1-D6FC-4f65-9D91-7224C49458BB}">
                  <c15:layout>
                    <c:manualLayout>
                      <c:w val="0.21758491106725802"/>
                      <c:h val="0.19133333333333333"/>
                    </c:manualLayout>
                  </c15:layout>
                </c:ext>
                <c:ext xmlns:c16="http://schemas.microsoft.com/office/drawing/2014/chart" uri="{C3380CC4-5D6E-409C-BE32-E72D297353CC}">
                  <c16:uniqueId val="{00000001-5409-45F4-99BD-CE0F0C8C922D}"/>
                </c:ext>
              </c:extLst>
            </c:dLbl>
            <c:dLbl>
              <c:idx val="2"/>
              <c:layout>
                <c:manualLayout>
                  <c:x val="0"/>
                  <c:y val="-0.5019108280254777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22003321545104629"/>
                      <c:h val="0.21536285671297456"/>
                    </c:manualLayout>
                  </c15:layout>
                </c:ext>
                <c:ext xmlns:c16="http://schemas.microsoft.com/office/drawing/2014/chart" uri="{C3380CC4-5D6E-409C-BE32-E72D297353CC}">
                  <c16:uniqueId val="{00000002-5409-45F4-99BD-CE0F0C8C922D}"/>
                </c:ext>
              </c:extLst>
            </c:dLbl>
            <c:dLbl>
              <c:idx val="3"/>
              <c:layout>
                <c:manualLayout>
                  <c:x val="-1.2131097798212599E-16"/>
                  <c:y val="-0.12433388501596536"/>
                </c:manualLayout>
              </c:layout>
              <c:showLegendKey val="0"/>
              <c:showVal val="1"/>
              <c:showCatName val="0"/>
              <c:showSerName val="0"/>
              <c:showPercent val="0"/>
              <c:showBubbleSize val="0"/>
              <c:extLst>
                <c:ext xmlns:c15="http://schemas.microsoft.com/office/drawing/2012/chart" uri="{CE6537A1-D6FC-4f65-9D91-7224C49458BB}">
                  <c15:layout>
                    <c:manualLayout>
                      <c:w val="0.19669148056244831"/>
                      <c:h val="0.17061571125265393"/>
                    </c:manualLayout>
                  </c15:layout>
                </c:ext>
                <c:ext xmlns:c16="http://schemas.microsoft.com/office/drawing/2014/chart" uri="{C3380CC4-5D6E-409C-BE32-E72D297353CC}">
                  <c16:uniqueId val="{00000000-CAD7-4EF8-87FA-C81358F2DEE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Ano!$N$110:$Q$110</c:f>
              <c:strCache>
                <c:ptCount val="2"/>
                <c:pt idx="0">
                  <c:v>Elo</c:v>
                </c:pt>
                <c:pt idx="1">
                  <c:v>Visa</c:v>
                </c:pt>
              </c:strCache>
            </c:strRef>
          </c:cat>
          <c:val>
            <c:numRef>
              <c:f>Ano!$N$111:$Q$111</c:f>
              <c:numCache>
                <c:formatCode>_(* #,##0.00_);_(* \(#,##0.00\);_(* "-"??_);_(@_)</c:formatCode>
                <c:ptCount val="4"/>
                <c:pt idx="0">
                  <c:v>0</c:v>
                </c:pt>
                <c:pt idx="1">
                  <c:v>0</c:v>
                </c:pt>
              </c:numCache>
            </c:numRef>
          </c:val>
          <c:extLst>
            <c:ext xmlns:c16="http://schemas.microsoft.com/office/drawing/2014/chart" uri="{C3380CC4-5D6E-409C-BE32-E72D297353CC}">
              <c16:uniqueId val="{00000002-ECDB-455C-84F5-F9E8FE15275C}"/>
            </c:ext>
          </c:extLst>
        </c:ser>
        <c:dLbls>
          <c:showLegendKey val="0"/>
          <c:showVal val="0"/>
          <c:showCatName val="0"/>
          <c:showSerName val="0"/>
          <c:showPercent val="0"/>
          <c:showBubbleSize val="0"/>
        </c:dLbls>
        <c:gapWidth val="219"/>
        <c:overlap val="-27"/>
        <c:axId val="136155040"/>
        <c:axId val="136157784"/>
      </c:barChart>
      <c:catAx>
        <c:axId val="136155040"/>
        <c:scaling>
          <c:orientation val="minMax"/>
        </c:scaling>
        <c:delete val="1"/>
        <c:axPos val="b"/>
        <c:numFmt formatCode="General" sourceLinked="1"/>
        <c:majorTickMark val="none"/>
        <c:minorTickMark val="none"/>
        <c:tickLblPos val="nextTo"/>
        <c:crossAx val="136157784"/>
        <c:crosses val="autoZero"/>
        <c:auto val="1"/>
        <c:lblAlgn val="ctr"/>
        <c:lblOffset val="100"/>
        <c:noMultiLvlLbl val="0"/>
      </c:catAx>
      <c:valAx>
        <c:axId val="136157784"/>
        <c:scaling>
          <c:orientation val="minMax"/>
        </c:scaling>
        <c:delete val="1"/>
        <c:axPos val="l"/>
        <c:numFmt formatCode="_(* #,##0.00_);_(* \(#,##0.00\);_(* &quot;-&quot;??_);_(@_)" sourceLinked="1"/>
        <c:majorTickMark val="none"/>
        <c:minorTickMark val="none"/>
        <c:tickLblPos val="nextTo"/>
        <c:crossAx val="1361550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67664225198505E-2"/>
          <c:y val="0.11398431281692929"/>
          <c:w val="0.8805969681501814"/>
          <c:h val="0.82572418295699079"/>
        </c:manualLayout>
      </c:layout>
      <c:barChart>
        <c:barDir val="col"/>
        <c:grouping val="clustered"/>
        <c:varyColors val="0"/>
        <c:ser>
          <c:idx val="0"/>
          <c:order val="0"/>
          <c:tx>
            <c:strRef>
              <c:f>Ano!$E$109</c:f>
              <c:strCache>
                <c:ptCount val="1"/>
                <c:pt idx="0">
                  <c:v>% Juliana</c:v>
                </c:pt>
              </c:strCache>
            </c:strRef>
          </c:tx>
          <c:spPr>
            <a:blipFill>
              <a:blip xmlns:r="http://schemas.openxmlformats.org/officeDocument/2006/relationships" r:embed="rId3"/>
              <a:stretch>
                <a:fillRect/>
              </a:stretch>
            </a:blipFill>
            <a:ln>
              <a:noFill/>
            </a:ln>
            <a:effectLst>
              <a:innerShdw blurRad="114300">
                <a:schemeClr val="accent1"/>
              </a:innerShdw>
            </a:effectLst>
          </c:spPr>
          <c:invertIfNegative val="0"/>
          <c:pictureOptions>
            <c:pictureFormat val="stack"/>
          </c:pictureOptions>
          <c:dLbls>
            <c:dLbl>
              <c:idx val="0"/>
              <c:layout>
                <c:manualLayout>
                  <c:x val="7.4626894906136606E-3"/>
                  <c:y val="0.2277166569954126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27072169495894344"/>
                      <c:h val="0.16375412876392159"/>
                    </c:manualLayout>
                  </c15:layout>
                </c:ext>
                <c:ext xmlns:c16="http://schemas.microsoft.com/office/drawing/2014/chart" uri="{C3380CC4-5D6E-409C-BE32-E72D297353CC}">
                  <c16:uniqueId val="{00000001-92D3-4ECA-A841-A1DF39E70F9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Ano!$E$110</c:f>
              <c:numCache>
                <c:formatCode>0.00%</c:formatCode>
                <c:ptCount val="1"/>
                <c:pt idx="0">
                  <c:v>1.7142455519613541E-2</c:v>
                </c:pt>
              </c:numCache>
            </c:numRef>
          </c:val>
          <c:extLst>
            <c:ext xmlns:c16="http://schemas.microsoft.com/office/drawing/2014/chart" uri="{C3380CC4-5D6E-409C-BE32-E72D297353CC}">
              <c16:uniqueId val="{00000002-92D3-4ECA-A841-A1DF39E70F92}"/>
            </c:ext>
          </c:extLst>
        </c:ser>
        <c:dLbls>
          <c:showLegendKey val="0"/>
          <c:showVal val="0"/>
          <c:showCatName val="0"/>
          <c:showSerName val="0"/>
          <c:showPercent val="0"/>
          <c:showBubbleSize val="0"/>
        </c:dLbls>
        <c:gapWidth val="164"/>
        <c:overlap val="-22"/>
        <c:axId val="136157392"/>
        <c:axId val="136158176"/>
      </c:barChart>
      <c:catAx>
        <c:axId val="136157392"/>
        <c:scaling>
          <c:orientation val="minMax"/>
        </c:scaling>
        <c:delete val="1"/>
        <c:axPos val="b"/>
        <c:numFmt formatCode="General" sourceLinked="1"/>
        <c:majorTickMark val="none"/>
        <c:minorTickMark val="none"/>
        <c:tickLblPos val="nextTo"/>
        <c:crossAx val="136158176"/>
        <c:crosses val="autoZero"/>
        <c:auto val="1"/>
        <c:lblAlgn val="ctr"/>
        <c:lblOffset val="100"/>
        <c:noMultiLvlLbl val="0"/>
      </c:catAx>
      <c:valAx>
        <c:axId val="136158176"/>
        <c:scaling>
          <c:orientation val="minMax"/>
          <c:max val="1"/>
          <c:min val="0"/>
        </c:scaling>
        <c:delete val="1"/>
        <c:axPos val="l"/>
        <c:numFmt formatCode="0.00%" sourceLinked="1"/>
        <c:majorTickMark val="none"/>
        <c:minorTickMark val="none"/>
        <c:tickLblPos val="nextTo"/>
        <c:crossAx val="1361573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Ano!$E$112</c:f>
              <c:strCache>
                <c:ptCount val="1"/>
                <c:pt idx="0">
                  <c:v>% pessoal</c:v>
                </c:pt>
              </c:strCache>
            </c:strRef>
          </c:tx>
          <c:spPr>
            <a:blipFill>
              <a:blip xmlns:r="http://schemas.openxmlformats.org/officeDocument/2006/relationships" r:embed="rId3"/>
              <a:stretch>
                <a:fillRect/>
              </a:stretch>
            </a:blipFill>
            <a:ln>
              <a:noFill/>
            </a:ln>
            <a:effectLst/>
          </c:spPr>
          <c:invertIfNegative val="0"/>
          <c:pictureOptions>
            <c:pictureFormat val="stack"/>
          </c:pictureOptions>
          <c:dLbls>
            <c:dLbl>
              <c:idx val="0"/>
              <c:layout>
                <c:manualLayout>
                  <c:x val="2.1164021164021211E-2"/>
                  <c:y val="0.1770972183320791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manualLayout>
                      <c:w val="0.3039949173020039"/>
                      <c:h val="0.17637920660746534"/>
                    </c:manualLayout>
                  </c15:layout>
                </c:ext>
                <c:ext xmlns:c16="http://schemas.microsoft.com/office/drawing/2014/chart" uri="{C3380CC4-5D6E-409C-BE32-E72D297353CC}">
                  <c16:uniqueId val="{00000000-E2DA-4C51-AEAB-E3076BE82AC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Ano!$E$113</c:f>
              <c:numCache>
                <c:formatCode>0.00%</c:formatCode>
                <c:ptCount val="1"/>
                <c:pt idx="0">
                  <c:v>0.17184454535636592</c:v>
                </c:pt>
              </c:numCache>
            </c:numRef>
          </c:val>
          <c:extLst>
            <c:ext xmlns:c16="http://schemas.microsoft.com/office/drawing/2014/chart" uri="{C3380CC4-5D6E-409C-BE32-E72D297353CC}">
              <c16:uniqueId val="{00000001-E2DA-4C51-AEAB-E3076BE82ACE}"/>
            </c:ext>
          </c:extLst>
        </c:ser>
        <c:dLbls>
          <c:showLegendKey val="0"/>
          <c:showVal val="0"/>
          <c:showCatName val="0"/>
          <c:showSerName val="0"/>
          <c:showPercent val="0"/>
          <c:showBubbleSize val="0"/>
        </c:dLbls>
        <c:gapWidth val="219"/>
        <c:overlap val="-27"/>
        <c:axId val="136160136"/>
        <c:axId val="136305088"/>
      </c:barChart>
      <c:catAx>
        <c:axId val="136160136"/>
        <c:scaling>
          <c:orientation val="minMax"/>
        </c:scaling>
        <c:delete val="1"/>
        <c:axPos val="b"/>
        <c:numFmt formatCode="General" sourceLinked="1"/>
        <c:majorTickMark val="none"/>
        <c:minorTickMark val="none"/>
        <c:tickLblPos val="nextTo"/>
        <c:crossAx val="136305088"/>
        <c:crosses val="autoZero"/>
        <c:auto val="1"/>
        <c:lblAlgn val="ctr"/>
        <c:lblOffset val="100"/>
        <c:noMultiLvlLbl val="0"/>
      </c:catAx>
      <c:valAx>
        <c:axId val="136305088"/>
        <c:scaling>
          <c:orientation val="minMax"/>
          <c:max val="1"/>
          <c:min val="0"/>
        </c:scaling>
        <c:delete val="1"/>
        <c:axPos val="l"/>
        <c:numFmt formatCode="0.00%" sourceLinked="1"/>
        <c:majorTickMark val="none"/>
        <c:minorTickMark val="none"/>
        <c:tickLblPos val="nextTo"/>
        <c:crossAx val="1361601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Ano!$E$118</c:f>
              <c:strCache>
                <c:ptCount val="1"/>
                <c:pt idx="0">
                  <c:v>% carro</c:v>
                </c:pt>
              </c:strCache>
            </c:strRef>
          </c:tx>
          <c:spPr>
            <a:blipFill>
              <a:blip xmlns:r="http://schemas.openxmlformats.org/officeDocument/2006/relationships" r:embed="rId3"/>
              <a:stretch>
                <a:fillRect/>
              </a:stretch>
            </a:blipFill>
            <a:ln>
              <a:noFill/>
            </a:ln>
            <a:effectLst/>
          </c:spPr>
          <c:invertIfNegative val="0"/>
          <c:pictureOptions>
            <c:pictureFormat val="stack"/>
          </c:pictureOptions>
          <c:dLbls>
            <c:dLbl>
              <c:idx val="0"/>
              <c:layout>
                <c:manualLayout>
                  <c:x val="1.0964912280701754E-2"/>
                  <c:y val="0.128258644834643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4E8-4041-BCF6-C28894782575}"/>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Ano!$E$119</c:f>
              <c:numCache>
                <c:formatCode>0.00%</c:formatCode>
                <c:ptCount val="1"/>
                <c:pt idx="0">
                  <c:v>5.6744956261024736E-2</c:v>
                </c:pt>
              </c:numCache>
            </c:numRef>
          </c:val>
          <c:extLst>
            <c:ext xmlns:c16="http://schemas.microsoft.com/office/drawing/2014/chart" uri="{C3380CC4-5D6E-409C-BE32-E72D297353CC}">
              <c16:uniqueId val="{00000001-84E8-4041-BCF6-C28894782575}"/>
            </c:ext>
          </c:extLst>
        </c:ser>
        <c:dLbls>
          <c:showLegendKey val="0"/>
          <c:showVal val="0"/>
          <c:showCatName val="0"/>
          <c:showSerName val="0"/>
          <c:showPercent val="0"/>
          <c:showBubbleSize val="0"/>
        </c:dLbls>
        <c:gapWidth val="219"/>
        <c:overlap val="-27"/>
        <c:axId val="315399968"/>
        <c:axId val="315400752"/>
      </c:barChart>
      <c:catAx>
        <c:axId val="315399968"/>
        <c:scaling>
          <c:orientation val="minMax"/>
        </c:scaling>
        <c:delete val="1"/>
        <c:axPos val="b"/>
        <c:numFmt formatCode="General" sourceLinked="1"/>
        <c:majorTickMark val="none"/>
        <c:minorTickMark val="none"/>
        <c:tickLblPos val="nextTo"/>
        <c:crossAx val="315400752"/>
        <c:crosses val="autoZero"/>
        <c:auto val="1"/>
        <c:lblAlgn val="ctr"/>
        <c:lblOffset val="100"/>
        <c:noMultiLvlLbl val="0"/>
      </c:catAx>
      <c:valAx>
        <c:axId val="315400752"/>
        <c:scaling>
          <c:orientation val="minMax"/>
          <c:max val="1"/>
          <c:min val="0"/>
        </c:scaling>
        <c:delete val="1"/>
        <c:axPos val="l"/>
        <c:numFmt formatCode="0.00%" sourceLinked="1"/>
        <c:majorTickMark val="none"/>
        <c:minorTickMark val="none"/>
        <c:tickLblPos val="nextTo"/>
        <c:crossAx val="315399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Ano!$E$115</c:f>
              <c:strCache>
                <c:ptCount val="1"/>
                <c:pt idx="0">
                  <c:v>% casa</c:v>
                </c:pt>
              </c:strCache>
            </c:strRef>
          </c:tx>
          <c:spPr>
            <a:blipFill>
              <a:blip xmlns:r="http://schemas.openxmlformats.org/officeDocument/2006/relationships" r:embed="rId3"/>
              <a:stretch>
                <a:fillRect/>
              </a:stretch>
            </a:blipFill>
            <a:ln>
              <a:noFill/>
            </a:ln>
            <a:effectLst>
              <a:innerShdw blurRad="114300">
                <a:schemeClr val="accent1"/>
              </a:innerShdw>
            </a:effectLst>
          </c:spPr>
          <c:invertIfNegative val="0"/>
          <c:pictureOptions>
            <c:pictureFormat val="stack"/>
          </c:pictureOptions>
          <c:dLbls>
            <c:dLbl>
              <c:idx val="0"/>
              <c:layout>
                <c:manualLayout>
                  <c:x val="-3.4542314335060447E-3"/>
                  <c:y val="5.36141899460019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01-4A4F-8D0A-CB9275B8F9B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Ano!$E$116</c:f>
              <c:numCache>
                <c:formatCode>0.00%</c:formatCode>
                <c:ptCount val="1"/>
                <c:pt idx="0">
                  <c:v>5.1427366558840622E-2</c:v>
                </c:pt>
              </c:numCache>
            </c:numRef>
          </c:val>
          <c:extLst>
            <c:ext xmlns:c16="http://schemas.microsoft.com/office/drawing/2014/chart" uri="{C3380CC4-5D6E-409C-BE32-E72D297353CC}">
              <c16:uniqueId val="{00000000-C79D-47B7-A8E0-A91C02B29189}"/>
            </c:ext>
          </c:extLst>
        </c:ser>
        <c:dLbls>
          <c:showLegendKey val="0"/>
          <c:showVal val="0"/>
          <c:showCatName val="0"/>
          <c:showSerName val="0"/>
          <c:showPercent val="0"/>
          <c:showBubbleSize val="0"/>
        </c:dLbls>
        <c:gapWidth val="164"/>
        <c:overlap val="-22"/>
        <c:axId val="315402712"/>
        <c:axId val="315396048"/>
      </c:barChart>
      <c:catAx>
        <c:axId val="315402712"/>
        <c:scaling>
          <c:orientation val="minMax"/>
        </c:scaling>
        <c:delete val="1"/>
        <c:axPos val="b"/>
        <c:numFmt formatCode="General" sourceLinked="1"/>
        <c:majorTickMark val="none"/>
        <c:minorTickMark val="none"/>
        <c:tickLblPos val="nextTo"/>
        <c:crossAx val="315396048"/>
        <c:crosses val="autoZero"/>
        <c:auto val="1"/>
        <c:lblAlgn val="ctr"/>
        <c:lblOffset val="100"/>
        <c:noMultiLvlLbl val="0"/>
      </c:catAx>
      <c:valAx>
        <c:axId val="315396048"/>
        <c:scaling>
          <c:orientation val="minMax"/>
          <c:max val="1"/>
          <c:min val="0"/>
        </c:scaling>
        <c:delete val="1"/>
        <c:axPos val="l"/>
        <c:numFmt formatCode="0.00%" sourceLinked="1"/>
        <c:majorTickMark val="none"/>
        <c:minorTickMark val="none"/>
        <c:tickLblPos val="nextTo"/>
        <c:crossAx val="315402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dashboard!A1"/><Relationship Id="rId1" Type="http://schemas.openxmlformats.org/officeDocument/2006/relationships/image" Target="../media/image1.jpeg"/><Relationship Id="rId6" Type="http://schemas.openxmlformats.org/officeDocument/2006/relationships/hyperlink" Target="#Investimentos!A1"/><Relationship Id="rId5" Type="http://schemas.openxmlformats.org/officeDocument/2006/relationships/hyperlink" Target="#Ano!A1"/><Relationship Id="rId4" Type="http://schemas.openxmlformats.org/officeDocument/2006/relationships/hyperlink" Target="#Dados!A1"/></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4.png"/><Relationship Id="rId7" Type="http://schemas.openxmlformats.org/officeDocument/2006/relationships/chart" Target="../charts/chart3.xml"/><Relationship Id="rId12" Type="http://schemas.openxmlformats.org/officeDocument/2006/relationships/image" Target="../media/image12.png"/><Relationship Id="rId2" Type="http://schemas.openxmlformats.org/officeDocument/2006/relationships/hyperlink" Target="#'menu principal'!A1"/><Relationship Id="rId1" Type="http://schemas.openxmlformats.org/officeDocument/2006/relationships/image" Target="../media/image3.jpe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chart" Target="../charts/chart2.xml"/><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chart" Target="../charts/chart1.xml"/><Relationship Id="rId9" Type="http://schemas.openxmlformats.org/officeDocument/2006/relationships/chart" Target="../charts/chart4.xml"/><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hyperlink" Target="#'menu principal'!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enu principal'!A1"/></Relationships>
</file>

<file path=xl/drawings/_rels/drawing5.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hyperlink" Target="#'menu principal'!A1"/></Relationships>
</file>

<file path=xl/drawings/_rels/drawing6.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10.png"/><Relationship Id="rId3" Type="http://schemas.openxmlformats.org/officeDocument/2006/relationships/image" Target="../media/image3.jpeg"/><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18.png"/><Relationship Id="rId6" Type="http://schemas.openxmlformats.org/officeDocument/2006/relationships/image" Target="../media/image21.png"/><Relationship Id="rId11" Type="http://schemas.openxmlformats.org/officeDocument/2006/relationships/image" Target="../media/image24.png"/><Relationship Id="rId5" Type="http://schemas.openxmlformats.org/officeDocument/2006/relationships/image" Target="../media/image20.png"/><Relationship Id="rId10" Type="http://schemas.openxmlformats.org/officeDocument/2006/relationships/image" Target="../media/image23.png"/><Relationship Id="rId4" Type="http://schemas.openxmlformats.org/officeDocument/2006/relationships/image" Target="../media/image19.png"/><Relationship Id="rId9" Type="http://schemas.openxmlformats.org/officeDocument/2006/relationships/image" Target="../media/image13.png"/><Relationship Id="rId1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38100</xdr:colOff>
      <xdr:row>23</xdr:row>
      <xdr:rowOff>104774</xdr:rowOff>
    </xdr:to>
    <xdr:pic>
      <xdr:nvPicPr>
        <xdr:cNvPr id="2" name="Imagem 1" descr="6 Formas de Ganhar Dinheiro Pela Internet Que Você Vai Adora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2230100" cy="4486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133351</xdr:colOff>
      <xdr:row>4</xdr:row>
      <xdr:rowOff>114301</xdr:rowOff>
    </xdr:from>
    <xdr:to>
      <xdr:col>19</xdr:col>
      <xdr:colOff>428625</xdr:colOff>
      <xdr:row>15</xdr:row>
      <xdr:rowOff>76201</xdr:rowOff>
    </xdr:to>
    <xdr:sp macro="" textlink="">
      <xdr:nvSpPr>
        <xdr:cNvPr id="3" name="Retângulo de cantos arredondados 2">
          <a:extLst>
            <a:ext uri="{FF2B5EF4-FFF2-40B4-BE49-F238E27FC236}">
              <a16:creationId xmlns:a16="http://schemas.microsoft.com/office/drawing/2014/main" id="{00000000-0008-0000-0000-000003000000}"/>
            </a:ext>
          </a:extLst>
        </xdr:cNvPr>
        <xdr:cNvSpPr/>
      </xdr:nvSpPr>
      <xdr:spPr>
        <a:xfrm>
          <a:off x="6229351" y="876301"/>
          <a:ext cx="5781674" cy="2057400"/>
        </a:xfrm>
        <a:prstGeom prst="roundRect">
          <a:avLst/>
        </a:prstGeom>
        <a:solidFill>
          <a:srgbClr val="FFFFFF">
            <a:alpha val="6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clientData/>
  </xdr:twoCellAnchor>
  <xdr:twoCellAnchor>
    <xdr:from>
      <xdr:col>11</xdr:col>
      <xdr:colOff>57151</xdr:colOff>
      <xdr:row>7</xdr:row>
      <xdr:rowOff>28574</xdr:rowOff>
    </xdr:from>
    <xdr:to>
      <xdr:col>14</xdr:col>
      <xdr:colOff>126115</xdr:colOff>
      <xdr:row>9</xdr:row>
      <xdr:rowOff>95250</xdr:rowOff>
    </xdr:to>
    <xdr:grpSp>
      <xdr:nvGrpSpPr>
        <xdr:cNvPr id="4" name="Grupo 3">
          <a:hlinkClick xmlns:r="http://schemas.openxmlformats.org/officeDocument/2006/relationships" r:id="rId2" tooltip="Dashboard"/>
          <a:extLst>
            <a:ext uri="{FF2B5EF4-FFF2-40B4-BE49-F238E27FC236}">
              <a16:creationId xmlns:a16="http://schemas.microsoft.com/office/drawing/2014/main" id="{00000000-0008-0000-0000-000004000000}"/>
            </a:ext>
          </a:extLst>
        </xdr:cNvPr>
        <xdr:cNvGrpSpPr/>
      </xdr:nvGrpSpPr>
      <xdr:grpSpPr>
        <a:xfrm>
          <a:off x="6762751" y="1317624"/>
          <a:ext cx="1897764" cy="434976"/>
          <a:chOff x="2085976" y="1943099"/>
          <a:chExt cx="1897764" cy="447676"/>
        </a:xfrm>
      </xdr:grpSpPr>
      <xdr:pic>
        <xdr:nvPicPr>
          <xdr:cNvPr id="5" name="Imagem 4" descr="cifrao">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85976" y="1990726"/>
            <a:ext cx="361950" cy="361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 name="CaixaDeTexto 5">
            <a:extLst>
              <a:ext uri="{FF2B5EF4-FFF2-40B4-BE49-F238E27FC236}">
                <a16:creationId xmlns:a16="http://schemas.microsoft.com/office/drawing/2014/main" id="{00000000-0008-0000-0000-000006000000}"/>
              </a:ext>
            </a:extLst>
          </xdr:cNvPr>
          <xdr:cNvSpPr txBox="1"/>
        </xdr:nvSpPr>
        <xdr:spPr>
          <a:xfrm>
            <a:off x="2428875" y="1943099"/>
            <a:ext cx="155486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a:solidFill>
                  <a:srgbClr val="002060"/>
                </a:solidFill>
              </a:rPr>
              <a:t>DASHBOARD</a:t>
            </a:r>
          </a:p>
        </xdr:txBody>
      </xdr:sp>
    </xdr:grpSp>
    <xdr:clientData/>
  </xdr:twoCellAnchor>
  <xdr:twoCellAnchor>
    <xdr:from>
      <xdr:col>11</xdr:col>
      <xdr:colOff>66676</xdr:colOff>
      <xdr:row>10</xdr:row>
      <xdr:rowOff>95249</xdr:rowOff>
    </xdr:from>
    <xdr:to>
      <xdr:col>14</xdr:col>
      <xdr:colOff>485774</xdr:colOff>
      <xdr:row>12</xdr:row>
      <xdr:rowOff>161925</xdr:rowOff>
    </xdr:to>
    <xdr:grpSp>
      <xdr:nvGrpSpPr>
        <xdr:cNvPr id="7" name="Grupo 6">
          <a:hlinkClick xmlns:r="http://schemas.openxmlformats.org/officeDocument/2006/relationships" r:id="rId4" tooltip="cartões"/>
          <a:extLst>
            <a:ext uri="{FF2B5EF4-FFF2-40B4-BE49-F238E27FC236}">
              <a16:creationId xmlns:a16="http://schemas.microsoft.com/office/drawing/2014/main" id="{00000000-0008-0000-0000-000007000000}"/>
            </a:ext>
          </a:extLst>
        </xdr:cNvPr>
        <xdr:cNvGrpSpPr/>
      </xdr:nvGrpSpPr>
      <xdr:grpSpPr>
        <a:xfrm>
          <a:off x="6772276" y="1936749"/>
          <a:ext cx="2247898" cy="434976"/>
          <a:chOff x="2085976" y="1933574"/>
          <a:chExt cx="2247898" cy="447676"/>
        </a:xfrm>
      </xdr:grpSpPr>
      <xdr:pic>
        <xdr:nvPicPr>
          <xdr:cNvPr id="8" name="Imagem 7" descr="cifrao">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85976" y="1990726"/>
            <a:ext cx="361950" cy="361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 name="CaixaDeTexto 8">
            <a:extLst>
              <a:ext uri="{FF2B5EF4-FFF2-40B4-BE49-F238E27FC236}">
                <a16:creationId xmlns:a16="http://schemas.microsoft.com/office/drawing/2014/main" id="{00000000-0008-0000-0000-000009000000}"/>
              </a:ext>
            </a:extLst>
          </xdr:cNvPr>
          <xdr:cNvSpPr txBox="1"/>
        </xdr:nvSpPr>
        <xdr:spPr>
          <a:xfrm>
            <a:off x="2438399" y="1933574"/>
            <a:ext cx="18954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a:solidFill>
                  <a:srgbClr val="002060"/>
                </a:solidFill>
              </a:rPr>
              <a:t>BASE DE DADOS</a:t>
            </a:r>
          </a:p>
        </xdr:txBody>
      </xdr:sp>
    </xdr:grpSp>
    <xdr:clientData/>
  </xdr:twoCellAnchor>
  <xdr:twoCellAnchor>
    <xdr:from>
      <xdr:col>15</xdr:col>
      <xdr:colOff>47626</xdr:colOff>
      <xdr:row>7</xdr:row>
      <xdr:rowOff>19049</xdr:rowOff>
    </xdr:from>
    <xdr:to>
      <xdr:col>18</xdr:col>
      <xdr:colOff>609599</xdr:colOff>
      <xdr:row>9</xdr:row>
      <xdr:rowOff>85725</xdr:rowOff>
    </xdr:to>
    <xdr:grpSp>
      <xdr:nvGrpSpPr>
        <xdr:cNvPr id="10" name="Grupo 9">
          <a:hlinkClick xmlns:r="http://schemas.openxmlformats.org/officeDocument/2006/relationships" r:id="rId5" tooltip="Anual"/>
          <a:extLst>
            <a:ext uri="{FF2B5EF4-FFF2-40B4-BE49-F238E27FC236}">
              <a16:creationId xmlns:a16="http://schemas.microsoft.com/office/drawing/2014/main" id="{00000000-0008-0000-0000-00000A000000}"/>
            </a:ext>
          </a:extLst>
        </xdr:cNvPr>
        <xdr:cNvGrpSpPr/>
      </xdr:nvGrpSpPr>
      <xdr:grpSpPr>
        <a:xfrm>
          <a:off x="9191626" y="1308099"/>
          <a:ext cx="2390773" cy="434976"/>
          <a:chOff x="2085976" y="1933574"/>
          <a:chExt cx="2390773" cy="447676"/>
        </a:xfrm>
      </xdr:grpSpPr>
      <xdr:pic>
        <xdr:nvPicPr>
          <xdr:cNvPr id="11" name="Imagem 10" descr="cifrao">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85976" y="1990726"/>
            <a:ext cx="361950" cy="361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2" name="CaixaDeTexto 11">
            <a:extLst>
              <a:ext uri="{FF2B5EF4-FFF2-40B4-BE49-F238E27FC236}">
                <a16:creationId xmlns:a16="http://schemas.microsoft.com/office/drawing/2014/main" id="{00000000-0008-0000-0000-00000C000000}"/>
              </a:ext>
            </a:extLst>
          </xdr:cNvPr>
          <xdr:cNvSpPr txBox="1"/>
        </xdr:nvSpPr>
        <xdr:spPr>
          <a:xfrm>
            <a:off x="2428874" y="1933574"/>
            <a:ext cx="20478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a:solidFill>
                  <a:srgbClr val="002060"/>
                </a:solidFill>
              </a:rPr>
              <a:t>PLANILHA</a:t>
            </a:r>
            <a:r>
              <a:rPr lang="pt-BR" sz="2000" b="1" baseline="0">
                <a:solidFill>
                  <a:srgbClr val="002060"/>
                </a:solidFill>
              </a:rPr>
              <a:t> </a:t>
            </a:r>
            <a:r>
              <a:rPr lang="pt-BR" sz="2000" b="1">
                <a:solidFill>
                  <a:srgbClr val="002060"/>
                </a:solidFill>
              </a:rPr>
              <a:t>ANUAL</a:t>
            </a:r>
          </a:p>
        </xdr:txBody>
      </xdr:sp>
    </xdr:grpSp>
    <xdr:clientData/>
  </xdr:twoCellAnchor>
  <xdr:twoCellAnchor>
    <xdr:from>
      <xdr:col>10</xdr:col>
      <xdr:colOff>371476</xdr:colOff>
      <xdr:row>1</xdr:row>
      <xdr:rowOff>28574</xdr:rowOff>
    </xdr:from>
    <xdr:to>
      <xdr:col>18</xdr:col>
      <xdr:colOff>533400</xdr:colOff>
      <xdr:row>3</xdr:row>
      <xdr:rowOff>95250</xdr:rowOff>
    </xdr:to>
    <xdr:sp macro="" textlink="">
      <xdr:nvSpPr>
        <xdr:cNvPr id="13" name="CaixaDeTexto 12">
          <a:extLst>
            <a:ext uri="{FF2B5EF4-FFF2-40B4-BE49-F238E27FC236}">
              <a16:creationId xmlns:a16="http://schemas.microsoft.com/office/drawing/2014/main" id="{00000000-0008-0000-0000-00000D000000}"/>
            </a:ext>
          </a:extLst>
        </xdr:cNvPr>
        <xdr:cNvSpPr txBox="1"/>
      </xdr:nvSpPr>
      <xdr:spPr>
        <a:xfrm>
          <a:off x="6467476" y="219074"/>
          <a:ext cx="5038724"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u="sng">
              <a:solidFill>
                <a:srgbClr val="002060"/>
              </a:solidFill>
            </a:rPr>
            <a:t>PLANILHA DE ORÇAMENTO DOMÉSTICO DANI</a:t>
          </a:r>
        </a:p>
      </xdr:txBody>
    </xdr:sp>
    <xdr:clientData/>
  </xdr:twoCellAnchor>
  <xdr:twoCellAnchor>
    <xdr:from>
      <xdr:col>15</xdr:col>
      <xdr:colOff>76201</xdr:colOff>
      <xdr:row>10</xdr:row>
      <xdr:rowOff>28574</xdr:rowOff>
    </xdr:from>
    <xdr:to>
      <xdr:col>18</xdr:col>
      <xdr:colOff>552450</xdr:colOff>
      <xdr:row>12</xdr:row>
      <xdr:rowOff>95250</xdr:rowOff>
    </xdr:to>
    <xdr:grpSp>
      <xdr:nvGrpSpPr>
        <xdr:cNvPr id="14" name="Grupo 6">
          <a:hlinkClick xmlns:r="http://schemas.openxmlformats.org/officeDocument/2006/relationships" r:id="rId6" tooltip="cartões"/>
          <a:extLst>
            <a:ext uri="{FF2B5EF4-FFF2-40B4-BE49-F238E27FC236}">
              <a16:creationId xmlns:a16="http://schemas.microsoft.com/office/drawing/2014/main" id="{AD0EDCA6-99E3-4B1F-8809-1F3CB326C1D2}"/>
            </a:ext>
          </a:extLst>
        </xdr:cNvPr>
        <xdr:cNvGrpSpPr/>
      </xdr:nvGrpSpPr>
      <xdr:grpSpPr>
        <a:xfrm>
          <a:off x="9220201" y="1870074"/>
          <a:ext cx="2305049" cy="434976"/>
          <a:chOff x="2085976" y="1943099"/>
          <a:chExt cx="2167296" cy="447676"/>
        </a:xfrm>
      </xdr:grpSpPr>
      <xdr:pic>
        <xdr:nvPicPr>
          <xdr:cNvPr id="15" name="Imagem 14" descr="cifrao">
            <a:extLst>
              <a:ext uri="{FF2B5EF4-FFF2-40B4-BE49-F238E27FC236}">
                <a16:creationId xmlns:a16="http://schemas.microsoft.com/office/drawing/2014/main" id="{AD06D2B2-38A5-464E-827B-29DF1403BB0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85976" y="1990726"/>
            <a:ext cx="361950" cy="3619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CaixaDeTexto 15">
            <a:extLst>
              <a:ext uri="{FF2B5EF4-FFF2-40B4-BE49-F238E27FC236}">
                <a16:creationId xmlns:a16="http://schemas.microsoft.com/office/drawing/2014/main" id="{3D5A9BC5-1058-452A-B906-1205BB5C23AB}"/>
              </a:ext>
            </a:extLst>
          </xdr:cNvPr>
          <xdr:cNvSpPr txBox="1"/>
        </xdr:nvSpPr>
        <xdr:spPr>
          <a:xfrm>
            <a:off x="2357797" y="1943099"/>
            <a:ext cx="1895475"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2000" b="1">
                <a:solidFill>
                  <a:srgbClr val="002060"/>
                </a:solidFill>
              </a:rPr>
              <a:t>INVESTIMENTOS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20</xdr:col>
      <xdr:colOff>19050</xdr:colOff>
      <xdr:row>23</xdr:row>
      <xdr:rowOff>102989</xdr:rowOff>
    </xdr:to>
    <xdr:pic>
      <xdr:nvPicPr>
        <xdr:cNvPr id="2" name="Imagem 1" descr="Como economizar dinheiro ganhando pouco &amp;#8211; 10 dicas | Blog da ...">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duotone>
            <a:prstClr val="black"/>
            <a:srgbClr val="000000">
              <a:alpha val="52941"/>
              <a:tint val="45000"/>
              <a:satMod val="400000"/>
            </a:srgbClr>
          </a:duotone>
          <a:extLst>
            <a:ext uri="{28A0092B-C50C-407E-A947-70E740481C1C}">
              <a14:useLocalDpi xmlns:a14="http://schemas.microsoft.com/office/drawing/2010/main" val="0"/>
            </a:ext>
          </a:extLst>
        </a:blip>
        <a:srcRect/>
        <a:stretch>
          <a:fillRect/>
        </a:stretch>
      </xdr:blipFill>
      <xdr:spPr bwMode="auto">
        <a:xfrm>
          <a:off x="19050" y="0"/>
          <a:ext cx="12192000" cy="44844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352425</xdr:colOff>
      <xdr:row>13</xdr:row>
      <xdr:rowOff>114300</xdr:rowOff>
    </xdr:from>
    <xdr:to>
      <xdr:col>11</xdr:col>
      <xdr:colOff>542924</xdr:colOff>
      <xdr:row>23</xdr:row>
      <xdr:rowOff>28575</xdr:rowOff>
    </xdr:to>
    <xdr:sp macro="" textlink="">
      <xdr:nvSpPr>
        <xdr:cNvPr id="5" name="Retângulo 4">
          <a:extLst>
            <a:ext uri="{FF2B5EF4-FFF2-40B4-BE49-F238E27FC236}">
              <a16:creationId xmlns:a16="http://schemas.microsoft.com/office/drawing/2014/main" id="{00000000-0008-0000-0100-000005000000}"/>
            </a:ext>
          </a:extLst>
        </xdr:cNvPr>
        <xdr:cNvSpPr/>
      </xdr:nvSpPr>
      <xdr:spPr>
        <a:xfrm>
          <a:off x="3400425" y="2590800"/>
          <a:ext cx="3848099" cy="1819275"/>
        </a:xfrm>
        <a:prstGeom prst="rect">
          <a:avLst/>
        </a:prstGeom>
        <a:solidFill>
          <a:schemeClr val="bg1">
            <a:lumMod val="65000"/>
            <a:alpha val="89804"/>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pt-BR" sz="1100"/>
        </a:p>
      </xdr:txBody>
    </xdr:sp>
    <xdr:clientData/>
  </xdr:twoCellAnchor>
  <xdr:twoCellAnchor>
    <xdr:from>
      <xdr:col>8</xdr:col>
      <xdr:colOff>457200</xdr:colOff>
      <xdr:row>15</xdr:row>
      <xdr:rowOff>85725</xdr:rowOff>
    </xdr:from>
    <xdr:to>
      <xdr:col>10</xdr:col>
      <xdr:colOff>571500</xdr:colOff>
      <xdr:row>21</xdr:row>
      <xdr:rowOff>0</xdr:rowOff>
    </xdr:to>
    <xdr:sp macro="" textlink="">
      <xdr:nvSpPr>
        <xdr:cNvPr id="12" name="Forma livre 11">
          <a:extLst>
            <a:ext uri="{FF2B5EF4-FFF2-40B4-BE49-F238E27FC236}">
              <a16:creationId xmlns:a16="http://schemas.microsoft.com/office/drawing/2014/main" id="{00000000-0008-0000-0100-00000C000000}"/>
            </a:ext>
          </a:extLst>
        </xdr:cNvPr>
        <xdr:cNvSpPr/>
      </xdr:nvSpPr>
      <xdr:spPr>
        <a:xfrm>
          <a:off x="5334000" y="2943225"/>
          <a:ext cx="1333500" cy="1057275"/>
        </a:xfrm>
        <a:custGeom>
          <a:avLst/>
          <a:gdLst>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3480179 w 4374107"/>
            <a:gd name="connsiteY13" fmla="*/ 361666 h 3466531"/>
            <a:gd name="connsiteX14" fmla="*/ 2251880 w 4374107"/>
            <a:gd name="connsiteY14" fmla="*/ 388961 h 3466531"/>
            <a:gd name="connsiteX15" fmla="*/ 1576316 w 4374107"/>
            <a:gd name="connsiteY15" fmla="*/ 607325 h 3466531"/>
            <a:gd name="connsiteX16" fmla="*/ 934871 w 4374107"/>
            <a:gd name="connsiteY16" fmla="*/ 0 h 3466531"/>
            <a:gd name="connsiteX17" fmla="*/ 887104 w 4374107"/>
            <a:gd name="connsiteY17"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411074"/>
            <a:gd name="connsiteY0" fmla="*/ 1030406 h 3466531"/>
            <a:gd name="connsiteX1" fmla="*/ 361666 w 4411074"/>
            <a:gd name="connsiteY1" fmla="*/ 1562669 h 3466531"/>
            <a:gd name="connsiteX2" fmla="*/ 0 w 4411074"/>
            <a:gd name="connsiteY2" fmla="*/ 1569493 h 3466531"/>
            <a:gd name="connsiteX3" fmla="*/ 6824 w 4411074"/>
            <a:gd name="connsiteY3" fmla="*/ 2320119 h 3466531"/>
            <a:gd name="connsiteX4" fmla="*/ 1473958 w 4411074"/>
            <a:gd name="connsiteY4" fmla="*/ 2975212 h 3466531"/>
            <a:gd name="connsiteX5" fmla="*/ 1487606 w 4411074"/>
            <a:gd name="connsiteY5" fmla="*/ 3446060 h 3466531"/>
            <a:gd name="connsiteX6" fmla="*/ 2176818 w 4411074"/>
            <a:gd name="connsiteY6" fmla="*/ 3439236 h 3466531"/>
            <a:gd name="connsiteX7" fmla="*/ 2183642 w 4411074"/>
            <a:gd name="connsiteY7" fmla="*/ 2995684 h 3466531"/>
            <a:gd name="connsiteX8" fmla="*/ 3166280 w 4411074"/>
            <a:gd name="connsiteY8" fmla="*/ 2975212 h 3466531"/>
            <a:gd name="connsiteX9" fmla="*/ 3186752 w 4411074"/>
            <a:gd name="connsiteY9" fmla="*/ 3466531 h 3466531"/>
            <a:gd name="connsiteX10" fmla="*/ 3869140 w 4411074"/>
            <a:gd name="connsiteY10" fmla="*/ 3452884 h 3466531"/>
            <a:gd name="connsiteX11" fmla="*/ 3882788 w 4411074"/>
            <a:gd name="connsiteY11" fmla="*/ 2695433 h 3466531"/>
            <a:gd name="connsiteX12" fmla="*/ 4374107 w 4411074"/>
            <a:gd name="connsiteY12" fmla="*/ 1439839 h 3466531"/>
            <a:gd name="connsiteX13" fmla="*/ 4360460 w 4411074"/>
            <a:gd name="connsiteY13" fmla="*/ 1255594 h 3466531"/>
            <a:gd name="connsiteX14" fmla="*/ 4162567 w 4411074"/>
            <a:gd name="connsiteY14" fmla="*/ 812042 h 3466531"/>
            <a:gd name="connsiteX15" fmla="*/ 3480179 w 4411074"/>
            <a:gd name="connsiteY15" fmla="*/ 361666 h 3466531"/>
            <a:gd name="connsiteX16" fmla="*/ 2251880 w 4411074"/>
            <a:gd name="connsiteY16" fmla="*/ 388961 h 3466531"/>
            <a:gd name="connsiteX17" fmla="*/ 1576316 w 4411074"/>
            <a:gd name="connsiteY17" fmla="*/ 607325 h 3466531"/>
            <a:gd name="connsiteX18" fmla="*/ 934871 w 4411074"/>
            <a:gd name="connsiteY18" fmla="*/ 0 h 3466531"/>
            <a:gd name="connsiteX19" fmla="*/ 887104 w 4411074"/>
            <a:gd name="connsiteY19" fmla="*/ 1030406 h 3466531"/>
            <a:gd name="connsiteX0" fmla="*/ 887104 w 4411074"/>
            <a:gd name="connsiteY0" fmla="*/ 1030406 h 3466531"/>
            <a:gd name="connsiteX1" fmla="*/ 361666 w 4411074"/>
            <a:gd name="connsiteY1" fmla="*/ 1562669 h 3466531"/>
            <a:gd name="connsiteX2" fmla="*/ 0 w 4411074"/>
            <a:gd name="connsiteY2" fmla="*/ 1569493 h 3466531"/>
            <a:gd name="connsiteX3" fmla="*/ 6824 w 4411074"/>
            <a:gd name="connsiteY3" fmla="*/ 2320119 h 3466531"/>
            <a:gd name="connsiteX4" fmla="*/ 1473958 w 4411074"/>
            <a:gd name="connsiteY4" fmla="*/ 2975212 h 3466531"/>
            <a:gd name="connsiteX5" fmla="*/ 1487606 w 4411074"/>
            <a:gd name="connsiteY5" fmla="*/ 3446060 h 3466531"/>
            <a:gd name="connsiteX6" fmla="*/ 2176818 w 4411074"/>
            <a:gd name="connsiteY6" fmla="*/ 3439236 h 3466531"/>
            <a:gd name="connsiteX7" fmla="*/ 2183642 w 4411074"/>
            <a:gd name="connsiteY7" fmla="*/ 2995684 h 3466531"/>
            <a:gd name="connsiteX8" fmla="*/ 3166280 w 4411074"/>
            <a:gd name="connsiteY8" fmla="*/ 2975212 h 3466531"/>
            <a:gd name="connsiteX9" fmla="*/ 3186752 w 4411074"/>
            <a:gd name="connsiteY9" fmla="*/ 3466531 h 3466531"/>
            <a:gd name="connsiteX10" fmla="*/ 3869140 w 4411074"/>
            <a:gd name="connsiteY10" fmla="*/ 3452884 h 3466531"/>
            <a:gd name="connsiteX11" fmla="*/ 3882788 w 4411074"/>
            <a:gd name="connsiteY11" fmla="*/ 2695433 h 3466531"/>
            <a:gd name="connsiteX12" fmla="*/ 4237629 w 4411074"/>
            <a:gd name="connsiteY12" fmla="*/ 2292824 h 3466531"/>
            <a:gd name="connsiteX13" fmla="*/ 4374107 w 4411074"/>
            <a:gd name="connsiteY13" fmla="*/ 1439839 h 3466531"/>
            <a:gd name="connsiteX14" fmla="*/ 4360460 w 4411074"/>
            <a:gd name="connsiteY14" fmla="*/ 1255594 h 3466531"/>
            <a:gd name="connsiteX15" fmla="*/ 4162567 w 4411074"/>
            <a:gd name="connsiteY15" fmla="*/ 812042 h 3466531"/>
            <a:gd name="connsiteX16" fmla="*/ 3480179 w 4411074"/>
            <a:gd name="connsiteY16" fmla="*/ 361666 h 3466531"/>
            <a:gd name="connsiteX17" fmla="*/ 2251880 w 4411074"/>
            <a:gd name="connsiteY17" fmla="*/ 388961 h 3466531"/>
            <a:gd name="connsiteX18" fmla="*/ 1576316 w 4411074"/>
            <a:gd name="connsiteY18" fmla="*/ 607325 h 3466531"/>
            <a:gd name="connsiteX19" fmla="*/ 934871 w 4411074"/>
            <a:gd name="connsiteY19" fmla="*/ 0 h 3466531"/>
            <a:gd name="connsiteX20" fmla="*/ 887104 w 4411074"/>
            <a:gd name="connsiteY20" fmla="*/ 1030406 h 3466531"/>
            <a:gd name="connsiteX0" fmla="*/ 887104 w 4415050"/>
            <a:gd name="connsiteY0" fmla="*/ 1030406 h 3466531"/>
            <a:gd name="connsiteX1" fmla="*/ 361666 w 4415050"/>
            <a:gd name="connsiteY1" fmla="*/ 1562669 h 3466531"/>
            <a:gd name="connsiteX2" fmla="*/ 0 w 4415050"/>
            <a:gd name="connsiteY2" fmla="*/ 1569493 h 3466531"/>
            <a:gd name="connsiteX3" fmla="*/ 6824 w 4415050"/>
            <a:gd name="connsiteY3" fmla="*/ 2320119 h 3466531"/>
            <a:gd name="connsiteX4" fmla="*/ 1473958 w 4415050"/>
            <a:gd name="connsiteY4" fmla="*/ 2975212 h 3466531"/>
            <a:gd name="connsiteX5" fmla="*/ 1487606 w 4415050"/>
            <a:gd name="connsiteY5" fmla="*/ 3446060 h 3466531"/>
            <a:gd name="connsiteX6" fmla="*/ 2176818 w 4415050"/>
            <a:gd name="connsiteY6" fmla="*/ 3439236 h 3466531"/>
            <a:gd name="connsiteX7" fmla="*/ 2183642 w 4415050"/>
            <a:gd name="connsiteY7" fmla="*/ 2995684 h 3466531"/>
            <a:gd name="connsiteX8" fmla="*/ 3166280 w 4415050"/>
            <a:gd name="connsiteY8" fmla="*/ 2975212 h 3466531"/>
            <a:gd name="connsiteX9" fmla="*/ 3186752 w 4415050"/>
            <a:gd name="connsiteY9" fmla="*/ 3466531 h 3466531"/>
            <a:gd name="connsiteX10" fmla="*/ 3869140 w 4415050"/>
            <a:gd name="connsiteY10" fmla="*/ 3452884 h 3466531"/>
            <a:gd name="connsiteX11" fmla="*/ 3882788 w 4415050"/>
            <a:gd name="connsiteY11" fmla="*/ 2695433 h 3466531"/>
            <a:gd name="connsiteX12" fmla="*/ 4237629 w 4415050"/>
            <a:gd name="connsiteY12" fmla="*/ 2292824 h 3466531"/>
            <a:gd name="connsiteX13" fmla="*/ 4415050 w 4415050"/>
            <a:gd name="connsiteY13" fmla="*/ 1726442 h 3466531"/>
            <a:gd name="connsiteX14" fmla="*/ 4374107 w 4415050"/>
            <a:gd name="connsiteY14" fmla="*/ 1439839 h 3466531"/>
            <a:gd name="connsiteX15" fmla="*/ 4360460 w 4415050"/>
            <a:gd name="connsiteY15" fmla="*/ 1255594 h 3466531"/>
            <a:gd name="connsiteX16" fmla="*/ 4162567 w 4415050"/>
            <a:gd name="connsiteY16" fmla="*/ 812042 h 3466531"/>
            <a:gd name="connsiteX17" fmla="*/ 3480179 w 4415050"/>
            <a:gd name="connsiteY17" fmla="*/ 361666 h 3466531"/>
            <a:gd name="connsiteX18" fmla="*/ 2251880 w 4415050"/>
            <a:gd name="connsiteY18" fmla="*/ 388961 h 3466531"/>
            <a:gd name="connsiteX19" fmla="*/ 1576316 w 4415050"/>
            <a:gd name="connsiteY19" fmla="*/ 607325 h 3466531"/>
            <a:gd name="connsiteX20" fmla="*/ 934871 w 4415050"/>
            <a:gd name="connsiteY20" fmla="*/ 0 h 3466531"/>
            <a:gd name="connsiteX21" fmla="*/ 887104 w 4415050"/>
            <a:gd name="connsiteY21" fmla="*/ 1030406 h 3466531"/>
            <a:gd name="connsiteX0" fmla="*/ 887104 w 4415050"/>
            <a:gd name="connsiteY0" fmla="*/ 1030406 h 3466531"/>
            <a:gd name="connsiteX1" fmla="*/ 361666 w 4415050"/>
            <a:gd name="connsiteY1" fmla="*/ 1562669 h 3466531"/>
            <a:gd name="connsiteX2" fmla="*/ 0 w 4415050"/>
            <a:gd name="connsiteY2" fmla="*/ 1569493 h 3466531"/>
            <a:gd name="connsiteX3" fmla="*/ 6824 w 4415050"/>
            <a:gd name="connsiteY3" fmla="*/ 2320119 h 3466531"/>
            <a:gd name="connsiteX4" fmla="*/ 1473958 w 4415050"/>
            <a:gd name="connsiteY4" fmla="*/ 2975212 h 3466531"/>
            <a:gd name="connsiteX5" fmla="*/ 1487606 w 4415050"/>
            <a:gd name="connsiteY5" fmla="*/ 3446060 h 3466531"/>
            <a:gd name="connsiteX6" fmla="*/ 2176818 w 4415050"/>
            <a:gd name="connsiteY6" fmla="*/ 3439236 h 3466531"/>
            <a:gd name="connsiteX7" fmla="*/ 2183642 w 4415050"/>
            <a:gd name="connsiteY7" fmla="*/ 2995684 h 3466531"/>
            <a:gd name="connsiteX8" fmla="*/ 3166280 w 4415050"/>
            <a:gd name="connsiteY8" fmla="*/ 2975212 h 3466531"/>
            <a:gd name="connsiteX9" fmla="*/ 3186752 w 4415050"/>
            <a:gd name="connsiteY9" fmla="*/ 3466531 h 3466531"/>
            <a:gd name="connsiteX10" fmla="*/ 3869140 w 4415050"/>
            <a:gd name="connsiteY10" fmla="*/ 3452884 h 3466531"/>
            <a:gd name="connsiteX11" fmla="*/ 3882788 w 4415050"/>
            <a:gd name="connsiteY11" fmla="*/ 2695433 h 3466531"/>
            <a:gd name="connsiteX12" fmla="*/ 4237629 w 4415050"/>
            <a:gd name="connsiteY12" fmla="*/ 2292824 h 3466531"/>
            <a:gd name="connsiteX13" fmla="*/ 4333163 w 4415050"/>
            <a:gd name="connsiteY13" fmla="*/ 2108579 h 3466531"/>
            <a:gd name="connsiteX14" fmla="*/ 4415050 w 4415050"/>
            <a:gd name="connsiteY14" fmla="*/ 1726442 h 3466531"/>
            <a:gd name="connsiteX15" fmla="*/ 4374107 w 4415050"/>
            <a:gd name="connsiteY15" fmla="*/ 1439839 h 3466531"/>
            <a:gd name="connsiteX16" fmla="*/ 4360460 w 4415050"/>
            <a:gd name="connsiteY16" fmla="*/ 1255594 h 3466531"/>
            <a:gd name="connsiteX17" fmla="*/ 4162567 w 4415050"/>
            <a:gd name="connsiteY17" fmla="*/ 812042 h 3466531"/>
            <a:gd name="connsiteX18" fmla="*/ 3480179 w 4415050"/>
            <a:gd name="connsiteY18" fmla="*/ 361666 h 3466531"/>
            <a:gd name="connsiteX19" fmla="*/ 2251880 w 4415050"/>
            <a:gd name="connsiteY19" fmla="*/ 388961 h 3466531"/>
            <a:gd name="connsiteX20" fmla="*/ 1576316 w 4415050"/>
            <a:gd name="connsiteY20" fmla="*/ 607325 h 3466531"/>
            <a:gd name="connsiteX21" fmla="*/ 934871 w 4415050"/>
            <a:gd name="connsiteY21" fmla="*/ 0 h 3466531"/>
            <a:gd name="connsiteX22" fmla="*/ 887104 w 4415050"/>
            <a:gd name="connsiteY22" fmla="*/ 1030406 h 3466531"/>
            <a:gd name="connsiteX0" fmla="*/ 887104 w 4417676"/>
            <a:gd name="connsiteY0" fmla="*/ 1030406 h 3466531"/>
            <a:gd name="connsiteX1" fmla="*/ 361666 w 4417676"/>
            <a:gd name="connsiteY1" fmla="*/ 1562669 h 3466531"/>
            <a:gd name="connsiteX2" fmla="*/ 0 w 4417676"/>
            <a:gd name="connsiteY2" fmla="*/ 1569493 h 3466531"/>
            <a:gd name="connsiteX3" fmla="*/ 6824 w 4417676"/>
            <a:gd name="connsiteY3" fmla="*/ 2320119 h 3466531"/>
            <a:gd name="connsiteX4" fmla="*/ 1473958 w 4417676"/>
            <a:gd name="connsiteY4" fmla="*/ 2975212 h 3466531"/>
            <a:gd name="connsiteX5" fmla="*/ 1487606 w 4417676"/>
            <a:gd name="connsiteY5" fmla="*/ 3446060 h 3466531"/>
            <a:gd name="connsiteX6" fmla="*/ 2176818 w 4417676"/>
            <a:gd name="connsiteY6" fmla="*/ 3439236 h 3466531"/>
            <a:gd name="connsiteX7" fmla="*/ 2183642 w 4417676"/>
            <a:gd name="connsiteY7" fmla="*/ 2995684 h 3466531"/>
            <a:gd name="connsiteX8" fmla="*/ 3166280 w 4417676"/>
            <a:gd name="connsiteY8" fmla="*/ 2975212 h 3466531"/>
            <a:gd name="connsiteX9" fmla="*/ 3186752 w 4417676"/>
            <a:gd name="connsiteY9" fmla="*/ 3466531 h 3466531"/>
            <a:gd name="connsiteX10" fmla="*/ 3869140 w 4417676"/>
            <a:gd name="connsiteY10" fmla="*/ 3452884 h 3466531"/>
            <a:gd name="connsiteX11" fmla="*/ 3882788 w 4417676"/>
            <a:gd name="connsiteY11" fmla="*/ 2695433 h 3466531"/>
            <a:gd name="connsiteX12" fmla="*/ 4237629 w 4417676"/>
            <a:gd name="connsiteY12" fmla="*/ 2292824 h 3466531"/>
            <a:gd name="connsiteX13" fmla="*/ 4333163 w 4417676"/>
            <a:gd name="connsiteY13" fmla="*/ 2108579 h 3466531"/>
            <a:gd name="connsiteX14" fmla="*/ 4415050 w 4417676"/>
            <a:gd name="connsiteY14" fmla="*/ 1726442 h 3466531"/>
            <a:gd name="connsiteX15" fmla="*/ 4374107 w 4417676"/>
            <a:gd name="connsiteY15" fmla="*/ 1439839 h 3466531"/>
            <a:gd name="connsiteX16" fmla="*/ 4360460 w 4417676"/>
            <a:gd name="connsiteY16" fmla="*/ 1255594 h 3466531"/>
            <a:gd name="connsiteX17" fmla="*/ 4162567 w 4417676"/>
            <a:gd name="connsiteY17" fmla="*/ 812042 h 3466531"/>
            <a:gd name="connsiteX18" fmla="*/ 3480179 w 4417676"/>
            <a:gd name="connsiteY18" fmla="*/ 361666 h 3466531"/>
            <a:gd name="connsiteX19" fmla="*/ 2251880 w 4417676"/>
            <a:gd name="connsiteY19" fmla="*/ 388961 h 3466531"/>
            <a:gd name="connsiteX20" fmla="*/ 1576316 w 4417676"/>
            <a:gd name="connsiteY20" fmla="*/ 607325 h 3466531"/>
            <a:gd name="connsiteX21" fmla="*/ 934871 w 4417676"/>
            <a:gd name="connsiteY21" fmla="*/ 0 h 3466531"/>
            <a:gd name="connsiteX22" fmla="*/ 887104 w 4417676"/>
            <a:gd name="connsiteY22" fmla="*/ 1030406 h 3466531"/>
            <a:gd name="connsiteX0" fmla="*/ 887104 w 4417676"/>
            <a:gd name="connsiteY0" fmla="*/ 1030406 h 3466531"/>
            <a:gd name="connsiteX1" fmla="*/ 361666 w 4417676"/>
            <a:gd name="connsiteY1" fmla="*/ 1562669 h 3466531"/>
            <a:gd name="connsiteX2" fmla="*/ 0 w 4417676"/>
            <a:gd name="connsiteY2" fmla="*/ 1569493 h 3466531"/>
            <a:gd name="connsiteX3" fmla="*/ 6824 w 4417676"/>
            <a:gd name="connsiteY3" fmla="*/ 2320119 h 3466531"/>
            <a:gd name="connsiteX4" fmla="*/ 1473958 w 4417676"/>
            <a:gd name="connsiteY4" fmla="*/ 2975212 h 3466531"/>
            <a:gd name="connsiteX5" fmla="*/ 1487606 w 4417676"/>
            <a:gd name="connsiteY5" fmla="*/ 3446060 h 3466531"/>
            <a:gd name="connsiteX6" fmla="*/ 2176818 w 4417676"/>
            <a:gd name="connsiteY6" fmla="*/ 3439236 h 3466531"/>
            <a:gd name="connsiteX7" fmla="*/ 2183642 w 4417676"/>
            <a:gd name="connsiteY7" fmla="*/ 2995684 h 3466531"/>
            <a:gd name="connsiteX8" fmla="*/ 3166280 w 4417676"/>
            <a:gd name="connsiteY8" fmla="*/ 2975212 h 3466531"/>
            <a:gd name="connsiteX9" fmla="*/ 3186752 w 4417676"/>
            <a:gd name="connsiteY9" fmla="*/ 3466531 h 3466531"/>
            <a:gd name="connsiteX10" fmla="*/ 3869140 w 4417676"/>
            <a:gd name="connsiteY10" fmla="*/ 3452884 h 3466531"/>
            <a:gd name="connsiteX11" fmla="*/ 3882788 w 4417676"/>
            <a:gd name="connsiteY11" fmla="*/ 2695433 h 3466531"/>
            <a:gd name="connsiteX12" fmla="*/ 4237629 w 4417676"/>
            <a:gd name="connsiteY12" fmla="*/ 2292824 h 3466531"/>
            <a:gd name="connsiteX13" fmla="*/ 4333163 w 4417676"/>
            <a:gd name="connsiteY13" fmla="*/ 2108579 h 3466531"/>
            <a:gd name="connsiteX14" fmla="*/ 4415050 w 4417676"/>
            <a:gd name="connsiteY14" fmla="*/ 1726442 h 3466531"/>
            <a:gd name="connsiteX15" fmla="*/ 4374107 w 4417676"/>
            <a:gd name="connsiteY15" fmla="*/ 1439839 h 3466531"/>
            <a:gd name="connsiteX16" fmla="*/ 4374108 w 4417676"/>
            <a:gd name="connsiteY16" fmla="*/ 1194179 h 3466531"/>
            <a:gd name="connsiteX17" fmla="*/ 4162567 w 4417676"/>
            <a:gd name="connsiteY17" fmla="*/ 812042 h 3466531"/>
            <a:gd name="connsiteX18" fmla="*/ 3480179 w 4417676"/>
            <a:gd name="connsiteY18" fmla="*/ 361666 h 3466531"/>
            <a:gd name="connsiteX19" fmla="*/ 2251880 w 4417676"/>
            <a:gd name="connsiteY19" fmla="*/ 388961 h 3466531"/>
            <a:gd name="connsiteX20" fmla="*/ 1576316 w 4417676"/>
            <a:gd name="connsiteY20" fmla="*/ 607325 h 3466531"/>
            <a:gd name="connsiteX21" fmla="*/ 934871 w 4417676"/>
            <a:gd name="connsiteY21" fmla="*/ 0 h 3466531"/>
            <a:gd name="connsiteX22" fmla="*/ 887104 w 4417676"/>
            <a:gd name="connsiteY22" fmla="*/ 1030406 h 3466531"/>
            <a:gd name="connsiteX0" fmla="*/ 887104 w 4445579"/>
            <a:gd name="connsiteY0" fmla="*/ 1030406 h 3466531"/>
            <a:gd name="connsiteX1" fmla="*/ 361666 w 4445579"/>
            <a:gd name="connsiteY1" fmla="*/ 1562669 h 3466531"/>
            <a:gd name="connsiteX2" fmla="*/ 0 w 4445579"/>
            <a:gd name="connsiteY2" fmla="*/ 1569493 h 3466531"/>
            <a:gd name="connsiteX3" fmla="*/ 6824 w 4445579"/>
            <a:gd name="connsiteY3" fmla="*/ 2320119 h 3466531"/>
            <a:gd name="connsiteX4" fmla="*/ 1473958 w 4445579"/>
            <a:gd name="connsiteY4" fmla="*/ 2975212 h 3466531"/>
            <a:gd name="connsiteX5" fmla="*/ 1487606 w 4445579"/>
            <a:gd name="connsiteY5" fmla="*/ 3446060 h 3466531"/>
            <a:gd name="connsiteX6" fmla="*/ 2176818 w 4445579"/>
            <a:gd name="connsiteY6" fmla="*/ 3439236 h 3466531"/>
            <a:gd name="connsiteX7" fmla="*/ 2183642 w 4445579"/>
            <a:gd name="connsiteY7" fmla="*/ 2995684 h 3466531"/>
            <a:gd name="connsiteX8" fmla="*/ 3166280 w 4445579"/>
            <a:gd name="connsiteY8" fmla="*/ 2975212 h 3466531"/>
            <a:gd name="connsiteX9" fmla="*/ 3186752 w 4445579"/>
            <a:gd name="connsiteY9" fmla="*/ 3466531 h 3466531"/>
            <a:gd name="connsiteX10" fmla="*/ 3869140 w 4445579"/>
            <a:gd name="connsiteY10" fmla="*/ 3452884 h 3466531"/>
            <a:gd name="connsiteX11" fmla="*/ 3882788 w 4445579"/>
            <a:gd name="connsiteY11" fmla="*/ 2695433 h 3466531"/>
            <a:gd name="connsiteX12" fmla="*/ 4237629 w 4445579"/>
            <a:gd name="connsiteY12" fmla="*/ 2292824 h 3466531"/>
            <a:gd name="connsiteX13" fmla="*/ 4333163 w 4445579"/>
            <a:gd name="connsiteY13" fmla="*/ 2108579 h 3466531"/>
            <a:gd name="connsiteX14" fmla="*/ 4415050 w 4445579"/>
            <a:gd name="connsiteY14" fmla="*/ 1726442 h 3466531"/>
            <a:gd name="connsiteX15" fmla="*/ 4415051 w 4445579"/>
            <a:gd name="connsiteY15" fmla="*/ 1610436 h 3466531"/>
            <a:gd name="connsiteX16" fmla="*/ 4374108 w 4445579"/>
            <a:gd name="connsiteY16" fmla="*/ 1194179 h 3466531"/>
            <a:gd name="connsiteX17" fmla="*/ 4162567 w 4445579"/>
            <a:gd name="connsiteY17" fmla="*/ 812042 h 3466531"/>
            <a:gd name="connsiteX18" fmla="*/ 3480179 w 4445579"/>
            <a:gd name="connsiteY18" fmla="*/ 361666 h 3466531"/>
            <a:gd name="connsiteX19" fmla="*/ 2251880 w 4445579"/>
            <a:gd name="connsiteY19" fmla="*/ 388961 h 3466531"/>
            <a:gd name="connsiteX20" fmla="*/ 1576316 w 4445579"/>
            <a:gd name="connsiteY20" fmla="*/ 607325 h 3466531"/>
            <a:gd name="connsiteX21" fmla="*/ 934871 w 4445579"/>
            <a:gd name="connsiteY21" fmla="*/ 0 h 3466531"/>
            <a:gd name="connsiteX22" fmla="*/ 887104 w 4445579"/>
            <a:gd name="connsiteY22"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15050 w 4456476"/>
            <a:gd name="connsiteY14" fmla="*/ 1726442 h 3466531"/>
            <a:gd name="connsiteX15" fmla="*/ 4428699 w 4456476"/>
            <a:gd name="connsiteY15" fmla="*/ 1692322 h 3466531"/>
            <a:gd name="connsiteX16" fmla="*/ 4374108 w 4456476"/>
            <a:gd name="connsiteY16" fmla="*/ 1194179 h 3466531"/>
            <a:gd name="connsiteX17" fmla="*/ 4162567 w 4456476"/>
            <a:gd name="connsiteY17" fmla="*/ 812042 h 3466531"/>
            <a:gd name="connsiteX18" fmla="*/ 3480179 w 4456476"/>
            <a:gd name="connsiteY18" fmla="*/ 361666 h 3466531"/>
            <a:gd name="connsiteX19" fmla="*/ 2251880 w 4456476"/>
            <a:gd name="connsiteY19" fmla="*/ 388961 h 3466531"/>
            <a:gd name="connsiteX20" fmla="*/ 1576316 w 4456476"/>
            <a:gd name="connsiteY20" fmla="*/ 607325 h 3466531"/>
            <a:gd name="connsiteX21" fmla="*/ 934871 w 4456476"/>
            <a:gd name="connsiteY21" fmla="*/ 0 h 3466531"/>
            <a:gd name="connsiteX22" fmla="*/ 887104 w 4456476"/>
            <a:gd name="connsiteY22"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69232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251880 w 4456476"/>
            <a:gd name="connsiteY20" fmla="*/ 388961 h 3466531"/>
            <a:gd name="connsiteX21" fmla="*/ 1576316 w 4456476"/>
            <a:gd name="connsiteY21" fmla="*/ 607325 h 3466531"/>
            <a:gd name="connsiteX22" fmla="*/ 934871 w 4456476"/>
            <a:gd name="connsiteY22" fmla="*/ 0 h 3466531"/>
            <a:gd name="connsiteX23" fmla="*/ 887104 w 4456476"/>
            <a:gd name="connsiteY23"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251880 w 4456476"/>
            <a:gd name="connsiteY20" fmla="*/ 388961 h 3466531"/>
            <a:gd name="connsiteX21" fmla="*/ 1576316 w 4456476"/>
            <a:gd name="connsiteY21" fmla="*/ 607325 h 3466531"/>
            <a:gd name="connsiteX22" fmla="*/ 934871 w 4456476"/>
            <a:gd name="connsiteY22" fmla="*/ 0 h 3466531"/>
            <a:gd name="connsiteX23" fmla="*/ 887104 w 4456476"/>
            <a:gd name="connsiteY23"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606720 w 4456476"/>
            <a:gd name="connsiteY20" fmla="*/ 573206 h 3466531"/>
            <a:gd name="connsiteX21" fmla="*/ 2251880 w 4456476"/>
            <a:gd name="connsiteY21" fmla="*/ 388961 h 3466531"/>
            <a:gd name="connsiteX22" fmla="*/ 1576316 w 4456476"/>
            <a:gd name="connsiteY22" fmla="*/ 607325 h 3466531"/>
            <a:gd name="connsiteX23" fmla="*/ 934871 w 4456476"/>
            <a:gd name="connsiteY23" fmla="*/ 0 h 3466531"/>
            <a:gd name="connsiteX24" fmla="*/ 887104 w 4456476"/>
            <a:gd name="connsiteY24"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3138983 w 4456476"/>
            <a:gd name="connsiteY20" fmla="*/ 573206 h 3466531"/>
            <a:gd name="connsiteX21" fmla="*/ 2606720 w 4456476"/>
            <a:gd name="connsiteY21" fmla="*/ 573206 h 3466531"/>
            <a:gd name="connsiteX22" fmla="*/ 2251880 w 4456476"/>
            <a:gd name="connsiteY22" fmla="*/ 388961 h 3466531"/>
            <a:gd name="connsiteX23" fmla="*/ 1576316 w 4456476"/>
            <a:gd name="connsiteY23" fmla="*/ 607325 h 3466531"/>
            <a:gd name="connsiteX24" fmla="*/ 934871 w 4456476"/>
            <a:gd name="connsiteY24" fmla="*/ 0 h 3466531"/>
            <a:gd name="connsiteX25" fmla="*/ 887104 w 4456476"/>
            <a:gd name="connsiteY25"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73355 w 4456476"/>
            <a:gd name="connsiteY19" fmla="*/ 361666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508077 w 4456476"/>
            <a:gd name="connsiteY5" fmla="*/ 3439236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508077 w 4456476"/>
            <a:gd name="connsiteY5" fmla="*/ 3439236 h 3466531"/>
            <a:gd name="connsiteX6" fmla="*/ 2163170 w 4456476"/>
            <a:gd name="connsiteY6" fmla="*/ 3425588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52884"/>
            <a:gd name="connsiteX1" fmla="*/ 361666 w 4456476"/>
            <a:gd name="connsiteY1" fmla="*/ 1562669 h 3452884"/>
            <a:gd name="connsiteX2" fmla="*/ 0 w 4456476"/>
            <a:gd name="connsiteY2" fmla="*/ 1569493 h 3452884"/>
            <a:gd name="connsiteX3" fmla="*/ 6824 w 4456476"/>
            <a:gd name="connsiteY3" fmla="*/ 2320119 h 3452884"/>
            <a:gd name="connsiteX4" fmla="*/ 1473958 w 4456476"/>
            <a:gd name="connsiteY4" fmla="*/ 2975212 h 3452884"/>
            <a:gd name="connsiteX5" fmla="*/ 1508077 w 4456476"/>
            <a:gd name="connsiteY5" fmla="*/ 3439236 h 3452884"/>
            <a:gd name="connsiteX6" fmla="*/ 2163170 w 4456476"/>
            <a:gd name="connsiteY6" fmla="*/ 3425588 h 3452884"/>
            <a:gd name="connsiteX7" fmla="*/ 2183642 w 4456476"/>
            <a:gd name="connsiteY7" fmla="*/ 2995684 h 3452884"/>
            <a:gd name="connsiteX8" fmla="*/ 3166280 w 4456476"/>
            <a:gd name="connsiteY8" fmla="*/ 2975212 h 3452884"/>
            <a:gd name="connsiteX9" fmla="*/ 3193576 w 4456476"/>
            <a:gd name="connsiteY9" fmla="*/ 3425588 h 3452884"/>
            <a:gd name="connsiteX10" fmla="*/ 3869140 w 4456476"/>
            <a:gd name="connsiteY10" fmla="*/ 3452884 h 3452884"/>
            <a:gd name="connsiteX11" fmla="*/ 3882788 w 4456476"/>
            <a:gd name="connsiteY11" fmla="*/ 2695433 h 3452884"/>
            <a:gd name="connsiteX12" fmla="*/ 4237629 w 4456476"/>
            <a:gd name="connsiteY12" fmla="*/ 2292824 h 3452884"/>
            <a:gd name="connsiteX13" fmla="*/ 4333163 w 4456476"/>
            <a:gd name="connsiteY13" fmla="*/ 2108579 h 3452884"/>
            <a:gd name="connsiteX14" fmla="*/ 4435520 w 4456476"/>
            <a:gd name="connsiteY14" fmla="*/ 1726442 h 3452884"/>
            <a:gd name="connsiteX15" fmla="*/ 4415050 w 4456476"/>
            <a:gd name="connsiteY15" fmla="*/ 1726442 h 3452884"/>
            <a:gd name="connsiteX16" fmla="*/ 4428699 w 4456476"/>
            <a:gd name="connsiteY16" fmla="*/ 1815152 h 3452884"/>
            <a:gd name="connsiteX17" fmla="*/ 4374108 w 4456476"/>
            <a:gd name="connsiteY17" fmla="*/ 1194179 h 3452884"/>
            <a:gd name="connsiteX18" fmla="*/ 4162567 w 4456476"/>
            <a:gd name="connsiteY18" fmla="*/ 812042 h 3452884"/>
            <a:gd name="connsiteX19" fmla="*/ 3596185 w 4456476"/>
            <a:gd name="connsiteY19" fmla="*/ 436729 h 3452884"/>
            <a:gd name="connsiteX20" fmla="*/ 3411938 w 4456476"/>
            <a:gd name="connsiteY20" fmla="*/ 402609 h 3452884"/>
            <a:gd name="connsiteX21" fmla="*/ 3138983 w 4456476"/>
            <a:gd name="connsiteY21" fmla="*/ 573206 h 3452884"/>
            <a:gd name="connsiteX22" fmla="*/ 2606720 w 4456476"/>
            <a:gd name="connsiteY22" fmla="*/ 573206 h 3452884"/>
            <a:gd name="connsiteX23" fmla="*/ 2251880 w 4456476"/>
            <a:gd name="connsiteY23" fmla="*/ 388961 h 3452884"/>
            <a:gd name="connsiteX24" fmla="*/ 1576316 w 4456476"/>
            <a:gd name="connsiteY24" fmla="*/ 607325 h 3452884"/>
            <a:gd name="connsiteX25" fmla="*/ 1255592 w 4456476"/>
            <a:gd name="connsiteY25" fmla="*/ 232012 h 3452884"/>
            <a:gd name="connsiteX26" fmla="*/ 934871 w 4456476"/>
            <a:gd name="connsiteY26" fmla="*/ 0 h 3452884"/>
            <a:gd name="connsiteX27" fmla="*/ 887104 w 4456476"/>
            <a:gd name="connsiteY27" fmla="*/ 1030406 h 3452884"/>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237629 w 4456476"/>
            <a:gd name="connsiteY12" fmla="*/ 2292824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237629 w 4456476"/>
            <a:gd name="connsiteY12" fmla="*/ 2292824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1937982 h 3439236"/>
            <a:gd name="connsiteX15" fmla="*/ 4435520 w 4456476"/>
            <a:gd name="connsiteY15" fmla="*/ 1726442 h 3439236"/>
            <a:gd name="connsiteX16" fmla="*/ 4415050 w 4456476"/>
            <a:gd name="connsiteY16" fmla="*/ 1726442 h 3439236"/>
            <a:gd name="connsiteX17" fmla="*/ 4428699 w 4456476"/>
            <a:gd name="connsiteY17" fmla="*/ 1815152 h 3439236"/>
            <a:gd name="connsiteX18" fmla="*/ 4374108 w 4456476"/>
            <a:gd name="connsiteY18" fmla="*/ 1194179 h 3439236"/>
            <a:gd name="connsiteX19" fmla="*/ 4162567 w 4456476"/>
            <a:gd name="connsiteY19" fmla="*/ 812042 h 3439236"/>
            <a:gd name="connsiteX20" fmla="*/ 3596185 w 4456476"/>
            <a:gd name="connsiteY20" fmla="*/ 436729 h 3439236"/>
            <a:gd name="connsiteX21" fmla="*/ 3411938 w 4456476"/>
            <a:gd name="connsiteY21" fmla="*/ 402609 h 3439236"/>
            <a:gd name="connsiteX22" fmla="*/ 3138983 w 4456476"/>
            <a:gd name="connsiteY22" fmla="*/ 573206 h 3439236"/>
            <a:gd name="connsiteX23" fmla="*/ 2606720 w 4456476"/>
            <a:gd name="connsiteY23" fmla="*/ 573206 h 3439236"/>
            <a:gd name="connsiteX24" fmla="*/ 2251880 w 4456476"/>
            <a:gd name="connsiteY24" fmla="*/ 388961 h 3439236"/>
            <a:gd name="connsiteX25" fmla="*/ 1576316 w 4456476"/>
            <a:gd name="connsiteY25" fmla="*/ 607325 h 3439236"/>
            <a:gd name="connsiteX26" fmla="*/ 1255592 w 4456476"/>
            <a:gd name="connsiteY26" fmla="*/ 232012 h 3439236"/>
            <a:gd name="connsiteX27" fmla="*/ 934871 w 4456476"/>
            <a:gd name="connsiteY27" fmla="*/ 0 h 3439236"/>
            <a:gd name="connsiteX28" fmla="*/ 887104 w 4456476"/>
            <a:gd name="connsiteY28"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2081284 h 3439236"/>
            <a:gd name="connsiteX15" fmla="*/ 4435520 w 4456476"/>
            <a:gd name="connsiteY15" fmla="*/ 1726442 h 3439236"/>
            <a:gd name="connsiteX16" fmla="*/ 4415050 w 4456476"/>
            <a:gd name="connsiteY16" fmla="*/ 1726442 h 3439236"/>
            <a:gd name="connsiteX17" fmla="*/ 4428699 w 4456476"/>
            <a:gd name="connsiteY17" fmla="*/ 1815152 h 3439236"/>
            <a:gd name="connsiteX18" fmla="*/ 4374108 w 4456476"/>
            <a:gd name="connsiteY18" fmla="*/ 1194179 h 3439236"/>
            <a:gd name="connsiteX19" fmla="*/ 4162567 w 4456476"/>
            <a:gd name="connsiteY19" fmla="*/ 812042 h 3439236"/>
            <a:gd name="connsiteX20" fmla="*/ 3596185 w 4456476"/>
            <a:gd name="connsiteY20" fmla="*/ 436729 h 3439236"/>
            <a:gd name="connsiteX21" fmla="*/ 3411938 w 4456476"/>
            <a:gd name="connsiteY21" fmla="*/ 402609 h 3439236"/>
            <a:gd name="connsiteX22" fmla="*/ 3138983 w 4456476"/>
            <a:gd name="connsiteY22" fmla="*/ 573206 h 3439236"/>
            <a:gd name="connsiteX23" fmla="*/ 2606720 w 4456476"/>
            <a:gd name="connsiteY23" fmla="*/ 573206 h 3439236"/>
            <a:gd name="connsiteX24" fmla="*/ 2251880 w 4456476"/>
            <a:gd name="connsiteY24" fmla="*/ 388961 h 3439236"/>
            <a:gd name="connsiteX25" fmla="*/ 1576316 w 4456476"/>
            <a:gd name="connsiteY25" fmla="*/ 607325 h 3439236"/>
            <a:gd name="connsiteX26" fmla="*/ 1255592 w 4456476"/>
            <a:gd name="connsiteY26" fmla="*/ 232012 h 3439236"/>
            <a:gd name="connsiteX27" fmla="*/ 934871 w 4456476"/>
            <a:gd name="connsiteY27" fmla="*/ 0 h 3439236"/>
            <a:gd name="connsiteX28" fmla="*/ 887104 w 4456476"/>
            <a:gd name="connsiteY28"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606720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606720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58953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58953 w 4456476"/>
            <a:gd name="connsiteY24" fmla="*/ 573206 h 3439236"/>
            <a:gd name="connsiteX25" fmla="*/ 2497539 w 4456476"/>
            <a:gd name="connsiteY25" fmla="*/ 573206 h 3439236"/>
            <a:gd name="connsiteX26" fmla="*/ 2251880 w 4456476"/>
            <a:gd name="connsiteY26" fmla="*/ 388961 h 3439236"/>
            <a:gd name="connsiteX27" fmla="*/ 1576316 w 4456476"/>
            <a:gd name="connsiteY27" fmla="*/ 607325 h 3439236"/>
            <a:gd name="connsiteX28" fmla="*/ 1255592 w 4456476"/>
            <a:gd name="connsiteY28" fmla="*/ 232012 h 3439236"/>
            <a:gd name="connsiteX29" fmla="*/ 934871 w 4456476"/>
            <a:gd name="connsiteY29" fmla="*/ 0 h 3439236"/>
            <a:gd name="connsiteX30" fmla="*/ 887104 w 4456476"/>
            <a:gd name="connsiteY30"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65777 w 4456476"/>
            <a:gd name="connsiteY24" fmla="*/ 600501 h 3439236"/>
            <a:gd name="connsiteX25" fmla="*/ 2497539 w 4456476"/>
            <a:gd name="connsiteY25" fmla="*/ 573206 h 3439236"/>
            <a:gd name="connsiteX26" fmla="*/ 2251880 w 4456476"/>
            <a:gd name="connsiteY26" fmla="*/ 388961 h 3439236"/>
            <a:gd name="connsiteX27" fmla="*/ 1576316 w 4456476"/>
            <a:gd name="connsiteY27" fmla="*/ 607325 h 3439236"/>
            <a:gd name="connsiteX28" fmla="*/ 1255592 w 4456476"/>
            <a:gd name="connsiteY28" fmla="*/ 232012 h 3439236"/>
            <a:gd name="connsiteX29" fmla="*/ 934871 w 4456476"/>
            <a:gd name="connsiteY29" fmla="*/ 0 h 3439236"/>
            <a:gd name="connsiteX30" fmla="*/ 887104 w 4456476"/>
            <a:gd name="connsiteY30" fmla="*/ 1030406 h 34392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4456476" h="3439236">
              <a:moveTo>
                <a:pt x="887104" y="1030406"/>
              </a:moveTo>
              <a:lnTo>
                <a:pt x="361666" y="1562669"/>
              </a:lnTo>
              <a:lnTo>
                <a:pt x="0" y="1569493"/>
              </a:lnTo>
              <a:cubicBezTo>
                <a:pt x="2275" y="1819702"/>
                <a:pt x="4549" y="2069910"/>
                <a:pt x="6824" y="2320119"/>
              </a:cubicBezTo>
              <a:lnTo>
                <a:pt x="1473958" y="2975212"/>
              </a:lnTo>
              <a:lnTo>
                <a:pt x="1508077" y="3439236"/>
              </a:lnTo>
              <a:lnTo>
                <a:pt x="2163170" y="3425588"/>
              </a:lnTo>
              <a:lnTo>
                <a:pt x="2183642" y="2995684"/>
              </a:lnTo>
              <a:lnTo>
                <a:pt x="3166280" y="2975212"/>
              </a:lnTo>
              <a:lnTo>
                <a:pt x="3193576" y="3425588"/>
              </a:lnTo>
              <a:lnTo>
                <a:pt x="3862316" y="3425588"/>
              </a:lnTo>
              <a:lnTo>
                <a:pt x="3882788" y="2695433"/>
              </a:lnTo>
              <a:cubicBezTo>
                <a:pt x="3966949" y="2472520"/>
                <a:pt x="4235354" y="2440674"/>
                <a:pt x="4319515" y="2217761"/>
              </a:cubicBezTo>
              <a:cubicBezTo>
                <a:pt x="4388891" y="2118815"/>
                <a:pt x="4330888" y="2223447"/>
                <a:pt x="4360458" y="2129050"/>
              </a:cubicBezTo>
              <a:cubicBezTo>
                <a:pt x="4370694" y="2082420"/>
                <a:pt x="4363871" y="2144973"/>
                <a:pt x="4380930" y="2081284"/>
              </a:cubicBezTo>
              <a:cubicBezTo>
                <a:pt x="4391166" y="2043753"/>
                <a:pt x="4419599" y="1942531"/>
                <a:pt x="4428697" y="1883391"/>
              </a:cubicBezTo>
              <a:cubicBezTo>
                <a:pt x="4437795" y="1824251"/>
                <a:pt x="4432108" y="1752600"/>
                <a:pt x="4435520" y="1726442"/>
              </a:cubicBezTo>
              <a:cubicBezTo>
                <a:pt x="4438932" y="1700284"/>
                <a:pt x="4408226" y="1758287"/>
                <a:pt x="4415050" y="1726442"/>
              </a:cubicBezTo>
              <a:cubicBezTo>
                <a:pt x="4401402" y="1630908"/>
                <a:pt x="4503762" y="1828800"/>
                <a:pt x="4428699" y="1815152"/>
              </a:cubicBezTo>
              <a:cubicBezTo>
                <a:pt x="4501487" y="1589964"/>
                <a:pt x="4409365" y="1298812"/>
                <a:pt x="4374108" y="1194179"/>
              </a:cubicBezTo>
              <a:cubicBezTo>
                <a:pt x="4338851" y="1089546"/>
                <a:pt x="4302456" y="975815"/>
                <a:pt x="4162567" y="812042"/>
              </a:cubicBezTo>
              <a:cubicBezTo>
                <a:pt x="3873689" y="566383"/>
                <a:pt x="3823648" y="586854"/>
                <a:pt x="3596185" y="436729"/>
              </a:cubicBezTo>
              <a:cubicBezTo>
                <a:pt x="3459707" y="365078"/>
                <a:pt x="3468804" y="367352"/>
                <a:pt x="3411938" y="402609"/>
              </a:cubicBezTo>
              <a:cubicBezTo>
                <a:pt x="3355072" y="437866"/>
                <a:pt x="3261813" y="541361"/>
                <a:pt x="3138983" y="573206"/>
              </a:cubicBezTo>
              <a:cubicBezTo>
                <a:pt x="3016153" y="605051"/>
                <a:pt x="2673822" y="607325"/>
                <a:pt x="2565777" y="600501"/>
              </a:cubicBezTo>
              <a:cubicBezTo>
                <a:pt x="2543031" y="586853"/>
                <a:pt x="2520285" y="586854"/>
                <a:pt x="2497539" y="573206"/>
              </a:cubicBezTo>
              <a:lnTo>
                <a:pt x="2251880" y="388961"/>
              </a:lnTo>
              <a:lnTo>
                <a:pt x="1576316" y="607325"/>
              </a:lnTo>
              <a:cubicBezTo>
                <a:pt x="1455760" y="495868"/>
                <a:pt x="1376148" y="343469"/>
                <a:pt x="1255592" y="232012"/>
              </a:cubicBezTo>
              <a:lnTo>
                <a:pt x="934871" y="0"/>
              </a:lnTo>
              <a:lnTo>
                <a:pt x="887104" y="1030406"/>
              </a:lnTo>
              <a:close/>
            </a:path>
          </a:pathLst>
        </a:custGeom>
        <a:solidFill>
          <a:srgbClr val="FEC6F7">
            <a:alpha val="60000"/>
          </a:srgbClr>
        </a:solidFill>
        <a:ln w="38100">
          <a:solidFill>
            <a:srgbClr val="FEC6F7">
              <a:alpha val="60000"/>
            </a:srgbClr>
          </a:solid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endParaRPr lang="pt-BR"/>
        </a:p>
      </xdr:txBody>
    </xdr:sp>
    <xdr:clientData/>
  </xdr:twoCellAnchor>
  <xdr:twoCellAnchor>
    <xdr:from>
      <xdr:col>5</xdr:col>
      <xdr:colOff>352424</xdr:colOff>
      <xdr:row>4</xdr:row>
      <xdr:rowOff>28575</xdr:rowOff>
    </xdr:from>
    <xdr:to>
      <xdr:col>11</xdr:col>
      <xdr:colOff>552449</xdr:colOff>
      <xdr:row>13</xdr:row>
      <xdr:rowOff>57151</xdr:rowOff>
    </xdr:to>
    <xdr:sp macro="" textlink="">
      <xdr:nvSpPr>
        <xdr:cNvPr id="3" name="Retângulo 2">
          <a:extLst>
            <a:ext uri="{FF2B5EF4-FFF2-40B4-BE49-F238E27FC236}">
              <a16:creationId xmlns:a16="http://schemas.microsoft.com/office/drawing/2014/main" id="{00000000-0008-0000-0100-000003000000}"/>
            </a:ext>
          </a:extLst>
        </xdr:cNvPr>
        <xdr:cNvSpPr/>
      </xdr:nvSpPr>
      <xdr:spPr>
        <a:xfrm>
          <a:off x="3400424" y="790575"/>
          <a:ext cx="3857625" cy="1743076"/>
        </a:xfrm>
        <a:prstGeom prst="rect">
          <a:avLst/>
        </a:prstGeom>
        <a:solidFill>
          <a:schemeClr val="bg1">
            <a:lumMod val="65000"/>
            <a:alpha val="89804"/>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pt-BR" sz="1100">
            <a:solidFill>
              <a:schemeClr val="lt1"/>
            </a:solidFill>
            <a:latin typeface="+mn-lt"/>
            <a:ea typeface="+mn-ea"/>
            <a:cs typeface="+mn-cs"/>
          </a:endParaRPr>
        </a:p>
      </xdr:txBody>
    </xdr:sp>
    <xdr:clientData/>
  </xdr:twoCellAnchor>
  <xdr:twoCellAnchor editAs="oneCell">
    <xdr:from>
      <xdr:col>0</xdr:col>
      <xdr:colOff>47625</xdr:colOff>
      <xdr:row>0</xdr:row>
      <xdr:rowOff>95250</xdr:rowOff>
    </xdr:from>
    <xdr:to>
      <xdr:col>0</xdr:col>
      <xdr:colOff>549679</xdr:colOff>
      <xdr:row>3</xdr:row>
      <xdr:rowOff>57149</xdr:rowOff>
    </xdr:to>
    <xdr:pic>
      <xdr:nvPicPr>
        <xdr:cNvPr id="4" name="Imagem 3">
          <a:hlinkClick xmlns:r="http://schemas.openxmlformats.org/officeDocument/2006/relationships" r:id="rId2" tooltip="menu"/>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625" y="95250"/>
          <a:ext cx="502054" cy="533399"/>
        </a:xfrm>
        <a:prstGeom prst="rect">
          <a:avLst/>
        </a:prstGeom>
      </xdr:spPr>
    </xdr:pic>
    <xdr:clientData/>
  </xdr:twoCellAnchor>
  <xdr:twoCellAnchor>
    <xdr:from>
      <xdr:col>0</xdr:col>
      <xdr:colOff>85725</xdr:colOff>
      <xdr:row>3</xdr:row>
      <xdr:rowOff>190499</xdr:rowOff>
    </xdr:from>
    <xdr:to>
      <xdr:col>5</xdr:col>
      <xdr:colOff>257175</xdr:colOff>
      <xdr:row>23</xdr:row>
      <xdr:rowOff>47624</xdr:rowOff>
    </xdr:to>
    <xdr:sp macro="" textlink="">
      <xdr:nvSpPr>
        <xdr:cNvPr id="6" name="Retângulo 5">
          <a:extLst>
            <a:ext uri="{FF2B5EF4-FFF2-40B4-BE49-F238E27FC236}">
              <a16:creationId xmlns:a16="http://schemas.microsoft.com/office/drawing/2014/main" id="{00000000-0008-0000-0100-000006000000}"/>
            </a:ext>
          </a:extLst>
        </xdr:cNvPr>
        <xdr:cNvSpPr/>
      </xdr:nvSpPr>
      <xdr:spPr>
        <a:xfrm>
          <a:off x="85725" y="761999"/>
          <a:ext cx="3219450" cy="3667125"/>
        </a:xfrm>
        <a:prstGeom prst="rect">
          <a:avLst/>
        </a:prstGeom>
        <a:solidFill>
          <a:schemeClr val="bg1">
            <a:lumMod val="65000"/>
            <a:alpha val="89804"/>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pt-BR" sz="1100">
            <a:solidFill>
              <a:schemeClr val="lt1"/>
            </a:solidFill>
            <a:latin typeface="+mn-lt"/>
            <a:ea typeface="+mn-ea"/>
            <a:cs typeface="+mn-cs"/>
          </a:endParaRPr>
        </a:p>
      </xdr:txBody>
    </xdr:sp>
    <xdr:clientData/>
  </xdr:twoCellAnchor>
  <xdr:twoCellAnchor>
    <xdr:from>
      <xdr:col>6</xdr:col>
      <xdr:colOff>200025</xdr:colOff>
      <xdr:row>15</xdr:row>
      <xdr:rowOff>85725</xdr:rowOff>
    </xdr:from>
    <xdr:to>
      <xdr:col>13</xdr:col>
      <xdr:colOff>504825</xdr:colOff>
      <xdr:row>22</xdr:row>
      <xdr:rowOff>42861</xdr:rowOff>
    </xdr:to>
    <xdr:graphicFrame macro="">
      <xdr:nvGraphicFramePr>
        <xdr:cNvPr id="15" name="Gráfico 14">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2</xdr:row>
      <xdr:rowOff>85725</xdr:rowOff>
    </xdr:from>
    <xdr:to>
      <xdr:col>19</xdr:col>
      <xdr:colOff>571500</xdr:colOff>
      <xdr:row>23</xdr:row>
      <xdr:rowOff>38101</xdr:rowOff>
    </xdr:to>
    <xdr:sp macro="" textlink="">
      <xdr:nvSpPr>
        <xdr:cNvPr id="7" name="Retângulo 6">
          <a:extLst>
            <a:ext uri="{FF2B5EF4-FFF2-40B4-BE49-F238E27FC236}">
              <a16:creationId xmlns:a16="http://schemas.microsoft.com/office/drawing/2014/main" id="{00000000-0008-0000-0100-000007000000}"/>
            </a:ext>
          </a:extLst>
        </xdr:cNvPr>
        <xdr:cNvSpPr/>
      </xdr:nvSpPr>
      <xdr:spPr>
        <a:xfrm>
          <a:off x="7353300" y="466725"/>
          <a:ext cx="4800600" cy="3952876"/>
        </a:xfrm>
        <a:prstGeom prst="rect">
          <a:avLst/>
        </a:prstGeom>
        <a:solidFill>
          <a:schemeClr val="bg1">
            <a:lumMod val="65000"/>
            <a:alpha val="89804"/>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pt-BR" sz="1100">
            <a:solidFill>
              <a:schemeClr val="lt1"/>
            </a:solidFill>
            <a:latin typeface="+mn-lt"/>
            <a:ea typeface="+mn-ea"/>
            <a:cs typeface="+mn-cs"/>
          </a:endParaRPr>
        </a:p>
      </xdr:txBody>
    </xdr:sp>
    <xdr:clientData/>
  </xdr:twoCellAnchor>
  <xdr:twoCellAnchor>
    <xdr:from>
      <xdr:col>8</xdr:col>
      <xdr:colOff>371475</xdr:colOff>
      <xdr:row>13</xdr:row>
      <xdr:rowOff>38100</xdr:rowOff>
    </xdr:from>
    <xdr:to>
      <xdr:col>20</xdr:col>
      <xdr:colOff>152400</xdr:colOff>
      <xdr:row>23</xdr:row>
      <xdr:rowOff>76200</xdr:rowOff>
    </xdr:to>
    <xdr:graphicFrame macro="">
      <xdr:nvGraphicFramePr>
        <xdr:cNvPr id="11" name="Gráfico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16</xdr:row>
      <xdr:rowOff>47625</xdr:rowOff>
    </xdr:from>
    <xdr:to>
      <xdr:col>8</xdr:col>
      <xdr:colOff>238125</xdr:colOff>
      <xdr:row>20</xdr:row>
      <xdr:rowOff>47625</xdr:rowOff>
    </xdr:to>
    <xdr:sp macro="" textlink="">
      <xdr:nvSpPr>
        <xdr:cNvPr id="18" name="CaixaDeTexto 17">
          <a:extLst>
            <a:ext uri="{FF2B5EF4-FFF2-40B4-BE49-F238E27FC236}">
              <a16:creationId xmlns:a16="http://schemas.microsoft.com/office/drawing/2014/main" id="{00000000-0008-0000-0100-000012000000}"/>
            </a:ext>
          </a:extLst>
        </xdr:cNvPr>
        <xdr:cNvSpPr txBox="1"/>
      </xdr:nvSpPr>
      <xdr:spPr>
        <a:xfrm>
          <a:off x="3657600" y="3095625"/>
          <a:ext cx="14573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MINHA</a:t>
          </a:r>
          <a:r>
            <a:rPr lang="pt-BR" sz="2000" b="1" baseline="0">
              <a:solidFill>
                <a:srgbClr val="002060"/>
              </a:solidFill>
            </a:rPr>
            <a:t>  </a:t>
          </a:r>
          <a:r>
            <a:rPr lang="pt-BR" sz="2000" b="1">
              <a:solidFill>
                <a:srgbClr val="002060"/>
              </a:solidFill>
            </a:rPr>
            <a:t>ECONOMIA  </a:t>
          </a:r>
        </a:p>
      </xdr:txBody>
    </xdr:sp>
    <xdr:clientData/>
  </xdr:twoCellAnchor>
  <xdr:twoCellAnchor editAs="oneCell">
    <xdr:from>
      <xdr:col>9</xdr:col>
      <xdr:colOff>499915</xdr:colOff>
      <xdr:row>14</xdr:row>
      <xdr:rowOff>76200</xdr:rowOff>
    </xdr:from>
    <xdr:to>
      <xdr:col>10</xdr:col>
      <xdr:colOff>281290</xdr:colOff>
      <xdr:row>16</xdr:row>
      <xdr:rowOff>77035</xdr:rowOff>
    </xdr:to>
    <xdr:pic>
      <xdr:nvPicPr>
        <xdr:cNvPr id="13" name="Imagem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986315" y="2743200"/>
          <a:ext cx="390975" cy="381835"/>
        </a:xfrm>
        <a:prstGeom prst="rect">
          <a:avLst/>
        </a:prstGeom>
      </xdr:spPr>
    </xdr:pic>
    <xdr:clientData/>
  </xdr:twoCellAnchor>
  <xdr:twoCellAnchor>
    <xdr:from>
      <xdr:col>1</xdr:col>
      <xdr:colOff>466726</xdr:colOff>
      <xdr:row>6</xdr:row>
      <xdr:rowOff>104775</xdr:rowOff>
    </xdr:from>
    <xdr:to>
      <xdr:col>3</xdr:col>
      <xdr:colOff>361950</xdr:colOff>
      <xdr:row>8</xdr:row>
      <xdr:rowOff>57150</xdr:rowOff>
    </xdr:to>
    <xdr:sp macro="" textlink="Ano!J111">
      <xdr:nvSpPr>
        <xdr:cNvPr id="8" name="CaixaDeTexto 7">
          <a:extLst>
            <a:ext uri="{FF2B5EF4-FFF2-40B4-BE49-F238E27FC236}">
              <a16:creationId xmlns:a16="http://schemas.microsoft.com/office/drawing/2014/main" id="{00000000-0008-0000-0100-000008000000}"/>
            </a:ext>
          </a:extLst>
        </xdr:cNvPr>
        <xdr:cNvSpPr txBox="1"/>
      </xdr:nvSpPr>
      <xdr:spPr>
        <a:xfrm>
          <a:off x="1076326" y="1247775"/>
          <a:ext cx="1114424" cy="333375"/>
        </a:xfrm>
        <a:prstGeom prst="rect">
          <a:avLst/>
        </a:prstGeom>
        <a:noFill/>
        <a:ln w="381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5648B5A-707B-48AD-B043-865A2FD3AA05}" type="TxLink">
            <a:rPr lang="en-US" sz="1400" b="1" i="0" u="none" strike="noStrike">
              <a:solidFill>
                <a:srgbClr val="FF0000"/>
              </a:solidFill>
              <a:latin typeface="Calibri"/>
              <a:ea typeface="+mn-ea"/>
              <a:cs typeface="+mn-cs"/>
            </a:rPr>
            <a:pPr marL="0" indent="0" algn="ctr"/>
            <a:t> 11.675,22 </a:t>
          </a:fld>
          <a:endParaRPr lang="pt-BR" sz="1400" b="1" i="0" u="none" strike="noStrike">
            <a:solidFill>
              <a:srgbClr val="FF0000"/>
            </a:solidFill>
            <a:latin typeface="Calibri"/>
            <a:ea typeface="+mn-ea"/>
            <a:cs typeface="+mn-cs"/>
          </a:endParaRPr>
        </a:p>
      </xdr:txBody>
    </xdr:sp>
    <xdr:clientData/>
  </xdr:twoCellAnchor>
  <xdr:twoCellAnchor>
    <xdr:from>
      <xdr:col>1</xdr:col>
      <xdr:colOff>238124</xdr:colOff>
      <xdr:row>4</xdr:row>
      <xdr:rowOff>76200</xdr:rowOff>
    </xdr:from>
    <xdr:to>
      <xdr:col>4</xdr:col>
      <xdr:colOff>19049</xdr:colOff>
      <xdr:row>6</xdr:row>
      <xdr:rowOff>66675</xdr:rowOff>
    </xdr:to>
    <xdr:sp macro="" textlink="">
      <xdr:nvSpPr>
        <xdr:cNvPr id="9" name="CaixaDeTexto 8">
          <a:extLst>
            <a:ext uri="{FF2B5EF4-FFF2-40B4-BE49-F238E27FC236}">
              <a16:creationId xmlns:a16="http://schemas.microsoft.com/office/drawing/2014/main" id="{00000000-0008-0000-0100-000009000000}"/>
            </a:ext>
          </a:extLst>
        </xdr:cNvPr>
        <xdr:cNvSpPr txBox="1"/>
      </xdr:nvSpPr>
      <xdr:spPr>
        <a:xfrm>
          <a:off x="847724" y="838200"/>
          <a:ext cx="16097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solidFill>
                <a:srgbClr val="002060"/>
              </a:solidFill>
            </a:rPr>
            <a:t>Rendimentos</a:t>
          </a:r>
        </a:p>
      </xdr:txBody>
    </xdr:sp>
    <xdr:clientData/>
  </xdr:twoCellAnchor>
  <xdr:twoCellAnchor>
    <xdr:from>
      <xdr:col>1</xdr:col>
      <xdr:colOff>438150</xdr:colOff>
      <xdr:row>8</xdr:row>
      <xdr:rowOff>171450</xdr:rowOff>
    </xdr:from>
    <xdr:to>
      <xdr:col>3</xdr:col>
      <xdr:colOff>390526</xdr:colOff>
      <xdr:row>10</xdr:row>
      <xdr:rowOff>161925</xdr:rowOff>
    </xdr:to>
    <xdr:sp macro="" textlink="">
      <xdr:nvSpPr>
        <xdr:cNvPr id="16" name="CaixaDeTexto 15">
          <a:extLst>
            <a:ext uri="{FF2B5EF4-FFF2-40B4-BE49-F238E27FC236}">
              <a16:creationId xmlns:a16="http://schemas.microsoft.com/office/drawing/2014/main" id="{00000000-0008-0000-0100-000010000000}"/>
            </a:ext>
          </a:extLst>
        </xdr:cNvPr>
        <xdr:cNvSpPr txBox="1"/>
      </xdr:nvSpPr>
      <xdr:spPr>
        <a:xfrm>
          <a:off x="1047750" y="1695450"/>
          <a:ext cx="117157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solidFill>
                <a:srgbClr val="002060"/>
              </a:solidFill>
            </a:rPr>
            <a:t>Despesas</a:t>
          </a:r>
        </a:p>
      </xdr:txBody>
    </xdr:sp>
    <xdr:clientData/>
  </xdr:twoCellAnchor>
  <xdr:twoCellAnchor>
    <xdr:from>
      <xdr:col>1</xdr:col>
      <xdr:colOff>457200</xdr:colOff>
      <xdr:row>11</xdr:row>
      <xdr:rowOff>38100</xdr:rowOff>
    </xdr:from>
    <xdr:to>
      <xdr:col>3</xdr:col>
      <xdr:colOff>352425</xdr:colOff>
      <xdr:row>12</xdr:row>
      <xdr:rowOff>180975</xdr:rowOff>
    </xdr:to>
    <xdr:sp macro="" textlink="Ano!K111">
      <xdr:nvSpPr>
        <xdr:cNvPr id="17" name="CaixaDeTexto 16">
          <a:extLst>
            <a:ext uri="{FF2B5EF4-FFF2-40B4-BE49-F238E27FC236}">
              <a16:creationId xmlns:a16="http://schemas.microsoft.com/office/drawing/2014/main" id="{00000000-0008-0000-0100-000011000000}"/>
            </a:ext>
          </a:extLst>
        </xdr:cNvPr>
        <xdr:cNvSpPr txBox="1"/>
      </xdr:nvSpPr>
      <xdr:spPr>
        <a:xfrm>
          <a:off x="1066800" y="2133600"/>
          <a:ext cx="1114425" cy="333375"/>
        </a:xfrm>
        <a:prstGeom prst="rect">
          <a:avLst/>
        </a:prstGeom>
        <a:noFill/>
        <a:ln w="381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25D032-B46F-4226-8A8B-E692ABB1ED4F}" type="TxLink">
            <a:rPr lang="en-US" sz="1400" b="1" i="0" u="none" strike="noStrike">
              <a:solidFill>
                <a:srgbClr val="FF0000"/>
              </a:solidFill>
              <a:latin typeface="Calibri"/>
              <a:ea typeface="+mn-ea"/>
              <a:cs typeface="+mn-cs"/>
            </a:rPr>
            <a:pPr marL="0" indent="0" algn="ctr"/>
            <a:t> 11.666,94 </a:t>
          </a:fld>
          <a:endParaRPr lang="pt-BR" sz="1400" b="1" i="0" u="none" strike="noStrike">
            <a:solidFill>
              <a:srgbClr val="FF0000"/>
            </a:solidFill>
            <a:latin typeface="Calibri"/>
            <a:ea typeface="+mn-ea"/>
            <a:cs typeface="+mn-cs"/>
          </a:endParaRPr>
        </a:p>
      </xdr:txBody>
    </xdr:sp>
    <xdr:clientData/>
  </xdr:twoCellAnchor>
  <xdr:twoCellAnchor>
    <xdr:from>
      <xdr:col>1</xdr:col>
      <xdr:colOff>238125</xdr:colOff>
      <xdr:row>15</xdr:row>
      <xdr:rowOff>152399</xdr:rowOff>
    </xdr:from>
    <xdr:to>
      <xdr:col>4</xdr:col>
      <xdr:colOff>1</xdr:colOff>
      <xdr:row>17</xdr:row>
      <xdr:rowOff>142874</xdr:rowOff>
    </xdr:to>
    <xdr:sp macro="" textlink="">
      <xdr:nvSpPr>
        <xdr:cNvPr id="19" name="CaixaDeTexto 18">
          <a:extLst>
            <a:ext uri="{FF2B5EF4-FFF2-40B4-BE49-F238E27FC236}">
              <a16:creationId xmlns:a16="http://schemas.microsoft.com/office/drawing/2014/main" id="{00000000-0008-0000-0100-000013000000}"/>
            </a:ext>
          </a:extLst>
        </xdr:cNvPr>
        <xdr:cNvSpPr txBox="1"/>
      </xdr:nvSpPr>
      <xdr:spPr>
        <a:xfrm>
          <a:off x="847725" y="3009899"/>
          <a:ext cx="159067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2000" b="1">
              <a:solidFill>
                <a:srgbClr val="002060"/>
              </a:solidFill>
            </a:rPr>
            <a:t>Saldo do mês</a:t>
          </a:r>
        </a:p>
      </xdr:txBody>
    </xdr:sp>
    <xdr:clientData/>
  </xdr:twoCellAnchor>
  <xdr:twoCellAnchor>
    <xdr:from>
      <xdr:col>1</xdr:col>
      <xdr:colOff>352425</xdr:colOff>
      <xdr:row>18</xdr:row>
      <xdr:rowOff>66674</xdr:rowOff>
    </xdr:from>
    <xdr:to>
      <xdr:col>3</xdr:col>
      <xdr:colOff>504825</xdr:colOff>
      <xdr:row>20</xdr:row>
      <xdr:rowOff>95250</xdr:rowOff>
    </xdr:to>
    <xdr:sp macro="" textlink="Ano!L111">
      <xdr:nvSpPr>
        <xdr:cNvPr id="20" name="CaixaDeTexto 19">
          <a:extLst>
            <a:ext uri="{FF2B5EF4-FFF2-40B4-BE49-F238E27FC236}">
              <a16:creationId xmlns:a16="http://schemas.microsoft.com/office/drawing/2014/main" id="{00000000-0008-0000-0100-000014000000}"/>
            </a:ext>
          </a:extLst>
        </xdr:cNvPr>
        <xdr:cNvSpPr txBox="1"/>
      </xdr:nvSpPr>
      <xdr:spPr>
        <a:xfrm>
          <a:off x="962025" y="3495674"/>
          <a:ext cx="1371600" cy="409576"/>
        </a:xfrm>
        <a:prstGeom prst="rect">
          <a:avLst/>
        </a:prstGeom>
        <a:noFill/>
        <a:ln w="381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3F1B72-88FF-48EA-B7F5-28F9285DE625}" type="TxLink">
            <a:rPr lang="en-US" sz="2000" b="1" i="0" u="none" strike="noStrike">
              <a:solidFill>
                <a:srgbClr val="FFFF00"/>
              </a:solidFill>
              <a:latin typeface="Calibri"/>
              <a:ea typeface="+mn-ea"/>
              <a:cs typeface="Calibri"/>
            </a:rPr>
            <a:pPr marL="0" indent="0" algn="ctr"/>
            <a:t> 8,28 </a:t>
          </a:fld>
          <a:endParaRPr lang="pt-BR" sz="4000" b="1" i="0" u="none" strike="noStrike">
            <a:solidFill>
              <a:srgbClr val="FFFF00"/>
            </a:solidFill>
            <a:latin typeface="Calibri"/>
            <a:ea typeface="+mn-ea"/>
            <a:cs typeface="+mn-cs"/>
          </a:endParaRPr>
        </a:p>
      </xdr:txBody>
    </xdr:sp>
    <xdr:clientData/>
  </xdr:twoCellAnchor>
  <xdr:twoCellAnchor>
    <xdr:from>
      <xdr:col>13</xdr:col>
      <xdr:colOff>180976</xdr:colOff>
      <xdr:row>2</xdr:row>
      <xdr:rowOff>161925</xdr:rowOff>
    </xdr:from>
    <xdr:to>
      <xdr:col>15</xdr:col>
      <xdr:colOff>47626</xdr:colOff>
      <xdr:row>4</xdr:row>
      <xdr:rowOff>171450</xdr:rowOff>
    </xdr:to>
    <xdr:sp macro="" textlink="">
      <xdr:nvSpPr>
        <xdr:cNvPr id="21" name="CaixaDeTexto 20">
          <a:extLst>
            <a:ext uri="{FF2B5EF4-FFF2-40B4-BE49-F238E27FC236}">
              <a16:creationId xmlns:a16="http://schemas.microsoft.com/office/drawing/2014/main" id="{00000000-0008-0000-0100-000015000000}"/>
            </a:ext>
          </a:extLst>
        </xdr:cNvPr>
        <xdr:cNvSpPr txBox="1"/>
      </xdr:nvSpPr>
      <xdr:spPr>
        <a:xfrm>
          <a:off x="8105776" y="542925"/>
          <a:ext cx="108585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Mainha</a:t>
          </a:r>
          <a:r>
            <a:rPr lang="pt-BR" sz="2000" b="1" baseline="0">
              <a:solidFill>
                <a:srgbClr val="002060"/>
              </a:solidFill>
            </a:rPr>
            <a:t>  </a:t>
          </a:r>
          <a:endParaRPr lang="pt-BR" sz="2000" b="1">
            <a:solidFill>
              <a:srgbClr val="002060"/>
            </a:solidFill>
          </a:endParaRPr>
        </a:p>
      </xdr:txBody>
    </xdr:sp>
    <xdr:clientData/>
  </xdr:twoCellAnchor>
  <xdr:twoCellAnchor>
    <xdr:from>
      <xdr:col>17</xdr:col>
      <xdr:colOff>57150</xdr:colOff>
      <xdr:row>2</xdr:row>
      <xdr:rowOff>171450</xdr:rowOff>
    </xdr:from>
    <xdr:to>
      <xdr:col>18</xdr:col>
      <xdr:colOff>571499</xdr:colOff>
      <xdr:row>4</xdr:row>
      <xdr:rowOff>180975</xdr:rowOff>
    </xdr:to>
    <xdr:sp macro="" textlink="">
      <xdr:nvSpPr>
        <xdr:cNvPr id="22" name="CaixaDeTexto 21">
          <a:extLst>
            <a:ext uri="{FF2B5EF4-FFF2-40B4-BE49-F238E27FC236}">
              <a16:creationId xmlns:a16="http://schemas.microsoft.com/office/drawing/2014/main" id="{00000000-0008-0000-0100-000016000000}"/>
            </a:ext>
          </a:extLst>
        </xdr:cNvPr>
        <xdr:cNvSpPr txBox="1"/>
      </xdr:nvSpPr>
      <xdr:spPr>
        <a:xfrm>
          <a:off x="10420350" y="552450"/>
          <a:ext cx="11239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Pessoal</a:t>
          </a:r>
          <a:r>
            <a:rPr lang="pt-BR" sz="2000" b="1" baseline="0">
              <a:solidFill>
                <a:srgbClr val="002060"/>
              </a:solidFill>
            </a:rPr>
            <a:t>  </a:t>
          </a:r>
          <a:endParaRPr lang="pt-BR" sz="2000" b="1">
            <a:solidFill>
              <a:srgbClr val="002060"/>
            </a:solidFill>
          </a:endParaRPr>
        </a:p>
      </xdr:txBody>
    </xdr:sp>
    <xdr:clientData/>
  </xdr:twoCellAnchor>
  <xdr:twoCellAnchor>
    <xdr:from>
      <xdr:col>17</xdr:col>
      <xdr:colOff>0</xdr:colOff>
      <xdr:row>14</xdr:row>
      <xdr:rowOff>57150</xdr:rowOff>
    </xdr:from>
    <xdr:to>
      <xdr:col>18</xdr:col>
      <xdr:colOff>514349</xdr:colOff>
      <xdr:row>16</xdr:row>
      <xdr:rowOff>66675</xdr:rowOff>
    </xdr:to>
    <xdr:sp macro="" textlink="">
      <xdr:nvSpPr>
        <xdr:cNvPr id="23" name="CaixaDeTexto 22">
          <a:extLst>
            <a:ext uri="{FF2B5EF4-FFF2-40B4-BE49-F238E27FC236}">
              <a16:creationId xmlns:a16="http://schemas.microsoft.com/office/drawing/2014/main" id="{00000000-0008-0000-0100-000017000000}"/>
            </a:ext>
          </a:extLst>
        </xdr:cNvPr>
        <xdr:cNvSpPr txBox="1"/>
      </xdr:nvSpPr>
      <xdr:spPr>
        <a:xfrm>
          <a:off x="10363200" y="2724150"/>
          <a:ext cx="1123949"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Carro</a:t>
          </a:r>
          <a:r>
            <a:rPr lang="pt-BR" sz="2000" b="1" baseline="0">
              <a:solidFill>
                <a:srgbClr val="002060"/>
              </a:solidFill>
            </a:rPr>
            <a:t>  </a:t>
          </a:r>
          <a:endParaRPr lang="pt-BR" sz="2000" b="1">
            <a:solidFill>
              <a:srgbClr val="002060"/>
            </a:solidFill>
          </a:endParaRPr>
        </a:p>
      </xdr:txBody>
    </xdr:sp>
    <xdr:clientData/>
  </xdr:twoCellAnchor>
  <xdr:twoCellAnchor>
    <xdr:from>
      <xdr:col>13</xdr:col>
      <xdr:colOff>352425</xdr:colOff>
      <xdr:row>14</xdr:row>
      <xdr:rowOff>19050</xdr:rowOff>
    </xdr:from>
    <xdr:to>
      <xdr:col>14</xdr:col>
      <xdr:colOff>495300</xdr:colOff>
      <xdr:row>16</xdr:row>
      <xdr:rowOff>28575</xdr:rowOff>
    </xdr:to>
    <xdr:sp macro="" textlink="">
      <xdr:nvSpPr>
        <xdr:cNvPr id="24" name="CaixaDeTexto 23">
          <a:extLst>
            <a:ext uri="{FF2B5EF4-FFF2-40B4-BE49-F238E27FC236}">
              <a16:creationId xmlns:a16="http://schemas.microsoft.com/office/drawing/2014/main" id="{00000000-0008-0000-0100-000018000000}"/>
            </a:ext>
          </a:extLst>
        </xdr:cNvPr>
        <xdr:cNvSpPr txBox="1"/>
      </xdr:nvSpPr>
      <xdr:spPr>
        <a:xfrm>
          <a:off x="8277225" y="2686050"/>
          <a:ext cx="7524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Casa</a:t>
          </a:r>
          <a:r>
            <a:rPr lang="pt-BR" sz="2000" b="1" baseline="0">
              <a:solidFill>
                <a:srgbClr val="002060"/>
              </a:solidFill>
            </a:rPr>
            <a:t>  </a:t>
          </a:r>
          <a:endParaRPr lang="pt-BR" sz="2000" b="1">
            <a:solidFill>
              <a:srgbClr val="002060"/>
            </a:solidFill>
          </a:endParaRPr>
        </a:p>
      </xdr:txBody>
    </xdr:sp>
    <xdr:clientData/>
  </xdr:twoCellAnchor>
  <xdr:twoCellAnchor>
    <xdr:from>
      <xdr:col>5</xdr:col>
      <xdr:colOff>504825</xdr:colOff>
      <xdr:row>4</xdr:row>
      <xdr:rowOff>76200</xdr:rowOff>
    </xdr:from>
    <xdr:to>
      <xdr:col>7</xdr:col>
      <xdr:colOff>38100</xdr:colOff>
      <xdr:row>6</xdr:row>
      <xdr:rowOff>85725</xdr:rowOff>
    </xdr:to>
    <xdr:sp macro="" textlink="">
      <xdr:nvSpPr>
        <xdr:cNvPr id="25" name="CaixaDeTexto 24">
          <a:extLst>
            <a:ext uri="{FF2B5EF4-FFF2-40B4-BE49-F238E27FC236}">
              <a16:creationId xmlns:a16="http://schemas.microsoft.com/office/drawing/2014/main" id="{00000000-0008-0000-0100-000019000000}"/>
            </a:ext>
          </a:extLst>
        </xdr:cNvPr>
        <xdr:cNvSpPr txBox="1"/>
      </xdr:nvSpPr>
      <xdr:spPr>
        <a:xfrm>
          <a:off x="3552825" y="838200"/>
          <a:ext cx="7524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Elo</a:t>
          </a:r>
          <a:r>
            <a:rPr lang="pt-BR" sz="2000" b="1" baseline="0">
              <a:solidFill>
                <a:srgbClr val="002060"/>
              </a:solidFill>
            </a:rPr>
            <a:t>  </a:t>
          </a:r>
          <a:endParaRPr lang="pt-BR" sz="2000" b="1">
            <a:solidFill>
              <a:srgbClr val="002060"/>
            </a:solidFill>
          </a:endParaRPr>
        </a:p>
      </xdr:txBody>
    </xdr:sp>
    <xdr:clientData/>
  </xdr:twoCellAnchor>
  <xdr:twoCellAnchor>
    <xdr:from>
      <xdr:col>7</xdr:col>
      <xdr:colOff>200025</xdr:colOff>
      <xdr:row>4</xdr:row>
      <xdr:rowOff>66675</xdr:rowOff>
    </xdr:from>
    <xdr:to>
      <xdr:col>8</xdr:col>
      <xdr:colOff>342900</xdr:colOff>
      <xdr:row>6</xdr:row>
      <xdr:rowOff>76200</xdr:rowOff>
    </xdr:to>
    <xdr:sp macro="" textlink="">
      <xdr:nvSpPr>
        <xdr:cNvPr id="26" name="CaixaDeTexto 25">
          <a:extLst>
            <a:ext uri="{FF2B5EF4-FFF2-40B4-BE49-F238E27FC236}">
              <a16:creationId xmlns:a16="http://schemas.microsoft.com/office/drawing/2014/main" id="{00000000-0008-0000-0100-00001A000000}"/>
            </a:ext>
          </a:extLst>
        </xdr:cNvPr>
        <xdr:cNvSpPr txBox="1"/>
      </xdr:nvSpPr>
      <xdr:spPr>
        <a:xfrm>
          <a:off x="4467225" y="828675"/>
          <a:ext cx="7524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Visa</a:t>
          </a:r>
          <a:r>
            <a:rPr lang="pt-BR" sz="2000" b="1" baseline="0">
              <a:solidFill>
                <a:srgbClr val="002060"/>
              </a:solidFill>
            </a:rPr>
            <a:t> </a:t>
          </a:r>
          <a:endParaRPr lang="pt-BR" sz="2000" b="1">
            <a:solidFill>
              <a:srgbClr val="002060"/>
            </a:solidFill>
          </a:endParaRPr>
        </a:p>
      </xdr:txBody>
    </xdr:sp>
    <xdr:clientData/>
  </xdr:twoCellAnchor>
  <xdr:twoCellAnchor>
    <xdr:from>
      <xdr:col>8</xdr:col>
      <xdr:colOff>428626</xdr:colOff>
      <xdr:row>4</xdr:row>
      <xdr:rowOff>66675</xdr:rowOff>
    </xdr:from>
    <xdr:to>
      <xdr:col>10</xdr:col>
      <xdr:colOff>161926</xdr:colOff>
      <xdr:row>6</xdr:row>
      <xdr:rowOff>76200</xdr:rowOff>
    </xdr:to>
    <xdr:sp macro="" textlink="">
      <xdr:nvSpPr>
        <xdr:cNvPr id="27" name="CaixaDeTexto 26">
          <a:extLst>
            <a:ext uri="{FF2B5EF4-FFF2-40B4-BE49-F238E27FC236}">
              <a16:creationId xmlns:a16="http://schemas.microsoft.com/office/drawing/2014/main" id="{00000000-0008-0000-0100-00001B000000}"/>
            </a:ext>
          </a:extLst>
        </xdr:cNvPr>
        <xdr:cNvSpPr txBox="1"/>
      </xdr:nvSpPr>
      <xdr:spPr>
        <a:xfrm>
          <a:off x="5305426" y="828675"/>
          <a:ext cx="952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Azul</a:t>
          </a:r>
        </a:p>
      </xdr:txBody>
    </xdr:sp>
    <xdr:clientData/>
  </xdr:twoCellAnchor>
  <xdr:twoCellAnchor>
    <xdr:from>
      <xdr:col>5</xdr:col>
      <xdr:colOff>276225</xdr:colOff>
      <xdr:row>6</xdr:row>
      <xdr:rowOff>38100</xdr:rowOff>
    </xdr:from>
    <xdr:to>
      <xdr:col>11</xdr:col>
      <xdr:colOff>457200</xdr:colOff>
      <xdr:row>14</xdr:row>
      <xdr:rowOff>9525</xdr:rowOff>
    </xdr:to>
    <xdr:graphicFrame macro="">
      <xdr:nvGraphicFramePr>
        <xdr:cNvPr id="28" name="Gráfico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295274</xdr:colOff>
      <xdr:row>4</xdr:row>
      <xdr:rowOff>154800</xdr:rowOff>
    </xdr:from>
    <xdr:to>
      <xdr:col>14</xdr:col>
      <xdr:colOff>545324</xdr:colOff>
      <xdr:row>13</xdr:row>
      <xdr:rowOff>106735</xdr:rowOff>
    </xdr:to>
    <xdr:pic>
      <xdr:nvPicPr>
        <xdr:cNvPr id="29" name="Imagem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8220074" y="916800"/>
          <a:ext cx="859650" cy="1666435"/>
        </a:xfrm>
        <a:prstGeom prst="rect">
          <a:avLst/>
        </a:prstGeom>
      </xdr:spPr>
    </xdr:pic>
    <xdr:clientData/>
  </xdr:twoCellAnchor>
  <xdr:twoCellAnchor>
    <xdr:from>
      <xdr:col>12</xdr:col>
      <xdr:colOff>47626</xdr:colOff>
      <xdr:row>4</xdr:row>
      <xdr:rowOff>9525</xdr:rowOff>
    </xdr:from>
    <xdr:to>
      <xdr:col>16</xdr:col>
      <xdr:colOff>161925</xdr:colOff>
      <xdr:row>14</xdr:row>
      <xdr:rowOff>66674</xdr:rowOff>
    </xdr:to>
    <xdr:graphicFrame macro="">
      <xdr:nvGraphicFramePr>
        <xdr:cNvPr id="31" name="Gráfico 30">
          <a:extLst>
            <a:ext uri="{FF2B5EF4-FFF2-40B4-BE49-F238E27FC236}">
              <a16:creationId xmlns:a16="http://schemas.microsoft.com/office/drawing/2014/main" id="{00000000-0008-0000-01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17</xdr:col>
      <xdr:colOff>211948</xdr:colOff>
      <xdr:row>5</xdr:row>
      <xdr:rowOff>21450</xdr:rowOff>
    </xdr:from>
    <xdr:to>
      <xdr:col>18</xdr:col>
      <xdr:colOff>361949</xdr:colOff>
      <xdr:row>13</xdr:row>
      <xdr:rowOff>161406</xdr:rowOff>
    </xdr:to>
    <xdr:pic>
      <xdr:nvPicPr>
        <xdr:cNvPr id="32" name="Imagem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flipH="1">
          <a:off x="10575148" y="973950"/>
          <a:ext cx="759601" cy="1663956"/>
        </a:xfrm>
        <a:prstGeom prst="rect">
          <a:avLst/>
        </a:prstGeom>
      </xdr:spPr>
    </xdr:pic>
    <xdr:clientData/>
  </xdr:twoCellAnchor>
  <xdr:twoCellAnchor>
    <xdr:from>
      <xdr:col>16</xdr:col>
      <xdr:colOff>1</xdr:colOff>
      <xdr:row>4</xdr:row>
      <xdr:rowOff>123824</xdr:rowOff>
    </xdr:from>
    <xdr:to>
      <xdr:col>19</xdr:col>
      <xdr:colOff>571501</xdr:colOff>
      <xdr:row>14</xdr:row>
      <xdr:rowOff>95247</xdr:rowOff>
    </xdr:to>
    <xdr:graphicFrame macro="">
      <xdr:nvGraphicFramePr>
        <xdr:cNvPr id="34" name="Gráfico 33">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13</xdr:col>
      <xdr:colOff>73554</xdr:colOff>
      <xdr:row>16</xdr:row>
      <xdr:rowOff>45225</xdr:rowOff>
    </xdr:from>
    <xdr:to>
      <xdr:col>15</xdr:col>
      <xdr:colOff>139850</xdr:colOff>
      <xdr:row>23</xdr:row>
      <xdr:rowOff>28575</xdr:rowOff>
    </xdr:to>
    <xdr:pic>
      <xdr:nvPicPr>
        <xdr:cNvPr id="36" name="Imagem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998354" y="3093225"/>
          <a:ext cx="1285496" cy="1316850"/>
        </a:xfrm>
        <a:prstGeom prst="rect">
          <a:avLst/>
        </a:prstGeom>
      </xdr:spPr>
    </xdr:pic>
    <xdr:clientData/>
  </xdr:twoCellAnchor>
  <xdr:twoCellAnchor editAs="oneCell">
    <xdr:from>
      <xdr:col>16</xdr:col>
      <xdr:colOff>340606</xdr:colOff>
      <xdr:row>17</xdr:row>
      <xdr:rowOff>19050</xdr:rowOff>
    </xdr:from>
    <xdr:to>
      <xdr:col>19</xdr:col>
      <xdr:colOff>247650</xdr:colOff>
      <xdr:row>22</xdr:row>
      <xdr:rowOff>17649</xdr:rowOff>
    </xdr:to>
    <xdr:pic>
      <xdr:nvPicPr>
        <xdr:cNvPr id="38" name="Imagem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094206" y="3257550"/>
          <a:ext cx="1735844" cy="951099"/>
        </a:xfrm>
        <a:prstGeom prst="rect">
          <a:avLst/>
        </a:prstGeom>
      </xdr:spPr>
    </xdr:pic>
    <xdr:clientData/>
  </xdr:twoCellAnchor>
  <xdr:twoCellAnchor>
    <xdr:from>
      <xdr:col>13</xdr:col>
      <xdr:colOff>142876</xdr:colOff>
      <xdr:row>16</xdr:row>
      <xdr:rowOff>114300</xdr:rowOff>
    </xdr:from>
    <xdr:to>
      <xdr:col>22</xdr:col>
      <xdr:colOff>447676</xdr:colOff>
      <xdr:row>22</xdr:row>
      <xdr:rowOff>159524</xdr:rowOff>
    </xdr:to>
    <xdr:graphicFrame macro="">
      <xdr:nvGraphicFramePr>
        <xdr:cNvPr id="40" name="Gráfico 39">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57150</xdr:colOff>
      <xdr:row>0</xdr:row>
      <xdr:rowOff>47625</xdr:rowOff>
    </xdr:from>
    <xdr:to>
      <xdr:col>19</xdr:col>
      <xdr:colOff>552450</xdr:colOff>
      <xdr:row>2</xdr:row>
      <xdr:rowOff>19050</xdr:rowOff>
    </xdr:to>
    <xdr:sp macro="" textlink="">
      <xdr:nvSpPr>
        <xdr:cNvPr id="10" name="CaixaDeTexto 9">
          <a:extLst>
            <a:ext uri="{FF2B5EF4-FFF2-40B4-BE49-F238E27FC236}">
              <a16:creationId xmlns:a16="http://schemas.microsoft.com/office/drawing/2014/main" id="{00000000-0008-0000-0100-00000A000000}"/>
            </a:ext>
          </a:extLst>
        </xdr:cNvPr>
        <xdr:cNvSpPr txBox="1"/>
      </xdr:nvSpPr>
      <xdr:spPr>
        <a:xfrm>
          <a:off x="7372350" y="47625"/>
          <a:ext cx="4762500" cy="352425"/>
        </a:xfrm>
        <a:prstGeom prst="rect">
          <a:avLst/>
        </a:prstGeom>
        <a:solidFill>
          <a:srgbClr val="A6A6A6">
            <a:alpha val="89804"/>
          </a:srgbClr>
        </a:solid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2000" b="1" i="0" u="none" strike="noStrike">
              <a:solidFill>
                <a:srgbClr val="FFFF00"/>
              </a:solidFill>
              <a:latin typeface="Calibri"/>
              <a:ea typeface="+mn-ea"/>
              <a:cs typeface="+mn-cs"/>
            </a:rPr>
            <a:t>ORÇAMENTO </a:t>
          </a:r>
          <a:r>
            <a:rPr lang="pt-BR" sz="2000" b="1" i="0" u="none" strike="noStrike" baseline="0">
              <a:solidFill>
                <a:srgbClr val="FFFF00"/>
              </a:solidFill>
              <a:latin typeface="Calibri"/>
              <a:ea typeface="+mn-ea"/>
              <a:cs typeface="+mn-cs"/>
            </a:rPr>
            <a:t>2024</a:t>
          </a:r>
          <a:endParaRPr lang="pt-BR" sz="2000" b="1" i="0" u="none" strike="noStrike">
            <a:solidFill>
              <a:srgbClr val="FFFF00"/>
            </a:solidFill>
            <a:latin typeface="Calibri"/>
            <a:ea typeface="+mn-ea"/>
            <a:cs typeface="+mn-cs"/>
          </a:endParaRPr>
        </a:p>
      </xdr:txBody>
    </xdr:sp>
    <xdr:clientData/>
  </xdr:twoCellAnchor>
  <xdr:twoCellAnchor editAs="oneCell">
    <xdr:from>
      <xdr:col>0</xdr:col>
      <xdr:colOff>552450</xdr:colOff>
      <xdr:row>0</xdr:row>
      <xdr:rowOff>28575</xdr:rowOff>
    </xdr:from>
    <xdr:to>
      <xdr:col>11</xdr:col>
      <xdr:colOff>561975</xdr:colOff>
      <xdr:row>3</xdr:row>
      <xdr:rowOff>180975</xdr:rowOff>
    </xdr:to>
    <mc:AlternateContent xmlns:mc="http://schemas.openxmlformats.org/markup-compatibility/2006" xmlns:a14="http://schemas.microsoft.com/office/drawing/2010/main">
      <mc:Choice Requires="a14">
        <xdr:graphicFrame macro="">
          <xdr:nvGraphicFramePr>
            <xdr:cNvPr id="39" name="Meses 3">
              <a:extLst>
                <a:ext uri="{FF2B5EF4-FFF2-40B4-BE49-F238E27FC236}">
                  <a16:creationId xmlns:a16="http://schemas.microsoft.com/office/drawing/2014/main" id="{C6660F18-64B9-4E8C-BA6C-A6364F5C7B0B}"/>
                </a:ext>
              </a:extLst>
            </xdr:cNvPr>
            <xdr:cNvGraphicFramePr/>
          </xdr:nvGraphicFramePr>
          <xdr:xfrm>
            <a:off x="0" y="0"/>
            <a:ext cx="0" cy="0"/>
          </xdr:xfrm>
          <a:graphic>
            <a:graphicData uri="http://schemas.microsoft.com/office/drawing/2010/slicer">
              <sle:slicer xmlns:sle="http://schemas.microsoft.com/office/drawing/2010/slicer" name="Meses 3"/>
            </a:graphicData>
          </a:graphic>
        </xdr:graphicFrame>
      </mc:Choice>
      <mc:Fallback xmlns="">
        <xdr:sp macro="" textlink="">
          <xdr:nvSpPr>
            <xdr:cNvPr id="0" name=""/>
            <xdr:cNvSpPr>
              <a:spLocks noTextEdit="1"/>
            </xdr:cNvSpPr>
          </xdr:nvSpPr>
          <xdr:spPr>
            <a:xfrm>
              <a:off x="552450" y="28575"/>
              <a:ext cx="6715125" cy="7239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11</xdr:col>
      <xdr:colOff>104775</xdr:colOff>
      <xdr:row>16</xdr:row>
      <xdr:rowOff>19049</xdr:rowOff>
    </xdr:from>
    <xdr:to>
      <xdr:col>17</xdr:col>
      <xdr:colOff>123825</xdr:colOff>
      <xdr:row>23</xdr:row>
      <xdr:rowOff>180974</xdr:rowOff>
    </xdr:to>
    <xdr:graphicFrame macro="">
      <xdr:nvGraphicFramePr>
        <xdr:cNvPr id="37" name="Gráfico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76201</xdr:colOff>
      <xdr:row>4</xdr:row>
      <xdr:rowOff>66675</xdr:rowOff>
    </xdr:from>
    <xdr:to>
      <xdr:col>11</xdr:col>
      <xdr:colOff>419101</xdr:colOff>
      <xdr:row>6</xdr:row>
      <xdr:rowOff>76200</xdr:rowOff>
    </xdr:to>
    <xdr:sp macro="" textlink="">
      <xdr:nvSpPr>
        <xdr:cNvPr id="41" name="CaixaDeTexto 40">
          <a:extLst>
            <a:ext uri="{FF2B5EF4-FFF2-40B4-BE49-F238E27FC236}">
              <a16:creationId xmlns:a16="http://schemas.microsoft.com/office/drawing/2014/main" id="{C3928BE7-A179-4BE9-8516-98E9A9749047}"/>
            </a:ext>
          </a:extLst>
        </xdr:cNvPr>
        <xdr:cNvSpPr txBox="1"/>
      </xdr:nvSpPr>
      <xdr:spPr>
        <a:xfrm>
          <a:off x="6172201" y="828675"/>
          <a:ext cx="952500"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000" b="1">
              <a:solidFill>
                <a:srgbClr val="002060"/>
              </a:solidFill>
            </a:rPr>
            <a:t>Inter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123826</xdr:colOff>
      <xdr:row>0</xdr:row>
      <xdr:rowOff>0</xdr:rowOff>
    </xdr:from>
    <xdr:to>
      <xdr:col>0</xdr:col>
      <xdr:colOff>596901</xdr:colOff>
      <xdr:row>1</xdr:row>
      <xdr:rowOff>124455</xdr:rowOff>
    </xdr:to>
    <xdr:pic>
      <xdr:nvPicPr>
        <xdr:cNvPr id="3" name="Imagem 2">
          <a:hlinkClick xmlns:r="http://schemas.openxmlformats.org/officeDocument/2006/relationships" r:id="rId1" tooltip="menu"/>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826" y="0"/>
          <a:ext cx="476250" cy="575305"/>
        </a:xfrm>
        <a:prstGeom prst="rect">
          <a:avLst/>
        </a:prstGeom>
      </xdr:spPr>
    </xdr:pic>
    <xdr:clientData/>
  </xdr:twoCellAnchor>
  <xdr:twoCellAnchor editAs="oneCell">
    <xdr:from>
      <xdr:col>0</xdr:col>
      <xdr:colOff>876299</xdr:colOff>
      <xdr:row>119</xdr:row>
      <xdr:rowOff>66676</xdr:rowOff>
    </xdr:from>
    <xdr:to>
      <xdr:col>12</xdr:col>
      <xdr:colOff>349250</xdr:colOff>
      <xdr:row>123</xdr:row>
      <xdr:rowOff>25401</xdr:rowOff>
    </xdr:to>
    <mc:AlternateContent xmlns:mc="http://schemas.openxmlformats.org/markup-compatibility/2006" xmlns:a14="http://schemas.microsoft.com/office/drawing/2010/main">
      <mc:Choice Requires="a14">
        <xdr:graphicFrame macro="">
          <xdr:nvGraphicFramePr>
            <xdr:cNvPr id="5" name="Meses 2">
              <a:extLst>
                <a:ext uri="{FF2B5EF4-FFF2-40B4-BE49-F238E27FC236}">
                  <a16:creationId xmlns:a16="http://schemas.microsoft.com/office/drawing/2014/main" id="{5624A63D-1005-41EF-B4CC-E90E87B5F70A}"/>
                </a:ext>
              </a:extLst>
            </xdr:cNvPr>
            <xdr:cNvGraphicFramePr/>
          </xdr:nvGraphicFramePr>
          <xdr:xfrm>
            <a:off x="0" y="0"/>
            <a:ext cx="0" cy="0"/>
          </xdr:xfrm>
          <a:graphic>
            <a:graphicData uri="http://schemas.microsoft.com/office/drawing/2010/slicer">
              <sle:slicer xmlns:sle="http://schemas.microsoft.com/office/drawing/2010/slicer" name="Meses 2"/>
            </a:graphicData>
          </a:graphic>
        </xdr:graphicFrame>
      </mc:Choice>
      <mc:Fallback xmlns="">
        <xdr:sp macro="" textlink="">
          <xdr:nvSpPr>
            <xdr:cNvPr id="0" name=""/>
            <xdr:cNvSpPr>
              <a:spLocks noTextEdit="1"/>
            </xdr:cNvSpPr>
          </xdr:nvSpPr>
          <xdr:spPr>
            <a:xfrm>
              <a:off x="876299" y="22031326"/>
              <a:ext cx="10868026" cy="7239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14</xdr:col>
      <xdr:colOff>0</xdr:colOff>
      <xdr:row>67</xdr:row>
      <xdr:rowOff>0</xdr:rowOff>
    </xdr:from>
    <xdr:to>
      <xdr:col>14</xdr:col>
      <xdr:colOff>304800</xdr:colOff>
      <xdr:row>68</xdr:row>
      <xdr:rowOff>139700</xdr:rowOff>
    </xdr:to>
    <xdr:sp macro="" textlink="">
      <xdr:nvSpPr>
        <xdr:cNvPr id="9360" name="avatar" descr="data:image/pjpeg;base64,/9j/4AAQSkZJRgABAQEAYABgAAD/2wBDAAEBAQEBAQEBAQEBAQEBAQEBAQEBAQEBAQEBAQEBAQEBAQEBAQEBAQEBAQEBAQEBAQEBAQEBAQEBAQEBAQEBAQH/2wBDAQEBAQEBAQEBAQEBAQEBAQEBAQEBAQEBAQEBAQEBAQEBAQEBAQEBAQEBAQEBAQEBAQEBAQEBAQEBAQEBAQEBAQH/wAARCABAAD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wBm/nxBqyYIDWC8nb2ktV6Kzf3s8ke2eo+v7680zRNPvNV1fU7PStL023mvtR1LU7mCysbGzt42mnuru8uZIreC3ghjklnlldUiiR5HIUEj5A/ZuYjxRqQI5k01zt6NkSIwVQe5Ix0r8nv+Cu/7W3iG68cP+zh4F8QS2PhLw9plrcfEiTSm2S6r4jvxFfx+H7q+DD/iXaZpRsbi6tLWVB9uvLi21FbuSxgjg+GzejKvnEqUNHOFJN9laWv4NW8j3cqdsI29lUm/klE+3/8AgoZ/wUyf4E+NdB8B/CDwvpPi/XNb+E/wv8dW3jXW7ySTw3b6J4n8K2N9oc2m6ZYSRT6lNcWL2uow3M+rafbIk8Bhg1OOSTZ+Gfi//gpL+2Brmt/2zP8AGbXtKTzPMi0bwzZaLpWhwrwBbtp0NoIbmBQvlkait87IMNI64rX/AOCiVyJPGv7MVxZvJKdU/YR/ZC1CSHfkRyn4VaVG6sx8vJiWFdpZV5PTcOfz5E0dyXikg2MgZ2dzwfmILYQndjGflOAcg45Fe/DKsLyzdShCUqr525Lm+KEOum21r+aaOZV7QTpy099team/+G+fc+/fA3/BT79o7QPihpfxC8VeJH8T29vNbpqukyWlnaWeoabEkcEtqIrOOBLcSwI0jvbBW+1STXagPIxH7+/s5f8ABQr4QftE3q+H9H1BdM1xYYpFtZwIJ2iyFmYwyrE+wO8SfaoHvLfe8aTzQSTRJJ/HdFEkzMIw8jOWWFPLbEzGQKMAnKwpk75SxPAGz5sr0PhbxXrHgnxTpWteH799L1XSrhJ7O5tZZIds8ZJBZgf3gYFlbOCyl0yFJFRisqpVKVsNSjSqqK5YxVozty2/wrz97cUa8qkoxmr3lGMZN/A5NJvazdr6aaNn99zRhoOG3ApGRJt++pIIbOec+mBjjr1or4s/YG/aKuP2hfgZY6vrlwJ/EvhmdPD/AIhyyR3cNxBEklt9uTaqeZcW7R3UFypYXdrPDK5SfzYkK+fi3BcjWsW09dpJvmXXZ3V+u+mxrUoqM5J1IKz63T6a2s/zfrvbz7R/i3oPwN8I/Er4peJLxLLTvCXhO9vYC9rdXgu9WnH2XQ9OEFpG80kmp6zLY2EYBiUfaDI8ipGxH8qHjjxTq/jrxV4j8XeJtSub3VvFeu6jrer6hO+43V9ql1JeXj72LL5bTzSSoi58tXEcZ8lI41/oj+OGlt4o8DaP4FNrDd23jr4j+AdN1JbgFohpPh69v/H+qAxAHzWubTwe9iEdWhxdM0ilFJr4d+Iv7Fnhfxn448Jjwfpp8H+Fr+414+Kra3vGubvT205NO8u0thqE88cMgvLqe1do7ZIrfY2yPyYYyuuc5vl2WZo3jJOPtcPTqe0bXJCNm6doq0nKd31eysj6LhrhvMM2yStisCoVFRxbw3s3fmlOpSoyk1JaWhKpZ6bcvmz5o/bfmivfiP8ABvRZ8u3hP9jv9jzwqZcggPB+zz4B1W4VoyxkS4+1aqxwUQMcN5as/PxtcWjWyRD7BLbxSFVimnuJI0dTxuAZN7BuX2x+ZhiVP90ful8Xvhj8L77x3r3xBn0/xJqF/d3dpDYR6PoWna7qtnoei6faeG/ClmYJ7O9lWHw94Z0jSdPjS0jQrbWKuXkYMx5Lwv4o8PabrOlW+k+GtA8baXfN5d1b+JPDY8NeO7R8Zkltrm6gfSdZayysNxbQR295p8nmW0yNMgMUYbjLDVaMp4fDSq0IJLnlUdPmk0uVL924R5rpLnnHW/TV9z4CxGGVGljsbGlWqNqNOjRddpNptvlqc8uXXm5KcrJJ63svzp+AfwF1b4n6jLcXFjNDoGkwyS3WrSxXMNvNuBjt7JLpzl7mf5ohbRBXtreKW4kSKS4UyU/2kvgjpnwx1TQr7R4nFrqM8ltexvvkjyyPJC2Gbzd5WNldiy5JGM81+4mrXXhfR9IN3Lf2WgWMlvE0ltdslslszplBJH5ipuUnzSzKGYv8w5Ffml+2Jreg6p4UW9stSstSeLU7SWCayu4biHZE0kRAEUjbZQ0qsowSMOrYU4Pk4HP8wxecYWo3OGEqVVRcItzppTTtecfdb5mutn2vt9BmfC2VZVkGI9+lWx9OMayqyfs23HlcnGm7SSSvF3u7vdO1vsz/AIIra5qH9v8Axy8PR3KnSLfS/CV/NaMMlr8y3ttBdJMx2MHtkeGRZCWdYLWRD8rCisn/AIIfWGo3978b9Xks4k0+3h8M6cNQ+Rbh7uR9SlNr57bmEcEcBYR+WUYSh1OMEFezjrxxmJilFqNVr3XptF6762d35u+yPy6pzTjRnFSalRhK9r6ttvbs9vJI7T9qD4h3nw28MfDnxFoJguvE8fxZ8L2/h/Q7hZPK13+09K8SaFqWnSTRI81qs2n6xNAlzFmSK5uLZwrqGFe4ab4mmuW1v7ZplsNWvFsNO/tEXsl5NpenRJeT6hptirssKHUri6hkvNQeN7qS3tksreKxtZ7yO75H9sL4HXHhrUfgPrPiW4hOj6V490rU7S4S3uPKufEiWN7ex6VdFopIoLS1urG3uo7iV1F75aQxxKYnA57TvENvb3Gp6fNLHC3nu28tGGbb5atGoLB9vlOoB/e5UsiFMAn4nj/EPE5phIYdOLq4B1pYh6+0putUp04XtZOMKbTTSa5tbH6x4bwqYHI8YsTUm4f2rhvY0G7wpzpUKUqk0oLapL2bb5mvdZ6RqOiaZPbzmbUEshHiZy8m1S3BO5kZSGYEs2WUyNvf94xbd47qfhjwtPqa3seqS3utT+XtjuJFvHKZj8uSOSWKSaISRpEqrHcqXjjhDjaiKuN4t1GZdaiuHtLjU9O1C8sbG2kttR0+D+yp7rTkktTJHqk9rZtHd32633fao7hp3gSMyu6W79g8Pizwmi6jercWUJkgluLfVrE6fbTxuXjgVbzULNkLtawyFf7OvBygMuGtpEj8OhhcRRwdKnTqKMqsHz2qJSlGKUpR5dV+7i7a6812t0fpjxeX4mvJVaUW6M4ezvBNc84walCW/vP3bJbqx438WfDXiLxvrM9nNd3DWmn6ZaL9ji2iDLXDTi4udOl8qLUoWiWO3uIpriGRLZmMDLNGpX8+/wBo3wPeeHvCGgaReaVoVp4h1rxZaadpEumQWejC+s2t5Wb+0E2WVhFNHdyWou71BHHHujdpVgLlP0bb4kX8/jy61K90myt4rmOGyRNPdLiKWzlKRptmibyS5uZjcIsQyv2iNdsW8Kfzn/bJ+IFv4g+IOnaLZFnh8J2c/mPHzHHqepyQyTqEKsvmQWtvbDeGyN0fIOcfXcOfWYYnD4OKXJRhLEyqSjGVmlyQ1fXmcZab+W6/PuMoYX6hiMfGpKNavVjhFSfNHmUpQlLSVrr2alayaTtds/aD/gl5p3wS/Z78CeItJ1r45eAdR8YeKLix1nXtOj8T+HvsGnXUNq9stnpjx3Hn3S2dp5FveXTTSwXF6l1LbLFCVViv5lZdUulAltp5kZsCaLzX3PwSMKwjYFWGWIHseKK+meT4hzqTqYmnXnVqSqSqzjyyk5NfZ5tFFJQXlDzPyiVWlLltCUYwjGEUu0eVdFu7y+/0P7OP2e72P9q39n3VvhV8YIZLrxt8ObseBvGWopLELt9b0GKC58L+NbK7Xz/3+o6UdN1WXUJI7ZrnUIdZu5bfYHgP5E/HzwX46/Z0+JF/4e8crM1qszKuox7jYXulXUrxaZr0MkiqRbXSh4rpCoeyv7SWzuVikglFfdv7JEPjD9nD9rDU/hf4rl01/CPizw9o3gWy1a3t5reTxDbRnUZ/hx4z1FmVoptRFxFceA9RmFzAyahqYsU+zpHHfL+hH7T/AOzloX7RXgPUPCV9bWdv410eC7vPBWtzRxq1ys6k3Og38xUG503UUhSN4yJBZXSw3sEaSGbzPu/EjgjAwx0cfgnhpUcywtHNMA8LzSwro4qEalXD01zc0eSs6jjF2tpFJRaT8LgLjPFLDSwOIdelLLsXUy/HU60+apTrUUlQxEmrqSqYWVPn+La/xxkfhx4I1nStatJdN1dYL/TNbtZILol1lhjVbfy0RplBWKRo/mt2+VopghDDaHX1NPjp8TPh1oA8F6H4j0zxXo1jaMuj2PjXSo9aewaKDULW1WCcTWMksFva6pexQwXF9cQwrcS/ZvKicQp8gN4K+Inwc17UdKhSYSaHdvZat4V19zFJZtaOP9XciNozCIgPIacyI0RWeGYoVJxfHXx6W18K6r4m1PwXqcFva6hDotvfWcdm2mxapd2008Fu+oQzbneZI5pVJXZ5cHCjOR+Kxy5Kq4UYwquPuypSg4unUTs3JpKpFbXUWtPW7/dqed4WeApUcdScbJS9vZqNaHNzwVKrG173dry5+j6GF48+NNh8Lv8AhIfFGvpYeJfiZ4pllvrawsbOO10q31GSJLe0+xWNoogsNP0qOK1NoqRloJIUWNGmjVW8X+EnwL1P4lXUnibxcLi5vdbvJtSubZUWMM10ZXYMCkrQ43gBEbaioIhuEYavnPS7/U/iN4+/tjUS9xcT3TTRW28BFi+aO3swXzBGkTMqiQ+WpjElxITuIH7A/CMa/wCCdEstfvvDsOo+Ho57O1vb/wAMXVvq2p6XE6bxdvpJlivL+2S3EsksmnIyInmmMSMvze3iqNXKKChhXfGVqfNWq3S9nGPK40qd/O3vS3V027nhZbXoZ1i5VcwlGGXYWpyYag1Lkl7TR1Jt+85PVJ73fY/N/wCPf7PMnw4v5LuSCa20u/lEto8ke2FfNMamEyHh5A6SElnDsG3nhwqlftN8f/A3gj4x/CaS2uPEWiaZp/2vSZ9N1q9UpMs8N3am5SXdHFLFHNCUiCEttljCMAScFaZbnEp4WLxE5SqqTU37265Xa8Uk+uq8uyKzHhuEsVKeGUI0ZpSgo2ta6Servryr8erP/9k=">
          <a:extLst>
            <a:ext uri="{FF2B5EF4-FFF2-40B4-BE49-F238E27FC236}">
              <a16:creationId xmlns:a16="http://schemas.microsoft.com/office/drawing/2014/main" id="{0865C9FA-40AF-4B85-BAE9-F541BFA257A7}"/>
            </a:ext>
          </a:extLst>
        </xdr:cNvPr>
        <xdr:cNvSpPr>
          <a:spLocks noChangeAspect="1" noChangeArrowheads="1"/>
        </xdr:cNvSpPr>
      </xdr:nvSpPr>
      <xdr:spPr bwMode="auto">
        <a:xfrm>
          <a:off x="13087350" y="14077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14</xdr:col>
      <xdr:colOff>0</xdr:colOff>
      <xdr:row>66</xdr:row>
      <xdr:rowOff>0</xdr:rowOff>
    </xdr:from>
    <xdr:ext cx="304800" cy="304800"/>
    <xdr:sp macro="" textlink="">
      <xdr:nvSpPr>
        <xdr:cNvPr id="6" name="avatar" descr="data:image/pjpeg;base64,/9j/4AAQSkZJRgABAQEAYABgAAD/2wBDAAEBAQEBAQEBAQEBAQEBAQEBAQEBAQEBAQEBAQEBAQEBAQEBAQEBAQEBAQEBAQEBAQEBAQEBAQEBAQEBAQEBAQH/2wBDAQEBAQEBAQEBAQEBAQEBAQEBAQEBAQEBAQEBAQEBAQEBAQEBAQEBAQEBAQEBAQEBAQEBAQEBAQEBAQEBAQEBAQH/wAARCABAAD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l/wBm/nxBqyYIDWC8nb2ktV6Kzf3s8ke2eo+v7680zRNPvNV1fU7PStL023mvtR1LU7mCysbGzt42mnuru8uZIreC3ghjklnlldUiiR5HIUEj5A/ZuYjxRqQI5k01zt6NkSIwVQe5Ix0r8nv+Cu/7W3iG68cP+zh4F8QS2PhLw9plrcfEiTSm2S6r4jvxFfx+H7q+DD/iXaZpRsbi6tLWVB9uvLi21FbuSxgjg+GzejKvnEqUNHOFJN9laWv4NW8j3cqdsI29lUm/klE+3/8AgoZ/wUyf4E+NdB8B/CDwvpPi/XNb+E/wv8dW3jXW7ySTw3b6J4n8K2N9oc2m6ZYSRT6lNcWL2uow3M+rafbIk8Bhg1OOSTZ+Gfi//gpL+2Brmt/2zP8AGbXtKTzPMi0bwzZaLpWhwrwBbtp0NoIbmBQvlkait87IMNI64rX/AOCiVyJPGv7MVxZvJKdU/YR/ZC1CSHfkRyn4VaVG6sx8vJiWFdpZV5PTcOfz5E0dyXikg2MgZ2dzwfmILYQndjGflOAcg45Fe/DKsLyzdShCUqr525Lm+KEOum21r+aaOZV7QTpy099team/+G+fc+/fA3/BT79o7QPihpfxC8VeJH8T29vNbpqukyWlnaWeoabEkcEtqIrOOBLcSwI0jvbBW+1STXagPIxH7+/s5f8ABQr4QftE3q+H9H1BdM1xYYpFtZwIJ2iyFmYwyrE+wO8SfaoHvLfe8aTzQSTRJJ/HdFEkzMIw8jOWWFPLbEzGQKMAnKwpk75SxPAGz5sr0PhbxXrHgnxTpWteH799L1XSrhJ7O5tZZIds8ZJBZgf3gYFlbOCyl0yFJFRisqpVKVsNSjSqqK5YxVozty2/wrz97cUa8qkoxmr3lGMZN/A5NJvazdr6aaNn99zRhoOG3ApGRJt++pIIbOec+mBjjr1or4s/YG/aKuP2hfgZY6vrlwJ/EvhmdPD/AIhyyR3cNxBEklt9uTaqeZcW7R3UFypYXdrPDK5SfzYkK+fi3BcjWsW09dpJvmXXZ3V+u+mxrUoqM5J1IKz63T6a2s/zfrvbz7R/i3oPwN8I/Er4peJLxLLTvCXhO9vYC9rdXgu9WnH2XQ9OEFpG80kmp6zLY2EYBiUfaDI8ipGxH8qHjjxTq/jrxV4j8XeJtSub3VvFeu6jrer6hO+43V9ql1JeXj72LL5bTzSSoi58tXEcZ8lI41/oj+OGlt4o8DaP4FNrDd23jr4j+AdN1JbgFohpPh69v/H+qAxAHzWubTwe9iEdWhxdM0ilFJr4d+Iv7Fnhfxn448Jjwfpp8H+Fr+414+Kra3vGubvT205NO8u0thqE88cMgvLqe1do7ZIrfY2yPyYYyuuc5vl2WZo3jJOPtcPTqe0bXJCNm6doq0nKd31eysj6LhrhvMM2yStisCoVFRxbw3s3fmlOpSoyk1JaWhKpZ6bcvmz5o/bfmivfiP8ABvRZ8u3hP9jv9jzwqZcggPB+zz4B1W4VoyxkS4+1aqxwUQMcN5as/PxtcWjWyRD7BLbxSFVimnuJI0dTxuAZN7BuX2x+ZhiVP90ful8Xvhj8L77x3r3xBn0/xJqF/d3dpDYR6PoWna7qtnoei6faeG/ClmYJ7O9lWHw94Z0jSdPjS0jQrbWKuXkYMx5Lwv4o8PabrOlW+k+GtA8baXfN5d1b+JPDY8NeO7R8Zkltrm6gfSdZayysNxbQR295p8nmW0yNMgMUYbjLDVaMp4fDSq0IJLnlUdPmk0uVL924R5rpLnnHW/TV9z4CxGGVGljsbGlWqNqNOjRddpNptvlqc8uXXm5KcrJJ63svzp+AfwF1b4n6jLcXFjNDoGkwyS3WrSxXMNvNuBjt7JLpzl7mf5ohbRBXtreKW4kSKS4UyU/2kvgjpnwx1TQr7R4nFrqM8ltexvvkjyyPJC2Gbzd5WNldiy5JGM81+4mrXXhfR9IN3Lf2WgWMlvE0ltdslslszplBJH5ipuUnzSzKGYv8w5Ffml+2Jreg6p4UW9stSstSeLU7SWCayu4biHZE0kRAEUjbZQ0qsowSMOrYU4Pk4HP8wxecYWo3OGEqVVRcItzppTTtecfdb5mutn2vt9BmfC2VZVkGI9+lWx9OMayqyfs23HlcnGm7SSSvF3u7vdO1vsz/AIIra5qH9v8Axy8PR3KnSLfS/CV/NaMMlr8y3ttBdJMx2MHtkeGRZCWdYLWRD8rCisn/AIIfWGo3978b9Xks4k0+3h8M6cNQ+Rbh7uR9SlNr57bmEcEcBYR+WUYSh1OMEFezjrxxmJilFqNVr3XptF6762d35u+yPy6pzTjRnFSalRhK9r6ttvbs9vJI7T9qD4h3nw28MfDnxFoJguvE8fxZ8L2/h/Q7hZPK13+09K8SaFqWnSTRI81qs2n6xNAlzFmSK5uLZwrqGFe4ab4mmuW1v7ZplsNWvFsNO/tEXsl5NpenRJeT6hptirssKHUri6hkvNQeN7qS3tksreKxtZ7yO75H9sL4HXHhrUfgPrPiW4hOj6V490rU7S4S3uPKufEiWN7ex6VdFopIoLS1urG3uo7iV1F75aQxxKYnA57TvENvb3Gp6fNLHC3nu28tGGbb5atGoLB9vlOoB/e5UsiFMAn4nj/EPE5phIYdOLq4B1pYh6+0putUp04XtZOMKbTTSa5tbH6x4bwqYHI8YsTUm4f2rhvY0G7wpzpUKUqk0oLapL2bb5mvdZ6RqOiaZPbzmbUEshHiZy8m1S3BO5kZSGYEs2WUyNvf94xbd47qfhjwtPqa3seqS3utT+XtjuJFvHKZj8uSOSWKSaISRpEqrHcqXjjhDjaiKuN4t1GZdaiuHtLjU9O1C8sbG2kttR0+D+yp7rTkktTJHqk9rZtHd32633fao7hp3gSMyu6W79g8Pizwmi6jercWUJkgluLfVrE6fbTxuXjgVbzULNkLtawyFf7OvBygMuGtpEj8OhhcRRwdKnTqKMqsHz2qJSlGKUpR5dV+7i7a6812t0fpjxeX4mvJVaUW6M4ezvBNc84walCW/vP3bJbqx438WfDXiLxvrM9nNd3DWmn6ZaL9ji2iDLXDTi4udOl8qLUoWiWO3uIpriGRLZmMDLNGpX8+/wBo3wPeeHvCGgaReaVoVp4h1rxZaadpEumQWejC+s2t5Wb+0E2WVhFNHdyWou71BHHHujdpVgLlP0bb4kX8/jy61K90myt4rmOGyRNPdLiKWzlKRptmibyS5uZjcIsQyv2iNdsW8Kfzn/bJ+IFv4g+IOnaLZFnh8J2c/mPHzHHqepyQyTqEKsvmQWtvbDeGyN0fIOcfXcOfWYYnD4OKXJRhLEyqSjGVmlyQ1fXmcZab+W6/PuMoYX6hiMfGpKNavVjhFSfNHmUpQlLSVrr2alayaTtds/aD/gl5p3wS/Z78CeItJ1r45eAdR8YeKLix1nXtOj8T+HvsGnXUNq9stnpjx3Hn3S2dp5FveXTTSwXF6l1LbLFCVViv5lZdUulAltp5kZsCaLzX3PwSMKwjYFWGWIHseKK+meT4hzqTqYmnXnVqSqSqzjyyk5NfZ5tFFJQXlDzPyiVWlLltCUYwjGEUu0eVdFu7y+/0P7OP2e72P9q39n3VvhV8YIZLrxt8ObseBvGWopLELt9b0GKC58L+NbK7Xz/3+o6UdN1WXUJI7ZrnUIdZu5bfYHgP5E/HzwX46/Z0+JF/4e8crM1qszKuox7jYXulXUrxaZr0MkiqRbXSh4rpCoeyv7SWzuVikglFfdv7JEPjD9nD9rDU/hf4rl01/CPizw9o3gWy1a3t5reTxDbRnUZ/hx4z1FmVoptRFxFceA9RmFzAyahqYsU+zpHHfL+hH7T/AOzloX7RXgPUPCV9bWdv410eC7vPBWtzRxq1ys6k3Og38xUG503UUhSN4yJBZXSw3sEaSGbzPu/EjgjAwx0cfgnhpUcywtHNMA8LzSwro4qEalXD01zc0eSs6jjF2tpFJRaT8LgLjPFLDSwOIdelLLsXUy/HU60+apTrUUlQxEmrqSqYWVPn+La/xxkfhx4I1nStatJdN1dYL/TNbtZILol1lhjVbfy0RplBWKRo/mt2+VopghDDaHX1NPjp8TPh1oA8F6H4j0zxXo1jaMuj2PjXSo9aewaKDULW1WCcTWMksFva6pexQwXF9cQwrcS/ZvKicQp8gN4K+Inwc17UdKhSYSaHdvZat4V19zFJZtaOP9XciNozCIgPIacyI0RWeGYoVJxfHXx6W18K6r4m1PwXqcFva6hDotvfWcdm2mxapd2008Fu+oQzbneZI5pVJXZ5cHCjOR+Kxy5Kq4UYwquPuypSg4unUTs3JpKpFbXUWtPW7/dqed4WeApUcdScbJS9vZqNaHNzwVKrG173dry5+j6GF48+NNh8Lv8AhIfFGvpYeJfiZ4pllvrawsbOO10q31GSJLe0+xWNoogsNP0qOK1NoqRloJIUWNGmjVW8X+EnwL1P4lXUnibxcLi5vdbvJtSubZUWMM10ZXYMCkrQ43gBEbaioIhuEYavnPS7/U/iN4+/tjUS9xcT3TTRW28BFi+aO3swXzBGkTMqiQ+WpjElxITuIH7A/CMa/wCCdEstfvvDsOo+Ho57O1vb/wAMXVvq2p6XE6bxdvpJlivL+2S3EsksmnIyInmmMSMvze3iqNXKKChhXfGVqfNWq3S9nGPK40qd/O3vS3V027nhZbXoZ1i5VcwlGGXYWpyYag1Lkl7TR1Jt+85PVJ73fY/N/wCPf7PMnw4v5LuSCa20u/lEto8ke2FfNMamEyHh5A6SElnDsG3nhwqlftN8f/A3gj4x/CaS2uPEWiaZp/2vSZ9N1q9UpMs8N3am5SXdHFLFHNCUiCEttljCMAScFaZbnEp4WLxE5SqqTU37265Xa8Uk+uq8uyKzHhuEsVKeGUI0ZpSgo2ta6Servryr8erP/9k=">
          <a:extLst>
            <a:ext uri="{FF2B5EF4-FFF2-40B4-BE49-F238E27FC236}">
              <a16:creationId xmlns:a16="http://schemas.microsoft.com/office/drawing/2014/main" id="{F66A15F1-57DA-4569-802F-F15E212C87A0}"/>
            </a:ext>
          </a:extLst>
        </xdr:cNvPr>
        <xdr:cNvSpPr>
          <a:spLocks noChangeAspect="1" noChangeArrowheads="1"/>
        </xdr:cNvSpPr>
      </xdr:nvSpPr>
      <xdr:spPr bwMode="auto">
        <a:xfrm>
          <a:off x="13087350" y="1423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2</xdr:row>
      <xdr:rowOff>57150</xdr:rowOff>
    </xdr:from>
    <xdr:to>
      <xdr:col>0</xdr:col>
      <xdr:colOff>543329</xdr:colOff>
      <xdr:row>2</xdr:row>
      <xdr:rowOff>571500</xdr:rowOff>
    </xdr:to>
    <xdr:pic>
      <xdr:nvPicPr>
        <xdr:cNvPr id="2" name="Imagem 1">
          <a:hlinkClick xmlns:r="http://schemas.openxmlformats.org/officeDocument/2006/relationships" r:id="rId1" tooltip="menu"/>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100" y="438150"/>
          <a:ext cx="502054" cy="514350"/>
        </a:xfrm>
        <a:prstGeom prst="rect">
          <a:avLst/>
        </a:prstGeom>
      </xdr:spPr>
    </xdr:pic>
    <xdr:clientData/>
  </xdr:twoCellAnchor>
  <xdr:twoCellAnchor editAs="absolute">
    <xdr:from>
      <xdr:col>1</xdr:col>
      <xdr:colOff>19049</xdr:colOff>
      <xdr:row>1</xdr:row>
      <xdr:rowOff>57151</xdr:rowOff>
    </xdr:from>
    <xdr:to>
      <xdr:col>5</xdr:col>
      <xdr:colOff>1663700</xdr:colOff>
      <xdr:row>2</xdr:row>
      <xdr:rowOff>552451</xdr:rowOff>
    </xdr:to>
    <mc:AlternateContent xmlns:mc="http://schemas.openxmlformats.org/markup-compatibility/2006" xmlns:sle15="http://schemas.microsoft.com/office/drawing/2012/slicer">
      <mc:Choice Requires="sle15">
        <xdr:graphicFrame macro="">
          <xdr:nvGraphicFramePr>
            <xdr:cNvPr id="9" name="Cartão">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Cartão"/>
            </a:graphicData>
          </a:graphic>
        </xdr:graphicFrame>
      </mc:Choice>
      <mc:Fallback xmlns="">
        <xdr:sp macro="" textlink="">
          <xdr:nvSpPr>
            <xdr:cNvPr id="0" name=""/>
            <xdr:cNvSpPr>
              <a:spLocks noTextEdit="1"/>
            </xdr:cNvSpPr>
          </xdr:nvSpPr>
          <xdr:spPr>
            <a:xfrm>
              <a:off x="628649" y="247651"/>
              <a:ext cx="4733925" cy="6858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2013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twoCellAnchor editAs="absolute">
    <xdr:from>
      <xdr:col>1</xdr:col>
      <xdr:colOff>12699</xdr:colOff>
      <xdr:row>2</xdr:row>
      <xdr:rowOff>666751</xdr:rowOff>
    </xdr:from>
    <xdr:to>
      <xdr:col>6</xdr:col>
      <xdr:colOff>2934803</xdr:colOff>
      <xdr:row>2</xdr:row>
      <xdr:rowOff>1295400</xdr:rowOff>
    </xdr:to>
    <mc:AlternateContent xmlns:mc="http://schemas.openxmlformats.org/markup-compatibility/2006" xmlns:sle15="http://schemas.microsoft.com/office/drawing/2012/slicer">
      <mc:Choice Requires="sle15">
        <xdr:graphicFrame macro="">
          <xdr:nvGraphicFramePr>
            <xdr:cNvPr id="10" name="Mês">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microsoft.com/office/drawing/2010/slicer">
              <sle:slicer xmlns:sle="http://schemas.microsoft.com/office/drawing/2010/slicer" name="Mês"/>
            </a:graphicData>
          </a:graphic>
        </xdr:graphicFrame>
      </mc:Choice>
      <mc:Fallback xmlns="">
        <xdr:sp macro="" textlink="">
          <xdr:nvSpPr>
            <xdr:cNvPr id="0" name=""/>
            <xdr:cNvSpPr>
              <a:spLocks noTextEdit="1"/>
            </xdr:cNvSpPr>
          </xdr:nvSpPr>
          <xdr:spPr>
            <a:xfrm>
              <a:off x="619124" y="1047751"/>
              <a:ext cx="8924925" cy="628649"/>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2013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twoCellAnchor editAs="absolute">
    <xdr:from>
      <xdr:col>10</xdr:col>
      <xdr:colOff>350353</xdr:colOff>
      <xdr:row>2</xdr:row>
      <xdr:rowOff>654050</xdr:rowOff>
    </xdr:from>
    <xdr:to>
      <xdr:col>17</xdr:col>
      <xdr:colOff>91660</xdr:colOff>
      <xdr:row>2</xdr:row>
      <xdr:rowOff>1301751</xdr:rowOff>
    </xdr:to>
    <mc:AlternateContent xmlns:mc="http://schemas.openxmlformats.org/markup-compatibility/2006" xmlns:sle15="http://schemas.microsoft.com/office/drawing/2012/slicer">
      <mc:Choice Requires="sle15">
        <xdr:graphicFrame macro="">
          <xdr:nvGraphicFramePr>
            <xdr:cNvPr id="11" name="Mês 1">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microsoft.com/office/drawing/2010/slicer">
              <sle:slicer xmlns:sle="http://schemas.microsoft.com/office/drawing/2010/slicer" name="Mês 1"/>
            </a:graphicData>
          </a:graphic>
        </xdr:graphicFrame>
      </mc:Choice>
      <mc:Fallback xmlns="">
        <xdr:sp macro="" textlink="">
          <xdr:nvSpPr>
            <xdr:cNvPr id="0" name=""/>
            <xdr:cNvSpPr>
              <a:spLocks noTextEdit="1"/>
            </xdr:cNvSpPr>
          </xdr:nvSpPr>
          <xdr:spPr>
            <a:xfrm>
              <a:off x="12639674" y="1038225"/>
              <a:ext cx="6886575" cy="647701"/>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2013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twoCellAnchor editAs="absolute">
    <xdr:from>
      <xdr:col>17</xdr:col>
      <xdr:colOff>682211</xdr:colOff>
      <xdr:row>2</xdr:row>
      <xdr:rowOff>654051</xdr:rowOff>
    </xdr:from>
    <xdr:to>
      <xdr:col>22</xdr:col>
      <xdr:colOff>3139661</xdr:colOff>
      <xdr:row>2</xdr:row>
      <xdr:rowOff>1320801</xdr:rowOff>
    </xdr:to>
    <mc:AlternateContent xmlns:mc="http://schemas.openxmlformats.org/markup-compatibility/2006" xmlns:sle15="http://schemas.microsoft.com/office/drawing/2012/slicer">
      <mc:Choice Requires="sle15">
        <xdr:graphicFrame macro="">
          <xdr:nvGraphicFramePr>
            <xdr:cNvPr id="12" name="Mês 2">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microsoft.com/office/drawing/2010/slicer">
              <sle:slicer xmlns:sle="http://schemas.microsoft.com/office/drawing/2010/slicer" name="Mês 2"/>
            </a:graphicData>
          </a:graphic>
        </xdr:graphicFrame>
      </mc:Choice>
      <mc:Fallback xmlns="">
        <xdr:sp macro="" textlink="">
          <xdr:nvSpPr>
            <xdr:cNvPr id="0" name=""/>
            <xdr:cNvSpPr>
              <a:spLocks noTextEdit="1"/>
            </xdr:cNvSpPr>
          </xdr:nvSpPr>
          <xdr:spPr>
            <a:xfrm>
              <a:off x="20059650" y="1038226"/>
              <a:ext cx="6838950" cy="66675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de tabela. Segmentações de dados de tabela têm suporte no Excel 2013 ou em versões posteriores.
Se a forma tiver sido modificada em uma versão anterior do Excel, ou se a pasta de trabalho tiver sido salva no Excel 2007 ou em versões anteriores, a segmentação de dados não poderá ser usada.</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0</xdr:col>
      <xdr:colOff>533400</xdr:colOff>
      <xdr:row>2</xdr:row>
      <xdr:rowOff>39</xdr:rowOff>
    </xdr:to>
    <xdr:pic>
      <xdr:nvPicPr>
        <xdr:cNvPr id="2" name="Imagem 1">
          <a:hlinkClick xmlns:r="http://schemas.openxmlformats.org/officeDocument/2006/relationships" r:id="rId1" tooltip="menu"/>
          <a:extLst>
            <a:ext uri="{FF2B5EF4-FFF2-40B4-BE49-F238E27FC236}">
              <a16:creationId xmlns:a16="http://schemas.microsoft.com/office/drawing/2014/main" id="{30852488-F73D-48B8-B46D-2929F622B99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twoCellAnchor editAs="oneCell">
    <xdr:from>
      <xdr:col>0</xdr:col>
      <xdr:colOff>142875</xdr:colOff>
      <xdr:row>0</xdr:row>
      <xdr:rowOff>0</xdr:rowOff>
    </xdr:from>
    <xdr:to>
      <xdr:col>0</xdr:col>
      <xdr:colOff>533400</xdr:colOff>
      <xdr:row>2</xdr:row>
      <xdr:rowOff>39</xdr:rowOff>
    </xdr:to>
    <xdr:pic>
      <xdr:nvPicPr>
        <xdr:cNvPr id="3" name="Imagem 2">
          <a:hlinkClick xmlns:r="http://schemas.openxmlformats.org/officeDocument/2006/relationships" r:id="rId1" tooltip="menu"/>
          <a:extLst>
            <a:ext uri="{FF2B5EF4-FFF2-40B4-BE49-F238E27FC236}">
              <a16:creationId xmlns:a16="http://schemas.microsoft.com/office/drawing/2014/main" id="{EFC31150-37A2-47E0-8BBB-753396647A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twoCellAnchor editAs="oneCell">
    <xdr:from>
      <xdr:col>0</xdr:col>
      <xdr:colOff>142875</xdr:colOff>
      <xdr:row>0</xdr:row>
      <xdr:rowOff>0</xdr:rowOff>
    </xdr:from>
    <xdr:to>
      <xdr:col>0</xdr:col>
      <xdr:colOff>533400</xdr:colOff>
      <xdr:row>2</xdr:row>
      <xdr:rowOff>39</xdr:rowOff>
    </xdr:to>
    <xdr:pic>
      <xdr:nvPicPr>
        <xdr:cNvPr id="4" name="Imagem 3">
          <a:hlinkClick xmlns:r="http://schemas.openxmlformats.org/officeDocument/2006/relationships" r:id="rId1" tooltip="menu"/>
          <a:extLst>
            <a:ext uri="{FF2B5EF4-FFF2-40B4-BE49-F238E27FC236}">
              <a16:creationId xmlns:a16="http://schemas.microsoft.com/office/drawing/2014/main" id="{0C5C4C20-9D78-4D72-B4FC-205054D82B5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twoCellAnchor editAs="oneCell">
    <xdr:from>
      <xdr:col>0</xdr:col>
      <xdr:colOff>142875</xdr:colOff>
      <xdr:row>0</xdr:row>
      <xdr:rowOff>0</xdr:rowOff>
    </xdr:from>
    <xdr:to>
      <xdr:col>0</xdr:col>
      <xdr:colOff>533400</xdr:colOff>
      <xdr:row>2</xdr:row>
      <xdr:rowOff>39</xdr:rowOff>
    </xdr:to>
    <xdr:pic>
      <xdr:nvPicPr>
        <xdr:cNvPr id="5" name="Imagem 4">
          <a:hlinkClick xmlns:r="http://schemas.openxmlformats.org/officeDocument/2006/relationships" r:id="rId1" tooltip="menu"/>
          <a:extLst>
            <a:ext uri="{FF2B5EF4-FFF2-40B4-BE49-F238E27FC236}">
              <a16:creationId xmlns:a16="http://schemas.microsoft.com/office/drawing/2014/main" id="{A5A27E88-5B3E-48A2-8D5B-B1D8573A992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twoCellAnchor editAs="oneCell">
    <xdr:from>
      <xdr:col>0</xdr:col>
      <xdr:colOff>142875</xdr:colOff>
      <xdr:row>0</xdr:row>
      <xdr:rowOff>0</xdr:rowOff>
    </xdr:from>
    <xdr:to>
      <xdr:col>0</xdr:col>
      <xdr:colOff>533400</xdr:colOff>
      <xdr:row>2</xdr:row>
      <xdr:rowOff>39</xdr:rowOff>
    </xdr:to>
    <xdr:pic>
      <xdr:nvPicPr>
        <xdr:cNvPr id="6" name="Imagem 5">
          <a:hlinkClick xmlns:r="http://schemas.openxmlformats.org/officeDocument/2006/relationships" r:id="rId1" tooltip="menu"/>
          <a:extLst>
            <a:ext uri="{FF2B5EF4-FFF2-40B4-BE49-F238E27FC236}">
              <a16:creationId xmlns:a16="http://schemas.microsoft.com/office/drawing/2014/main" id="{E803C396-CDDB-4D8D-A4C4-67308CB534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twoCellAnchor editAs="oneCell">
    <xdr:from>
      <xdr:col>0</xdr:col>
      <xdr:colOff>142875</xdr:colOff>
      <xdr:row>0</xdr:row>
      <xdr:rowOff>0</xdr:rowOff>
    </xdr:from>
    <xdr:to>
      <xdr:col>0</xdr:col>
      <xdr:colOff>533400</xdr:colOff>
      <xdr:row>2</xdr:row>
      <xdr:rowOff>39</xdr:rowOff>
    </xdr:to>
    <xdr:pic>
      <xdr:nvPicPr>
        <xdr:cNvPr id="7" name="Imagem 6">
          <a:hlinkClick xmlns:r="http://schemas.openxmlformats.org/officeDocument/2006/relationships" r:id="rId1" tooltip="menu"/>
          <a:extLst>
            <a:ext uri="{FF2B5EF4-FFF2-40B4-BE49-F238E27FC236}">
              <a16:creationId xmlns:a16="http://schemas.microsoft.com/office/drawing/2014/main" id="{48A282D9-E7FB-4820-B6CF-5F7EBFB6A7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2875" y="0"/>
          <a:ext cx="390525" cy="4000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523875</xdr:colOff>
      <xdr:row>4</xdr:row>
      <xdr:rowOff>95250</xdr:rowOff>
    </xdr:from>
    <xdr:to>
      <xdr:col>5</xdr:col>
      <xdr:colOff>476250</xdr:colOff>
      <xdr:row>7</xdr:row>
      <xdr:rowOff>85725</xdr:rowOff>
    </xdr:to>
    <xdr:pic>
      <xdr:nvPicPr>
        <xdr:cNvPr id="2" name="Imagem 1" descr="cifra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2275" y="857250"/>
          <a:ext cx="561975"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342900</xdr:colOff>
      <xdr:row>10</xdr:row>
      <xdr:rowOff>85725</xdr:rowOff>
    </xdr:from>
    <xdr:to>
      <xdr:col>7</xdr:col>
      <xdr:colOff>238126</xdr:colOff>
      <xdr:row>22</xdr:row>
      <xdr:rowOff>87511</xdr:rowOff>
    </xdr:to>
    <xdr:pic>
      <xdr:nvPicPr>
        <xdr:cNvPr id="3" name="Imagem 2" descr="6 Formas de Ganhar Dinheiro Pela Internet Que Você Vai Adorar!">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1990725"/>
          <a:ext cx="4162426" cy="2287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542925</xdr:colOff>
      <xdr:row>8</xdr:row>
      <xdr:rowOff>173832</xdr:rowOff>
    </xdr:from>
    <xdr:to>
      <xdr:col>17</xdr:col>
      <xdr:colOff>504824</xdr:colOff>
      <xdr:row>21</xdr:row>
      <xdr:rowOff>76200</xdr:rowOff>
    </xdr:to>
    <xdr:pic>
      <xdr:nvPicPr>
        <xdr:cNvPr id="4" name="Imagem 3" descr="Como economizar dinheiro ganhando pouco &amp;#8211; 10 dicas | Blog da ...">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638925" y="1697832"/>
          <a:ext cx="4229099" cy="2378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9</xdr:col>
      <xdr:colOff>17969</xdr:colOff>
      <xdr:row>9</xdr:row>
      <xdr:rowOff>95250</xdr:rowOff>
    </xdr:to>
    <xdr:pic>
      <xdr:nvPicPr>
        <xdr:cNvPr id="5" name="Image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876800" y="1143000"/>
          <a:ext cx="627569" cy="666750"/>
        </a:xfrm>
        <a:prstGeom prst="rect">
          <a:avLst/>
        </a:prstGeom>
      </xdr:spPr>
    </xdr:pic>
    <xdr:clientData/>
  </xdr:twoCellAnchor>
  <xdr:twoCellAnchor>
    <xdr:from>
      <xdr:col>9</xdr:col>
      <xdr:colOff>142875</xdr:colOff>
      <xdr:row>0</xdr:row>
      <xdr:rowOff>0</xdr:rowOff>
    </xdr:from>
    <xdr:to>
      <xdr:col>12</xdr:col>
      <xdr:colOff>361950</xdr:colOff>
      <xdr:row>8</xdr:row>
      <xdr:rowOff>9525</xdr:rowOff>
    </xdr:to>
    <xdr:sp macro="" textlink="">
      <xdr:nvSpPr>
        <xdr:cNvPr id="6" name="Forma livre 5">
          <a:extLst>
            <a:ext uri="{FF2B5EF4-FFF2-40B4-BE49-F238E27FC236}">
              <a16:creationId xmlns:a16="http://schemas.microsoft.com/office/drawing/2014/main" id="{00000000-0008-0000-0700-000006000000}"/>
            </a:ext>
          </a:extLst>
        </xdr:cNvPr>
        <xdr:cNvSpPr/>
      </xdr:nvSpPr>
      <xdr:spPr>
        <a:xfrm>
          <a:off x="5629275" y="0"/>
          <a:ext cx="2047875" cy="1533525"/>
        </a:xfrm>
        <a:custGeom>
          <a:avLst/>
          <a:gdLst>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3480179 w 4374107"/>
            <a:gd name="connsiteY13" fmla="*/ 361666 h 3466531"/>
            <a:gd name="connsiteX14" fmla="*/ 2251880 w 4374107"/>
            <a:gd name="connsiteY14" fmla="*/ 388961 h 3466531"/>
            <a:gd name="connsiteX15" fmla="*/ 1576316 w 4374107"/>
            <a:gd name="connsiteY15" fmla="*/ 607325 h 3466531"/>
            <a:gd name="connsiteX16" fmla="*/ 934871 w 4374107"/>
            <a:gd name="connsiteY16" fmla="*/ 0 h 3466531"/>
            <a:gd name="connsiteX17" fmla="*/ 887104 w 4374107"/>
            <a:gd name="connsiteY17"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374107"/>
            <a:gd name="connsiteY0" fmla="*/ 1030406 h 3466531"/>
            <a:gd name="connsiteX1" fmla="*/ 361666 w 4374107"/>
            <a:gd name="connsiteY1" fmla="*/ 1562669 h 3466531"/>
            <a:gd name="connsiteX2" fmla="*/ 0 w 4374107"/>
            <a:gd name="connsiteY2" fmla="*/ 1569493 h 3466531"/>
            <a:gd name="connsiteX3" fmla="*/ 6824 w 4374107"/>
            <a:gd name="connsiteY3" fmla="*/ 2320119 h 3466531"/>
            <a:gd name="connsiteX4" fmla="*/ 1473958 w 4374107"/>
            <a:gd name="connsiteY4" fmla="*/ 2975212 h 3466531"/>
            <a:gd name="connsiteX5" fmla="*/ 1487606 w 4374107"/>
            <a:gd name="connsiteY5" fmla="*/ 3446060 h 3466531"/>
            <a:gd name="connsiteX6" fmla="*/ 2176818 w 4374107"/>
            <a:gd name="connsiteY6" fmla="*/ 3439236 h 3466531"/>
            <a:gd name="connsiteX7" fmla="*/ 2183642 w 4374107"/>
            <a:gd name="connsiteY7" fmla="*/ 2995684 h 3466531"/>
            <a:gd name="connsiteX8" fmla="*/ 3166280 w 4374107"/>
            <a:gd name="connsiteY8" fmla="*/ 2975212 h 3466531"/>
            <a:gd name="connsiteX9" fmla="*/ 3186752 w 4374107"/>
            <a:gd name="connsiteY9" fmla="*/ 3466531 h 3466531"/>
            <a:gd name="connsiteX10" fmla="*/ 3869140 w 4374107"/>
            <a:gd name="connsiteY10" fmla="*/ 3452884 h 3466531"/>
            <a:gd name="connsiteX11" fmla="*/ 3882788 w 4374107"/>
            <a:gd name="connsiteY11" fmla="*/ 2695433 h 3466531"/>
            <a:gd name="connsiteX12" fmla="*/ 4374107 w 4374107"/>
            <a:gd name="connsiteY12" fmla="*/ 1439839 h 3466531"/>
            <a:gd name="connsiteX13" fmla="*/ 4162567 w 4374107"/>
            <a:gd name="connsiteY13" fmla="*/ 812042 h 3466531"/>
            <a:gd name="connsiteX14" fmla="*/ 3480179 w 4374107"/>
            <a:gd name="connsiteY14" fmla="*/ 361666 h 3466531"/>
            <a:gd name="connsiteX15" fmla="*/ 2251880 w 4374107"/>
            <a:gd name="connsiteY15" fmla="*/ 388961 h 3466531"/>
            <a:gd name="connsiteX16" fmla="*/ 1576316 w 4374107"/>
            <a:gd name="connsiteY16" fmla="*/ 607325 h 3466531"/>
            <a:gd name="connsiteX17" fmla="*/ 934871 w 4374107"/>
            <a:gd name="connsiteY17" fmla="*/ 0 h 3466531"/>
            <a:gd name="connsiteX18" fmla="*/ 887104 w 4374107"/>
            <a:gd name="connsiteY18" fmla="*/ 1030406 h 3466531"/>
            <a:gd name="connsiteX0" fmla="*/ 887104 w 4411074"/>
            <a:gd name="connsiteY0" fmla="*/ 1030406 h 3466531"/>
            <a:gd name="connsiteX1" fmla="*/ 361666 w 4411074"/>
            <a:gd name="connsiteY1" fmla="*/ 1562669 h 3466531"/>
            <a:gd name="connsiteX2" fmla="*/ 0 w 4411074"/>
            <a:gd name="connsiteY2" fmla="*/ 1569493 h 3466531"/>
            <a:gd name="connsiteX3" fmla="*/ 6824 w 4411074"/>
            <a:gd name="connsiteY3" fmla="*/ 2320119 h 3466531"/>
            <a:gd name="connsiteX4" fmla="*/ 1473958 w 4411074"/>
            <a:gd name="connsiteY4" fmla="*/ 2975212 h 3466531"/>
            <a:gd name="connsiteX5" fmla="*/ 1487606 w 4411074"/>
            <a:gd name="connsiteY5" fmla="*/ 3446060 h 3466531"/>
            <a:gd name="connsiteX6" fmla="*/ 2176818 w 4411074"/>
            <a:gd name="connsiteY6" fmla="*/ 3439236 h 3466531"/>
            <a:gd name="connsiteX7" fmla="*/ 2183642 w 4411074"/>
            <a:gd name="connsiteY7" fmla="*/ 2995684 h 3466531"/>
            <a:gd name="connsiteX8" fmla="*/ 3166280 w 4411074"/>
            <a:gd name="connsiteY8" fmla="*/ 2975212 h 3466531"/>
            <a:gd name="connsiteX9" fmla="*/ 3186752 w 4411074"/>
            <a:gd name="connsiteY9" fmla="*/ 3466531 h 3466531"/>
            <a:gd name="connsiteX10" fmla="*/ 3869140 w 4411074"/>
            <a:gd name="connsiteY10" fmla="*/ 3452884 h 3466531"/>
            <a:gd name="connsiteX11" fmla="*/ 3882788 w 4411074"/>
            <a:gd name="connsiteY11" fmla="*/ 2695433 h 3466531"/>
            <a:gd name="connsiteX12" fmla="*/ 4374107 w 4411074"/>
            <a:gd name="connsiteY12" fmla="*/ 1439839 h 3466531"/>
            <a:gd name="connsiteX13" fmla="*/ 4360460 w 4411074"/>
            <a:gd name="connsiteY13" fmla="*/ 1255594 h 3466531"/>
            <a:gd name="connsiteX14" fmla="*/ 4162567 w 4411074"/>
            <a:gd name="connsiteY14" fmla="*/ 812042 h 3466531"/>
            <a:gd name="connsiteX15" fmla="*/ 3480179 w 4411074"/>
            <a:gd name="connsiteY15" fmla="*/ 361666 h 3466531"/>
            <a:gd name="connsiteX16" fmla="*/ 2251880 w 4411074"/>
            <a:gd name="connsiteY16" fmla="*/ 388961 h 3466531"/>
            <a:gd name="connsiteX17" fmla="*/ 1576316 w 4411074"/>
            <a:gd name="connsiteY17" fmla="*/ 607325 h 3466531"/>
            <a:gd name="connsiteX18" fmla="*/ 934871 w 4411074"/>
            <a:gd name="connsiteY18" fmla="*/ 0 h 3466531"/>
            <a:gd name="connsiteX19" fmla="*/ 887104 w 4411074"/>
            <a:gd name="connsiteY19" fmla="*/ 1030406 h 3466531"/>
            <a:gd name="connsiteX0" fmla="*/ 887104 w 4411074"/>
            <a:gd name="connsiteY0" fmla="*/ 1030406 h 3466531"/>
            <a:gd name="connsiteX1" fmla="*/ 361666 w 4411074"/>
            <a:gd name="connsiteY1" fmla="*/ 1562669 h 3466531"/>
            <a:gd name="connsiteX2" fmla="*/ 0 w 4411074"/>
            <a:gd name="connsiteY2" fmla="*/ 1569493 h 3466531"/>
            <a:gd name="connsiteX3" fmla="*/ 6824 w 4411074"/>
            <a:gd name="connsiteY3" fmla="*/ 2320119 h 3466531"/>
            <a:gd name="connsiteX4" fmla="*/ 1473958 w 4411074"/>
            <a:gd name="connsiteY4" fmla="*/ 2975212 h 3466531"/>
            <a:gd name="connsiteX5" fmla="*/ 1487606 w 4411074"/>
            <a:gd name="connsiteY5" fmla="*/ 3446060 h 3466531"/>
            <a:gd name="connsiteX6" fmla="*/ 2176818 w 4411074"/>
            <a:gd name="connsiteY6" fmla="*/ 3439236 h 3466531"/>
            <a:gd name="connsiteX7" fmla="*/ 2183642 w 4411074"/>
            <a:gd name="connsiteY7" fmla="*/ 2995684 h 3466531"/>
            <a:gd name="connsiteX8" fmla="*/ 3166280 w 4411074"/>
            <a:gd name="connsiteY8" fmla="*/ 2975212 h 3466531"/>
            <a:gd name="connsiteX9" fmla="*/ 3186752 w 4411074"/>
            <a:gd name="connsiteY9" fmla="*/ 3466531 h 3466531"/>
            <a:gd name="connsiteX10" fmla="*/ 3869140 w 4411074"/>
            <a:gd name="connsiteY10" fmla="*/ 3452884 h 3466531"/>
            <a:gd name="connsiteX11" fmla="*/ 3882788 w 4411074"/>
            <a:gd name="connsiteY11" fmla="*/ 2695433 h 3466531"/>
            <a:gd name="connsiteX12" fmla="*/ 4237629 w 4411074"/>
            <a:gd name="connsiteY12" fmla="*/ 2292824 h 3466531"/>
            <a:gd name="connsiteX13" fmla="*/ 4374107 w 4411074"/>
            <a:gd name="connsiteY13" fmla="*/ 1439839 h 3466531"/>
            <a:gd name="connsiteX14" fmla="*/ 4360460 w 4411074"/>
            <a:gd name="connsiteY14" fmla="*/ 1255594 h 3466531"/>
            <a:gd name="connsiteX15" fmla="*/ 4162567 w 4411074"/>
            <a:gd name="connsiteY15" fmla="*/ 812042 h 3466531"/>
            <a:gd name="connsiteX16" fmla="*/ 3480179 w 4411074"/>
            <a:gd name="connsiteY16" fmla="*/ 361666 h 3466531"/>
            <a:gd name="connsiteX17" fmla="*/ 2251880 w 4411074"/>
            <a:gd name="connsiteY17" fmla="*/ 388961 h 3466531"/>
            <a:gd name="connsiteX18" fmla="*/ 1576316 w 4411074"/>
            <a:gd name="connsiteY18" fmla="*/ 607325 h 3466531"/>
            <a:gd name="connsiteX19" fmla="*/ 934871 w 4411074"/>
            <a:gd name="connsiteY19" fmla="*/ 0 h 3466531"/>
            <a:gd name="connsiteX20" fmla="*/ 887104 w 4411074"/>
            <a:gd name="connsiteY20" fmla="*/ 1030406 h 3466531"/>
            <a:gd name="connsiteX0" fmla="*/ 887104 w 4415050"/>
            <a:gd name="connsiteY0" fmla="*/ 1030406 h 3466531"/>
            <a:gd name="connsiteX1" fmla="*/ 361666 w 4415050"/>
            <a:gd name="connsiteY1" fmla="*/ 1562669 h 3466531"/>
            <a:gd name="connsiteX2" fmla="*/ 0 w 4415050"/>
            <a:gd name="connsiteY2" fmla="*/ 1569493 h 3466531"/>
            <a:gd name="connsiteX3" fmla="*/ 6824 w 4415050"/>
            <a:gd name="connsiteY3" fmla="*/ 2320119 h 3466531"/>
            <a:gd name="connsiteX4" fmla="*/ 1473958 w 4415050"/>
            <a:gd name="connsiteY4" fmla="*/ 2975212 h 3466531"/>
            <a:gd name="connsiteX5" fmla="*/ 1487606 w 4415050"/>
            <a:gd name="connsiteY5" fmla="*/ 3446060 h 3466531"/>
            <a:gd name="connsiteX6" fmla="*/ 2176818 w 4415050"/>
            <a:gd name="connsiteY6" fmla="*/ 3439236 h 3466531"/>
            <a:gd name="connsiteX7" fmla="*/ 2183642 w 4415050"/>
            <a:gd name="connsiteY7" fmla="*/ 2995684 h 3466531"/>
            <a:gd name="connsiteX8" fmla="*/ 3166280 w 4415050"/>
            <a:gd name="connsiteY8" fmla="*/ 2975212 h 3466531"/>
            <a:gd name="connsiteX9" fmla="*/ 3186752 w 4415050"/>
            <a:gd name="connsiteY9" fmla="*/ 3466531 h 3466531"/>
            <a:gd name="connsiteX10" fmla="*/ 3869140 w 4415050"/>
            <a:gd name="connsiteY10" fmla="*/ 3452884 h 3466531"/>
            <a:gd name="connsiteX11" fmla="*/ 3882788 w 4415050"/>
            <a:gd name="connsiteY11" fmla="*/ 2695433 h 3466531"/>
            <a:gd name="connsiteX12" fmla="*/ 4237629 w 4415050"/>
            <a:gd name="connsiteY12" fmla="*/ 2292824 h 3466531"/>
            <a:gd name="connsiteX13" fmla="*/ 4415050 w 4415050"/>
            <a:gd name="connsiteY13" fmla="*/ 1726442 h 3466531"/>
            <a:gd name="connsiteX14" fmla="*/ 4374107 w 4415050"/>
            <a:gd name="connsiteY14" fmla="*/ 1439839 h 3466531"/>
            <a:gd name="connsiteX15" fmla="*/ 4360460 w 4415050"/>
            <a:gd name="connsiteY15" fmla="*/ 1255594 h 3466531"/>
            <a:gd name="connsiteX16" fmla="*/ 4162567 w 4415050"/>
            <a:gd name="connsiteY16" fmla="*/ 812042 h 3466531"/>
            <a:gd name="connsiteX17" fmla="*/ 3480179 w 4415050"/>
            <a:gd name="connsiteY17" fmla="*/ 361666 h 3466531"/>
            <a:gd name="connsiteX18" fmla="*/ 2251880 w 4415050"/>
            <a:gd name="connsiteY18" fmla="*/ 388961 h 3466531"/>
            <a:gd name="connsiteX19" fmla="*/ 1576316 w 4415050"/>
            <a:gd name="connsiteY19" fmla="*/ 607325 h 3466531"/>
            <a:gd name="connsiteX20" fmla="*/ 934871 w 4415050"/>
            <a:gd name="connsiteY20" fmla="*/ 0 h 3466531"/>
            <a:gd name="connsiteX21" fmla="*/ 887104 w 4415050"/>
            <a:gd name="connsiteY21" fmla="*/ 1030406 h 3466531"/>
            <a:gd name="connsiteX0" fmla="*/ 887104 w 4415050"/>
            <a:gd name="connsiteY0" fmla="*/ 1030406 h 3466531"/>
            <a:gd name="connsiteX1" fmla="*/ 361666 w 4415050"/>
            <a:gd name="connsiteY1" fmla="*/ 1562669 h 3466531"/>
            <a:gd name="connsiteX2" fmla="*/ 0 w 4415050"/>
            <a:gd name="connsiteY2" fmla="*/ 1569493 h 3466531"/>
            <a:gd name="connsiteX3" fmla="*/ 6824 w 4415050"/>
            <a:gd name="connsiteY3" fmla="*/ 2320119 h 3466531"/>
            <a:gd name="connsiteX4" fmla="*/ 1473958 w 4415050"/>
            <a:gd name="connsiteY4" fmla="*/ 2975212 h 3466531"/>
            <a:gd name="connsiteX5" fmla="*/ 1487606 w 4415050"/>
            <a:gd name="connsiteY5" fmla="*/ 3446060 h 3466531"/>
            <a:gd name="connsiteX6" fmla="*/ 2176818 w 4415050"/>
            <a:gd name="connsiteY6" fmla="*/ 3439236 h 3466531"/>
            <a:gd name="connsiteX7" fmla="*/ 2183642 w 4415050"/>
            <a:gd name="connsiteY7" fmla="*/ 2995684 h 3466531"/>
            <a:gd name="connsiteX8" fmla="*/ 3166280 w 4415050"/>
            <a:gd name="connsiteY8" fmla="*/ 2975212 h 3466531"/>
            <a:gd name="connsiteX9" fmla="*/ 3186752 w 4415050"/>
            <a:gd name="connsiteY9" fmla="*/ 3466531 h 3466531"/>
            <a:gd name="connsiteX10" fmla="*/ 3869140 w 4415050"/>
            <a:gd name="connsiteY10" fmla="*/ 3452884 h 3466531"/>
            <a:gd name="connsiteX11" fmla="*/ 3882788 w 4415050"/>
            <a:gd name="connsiteY11" fmla="*/ 2695433 h 3466531"/>
            <a:gd name="connsiteX12" fmla="*/ 4237629 w 4415050"/>
            <a:gd name="connsiteY12" fmla="*/ 2292824 h 3466531"/>
            <a:gd name="connsiteX13" fmla="*/ 4333163 w 4415050"/>
            <a:gd name="connsiteY13" fmla="*/ 2108579 h 3466531"/>
            <a:gd name="connsiteX14" fmla="*/ 4415050 w 4415050"/>
            <a:gd name="connsiteY14" fmla="*/ 1726442 h 3466531"/>
            <a:gd name="connsiteX15" fmla="*/ 4374107 w 4415050"/>
            <a:gd name="connsiteY15" fmla="*/ 1439839 h 3466531"/>
            <a:gd name="connsiteX16" fmla="*/ 4360460 w 4415050"/>
            <a:gd name="connsiteY16" fmla="*/ 1255594 h 3466531"/>
            <a:gd name="connsiteX17" fmla="*/ 4162567 w 4415050"/>
            <a:gd name="connsiteY17" fmla="*/ 812042 h 3466531"/>
            <a:gd name="connsiteX18" fmla="*/ 3480179 w 4415050"/>
            <a:gd name="connsiteY18" fmla="*/ 361666 h 3466531"/>
            <a:gd name="connsiteX19" fmla="*/ 2251880 w 4415050"/>
            <a:gd name="connsiteY19" fmla="*/ 388961 h 3466531"/>
            <a:gd name="connsiteX20" fmla="*/ 1576316 w 4415050"/>
            <a:gd name="connsiteY20" fmla="*/ 607325 h 3466531"/>
            <a:gd name="connsiteX21" fmla="*/ 934871 w 4415050"/>
            <a:gd name="connsiteY21" fmla="*/ 0 h 3466531"/>
            <a:gd name="connsiteX22" fmla="*/ 887104 w 4415050"/>
            <a:gd name="connsiteY22" fmla="*/ 1030406 h 3466531"/>
            <a:gd name="connsiteX0" fmla="*/ 887104 w 4417676"/>
            <a:gd name="connsiteY0" fmla="*/ 1030406 h 3466531"/>
            <a:gd name="connsiteX1" fmla="*/ 361666 w 4417676"/>
            <a:gd name="connsiteY1" fmla="*/ 1562669 h 3466531"/>
            <a:gd name="connsiteX2" fmla="*/ 0 w 4417676"/>
            <a:gd name="connsiteY2" fmla="*/ 1569493 h 3466531"/>
            <a:gd name="connsiteX3" fmla="*/ 6824 w 4417676"/>
            <a:gd name="connsiteY3" fmla="*/ 2320119 h 3466531"/>
            <a:gd name="connsiteX4" fmla="*/ 1473958 w 4417676"/>
            <a:gd name="connsiteY4" fmla="*/ 2975212 h 3466531"/>
            <a:gd name="connsiteX5" fmla="*/ 1487606 w 4417676"/>
            <a:gd name="connsiteY5" fmla="*/ 3446060 h 3466531"/>
            <a:gd name="connsiteX6" fmla="*/ 2176818 w 4417676"/>
            <a:gd name="connsiteY6" fmla="*/ 3439236 h 3466531"/>
            <a:gd name="connsiteX7" fmla="*/ 2183642 w 4417676"/>
            <a:gd name="connsiteY7" fmla="*/ 2995684 h 3466531"/>
            <a:gd name="connsiteX8" fmla="*/ 3166280 w 4417676"/>
            <a:gd name="connsiteY8" fmla="*/ 2975212 h 3466531"/>
            <a:gd name="connsiteX9" fmla="*/ 3186752 w 4417676"/>
            <a:gd name="connsiteY9" fmla="*/ 3466531 h 3466531"/>
            <a:gd name="connsiteX10" fmla="*/ 3869140 w 4417676"/>
            <a:gd name="connsiteY10" fmla="*/ 3452884 h 3466531"/>
            <a:gd name="connsiteX11" fmla="*/ 3882788 w 4417676"/>
            <a:gd name="connsiteY11" fmla="*/ 2695433 h 3466531"/>
            <a:gd name="connsiteX12" fmla="*/ 4237629 w 4417676"/>
            <a:gd name="connsiteY12" fmla="*/ 2292824 h 3466531"/>
            <a:gd name="connsiteX13" fmla="*/ 4333163 w 4417676"/>
            <a:gd name="connsiteY13" fmla="*/ 2108579 h 3466531"/>
            <a:gd name="connsiteX14" fmla="*/ 4415050 w 4417676"/>
            <a:gd name="connsiteY14" fmla="*/ 1726442 h 3466531"/>
            <a:gd name="connsiteX15" fmla="*/ 4374107 w 4417676"/>
            <a:gd name="connsiteY15" fmla="*/ 1439839 h 3466531"/>
            <a:gd name="connsiteX16" fmla="*/ 4360460 w 4417676"/>
            <a:gd name="connsiteY16" fmla="*/ 1255594 h 3466531"/>
            <a:gd name="connsiteX17" fmla="*/ 4162567 w 4417676"/>
            <a:gd name="connsiteY17" fmla="*/ 812042 h 3466531"/>
            <a:gd name="connsiteX18" fmla="*/ 3480179 w 4417676"/>
            <a:gd name="connsiteY18" fmla="*/ 361666 h 3466531"/>
            <a:gd name="connsiteX19" fmla="*/ 2251880 w 4417676"/>
            <a:gd name="connsiteY19" fmla="*/ 388961 h 3466531"/>
            <a:gd name="connsiteX20" fmla="*/ 1576316 w 4417676"/>
            <a:gd name="connsiteY20" fmla="*/ 607325 h 3466531"/>
            <a:gd name="connsiteX21" fmla="*/ 934871 w 4417676"/>
            <a:gd name="connsiteY21" fmla="*/ 0 h 3466531"/>
            <a:gd name="connsiteX22" fmla="*/ 887104 w 4417676"/>
            <a:gd name="connsiteY22" fmla="*/ 1030406 h 3466531"/>
            <a:gd name="connsiteX0" fmla="*/ 887104 w 4417676"/>
            <a:gd name="connsiteY0" fmla="*/ 1030406 h 3466531"/>
            <a:gd name="connsiteX1" fmla="*/ 361666 w 4417676"/>
            <a:gd name="connsiteY1" fmla="*/ 1562669 h 3466531"/>
            <a:gd name="connsiteX2" fmla="*/ 0 w 4417676"/>
            <a:gd name="connsiteY2" fmla="*/ 1569493 h 3466531"/>
            <a:gd name="connsiteX3" fmla="*/ 6824 w 4417676"/>
            <a:gd name="connsiteY3" fmla="*/ 2320119 h 3466531"/>
            <a:gd name="connsiteX4" fmla="*/ 1473958 w 4417676"/>
            <a:gd name="connsiteY4" fmla="*/ 2975212 h 3466531"/>
            <a:gd name="connsiteX5" fmla="*/ 1487606 w 4417676"/>
            <a:gd name="connsiteY5" fmla="*/ 3446060 h 3466531"/>
            <a:gd name="connsiteX6" fmla="*/ 2176818 w 4417676"/>
            <a:gd name="connsiteY6" fmla="*/ 3439236 h 3466531"/>
            <a:gd name="connsiteX7" fmla="*/ 2183642 w 4417676"/>
            <a:gd name="connsiteY7" fmla="*/ 2995684 h 3466531"/>
            <a:gd name="connsiteX8" fmla="*/ 3166280 w 4417676"/>
            <a:gd name="connsiteY8" fmla="*/ 2975212 h 3466531"/>
            <a:gd name="connsiteX9" fmla="*/ 3186752 w 4417676"/>
            <a:gd name="connsiteY9" fmla="*/ 3466531 h 3466531"/>
            <a:gd name="connsiteX10" fmla="*/ 3869140 w 4417676"/>
            <a:gd name="connsiteY10" fmla="*/ 3452884 h 3466531"/>
            <a:gd name="connsiteX11" fmla="*/ 3882788 w 4417676"/>
            <a:gd name="connsiteY11" fmla="*/ 2695433 h 3466531"/>
            <a:gd name="connsiteX12" fmla="*/ 4237629 w 4417676"/>
            <a:gd name="connsiteY12" fmla="*/ 2292824 h 3466531"/>
            <a:gd name="connsiteX13" fmla="*/ 4333163 w 4417676"/>
            <a:gd name="connsiteY13" fmla="*/ 2108579 h 3466531"/>
            <a:gd name="connsiteX14" fmla="*/ 4415050 w 4417676"/>
            <a:gd name="connsiteY14" fmla="*/ 1726442 h 3466531"/>
            <a:gd name="connsiteX15" fmla="*/ 4374107 w 4417676"/>
            <a:gd name="connsiteY15" fmla="*/ 1439839 h 3466531"/>
            <a:gd name="connsiteX16" fmla="*/ 4374108 w 4417676"/>
            <a:gd name="connsiteY16" fmla="*/ 1194179 h 3466531"/>
            <a:gd name="connsiteX17" fmla="*/ 4162567 w 4417676"/>
            <a:gd name="connsiteY17" fmla="*/ 812042 h 3466531"/>
            <a:gd name="connsiteX18" fmla="*/ 3480179 w 4417676"/>
            <a:gd name="connsiteY18" fmla="*/ 361666 h 3466531"/>
            <a:gd name="connsiteX19" fmla="*/ 2251880 w 4417676"/>
            <a:gd name="connsiteY19" fmla="*/ 388961 h 3466531"/>
            <a:gd name="connsiteX20" fmla="*/ 1576316 w 4417676"/>
            <a:gd name="connsiteY20" fmla="*/ 607325 h 3466531"/>
            <a:gd name="connsiteX21" fmla="*/ 934871 w 4417676"/>
            <a:gd name="connsiteY21" fmla="*/ 0 h 3466531"/>
            <a:gd name="connsiteX22" fmla="*/ 887104 w 4417676"/>
            <a:gd name="connsiteY22" fmla="*/ 1030406 h 3466531"/>
            <a:gd name="connsiteX0" fmla="*/ 887104 w 4445579"/>
            <a:gd name="connsiteY0" fmla="*/ 1030406 h 3466531"/>
            <a:gd name="connsiteX1" fmla="*/ 361666 w 4445579"/>
            <a:gd name="connsiteY1" fmla="*/ 1562669 h 3466531"/>
            <a:gd name="connsiteX2" fmla="*/ 0 w 4445579"/>
            <a:gd name="connsiteY2" fmla="*/ 1569493 h 3466531"/>
            <a:gd name="connsiteX3" fmla="*/ 6824 w 4445579"/>
            <a:gd name="connsiteY3" fmla="*/ 2320119 h 3466531"/>
            <a:gd name="connsiteX4" fmla="*/ 1473958 w 4445579"/>
            <a:gd name="connsiteY4" fmla="*/ 2975212 h 3466531"/>
            <a:gd name="connsiteX5" fmla="*/ 1487606 w 4445579"/>
            <a:gd name="connsiteY5" fmla="*/ 3446060 h 3466531"/>
            <a:gd name="connsiteX6" fmla="*/ 2176818 w 4445579"/>
            <a:gd name="connsiteY6" fmla="*/ 3439236 h 3466531"/>
            <a:gd name="connsiteX7" fmla="*/ 2183642 w 4445579"/>
            <a:gd name="connsiteY7" fmla="*/ 2995684 h 3466531"/>
            <a:gd name="connsiteX8" fmla="*/ 3166280 w 4445579"/>
            <a:gd name="connsiteY8" fmla="*/ 2975212 h 3466531"/>
            <a:gd name="connsiteX9" fmla="*/ 3186752 w 4445579"/>
            <a:gd name="connsiteY9" fmla="*/ 3466531 h 3466531"/>
            <a:gd name="connsiteX10" fmla="*/ 3869140 w 4445579"/>
            <a:gd name="connsiteY10" fmla="*/ 3452884 h 3466531"/>
            <a:gd name="connsiteX11" fmla="*/ 3882788 w 4445579"/>
            <a:gd name="connsiteY11" fmla="*/ 2695433 h 3466531"/>
            <a:gd name="connsiteX12" fmla="*/ 4237629 w 4445579"/>
            <a:gd name="connsiteY12" fmla="*/ 2292824 h 3466531"/>
            <a:gd name="connsiteX13" fmla="*/ 4333163 w 4445579"/>
            <a:gd name="connsiteY13" fmla="*/ 2108579 h 3466531"/>
            <a:gd name="connsiteX14" fmla="*/ 4415050 w 4445579"/>
            <a:gd name="connsiteY14" fmla="*/ 1726442 h 3466531"/>
            <a:gd name="connsiteX15" fmla="*/ 4415051 w 4445579"/>
            <a:gd name="connsiteY15" fmla="*/ 1610436 h 3466531"/>
            <a:gd name="connsiteX16" fmla="*/ 4374108 w 4445579"/>
            <a:gd name="connsiteY16" fmla="*/ 1194179 h 3466531"/>
            <a:gd name="connsiteX17" fmla="*/ 4162567 w 4445579"/>
            <a:gd name="connsiteY17" fmla="*/ 812042 h 3466531"/>
            <a:gd name="connsiteX18" fmla="*/ 3480179 w 4445579"/>
            <a:gd name="connsiteY18" fmla="*/ 361666 h 3466531"/>
            <a:gd name="connsiteX19" fmla="*/ 2251880 w 4445579"/>
            <a:gd name="connsiteY19" fmla="*/ 388961 h 3466531"/>
            <a:gd name="connsiteX20" fmla="*/ 1576316 w 4445579"/>
            <a:gd name="connsiteY20" fmla="*/ 607325 h 3466531"/>
            <a:gd name="connsiteX21" fmla="*/ 934871 w 4445579"/>
            <a:gd name="connsiteY21" fmla="*/ 0 h 3466531"/>
            <a:gd name="connsiteX22" fmla="*/ 887104 w 4445579"/>
            <a:gd name="connsiteY22"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15050 w 4456476"/>
            <a:gd name="connsiteY14" fmla="*/ 1726442 h 3466531"/>
            <a:gd name="connsiteX15" fmla="*/ 4428699 w 4456476"/>
            <a:gd name="connsiteY15" fmla="*/ 1692322 h 3466531"/>
            <a:gd name="connsiteX16" fmla="*/ 4374108 w 4456476"/>
            <a:gd name="connsiteY16" fmla="*/ 1194179 h 3466531"/>
            <a:gd name="connsiteX17" fmla="*/ 4162567 w 4456476"/>
            <a:gd name="connsiteY17" fmla="*/ 812042 h 3466531"/>
            <a:gd name="connsiteX18" fmla="*/ 3480179 w 4456476"/>
            <a:gd name="connsiteY18" fmla="*/ 361666 h 3466531"/>
            <a:gd name="connsiteX19" fmla="*/ 2251880 w 4456476"/>
            <a:gd name="connsiteY19" fmla="*/ 388961 h 3466531"/>
            <a:gd name="connsiteX20" fmla="*/ 1576316 w 4456476"/>
            <a:gd name="connsiteY20" fmla="*/ 607325 h 3466531"/>
            <a:gd name="connsiteX21" fmla="*/ 934871 w 4456476"/>
            <a:gd name="connsiteY21" fmla="*/ 0 h 3466531"/>
            <a:gd name="connsiteX22" fmla="*/ 887104 w 4456476"/>
            <a:gd name="connsiteY22"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69232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251880 w 4456476"/>
            <a:gd name="connsiteY20" fmla="*/ 388961 h 3466531"/>
            <a:gd name="connsiteX21" fmla="*/ 1576316 w 4456476"/>
            <a:gd name="connsiteY21" fmla="*/ 607325 h 3466531"/>
            <a:gd name="connsiteX22" fmla="*/ 934871 w 4456476"/>
            <a:gd name="connsiteY22" fmla="*/ 0 h 3466531"/>
            <a:gd name="connsiteX23" fmla="*/ 887104 w 4456476"/>
            <a:gd name="connsiteY23"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251880 w 4456476"/>
            <a:gd name="connsiteY20" fmla="*/ 388961 h 3466531"/>
            <a:gd name="connsiteX21" fmla="*/ 1576316 w 4456476"/>
            <a:gd name="connsiteY21" fmla="*/ 607325 h 3466531"/>
            <a:gd name="connsiteX22" fmla="*/ 934871 w 4456476"/>
            <a:gd name="connsiteY22" fmla="*/ 0 h 3466531"/>
            <a:gd name="connsiteX23" fmla="*/ 887104 w 4456476"/>
            <a:gd name="connsiteY23"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2606720 w 4456476"/>
            <a:gd name="connsiteY20" fmla="*/ 573206 h 3466531"/>
            <a:gd name="connsiteX21" fmla="*/ 2251880 w 4456476"/>
            <a:gd name="connsiteY21" fmla="*/ 388961 h 3466531"/>
            <a:gd name="connsiteX22" fmla="*/ 1576316 w 4456476"/>
            <a:gd name="connsiteY22" fmla="*/ 607325 h 3466531"/>
            <a:gd name="connsiteX23" fmla="*/ 934871 w 4456476"/>
            <a:gd name="connsiteY23" fmla="*/ 0 h 3466531"/>
            <a:gd name="connsiteX24" fmla="*/ 887104 w 4456476"/>
            <a:gd name="connsiteY24"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3138983 w 4456476"/>
            <a:gd name="connsiteY20" fmla="*/ 573206 h 3466531"/>
            <a:gd name="connsiteX21" fmla="*/ 2606720 w 4456476"/>
            <a:gd name="connsiteY21" fmla="*/ 573206 h 3466531"/>
            <a:gd name="connsiteX22" fmla="*/ 2251880 w 4456476"/>
            <a:gd name="connsiteY22" fmla="*/ 388961 h 3466531"/>
            <a:gd name="connsiteX23" fmla="*/ 1576316 w 4456476"/>
            <a:gd name="connsiteY23" fmla="*/ 607325 h 3466531"/>
            <a:gd name="connsiteX24" fmla="*/ 934871 w 4456476"/>
            <a:gd name="connsiteY24" fmla="*/ 0 h 3466531"/>
            <a:gd name="connsiteX25" fmla="*/ 887104 w 4456476"/>
            <a:gd name="connsiteY25"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80179 w 4456476"/>
            <a:gd name="connsiteY19" fmla="*/ 361666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473355 w 4456476"/>
            <a:gd name="connsiteY19" fmla="*/ 361666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934871 w 4456476"/>
            <a:gd name="connsiteY25" fmla="*/ 0 h 3466531"/>
            <a:gd name="connsiteX26" fmla="*/ 887104 w 4456476"/>
            <a:gd name="connsiteY26"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487606 w 4456476"/>
            <a:gd name="connsiteY5" fmla="*/ 3446060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508077 w 4456476"/>
            <a:gd name="connsiteY5" fmla="*/ 3439236 h 3466531"/>
            <a:gd name="connsiteX6" fmla="*/ 2176818 w 4456476"/>
            <a:gd name="connsiteY6" fmla="*/ 3439236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66531"/>
            <a:gd name="connsiteX1" fmla="*/ 361666 w 4456476"/>
            <a:gd name="connsiteY1" fmla="*/ 1562669 h 3466531"/>
            <a:gd name="connsiteX2" fmla="*/ 0 w 4456476"/>
            <a:gd name="connsiteY2" fmla="*/ 1569493 h 3466531"/>
            <a:gd name="connsiteX3" fmla="*/ 6824 w 4456476"/>
            <a:gd name="connsiteY3" fmla="*/ 2320119 h 3466531"/>
            <a:gd name="connsiteX4" fmla="*/ 1473958 w 4456476"/>
            <a:gd name="connsiteY4" fmla="*/ 2975212 h 3466531"/>
            <a:gd name="connsiteX5" fmla="*/ 1508077 w 4456476"/>
            <a:gd name="connsiteY5" fmla="*/ 3439236 h 3466531"/>
            <a:gd name="connsiteX6" fmla="*/ 2163170 w 4456476"/>
            <a:gd name="connsiteY6" fmla="*/ 3425588 h 3466531"/>
            <a:gd name="connsiteX7" fmla="*/ 2183642 w 4456476"/>
            <a:gd name="connsiteY7" fmla="*/ 2995684 h 3466531"/>
            <a:gd name="connsiteX8" fmla="*/ 3166280 w 4456476"/>
            <a:gd name="connsiteY8" fmla="*/ 2975212 h 3466531"/>
            <a:gd name="connsiteX9" fmla="*/ 3186752 w 4456476"/>
            <a:gd name="connsiteY9" fmla="*/ 3466531 h 3466531"/>
            <a:gd name="connsiteX10" fmla="*/ 3869140 w 4456476"/>
            <a:gd name="connsiteY10" fmla="*/ 3452884 h 3466531"/>
            <a:gd name="connsiteX11" fmla="*/ 3882788 w 4456476"/>
            <a:gd name="connsiteY11" fmla="*/ 2695433 h 3466531"/>
            <a:gd name="connsiteX12" fmla="*/ 4237629 w 4456476"/>
            <a:gd name="connsiteY12" fmla="*/ 2292824 h 3466531"/>
            <a:gd name="connsiteX13" fmla="*/ 4333163 w 4456476"/>
            <a:gd name="connsiteY13" fmla="*/ 2108579 h 3466531"/>
            <a:gd name="connsiteX14" fmla="*/ 4435520 w 4456476"/>
            <a:gd name="connsiteY14" fmla="*/ 1726442 h 3466531"/>
            <a:gd name="connsiteX15" fmla="*/ 4415050 w 4456476"/>
            <a:gd name="connsiteY15" fmla="*/ 1726442 h 3466531"/>
            <a:gd name="connsiteX16" fmla="*/ 4428699 w 4456476"/>
            <a:gd name="connsiteY16" fmla="*/ 1815152 h 3466531"/>
            <a:gd name="connsiteX17" fmla="*/ 4374108 w 4456476"/>
            <a:gd name="connsiteY17" fmla="*/ 1194179 h 3466531"/>
            <a:gd name="connsiteX18" fmla="*/ 4162567 w 4456476"/>
            <a:gd name="connsiteY18" fmla="*/ 812042 h 3466531"/>
            <a:gd name="connsiteX19" fmla="*/ 3596185 w 4456476"/>
            <a:gd name="connsiteY19" fmla="*/ 436729 h 3466531"/>
            <a:gd name="connsiteX20" fmla="*/ 3411938 w 4456476"/>
            <a:gd name="connsiteY20" fmla="*/ 402609 h 3466531"/>
            <a:gd name="connsiteX21" fmla="*/ 3138983 w 4456476"/>
            <a:gd name="connsiteY21" fmla="*/ 573206 h 3466531"/>
            <a:gd name="connsiteX22" fmla="*/ 2606720 w 4456476"/>
            <a:gd name="connsiteY22" fmla="*/ 573206 h 3466531"/>
            <a:gd name="connsiteX23" fmla="*/ 2251880 w 4456476"/>
            <a:gd name="connsiteY23" fmla="*/ 388961 h 3466531"/>
            <a:gd name="connsiteX24" fmla="*/ 1576316 w 4456476"/>
            <a:gd name="connsiteY24" fmla="*/ 607325 h 3466531"/>
            <a:gd name="connsiteX25" fmla="*/ 1255592 w 4456476"/>
            <a:gd name="connsiteY25" fmla="*/ 232012 h 3466531"/>
            <a:gd name="connsiteX26" fmla="*/ 934871 w 4456476"/>
            <a:gd name="connsiteY26" fmla="*/ 0 h 3466531"/>
            <a:gd name="connsiteX27" fmla="*/ 887104 w 4456476"/>
            <a:gd name="connsiteY27" fmla="*/ 1030406 h 3466531"/>
            <a:gd name="connsiteX0" fmla="*/ 887104 w 4456476"/>
            <a:gd name="connsiteY0" fmla="*/ 1030406 h 3452884"/>
            <a:gd name="connsiteX1" fmla="*/ 361666 w 4456476"/>
            <a:gd name="connsiteY1" fmla="*/ 1562669 h 3452884"/>
            <a:gd name="connsiteX2" fmla="*/ 0 w 4456476"/>
            <a:gd name="connsiteY2" fmla="*/ 1569493 h 3452884"/>
            <a:gd name="connsiteX3" fmla="*/ 6824 w 4456476"/>
            <a:gd name="connsiteY3" fmla="*/ 2320119 h 3452884"/>
            <a:gd name="connsiteX4" fmla="*/ 1473958 w 4456476"/>
            <a:gd name="connsiteY4" fmla="*/ 2975212 h 3452884"/>
            <a:gd name="connsiteX5" fmla="*/ 1508077 w 4456476"/>
            <a:gd name="connsiteY5" fmla="*/ 3439236 h 3452884"/>
            <a:gd name="connsiteX6" fmla="*/ 2163170 w 4456476"/>
            <a:gd name="connsiteY6" fmla="*/ 3425588 h 3452884"/>
            <a:gd name="connsiteX7" fmla="*/ 2183642 w 4456476"/>
            <a:gd name="connsiteY7" fmla="*/ 2995684 h 3452884"/>
            <a:gd name="connsiteX8" fmla="*/ 3166280 w 4456476"/>
            <a:gd name="connsiteY8" fmla="*/ 2975212 h 3452884"/>
            <a:gd name="connsiteX9" fmla="*/ 3193576 w 4456476"/>
            <a:gd name="connsiteY9" fmla="*/ 3425588 h 3452884"/>
            <a:gd name="connsiteX10" fmla="*/ 3869140 w 4456476"/>
            <a:gd name="connsiteY10" fmla="*/ 3452884 h 3452884"/>
            <a:gd name="connsiteX11" fmla="*/ 3882788 w 4456476"/>
            <a:gd name="connsiteY11" fmla="*/ 2695433 h 3452884"/>
            <a:gd name="connsiteX12" fmla="*/ 4237629 w 4456476"/>
            <a:gd name="connsiteY12" fmla="*/ 2292824 h 3452884"/>
            <a:gd name="connsiteX13" fmla="*/ 4333163 w 4456476"/>
            <a:gd name="connsiteY13" fmla="*/ 2108579 h 3452884"/>
            <a:gd name="connsiteX14" fmla="*/ 4435520 w 4456476"/>
            <a:gd name="connsiteY14" fmla="*/ 1726442 h 3452884"/>
            <a:gd name="connsiteX15" fmla="*/ 4415050 w 4456476"/>
            <a:gd name="connsiteY15" fmla="*/ 1726442 h 3452884"/>
            <a:gd name="connsiteX16" fmla="*/ 4428699 w 4456476"/>
            <a:gd name="connsiteY16" fmla="*/ 1815152 h 3452884"/>
            <a:gd name="connsiteX17" fmla="*/ 4374108 w 4456476"/>
            <a:gd name="connsiteY17" fmla="*/ 1194179 h 3452884"/>
            <a:gd name="connsiteX18" fmla="*/ 4162567 w 4456476"/>
            <a:gd name="connsiteY18" fmla="*/ 812042 h 3452884"/>
            <a:gd name="connsiteX19" fmla="*/ 3596185 w 4456476"/>
            <a:gd name="connsiteY19" fmla="*/ 436729 h 3452884"/>
            <a:gd name="connsiteX20" fmla="*/ 3411938 w 4456476"/>
            <a:gd name="connsiteY20" fmla="*/ 402609 h 3452884"/>
            <a:gd name="connsiteX21" fmla="*/ 3138983 w 4456476"/>
            <a:gd name="connsiteY21" fmla="*/ 573206 h 3452884"/>
            <a:gd name="connsiteX22" fmla="*/ 2606720 w 4456476"/>
            <a:gd name="connsiteY22" fmla="*/ 573206 h 3452884"/>
            <a:gd name="connsiteX23" fmla="*/ 2251880 w 4456476"/>
            <a:gd name="connsiteY23" fmla="*/ 388961 h 3452884"/>
            <a:gd name="connsiteX24" fmla="*/ 1576316 w 4456476"/>
            <a:gd name="connsiteY24" fmla="*/ 607325 h 3452884"/>
            <a:gd name="connsiteX25" fmla="*/ 1255592 w 4456476"/>
            <a:gd name="connsiteY25" fmla="*/ 232012 h 3452884"/>
            <a:gd name="connsiteX26" fmla="*/ 934871 w 4456476"/>
            <a:gd name="connsiteY26" fmla="*/ 0 h 3452884"/>
            <a:gd name="connsiteX27" fmla="*/ 887104 w 4456476"/>
            <a:gd name="connsiteY27" fmla="*/ 1030406 h 3452884"/>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237629 w 4456476"/>
            <a:gd name="connsiteY12" fmla="*/ 2292824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237629 w 4456476"/>
            <a:gd name="connsiteY12" fmla="*/ 2292824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435520 w 4456476"/>
            <a:gd name="connsiteY14" fmla="*/ 1726442 h 3439236"/>
            <a:gd name="connsiteX15" fmla="*/ 4415050 w 4456476"/>
            <a:gd name="connsiteY15" fmla="*/ 1726442 h 3439236"/>
            <a:gd name="connsiteX16" fmla="*/ 4428699 w 4456476"/>
            <a:gd name="connsiteY16" fmla="*/ 1815152 h 3439236"/>
            <a:gd name="connsiteX17" fmla="*/ 4374108 w 4456476"/>
            <a:gd name="connsiteY17" fmla="*/ 1194179 h 3439236"/>
            <a:gd name="connsiteX18" fmla="*/ 4162567 w 4456476"/>
            <a:gd name="connsiteY18" fmla="*/ 812042 h 3439236"/>
            <a:gd name="connsiteX19" fmla="*/ 3596185 w 4456476"/>
            <a:gd name="connsiteY19" fmla="*/ 436729 h 3439236"/>
            <a:gd name="connsiteX20" fmla="*/ 3411938 w 4456476"/>
            <a:gd name="connsiteY20" fmla="*/ 402609 h 3439236"/>
            <a:gd name="connsiteX21" fmla="*/ 3138983 w 4456476"/>
            <a:gd name="connsiteY21" fmla="*/ 573206 h 3439236"/>
            <a:gd name="connsiteX22" fmla="*/ 2606720 w 4456476"/>
            <a:gd name="connsiteY22" fmla="*/ 573206 h 3439236"/>
            <a:gd name="connsiteX23" fmla="*/ 2251880 w 4456476"/>
            <a:gd name="connsiteY23" fmla="*/ 388961 h 3439236"/>
            <a:gd name="connsiteX24" fmla="*/ 1576316 w 4456476"/>
            <a:gd name="connsiteY24" fmla="*/ 607325 h 3439236"/>
            <a:gd name="connsiteX25" fmla="*/ 1255592 w 4456476"/>
            <a:gd name="connsiteY25" fmla="*/ 232012 h 3439236"/>
            <a:gd name="connsiteX26" fmla="*/ 934871 w 4456476"/>
            <a:gd name="connsiteY26" fmla="*/ 0 h 3439236"/>
            <a:gd name="connsiteX27" fmla="*/ 887104 w 4456476"/>
            <a:gd name="connsiteY27"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1937982 h 3439236"/>
            <a:gd name="connsiteX15" fmla="*/ 4435520 w 4456476"/>
            <a:gd name="connsiteY15" fmla="*/ 1726442 h 3439236"/>
            <a:gd name="connsiteX16" fmla="*/ 4415050 w 4456476"/>
            <a:gd name="connsiteY16" fmla="*/ 1726442 h 3439236"/>
            <a:gd name="connsiteX17" fmla="*/ 4428699 w 4456476"/>
            <a:gd name="connsiteY17" fmla="*/ 1815152 h 3439236"/>
            <a:gd name="connsiteX18" fmla="*/ 4374108 w 4456476"/>
            <a:gd name="connsiteY18" fmla="*/ 1194179 h 3439236"/>
            <a:gd name="connsiteX19" fmla="*/ 4162567 w 4456476"/>
            <a:gd name="connsiteY19" fmla="*/ 812042 h 3439236"/>
            <a:gd name="connsiteX20" fmla="*/ 3596185 w 4456476"/>
            <a:gd name="connsiteY20" fmla="*/ 436729 h 3439236"/>
            <a:gd name="connsiteX21" fmla="*/ 3411938 w 4456476"/>
            <a:gd name="connsiteY21" fmla="*/ 402609 h 3439236"/>
            <a:gd name="connsiteX22" fmla="*/ 3138983 w 4456476"/>
            <a:gd name="connsiteY22" fmla="*/ 573206 h 3439236"/>
            <a:gd name="connsiteX23" fmla="*/ 2606720 w 4456476"/>
            <a:gd name="connsiteY23" fmla="*/ 573206 h 3439236"/>
            <a:gd name="connsiteX24" fmla="*/ 2251880 w 4456476"/>
            <a:gd name="connsiteY24" fmla="*/ 388961 h 3439236"/>
            <a:gd name="connsiteX25" fmla="*/ 1576316 w 4456476"/>
            <a:gd name="connsiteY25" fmla="*/ 607325 h 3439236"/>
            <a:gd name="connsiteX26" fmla="*/ 1255592 w 4456476"/>
            <a:gd name="connsiteY26" fmla="*/ 232012 h 3439236"/>
            <a:gd name="connsiteX27" fmla="*/ 934871 w 4456476"/>
            <a:gd name="connsiteY27" fmla="*/ 0 h 3439236"/>
            <a:gd name="connsiteX28" fmla="*/ 887104 w 4456476"/>
            <a:gd name="connsiteY28"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2081284 h 3439236"/>
            <a:gd name="connsiteX15" fmla="*/ 4435520 w 4456476"/>
            <a:gd name="connsiteY15" fmla="*/ 1726442 h 3439236"/>
            <a:gd name="connsiteX16" fmla="*/ 4415050 w 4456476"/>
            <a:gd name="connsiteY16" fmla="*/ 1726442 h 3439236"/>
            <a:gd name="connsiteX17" fmla="*/ 4428699 w 4456476"/>
            <a:gd name="connsiteY17" fmla="*/ 1815152 h 3439236"/>
            <a:gd name="connsiteX18" fmla="*/ 4374108 w 4456476"/>
            <a:gd name="connsiteY18" fmla="*/ 1194179 h 3439236"/>
            <a:gd name="connsiteX19" fmla="*/ 4162567 w 4456476"/>
            <a:gd name="connsiteY19" fmla="*/ 812042 h 3439236"/>
            <a:gd name="connsiteX20" fmla="*/ 3596185 w 4456476"/>
            <a:gd name="connsiteY20" fmla="*/ 436729 h 3439236"/>
            <a:gd name="connsiteX21" fmla="*/ 3411938 w 4456476"/>
            <a:gd name="connsiteY21" fmla="*/ 402609 h 3439236"/>
            <a:gd name="connsiteX22" fmla="*/ 3138983 w 4456476"/>
            <a:gd name="connsiteY22" fmla="*/ 573206 h 3439236"/>
            <a:gd name="connsiteX23" fmla="*/ 2606720 w 4456476"/>
            <a:gd name="connsiteY23" fmla="*/ 573206 h 3439236"/>
            <a:gd name="connsiteX24" fmla="*/ 2251880 w 4456476"/>
            <a:gd name="connsiteY24" fmla="*/ 388961 h 3439236"/>
            <a:gd name="connsiteX25" fmla="*/ 1576316 w 4456476"/>
            <a:gd name="connsiteY25" fmla="*/ 607325 h 3439236"/>
            <a:gd name="connsiteX26" fmla="*/ 1255592 w 4456476"/>
            <a:gd name="connsiteY26" fmla="*/ 232012 h 3439236"/>
            <a:gd name="connsiteX27" fmla="*/ 934871 w 4456476"/>
            <a:gd name="connsiteY27" fmla="*/ 0 h 3439236"/>
            <a:gd name="connsiteX28" fmla="*/ 887104 w 4456476"/>
            <a:gd name="connsiteY28"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33163 w 4456476"/>
            <a:gd name="connsiteY13" fmla="*/ 2108579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606720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606720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58953 w 4456476"/>
            <a:gd name="connsiteY24" fmla="*/ 573206 h 3439236"/>
            <a:gd name="connsiteX25" fmla="*/ 2251880 w 4456476"/>
            <a:gd name="connsiteY25" fmla="*/ 388961 h 3439236"/>
            <a:gd name="connsiteX26" fmla="*/ 1576316 w 4456476"/>
            <a:gd name="connsiteY26" fmla="*/ 607325 h 3439236"/>
            <a:gd name="connsiteX27" fmla="*/ 1255592 w 4456476"/>
            <a:gd name="connsiteY27" fmla="*/ 232012 h 3439236"/>
            <a:gd name="connsiteX28" fmla="*/ 934871 w 4456476"/>
            <a:gd name="connsiteY28" fmla="*/ 0 h 3439236"/>
            <a:gd name="connsiteX29" fmla="*/ 887104 w 4456476"/>
            <a:gd name="connsiteY29"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58953 w 4456476"/>
            <a:gd name="connsiteY24" fmla="*/ 573206 h 3439236"/>
            <a:gd name="connsiteX25" fmla="*/ 2497539 w 4456476"/>
            <a:gd name="connsiteY25" fmla="*/ 573206 h 3439236"/>
            <a:gd name="connsiteX26" fmla="*/ 2251880 w 4456476"/>
            <a:gd name="connsiteY26" fmla="*/ 388961 h 3439236"/>
            <a:gd name="connsiteX27" fmla="*/ 1576316 w 4456476"/>
            <a:gd name="connsiteY27" fmla="*/ 607325 h 3439236"/>
            <a:gd name="connsiteX28" fmla="*/ 1255592 w 4456476"/>
            <a:gd name="connsiteY28" fmla="*/ 232012 h 3439236"/>
            <a:gd name="connsiteX29" fmla="*/ 934871 w 4456476"/>
            <a:gd name="connsiteY29" fmla="*/ 0 h 3439236"/>
            <a:gd name="connsiteX30" fmla="*/ 887104 w 4456476"/>
            <a:gd name="connsiteY30" fmla="*/ 1030406 h 3439236"/>
            <a:gd name="connsiteX0" fmla="*/ 887104 w 4456476"/>
            <a:gd name="connsiteY0" fmla="*/ 1030406 h 3439236"/>
            <a:gd name="connsiteX1" fmla="*/ 361666 w 4456476"/>
            <a:gd name="connsiteY1" fmla="*/ 1562669 h 3439236"/>
            <a:gd name="connsiteX2" fmla="*/ 0 w 4456476"/>
            <a:gd name="connsiteY2" fmla="*/ 1569493 h 3439236"/>
            <a:gd name="connsiteX3" fmla="*/ 6824 w 4456476"/>
            <a:gd name="connsiteY3" fmla="*/ 2320119 h 3439236"/>
            <a:gd name="connsiteX4" fmla="*/ 1473958 w 4456476"/>
            <a:gd name="connsiteY4" fmla="*/ 2975212 h 3439236"/>
            <a:gd name="connsiteX5" fmla="*/ 1508077 w 4456476"/>
            <a:gd name="connsiteY5" fmla="*/ 3439236 h 3439236"/>
            <a:gd name="connsiteX6" fmla="*/ 2163170 w 4456476"/>
            <a:gd name="connsiteY6" fmla="*/ 3425588 h 3439236"/>
            <a:gd name="connsiteX7" fmla="*/ 2183642 w 4456476"/>
            <a:gd name="connsiteY7" fmla="*/ 2995684 h 3439236"/>
            <a:gd name="connsiteX8" fmla="*/ 3166280 w 4456476"/>
            <a:gd name="connsiteY8" fmla="*/ 2975212 h 3439236"/>
            <a:gd name="connsiteX9" fmla="*/ 3193576 w 4456476"/>
            <a:gd name="connsiteY9" fmla="*/ 3425588 h 3439236"/>
            <a:gd name="connsiteX10" fmla="*/ 3862316 w 4456476"/>
            <a:gd name="connsiteY10" fmla="*/ 3425588 h 3439236"/>
            <a:gd name="connsiteX11" fmla="*/ 3882788 w 4456476"/>
            <a:gd name="connsiteY11" fmla="*/ 2695433 h 3439236"/>
            <a:gd name="connsiteX12" fmla="*/ 4319515 w 4456476"/>
            <a:gd name="connsiteY12" fmla="*/ 2217761 h 3439236"/>
            <a:gd name="connsiteX13" fmla="*/ 4360458 w 4456476"/>
            <a:gd name="connsiteY13" fmla="*/ 2129050 h 3439236"/>
            <a:gd name="connsiteX14" fmla="*/ 4380930 w 4456476"/>
            <a:gd name="connsiteY14" fmla="*/ 2081284 h 3439236"/>
            <a:gd name="connsiteX15" fmla="*/ 4428697 w 4456476"/>
            <a:gd name="connsiteY15" fmla="*/ 1883391 h 3439236"/>
            <a:gd name="connsiteX16" fmla="*/ 4435520 w 4456476"/>
            <a:gd name="connsiteY16" fmla="*/ 1726442 h 3439236"/>
            <a:gd name="connsiteX17" fmla="*/ 4415050 w 4456476"/>
            <a:gd name="connsiteY17" fmla="*/ 1726442 h 3439236"/>
            <a:gd name="connsiteX18" fmla="*/ 4428699 w 4456476"/>
            <a:gd name="connsiteY18" fmla="*/ 1815152 h 3439236"/>
            <a:gd name="connsiteX19" fmla="*/ 4374108 w 4456476"/>
            <a:gd name="connsiteY19" fmla="*/ 1194179 h 3439236"/>
            <a:gd name="connsiteX20" fmla="*/ 4162567 w 4456476"/>
            <a:gd name="connsiteY20" fmla="*/ 812042 h 3439236"/>
            <a:gd name="connsiteX21" fmla="*/ 3596185 w 4456476"/>
            <a:gd name="connsiteY21" fmla="*/ 436729 h 3439236"/>
            <a:gd name="connsiteX22" fmla="*/ 3411938 w 4456476"/>
            <a:gd name="connsiteY22" fmla="*/ 402609 h 3439236"/>
            <a:gd name="connsiteX23" fmla="*/ 3138983 w 4456476"/>
            <a:gd name="connsiteY23" fmla="*/ 573206 h 3439236"/>
            <a:gd name="connsiteX24" fmla="*/ 2565777 w 4456476"/>
            <a:gd name="connsiteY24" fmla="*/ 600501 h 3439236"/>
            <a:gd name="connsiteX25" fmla="*/ 2497539 w 4456476"/>
            <a:gd name="connsiteY25" fmla="*/ 573206 h 3439236"/>
            <a:gd name="connsiteX26" fmla="*/ 2251880 w 4456476"/>
            <a:gd name="connsiteY26" fmla="*/ 388961 h 3439236"/>
            <a:gd name="connsiteX27" fmla="*/ 1576316 w 4456476"/>
            <a:gd name="connsiteY27" fmla="*/ 607325 h 3439236"/>
            <a:gd name="connsiteX28" fmla="*/ 1255592 w 4456476"/>
            <a:gd name="connsiteY28" fmla="*/ 232012 h 3439236"/>
            <a:gd name="connsiteX29" fmla="*/ 934871 w 4456476"/>
            <a:gd name="connsiteY29" fmla="*/ 0 h 3439236"/>
            <a:gd name="connsiteX30" fmla="*/ 887104 w 4456476"/>
            <a:gd name="connsiteY30" fmla="*/ 1030406 h 34392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Lst>
          <a:rect l="l" t="t" r="r" b="b"/>
          <a:pathLst>
            <a:path w="4456476" h="3439236">
              <a:moveTo>
                <a:pt x="887104" y="1030406"/>
              </a:moveTo>
              <a:lnTo>
                <a:pt x="361666" y="1562669"/>
              </a:lnTo>
              <a:lnTo>
                <a:pt x="0" y="1569493"/>
              </a:lnTo>
              <a:cubicBezTo>
                <a:pt x="2275" y="1819702"/>
                <a:pt x="4549" y="2069910"/>
                <a:pt x="6824" y="2320119"/>
              </a:cubicBezTo>
              <a:lnTo>
                <a:pt x="1473958" y="2975212"/>
              </a:lnTo>
              <a:lnTo>
                <a:pt x="1508077" y="3439236"/>
              </a:lnTo>
              <a:lnTo>
                <a:pt x="2163170" y="3425588"/>
              </a:lnTo>
              <a:lnTo>
                <a:pt x="2183642" y="2995684"/>
              </a:lnTo>
              <a:lnTo>
                <a:pt x="3166280" y="2975212"/>
              </a:lnTo>
              <a:lnTo>
                <a:pt x="3193576" y="3425588"/>
              </a:lnTo>
              <a:lnTo>
                <a:pt x="3862316" y="3425588"/>
              </a:lnTo>
              <a:lnTo>
                <a:pt x="3882788" y="2695433"/>
              </a:lnTo>
              <a:cubicBezTo>
                <a:pt x="3966949" y="2472520"/>
                <a:pt x="4235354" y="2440674"/>
                <a:pt x="4319515" y="2217761"/>
              </a:cubicBezTo>
              <a:cubicBezTo>
                <a:pt x="4388891" y="2118815"/>
                <a:pt x="4330888" y="2223447"/>
                <a:pt x="4360458" y="2129050"/>
              </a:cubicBezTo>
              <a:cubicBezTo>
                <a:pt x="4370694" y="2082420"/>
                <a:pt x="4363871" y="2144973"/>
                <a:pt x="4380930" y="2081284"/>
              </a:cubicBezTo>
              <a:cubicBezTo>
                <a:pt x="4391166" y="2043753"/>
                <a:pt x="4419599" y="1942531"/>
                <a:pt x="4428697" y="1883391"/>
              </a:cubicBezTo>
              <a:cubicBezTo>
                <a:pt x="4437795" y="1824251"/>
                <a:pt x="4432108" y="1752600"/>
                <a:pt x="4435520" y="1726442"/>
              </a:cubicBezTo>
              <a:cubicBezTo>
                <a:pt x="4438932" y="1700284"/>
                <a:pt x="4408226" y="1758287"/>
                <a:pt x="4415050" y="1726442"/>
              </a:cubicBezTo>
              <a:cubicBezTo>
                <a:pt x="4401402" y="1630908"/>
                <a:pt x="4503762" y="1828800"/>
                <a:pt x="4428699" y="1815152"/>
              </a:cubicBezTo>
              <a:cubicBezTo>
                <a:pt x="4501487" y="1589964"/>
                <a:pt x="4409365" y="1298812"/>
                <a:pt x="4374108" y="1194179"/>
              </a:cubicBezTo>
              <a:cubicBezTo>
                <a:pt x="4338851" y="1089546"/>
                <a:pt x="4302456" y="975815"/>
                <a:pt x="4162567" y="812042"/>
              </a:cubicBezTo>
              <a:cubicBezTo>
                <a:pt x="3873689" y="566383"/>
                <a:pt x="3823648" y="586854"/>
                <a:pt x="3596185" y="436729"/>
              </a:cubicBezTo>
              <a:cubicBezTo>
                <a:pt x="3459707" y="365078"/>
                <a:pt x="3468804" y="367352"/>
                <a:pt x="3411938" y="402609"/>
              </a:cubicBezTo>
              <a:cubicBezTo>
                <a:pt x="3355072" y="437866"/>
                <a:pt x="3261813" y="541361"/>
                <a:pt x="3138983" y="573206"/>
              </a:cubicBezTo>
              <a:cubicBezTo>
                <a:pt x="3016153" y="605051"/>
                <a:pt x="2673822" y="607325"/>
                <a:pt x="2565777" y="600501"/>
              </a:cubicBezTo>
              <a:cubicBezTo>
                <a:pt x="2543031" y="586853"/>
                <a:pt x="2520285" y="586854"/>
                <a:pt x="2497539" y="573206"/>
              </a:cubicBezTo>
              <a:lnTo>
                <a:pt x="2251880" y="388961"/>
              </a:lnTo>
              <a:lnTo>
                <a:pt x="1576316" y="607325"/>
              </a:lnTo>
              <a:cubicBezTo>
                <a:pt x="1455760" y="495868"/>
                <a:pt x="1376148" y="343469"/>
                <a:pt x="1255592" y="232012"/>
              </a:cubicBezTo>
              <a:lnTo>
                <a:pt x="934871" y="0"/>
              </a:lnTo>
              <a:lnTo>
                <a:pt x="887104" y="1030406"/>
              </a:lnTo>
              <a:close/>
            </a:path>
          </a:pathLst>
        </a:custGeom>
        <a:solidFill>
          <a:srgbClr val="FEC6F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pt-BR"/>
        </a:p>
      </xdr:txBody>
    </xdr:sp>
    <xdr:clientData/>
  </xdr:twoCellAnchor>
  <xdr:twoCellAnchor editAs="oneCell">
    <xdr:from>
      <xdr:col>7</xdr:col>
      <xdr:colOff>495300</xdr:colOff>
      <xdr:row>13</xdr:row>
      <xdr:rowOff>178352</xdr:rowOff>
    </xdr:from>
    <xdr:to>
      <xdr:col>9</xdr:col>
      <xdr:colOff>195566</xdr:colOff>
      <xdr:row>18</xdr:row>
      <xdr:rowOff>123824</xdr:rowOff>
    </xdr:to>
    <xdr:pic>
      <xdr:nvPicPr>
        <xdr:cNvPr id="11" name="Imagem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62500" y="2654852"/>
          <a:ext cx="919466" cy="897972"/>
        </a:xfrm>
        <a:prstGeom prst="rect">
          <a:avLst/>
        </a:prstGeom>
      </xdr:spPr>
    </xdr:pic>
    <xdr:clientData/>
  </xdr:twoCellAnchor>
  <xdr:twoCellAnchor editAs="oneCell">
    <xdr:from>
      <xdr:col>16</xdr:col>
      <xdr:colOff>581025</xdr:colOff>
      <xdr:row>24</xdr:row>
      <xdr:rowOff>190499</xdr:rowOff>
    </xdr:from>
    <xdr:to>
      <xdr:col>21</xdr:col>
      <xdr:colOff>238125</xdr:colOff>
      <xdr:row>35</xdr:row>
      <xdr:rowOff>76200</xdr:rowOff>
    </xdr:to>
    <xdr:pic>
      <xdr:nvPicPr>
        <xdr:cNvPr id="14" name="Imagem 13">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863" t="23716" r="46332" b="19148"/>
        <a:stretch/>
      </xdr:blipFill>
      <xdr:spPr>
        <a:xfrm>
          <a:off x="10334625" y="4762499"/>
          <a:ext cx="2705100" cy="1981201"/>
        </a:xfrm>
        <a:prstGeom prst="rect">
          <a:avLst/>
        </a:prstGeom>
      </xdr:spPr>
    </xdr:pic>
    <xdr:clientData/>
  </xdr:twoCellAnchor>
  <xdr:twoCellAnchor editAs="oneCell">
    <xdr:from>
      <xdr:col>11</xdr:col>
      <xdr:colOff>76199</xdr:colOff>
      <xdr:row>25</xdr:row>
      <xdr:rowOff>19050</xdr:rowOff>
    </xdr:from>
    <xdr:to>
      <xdr:col>12</xdr:col>
      <xdr:colOff>85710</xdr:colOff>
      <xdr:row>31</xdr:row>
      <xdr:rowOff>76199</xdr:rowOff>
    </xdr:to>
    <xdr:pic>
      <xdr:nvPicPr>
        <xdr:cNvPr id="16" name="Imagem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flipH="1">
          <a:off x="6781799" y="4781550"/>
          <a:ext cx="619111" cy="1200149"/>
        </a:xfrm>
        <a:prstGeom prst="rect">
          <a:avLst/>
        </a:prstGeom>
      </xdr:spPr>
    </xdr:pic>
    <xdr:clientData/>
  </xdr:twoCellAnchor>
  <xdr:twoCellAnchor editAs="oneCell">
    <xdr:from>
      <xdr:col>12</xdr:col>
      <xdr:colOff>216674</xdr:colOff>
      <xdr:row>25</xdr:row>
      <xdr:rowOff>7125</xdr:rowOff>
    </xdr:from>
    <xdr:to>
      <xdr:col>13</xdr:col>
      <xdr:colOff>226185</xdr:colOff>
      <xdr:row>31</xdr:row>
      <xdr:rowOff>64274</xdr:rowOff>
    </xdr:to>
    <xdr:pic>
      <xdr:nvPicPr>
        <xdr:cNvPr id="17" name="Imagem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flipH="1">
          <a:off x="7531874" y="4769625"/>
          <a:ext cx="619111" cy="1200149"/>
        </a:xfrm>
        <a:prstGeom prst="rect">
          <a:avLst/>
        </a:prstGeom>
      </xdr:spPr>
    </xdr:pic>
    <xdr:clientData/>
  </xdr:twoCellAnchor>
  <xdr:twoCellAnchor editAs="oneCell">
    <xdr:from>
      <xdr:col>12</xdr:col>
      <xdr:colOff>228600</xdr:colOff>
      <xdr:row>32</xdr:row>
      <xdr:rowOff>19050</xdr:rowOff>
    </xdr:from>
    <xdr:to>
      <xdr:col>14</xdr:col>
      <xdr:colOff>583425</xdr:colOff>
      <xdr:row>36</xdr:row>
      <xdr:rowOff>119485</xdr:rowOff>
    </xdr:to>
    <xdr:pic>
      <xdr:nvPicPr>
        <xdr:cNvPr id="7" name="Imagem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43800" y="6115050"/>
          <a:ext cx="1574025" cy="862435"/>
        </a:xfrm>
        <a:prstGeom prst="rect">
          <a:avLst/>
        </a:prstGeom>
      </xdr:spPr>
    </xdr:pic>
    <xdr:clientData/>
  </xdr:twoCellAnchor>
  <xdr:twoCellAnchor editAs="oneCell">
    <xdr:from>
      <xdr:col>9</xdr:col>
      <xdr:colOff>302400</xdr:colOff>
      <xdr:row>32</xdr:row>
      <xdr:rowOff>54750</xdr:rowOff>
    </xdr:from>
    <xdr:to>
      <xdr:col>12</xdr:col>
      <xdr:colOff>47625</xdr:colOff>
      <xdr:row>36</xdr:row>
      <xdr:rowOff>155185</xdr:rowOff>
    </xdr:to>
    <xdr:pic>
      <xdr:nvPicPr>
        <xdr:cNvPr id="8" name="Imagem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788800" y="6150750"/>
          <a:ext cx="1574025" cy="862435"/>
        </a:xfrm>
        <a:prstGeom prst="rect">
          <a:avLst/>
        </a:prstGeom>
      </xdr:spPr>
    </xdr:pic>
    <xdr:clientData/>
  </xdr:twoCellAnchor>
  <xdr:twoCellAnchor editAs="oneCell">
    <xdr:from>
      <xdr:col>6</xdr:col>
      <xdr:colOff>461925</xdr:colOff>
      <xdr:row>29</xdr:row>
      <xdr:rowOff>71400</xdr:rowOff>
    </xdr:from>
    <xdr:to>
      <xdr:col>9</xdr:col>
      <xdr:colOff>125525</xdr:colOff>
      <xdr:row>37</xdr:row>
      <xdr:rowOff>76200</xdr:rowOff>
    </xdr:to>
    <xdr:pic>
      <xdr:nvPicPr>
        <xdr:cNvPr id="9" name="Imagem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119525" y="5595900"/>
          <a:ext cx="1492400" cy="1528800"/>
        </a:xfrm>
        <a:prstGeom prst="rect">
          <a:avLst/>
        </a:prstGeom>
      </xdr:spPr>
    </xdr:pic>
    <xdr:clientData/>
  </xdr:twoCellAnchor>
  <xdr:twoCellAnchor editAs="oneCell">
    <xdr:from>
      <xdr:col>4</xdr:col>
      <xdr:colOff>173775</xdr:colOff>
      <xdr:row>29</xdr:row>
      <xdr:rowOff>78525</xdr:rowOff>
    </xdr:from>
    <xdr:to>
      <xdr:col>6</xdr:col>
      <xdr:colOff>446975</xdr:colOff>
      <xdr:row>37</xdr:row>
      <xdr:rowOff>83325</xdr:rowOff>
    </xdr:to>
    <xdr:pic>
      <xdr:nvPicPr>
        <xdr:cNvPr id="10" name="Imagem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12175" y="5603025"/>
          <a:ext cx="1492400" cy="1528800"/>
        </a:xfrm>
        <a:prstGeom prst="rect">
          <a:avLst/>
        </a:prstGeom>
      </xdr:spPr>
    </xdr:pic>
    <xdr:clientData/>
  </xdr:twoCellAnchor>
  <xdr:twoCellAnchor editAs="oneCell">
    <xdr:from>
      <xdr:col>2</xdr:col>
      <xdr:colOff>455403</xdr:colOff>
      <xdr:row>29</xdr:row>
      <xdr:rowOff>133275</xdr:rowOff>
    </xdr:from>
    <xdr:to>
      <xdr:col>3</xdr:col>
      <xdr:colOff>333374</xdr:colOff>
      <xdr:row>36</xdr:row>
      <xdr:rowOff>3700</xdr:rowOff>
    </xdr:to>
    <xdr:pic>
      <xdr:nvPicPr>
        <xdr:cNvPr id="12" name="Imagem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H="1">
          <a:off x="1674603" y="5657775"/>
          <a:ext cx="487571" cy="1203925"/>
        </a:xfrm>
        <a:prstGeom prst="rect">
          <a:avLst/>
        </a:prstGeom>
      </xdr:spPr>
    </xdr:pic>
    <xdr:clientData/>
  </xdr:twoCellAnchor>
  <xdr:twoCellAnchor editAs="oneCell">
    <xdr:from>
      <xdr:col>1</xdr:col>
      <xdr:colOff>376803</xdr:colOff>
      <xdr:row>29</xdr:row>
      <xdr:rowOff>92775</xdr:rowOff>
    </xdr:from>
    <xdr:to>
      <xdr:col>2</xdr:col>
      <xdr:colOff>254774</xdr:colOff>
      <xdr:row>35</xdr:row>
      <xdr:rowOff>153700</xdr:rowOff>
    </xdr:to>
    <xdr:pic>
      <xdr:nvPicPr>
        <xdr:cNvPr id="13" name="Imagem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986403" y="5617275"/>
          <a:ext cx="487571" cy="12039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e Goncalves Ferreira J Vasconcelos" refreshedDate="45393.63135729167" createdVersion="6" refreshedVersion="8" minRefreshableVersion="3" recordCount="13" xr:uid="{44A52C70-E88C-481B-9B28-A82B63A9061E}">
  <cacheSource type="worksheet">
    <worksheetSource name="Tabela65"/>
  </cacheSource>
  <cacheFields count="1">
    <cacheField name="Meses" numFmtId="0">
      <sharedItems containsMixedTypes="1" containsNumber="1" containsInteger="1" minValue="2020" maxValue="2024" count="15">
        <s v="Janeiro"/>
        <s v="Fevereiro"/>
        <s v="Março"/>
        <s v="Abril"/>
        <s v="Maio"/>
        <s v="Junho"/>
        <s v="Julho"/>
        <s v="Agosto"/>
        <s v="Setembro"/>
        <s v="Outubro"/>
        <s v="Novembro"/>
        <s v="Dezembro"/>
        <n v="2024"/>
        <n v="2021" u="1"/>
        <n v="2020" u="1"/>
      </sharedItems>
    </cacheField>
  </cacheFields>
  <extLst>
    <ext xmlns:x14="http://schemas.microsoft.com/office/spreadsheetml/2009/9/main" uri="{725AE2AE-9491-48be-B2B4-4EB974FC3084}">
      <x14:pivotCacheDefinition pivotCacheId="1733406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r>
  <r>
    <x v="1"/>
  </r>
  <r>
    <x v="2"/>
  </r>
  <r>
    <x v="3"/>
  </r>
  <r>
    <x v="4"/>
  </r>
  <r>
    <x v="5"/>
  </r>
  <r>
    <x v="6"/>
  </r>
  <r>
    <x v="7"/>
  </r>
  <r>
    <x v="8"/>
  </r>
  <r>
    <x v="9"/>
  </r>
  <r>
    <x v="10"/>
  </r>
  <r>
    <x v="11"/>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0CF6B8-C779-4D9D-9386-96C5C1D07201}" name="Tabela dinâmica2" cacheId="3" applyNumberFormats="0" applyBorderFormats="0" applyFontFormats="0" applyPatternFormats="0" applyAlignmentFormats="0" applyWidthHeightFormats="1" dataCaption="Valores" updatedVersion="8" minRefreshableVersion="3" useAutoFormatting="1" itemPrintTitles="1" createdVersion="6" indent="0" outline="1" outlineData="1" multipleFieldFilters="0">
  <location ref="J106:J108" firstHeaderRow="1" firstDataRow="1" firstDataCol="1"/>
  <pivotFields count="1">
    <pivotField axis="axisRow" showAll="0">
      <items count="16">
        <item h="1" m="1" x="14"/>
        <item h="1" x="0"/>
        <item h="1" x="1"/>
        <item h="1" x="2"/>
        <item h="1" x="3"/>
        <item h="1" x="4"/>
        <item h="1" x="5"/>
        <item h="1" x="6"/>
        <item h="1" x="7"/>
        <item h="1" x="8"/>
        <item h="1" x="9"/>
        <item x="10"/>
        <item h="1" x="11"/>
        <item h="1" m="1" x="13"/>
        <item h="1" x="12"/>
        <item t="default"/>
      </items>
    </pivotField>
  </pivotFields>
  <rowFields count="1">
    <field x="0"/>
  </rowFields>
  <rowItems count="2">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eses1" xr10:uid="{B49E5A52-653D-4D90-8882-853A934F82CD}" sourceName="Meses">
  <pivotTables>
    <pivotTable tabId="10" name="Tabela dinâmica2"/>
  </pivotTables>
  <data>
    <tabular pivotCacheId="1733406439">
      <items count="15">
        <i x="12"/>
        <i x="0"/>
        <i x="1"/>
        <i x="2"/>
        <i x="3"/>
        <i x="4"/>
        <i x="5"/>
        <i x="6"/>
        <i x="7"/>
        <i x="8"/>
        <i x="9"/>
        <i x="10" s="1"/>
        <i x="11"/>
        <i x="14"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Cartão" xr10:uid="{00000000-0013-0000-FFFF-FFFF02000000}" sourceName="Cartão">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ês2" xr10:uid="{00000000-0013-0000-FFFF-FFFF03000000}" sourceName="Mês">
  <extLst>
    <x:ext xmlns:x15="http://schemas.microsoft.com/office/spreadsheetml/2010/11/main" uri="{2F2917AC-EB37-4324-AD4E-5DD8C200BD13}">
      <x15:tableSlicerCache tableId="3"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ês1" xr10:uid="{00000000-0013-0000-FFFF-FFFF04000000}" sourceName="Mês">
  <extLst>
    <x:ext xmlns:x15="http://schemas.microsoft.com/office/spreadsheetml/2010/11/main" uri="{2F2917AC-EB37-4324-AD4E-5DD8C200BD13}">
      <x15:tableSlicerCache tableId="2"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Mês" xr10:uid="{00000000-0013-0000-FFFF-FFFF05000000}" sourceName="Mês">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s 3" xr10:uid="{11835C01-B22B-41AB-ADEB-579F29D57FFF}" cache="SegmentaçãodeDados_Meses1" caption="Meses" columnCount="7" showCaption="0" style="Estilo de Segmentação de Dados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ses 2" xr10:uid="{640C8E67-4F56-40D0-BEA7-B012C79AA484}" cache="SegmentaçãodeDados_Meses1" caption="Meses" columnCount="1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tão" xr10:uid="{00000000-0014-0000-FFFF-FFFF03000000}" cache="SegmentaçãodeDados_Cartão" caption="Cartão" columnCount="5" rowHeight="241300"/>
  <slicer name="Mês 2" xr10:uid="{00000000-0014-0000-FFFF-FFFF04000000}" cache="SegmentaçãodeDados_Mês2" caption="Mês" columnCount="12" rowHeight="241300"/>
  <slicer name="Mês 1" xr10:uid="{00000000-0014-0000-FFFF-FFFF05000000}" cache="SegmentaçãodeDados_Mês1" caption="Mês" columnCount="12" rowHeight="241300"/>
  <slicer name="Mês" xr10:uid="{00000000-0014-0000-FFFF-FFFF06000000}" cache="SegmentaçãodeDados_Mês" caption="Mês" columnCount="1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FC7D45-6A1D-4981-A86B-F4B965C51673}" name="Tabela65" displayName="Tabela65" ref="G106:G119" totalsRowShown="0" headerRowDxfId="271" dataDxfId="270">
  <autoFilter ref="G106:G119" xr:uid="{7BEA7277-CC01-42CC-9284-F3A1B6DD9B46}"/>
  <tableColumns count="1">
    <tableColumn id="1" xr3:uid="{1EE5374D-526F-4A36-86E6-CC0F8CC6CADD}" name="Meses" dataDxfId="26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a5" displayName="Tabela5" ref="B5:G9" totalsRowShown="0" headerRowDxfId="268" dataDxfId="267">
  <autoFilter ref="B5:G9" xr:uid="{00000000-0009-0000-0100-000001000000}"/>
  <sortState xmlns:xlrd2="http://schemas.microsoft.com/office/spreadsheetml/2017/richdata2" ref="B6:G95">
    <sortCondition ref="D5:D95"/>
  </sortState>
  <tableColumns count="6">
    <tableColumn id="1" xr3:uid="{00000000-0010-0000-0100-000001000000}" name="Cartão" dataDxfId="266" totalsRowDxfId="265"/>
    <tableColumn id="6" xr3:uid="{00000000-0010-0000-0100-000006000000}" name="Mês" dataDxfId="264" totalsRowDxfId="263"/>
    <tableColumn id="2" xr3:uid="{00000000-0010-0000-0100-000002000000}" name="Data Compra" dataDxfId="262" totalsRowDxfId="261"/>
    <tableColumn id="3" xr3:uid="{00000000-0010-0000-0100-000003000000}" name="Valor" dataDxfId="260" totalsRowDxfId="259" dataCellStyle="Moeda" totalsRowCellStyle="Moeda"/>
    <tableColumn id="4" xr3:uid="{00000000-0010-0000-0100-000004000000}" name="Item" dataDxfId="258" totalsRowDxfId="257" totalsRowCellStyle="Moeda"/>
    <tableColumn id="5" xr3:uid="{00000000-0010-0000-0100-000005000000}" name="Observação" dataDxfId="256" totalsRowDxfId="25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ela57" displayName="Tabela57" ref="K5:O9" totalsRowShown="0" headerRowDxfId="254" dataDxfId="253">
  <autoFilter ref="K5:O9" xr:uid="{00000000-0009-0000-0100-000002000000}"/>
  <sortState xmlns:xlrd2="http://schemas.microsoft.com/office/spreadsheetml/2017/richdata2" ref="K6:O21">
    <sortCondition ref="K6:K21"/>
    <sortCondition ref="L6:L21"/>
  </sortState>
  <tableColumns count="5">
    <tableColumn id="2" xr3:uid="{00000000-0010-0000-0200-000002000000}" name="Mês" dataDxfId="252"/>
    <tableColumn id="1" xr3:uid="{00000000-0010-0000-0200-000001000000}" name="Data" dataDxfId="251"/>
    <tableColumn id="3" xr3:uid="{00000000-0010-0000-0200-000003000000}" name="Valor" dataDxfId="250" dataCellStyle="Moeda"/>
    <tableColumn id="5" xr3:uid="{00000000-0010-0000-0200-000005000000}" name="Item" dataDxfId="249" dataCellStyle="Moeda"/>
    <tableColumn id="4" xr3:uid="{00000000-0010-0000-0200-000004000000}" name="Observação" dataDxfId="24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a3" displayName="Tabela3" ref="T5:W9" totalsRowShown="0">
  <autoFilter ref="T5:W9" xr:uid="{00000000-0009-0000-0100-000003000000}"/>
  <sortState xmlns:xlrd2="http://schemas.microsoft.com/office/spreadsheetml/2017/richdata2" ref="T6:W63">
    <sortCondition ref="T6:T63"/>
  </sortState>
  <tableColumns count="4">
    <tableColumn id="1" xr3:uid="{00000000-0010-0000-0300-000001000000}" name="Mês" dataDxfId="247"/>
    <tableColumn id="2" xr3:uid="{00000000-0010-0000-0300-000002000000}" name="Valor" dataDxfId="246" dataCellStyle="Moeda"/>
    <tableColumn id="4" xr3:uid="{00000000-0010-0000-0300-000004000000}" name="Item" dataDxfId="245" dataCellStyle="Moeda"/>
    <tableColumn id="3" xr3:uid="{00000000-0010-0000-0300-000003000000}" name="Observação" dataDxfId="244" dataCellStyle="Moeda"/>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noFill/>
        <a:ln w="38100" cmpd="sng">
          <a:solidFill>
            <a:srgbClr val="002060"/>
          </a:solidFill>
        </a:ln>
      </a:spPr>
      <a:bodyPr vertOverflow="clip" horzOverflow="clip" wrap="square" rtlCol="0" anchor="ctr"/>
      <a:lstStyle>
        <a:defPPr marL="0" indent="0" algn="ctr">
          <a:defRPr sz="2000" b="1" i="0" u="none" strike="noStrike">
            <a:solidFill>
              <a:srgbClr val="FFFF00"/>
            </a:solidFill>
            <a:latin typeface="Calibri"/>
            <a:ea typeface="+mn-ea"/>
            <a:cs typeface="+mn-cs"/>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7" Type="http://schemas.openxmlformats.org/officeDocument/2006/relationships/comments" Target="../comments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tabColor theme="8" tint="0.39997558519241921"/>
  </sheetPr>
  <dimension ref="A1"/>
  <sheetViews>
    <sheetView workbookViewId="0"/>
  </sheetViews>
  <sheetFormatPr defaultRowHeight="14.5"/>
  <sheetData/>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
  <sheetViews>
    <sheetView topLeftCell="A4" zoomScaleNormal="100" workbookViewId="0">
      <selection activeCell="V13" sqref="V13"/>
    </sheetView>
  </sheetViews>
  <sheetFormatPr defaultRowHeight="14.5"/>
  <sheetData/>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4"/>
  <dimension ref="A1:IV123"/>
  <sheetViews>
    <sheetView tabSelected="1" zoomScaleNormal="100" workbookViewId="0">
      <pane xSplit="2" ySplit="2" topLeftCell="C79" activePane="bottomRight" state="frozen"/>
      <selection pane="topRight" activeCell="C1" sqref="C1"/>
      <selection pane="bottomLeft" activeCell="A4" sqref="A4"/>
      <selection pane="bottomRight" activeCell="A82" sqref="A82"/>
    </sheetView>
  </sheetViews>
  <sheetFormatPr defaultColWidth="11.453125" defaultRowHeight="12.75" customHeight="1"/>
  <cols>
    <col min="1" max="1" width="15.7265625" style="35" bestFit="1" customWidth="1"/>
    <col min="2" max="2" width="24.81640625" style="35" bestFit="1" customWidth="1"/>
    <col min="3" max="8" width="12.7265625" style="35" customWidth="1"/>
    <col min="9" max="9" width="12.7265625" style="129" customWidth="1"/>
    <col min="10" max="10" width="17.26953125" style="35" bestFit="1" customWidth="1"/>
    <col min="11" max="11" width="11" style="35" bestFit="1" customWidth="1"/>
    <col min="12" max="15" width="12.7265625" style="35" customWidth="1"/>
    <col min="16" max="16" width="16.1796875" style="35" bestFit="1" customWidth="1"/>
    <col min="17" max="17" width="17.1796875" style="35" customWidth="1"/>
    <col min="18" max="18" width="11.7265625" style="35" bestFit="1" customWidth="1"/>
    <col min="19" max="20" width="10.7265625" style="35" bestFit="1" customWidth="1"/>
    <col min="21" max="21" width="12.26953125" style="35" customWidth="1"/>
    <col min="22" max="22" width="13" style="35" customWidth="1"/>
    <col min="23" max="25" width="11.453125" style="35"/>
    <col min="26" max="26" width="13.26953125" style="35" customWidth="1"/>
    <col min="27" max="27" width="14.1796875" style="35" customWidth="1"/>
    <col min="28" max="256" width="11.453125" style="35"/>
    <col min="257" max="16384" width="11.453125" style="36"/>
  </cols>
  <sheetData>
    <row r="1" spans="1:33" ht="35.25" customHeight="1">
      <c r="A1" s="570"/>
      <c r="B1" s="571"/>
      <c r="C1" s="569" t="s">
        <v>140</v>
      </c>
      <c r="D1" s="569"/>
      <c r="E1" s="569"/>
      <c r="F1" s="569"/>
      <c r="G1" s="569"/>
      <c r="H1" s="569"/>
      <c r="I1" s="569"/>
      <c r="J1" s="569"/>
      <c r="K1" s="569"/>
      <c r="L1" s="569"/>
      <c r="M1" s="569"/>
      <c r="N1" s="569"/>
      <c r="O1" s="569"/>
      <c r="P1" s="33"/>
      <c r="Q1" s="33"/>
      <c r="R1" s="33"/>
      <c r="S1" s="33"/>
      <c r="T1" s="33"/>
      <c r="U1" s="33"/>
      <c r="V1" s="33"/>
      <c r="W1" s="33"/>
      <c r="X1" s="33"/>
      <c r="Y1" s="33"/>
      <c r="Z1" s="33"/>
      <c r="AA1" s="33"/>
      <c r="AB1" s="33"/>
      <c r="AC1" s="33"/>
      <c r="AD1" s="33"/>
      <c r="AE1" s="33"/>
      <c r="AF1" s="33"/>
      <c r="AG1" s="34"/>
    </row>
    <row r="2" spans="1:33" ht="13.5" customHeight="1" thickBot="1">
      <c r="A2" s="572"/>
      <c r="B2" s="573"/>
      <c r="C2" s="137">
        <v>45292</v>
      </c>
      <c r="D2" s="137">
        <v>45323</v>
      </c>
      <c r="E2" s="137">
        <v>45352</v>
      </c>
      <c r="F2" s="137">
        <v>45383</v>
      </c>
      <c r="G2" s="137">
        <v>45413</v>
      </c>
      <c r="H2" s="137">
        <v>45444</v>
      </c>
      <c r="I2" s="137">
        <v>45474</v>
      </c>
      <c r="J2" s="137">
        <v>45505</v>
      </c>
      <c r="K2" s="137">
        <v>45536</v>
      </c>
      <c r="L2" s="137">
        <v>45566</v>
      </c>
      <c r="M2" s="137">
        <v>45597</v>
      </c>
      <c r="N2" s="137">
        <v>45627</v>
      </c>
      <c r="O2" s="138" t="s">
        <v>12</v>
      </c>
      <c r="P2" s="38"/>
      <c r="Q2" s="38"/>
      <c r="R2" s="38"/>
      <c r="S2" s="38"/>
      <c r="T2" s="38"/>
      <c r="U2" s="69"/>
      <c r="V2" s="38"/>
      <c r="W2" s="38"/>
      <c r="X2" s="38"/>
      <c r="Y2" s="38"/>
      <c r="Z2" s="38"/>
      <c r="AA2" s="38"/>
      <c r="AB2" s="38"/>
      <c r="AC2" s="38"/>
      <c r="AD2" s="38"/>
      <c r="AE2" s="38"/>
      <c r="AF2" s="38"/>
      <c r="AG2" s="39"/>
    </row>
    <row r="3" spans="1:33" ht="12.75" customHeight="1">
      <c r="A3" s="574" t="s">
        <v>93</v>
      </c>
      <c r="B3" s="70"/>
      <c r="C3" s="71">
        <f>SUM(C4:C12)</f>
        <v>8600</v>
      </c>
      <c r="D3" s="71">
        <f>SUM(D4:D12)</f>
        <v>15568.7</v>
      </c>
      <c r="E3" s="72">
        <f>SUM(E4:E12)</f>
        <v>8600</v>
      </c>
      <c r="F3" s="72">
        <f>SUM(F4:F12)</f>
        <v>8600</v>
      </c>
      <c r="G3" s="72">
        <f>SUM(G4:G12)</f>
        <v>8600</v>
      </c>
      <c r="H3" s="72">
        <f>SUM(H4:H12)</f>
        <v>8600</v>
      </c>
      <c r="I3" s="71">
        <f>SUM(I4:I12)</f>
        <v>8600</v>
      </c>
      <c r="J3" s="72">
        <f>SUM(J4:J12)</f>
        <v>8600</v>
      </c>
      <c r="K3" s="72">
        <f>SUM(K4:K12)</f>
        <v>8600</v>
      </c>
      <c r="L3" s="72">
        <f>SUM(L4:L12)</f>
        <v>8600</v>
      </c>
      <c r="M3" s="72">
        <f>SUM(M4:M12)</f>
        <v>11675.22</v>
      </c>
      <c r="N3" s="72">
        <f>SUM(N4:N12)</f>
        <v>8600</v>
      </c>
      <c r="O3" s="73">
        <f>SUM(C3:N3)</f>
        <v>113243.92</v>
      </c>
      <c r="P3" s="40"/>
      <c r="Q3" s="38"/>
      <c r="R3" s="38"/>
      <c r="S3" s="38"/>
      <c r="T3" s="38"/>
      <c r="U3" s="38"/>
      <c r="V3" s="38"/>
      <c r="W3" s="38"/>
      <c r="X3" s="38"/>
      <c r="Y3" s="38"/>
      <c r="Z3" s="38"/>
      <c r="AA3" s="38"/>
      <c r="AB3" s="38"/>
      <c r="AC3" s="38"/>
      <c r="AD3" s="38"/>
      <c r="AE3" s="38"/>
      <c r="AF3" s="38"/>
      <c r="AG3" s="39"/>
    </row>
    <row r="4" spans="1:33" ht="12.75" customHeight="1">
      <c r="A4" s="575"/>
      <c r="B4" s="41" t="s">
        <v>71</v>
      </c>
      <c r="C4" s="119">
        <v>8600</v>
      </c>
      <c r="D4" s="119">
        <v>8600</v>
      </c>
      <c r="E4" s="119">
        <v>8600</v>
      </c>
      <c r="F4" s="119">
        <v>8600</v>
      </c>
      <c r="G4" s="119">
        <v>8600</v>
      </c>
      <c r="H4" s="119">
        <v>8600</v>
      </c>
      <c r="I4" s="119">
        <v>8600</v>
      </c>
      <c r="J4" s="119">
        <v>8600</v>
      </c>
      <c r="K4" s="119">
        <v>8600</v>
      </c>
      <c r="L4" s="119">
        <v>8600</v>
      </c>
      <c r="M4" s="119">
        <v>8600</v>
      </c>
      <c r="N4" s="119">
        <v>8600</v>
      </c>
      <c r="O4" s="74">
        <f>SUM(C4:N4)</f>
        <v>103200</v>
      </c>
      <c r="P4" s="40"/>
      <c r="Q4" s="38"/>
      <c r="R4" s="38"/>
      <c r="S4" s="38"/>
      <c r="T4" s="75"/>
      <c r="U4" s="75"/>
      <c r="V4" s="75"/>
      <c r="W4" s="75"/>
      <c r="X4" s="75"/>
      <c r="Y4" s="75"/>
      <c r="Z4" s="75"/>
      <c r="AA4" s="38"/>
      <c r="AB4" s="38"/>
      <c r="AC4" s="38"/>
      <c r="AD4" s="38"/>
      <c r="AE4" s="38"/>
      <c r="AF4" s="38"/>
      <c r="AG4" s="39"/>
    </row>
    <row r="5" spans="1:33" ht="12.75" customHeight="1">
      <c r="A5" s="575"/>
      <c r="B5" s="43" t="s">
        <v>34</v>
      </c>
      <c r="C5" s="119">
        <f>SUMIFS(Dados!$U:$U,Dados!$V:$V,$B5,Dados!$T:$T,C$2)</f>
        <v>0</v>
      </c>
      <c r="D5" s="119">
        <f>7918.97-950.27</f>
        <v>6968.7000000000007</v>
      </c>
      <c r="E5" s="119">
        <f>SUMIFS(Dados!$U:$U,Dados!$V:$V,$B5,Dados!$T:$T,E$2)</f>
        <v>0</v>
      </c>
      <c r="F5" s="119">
        <v>0</v>
      </c>
      <c r="G5" s="119">
        <f>SUMIFS(Dados!$U:$U,Dados!$V:$V,$B5,Dados!$T:$T,G$2)</f>
        <v>0</v>
      </c>
      <c r="H5" s="119">
        <f>SUMIFS(Dados!$U:$U,Dados!$V:$V,$B5,Dados!$T:$T,H$2)</f>
        <v>0</v>
      </c>
      <c r="I5" s="119">
        <f>SUMIFS(Dados!$U:$U,Dados!$V:$V,$B5,Dados!$T:$T,I$2)</f>
        <v>0</v>
      </c>
      <c r="J5" s="119">
        <f>SUMIFS(Dados!$U:$U,Dados!$V:$V,$B5,Dados!$T:$T,J$2)</f>
        <v>0</v>
      </c>
      <c r="K5" s="119">
        <f>SUMIFS(Dados!$U:$U,Dados!$V:$V,$B5,Dados!$T:$T,K$2)</f>
        <v>0</v>
      </c>
      <c r="L5" s="119">
        <f>SUMIFS(Dados!$U:$U,Dados!$V:$V,$B5,Dados!$T:$T,L$2)</f>
        <v>0</v>
      </c>
      <c r="M5" s="119">
        <v>3075.22</v>
      </c>
      <c r="N5" s="119">
        <f>SUMIFS(Dados!$U:$U,Dados!$V:$V,$B5,Dados!$T:$T,N$2)</f>
        <v>0</v>
      </c>
      <c r="O5" s="76">
        <f>SUM(C5:N5)</f>
        <v>10043.92</v>
      </c>
      <c r="P5" s="40"/>
      <c r="Q5" s="38"/>
      <c r="R5" s="38"/>
      <c r="S5" s="38"/>
      <c r="T5" s="75"/>
      <c r="U5" s="75"/>
      <c r="V5" s="75"/>
      <c r="W5" s="75"/>
      <c r="X5" s="75"/>
      <c r="Y5" s="75"/>
      <c r="Z5" s="77" t="s">
        <v>13</v>
      </c>
      <c r="AA5" s="38"/>
      <c r="AB5" s="38"/>
      <c r="AC5" s="38"/>
      <c r="AD5" s="38"/>
      <c r="AE5" s="38"/>
      <c r="AF5" s="38"/>
      <c r="AG5" s="39"/>
    </row>
    <row r="6" spans="1:33" ht="12.75" customHeight="1">
      <c r="A6" s="575"/>
      <c r="B6" s="43" t="s">
        <v>14</v>
      </c>
      <c r="C6" s="119">
        <f>SUMIFS(Dados!$U:$U,Dados!$V:$V,$B6,Dados!$T:$T,C$2)</f>
        <v>0</v>
      </c>
      <c r="D6" s="119">
        <v>0</v>
      </c>
      <c r="E6" s="119">
        <f>SUMIFS(Dados!$U:$U,Dados!$V:$V,$B6,Dados!$T:$T,E$2)</f>
        <v>0</v>
      </c>
      <c r="F6" s="119">
        <v>0</v>
      </c>
      <c r="G6" s="119">
        <f>SUMIFS(Dados!$U:$U,Dados!$V:$V,$B6,Dados!$T:$T,G$2)</f>
        <v>0</v>
      </c>
      <c r="H6" s="119">
        <f>SUMIFS(Dados!$U:$U,Dados!$V:$V,$B6,Dados!$T:$T,H$2)</f>
        <v>0</v>
      </c>
      <c r="I6" s="119">
        <f>SUMIFS(Dados!$U:$U,Dados!$V:$V,$B6,Dados!$T:$T,I$2)</f>
        <v>0</v>
      </c>
      <c r="J6" s="119">
        <f>SUMIFS(Dados!$U:$U,Dados!$V:$V,$B6,Dados!$T:$T,J$2)</f>
        <v>0</v>
      </c>
      <c r="K6" s="119">
        <f>SUMIFS(Dados!$U:$U,Dados!$V:$V,$B6,Dados!$T:$T,K$2)</f>
        <v>0</v>
      </c>
      <c r="L6" s="119">
        <f>SUMIFS(Dados!$U:$U,Dados!$V:$V,$B6,Dados!$T:$T,L$2)</f>
        <v>0</v>
      </c>
      <c r="M6" s="119">
        <v>0</v>
      </c>
      <c r="N6" s="119">
        <f>SUMIFS(Dados!$U:$U,Dados!$V:$V,$B6,Dados!$T:$T,N$2)</f>
        <v>0</v>
      </c>
      <c r="O6" s="76">
        <f t="shared" ref="O6:O12" si="0">SUM(C6:N6)</f>
        <v>0</v>
      </c>
      <c r="P6" s="174"/>
      <c r="Q6" s="38"/>
      <c r="R6" s="38"/>
      <c r="S6" s="38"/>
      <c r="T6" s="38"/>
      <c r="U6" s="38"/>
      <c r="V6" s="38"/>
      <c r="W6" s="38"/>
      <c r="X6" s="38"/>
      <c r="Y6" s="38"/>
      <c r="Z6" s="38"/>
      <c r="AA6" s="38"/>
      <c r="AB6" s="38"/>
      <c r="AC6" s="38"/>
      <c r="AD6" s="38"/>
      <c r="AE6" s="38"/>
      <c r="AF6" s="38"/>
      <c r="AG6" s="39"/>
    </row>
    <row r="7" spans="1:33" ht="12.75" customHeight="1">
      <c r="A7" s="575"/>
      <c r="B7" s="43" t="s">
        <v>15</v>
      </c>
      <c r="C7" s="119">
        <f>SUMIFS(Dados!$U:$U,Dados!$V:$V,$B7,Dados!$T:$T,C$2)</f>
        <v>0</v>
      </c>
      <c r="D7" s="119">
        <v>0</v>
      </c>
      <c r="E7" s="119">
        <v>0</v>
      </c>
      <c r="F7" s="119">
        <v>0</v>
      </c>
      <c r="G7" s="119">
        <v>0</v>
      </c>
      <c r="H7" s="119">
        <v>0</v>
      </c>
      <c r="I7" s="119">
        <f>SUMIFS(Dados!$U:$U,Dados!$V:$V,$B7,Dados!$T:$T,I$2)</f>
        <v>0</v>
      </c>
      <c r="J7" s="119">
        <f>SUMIFS(Dados!$U:$U,Dados!$V:$V,$B7,Dados!$T:$T,J$2)</f>
        <v>0</v>
      </c>
      <c r="K7" s="119">
        <f>SUMIFS(Dados!$U:$U,Dados!$V:$V,$B7,Dados!$T:$T,K$2)</f>
        <v>0</v>
      </c>
      <c r="L7" s="119">
        <f>SUMIFS(Dados!$U:$U,Dados!$V:$V,$B7,Dados!$T:$T,L$2)</f>
        <v>0</v>
      </c>
      <c r="M7" s="119">
        <f>SUMIFS(Dados!$U:$U,Dados!$V:$V,$B7,Dados!$T:$T,M$2)</f>
        <v>0</v>
      </c>
      <c r="N7" s="119">
        <f>SUMIFS(Dados!$U:$U,Dados!$V:$V,$B7,Dados!$T:$T,N$2)</f>
        <v>0</v>
      </c>
      <c r="O7" s="76">
        <f t="shared" si="0"/>
        <v>0</v>
      </c>
      <c r="P7" s="174"/>
      <c r="Q7" s="38"/>
      <c r="R7" s="38"/>
      <c r="S7" s="38"/>
      <c r="T7" s="38"/>
      <c r="U7" s="46"/>
      <c r="V7" s="38"/>
      <c r="W7" s="38"/>
      <c r="X7" s="38"/>
      <c r="Y7" s="38"/>
      <c r="Z7" s="78">
        <f>900*12</f>
        <v>10800</v>
      </c>
      <c r="AA7" s="38"/>
      <c r="AB7" s="38"/>
      <c r="AC7" s="38"/>
      <c r="AD7" s="38"/>
      <c r="AE7" s="38"/>
      <c r="AF7" s="38"/>
      <c r="AG7" s="39"/>
    </row>
    <row r="8" spans="1:33" ht="14.5">
      <c r="A8" s="575"/>
      <c r="B8" s="43" t="s">
        <v>16</v>
      </c>
      <c r="C8" s="119">
        <f>SUMIFS(Dados!$U:$U,Dados!$V:$V,$B8,Dados!$T:$T,C$2)</f>
        <v>0</v>
      </c>
      <c r="D8" s="119">
        <f>SUMIFS(Dados!$U:$U,Dados!$V:$V,$B8,Dados!$T:$T,D$2)</f>
        <v>0</v>
      </c>
      <c r="E8" s="119">
        <v>0</v>
      </c>
      <c r="F8" s="119">
        <v>0</v>
      </c>
      <c r="G8" s="119">
        <f>SUMIFS(Dados!$U:$U,Dados!$V:$V,$B8,Dados!$T:$T,G$2)</f>
        <v>0</v>
      </c>
      <c r="H8" s="119">
        <f>SUMIFS(Dados!$U:$U,Dados!$V:$V,$B8,Dados!$T:$T,H$2)</f>
        <v>0</v>
      </c>
      <c r="I8" s="119">
        <f>SUMIFS(Dados!$U:$U,Dados!$V:$V,$B8,Dados!$T:$T,I$2)</f>
        <v>0</v>
      </c>
      <c r="J8" s="119">
        <v>0</v>
      </c>
      <c r="K8" s="119">
        <f>SUMIFS(Dados!$U:$U,Dados!$V:$V,$B8,Dados!$T:$T,K$2)</f>
        <v>0</v>
      </c>
      <c r="L8" s="119">
        <v>0</v>
      </c>
      <c r="M8" s="119">
        <f>SUMIFS(Dados!$U:$U,Dados!$V:$V,$B8,Dados!$T:$T,M$2)</f>
        <v>0</v>
      </c>
      <c r="N8" s="119">
        <f>SUMIFS(Dados!$U:$U,Dados!$V:$V,$B8,Dados!$T:$T,N$2)</f>
        <v>0</v>
      </c>
      <c r="O8" s="76">
        <f t="shared" si="0"/>
        <v>0</v>
      </c>
      <c r="P8" s="174"/>
      <c r="Q8" s="38"/>
      <c r="R8" s="38"/>
      <c r="S8" s="38"/>
      <c r="T8" s="38"/>
      <c r="U8" s="46"/>
      <c r="V8" s="38"/>
      <c r="W8" s="38"/>
      <c r="X8" s="38"/>
      <c r="Y8" s="38"/>
      <c r="Z8" s="78">
        <f>252*12</f>
        <v>3024</v>
      </c>
      <c r="AA8" s="38"/>
      <c r="AB8" s="38"/>
      <c r="AC8" s="38"/>
      <c r="AD8" s="38"/>
      <c r="AE8" s="38"/>
      <c r="AF8" s="38"/>
      <c r="AG8" s="39"/>
    </row>
    <row r="9" spans="1:33" ht="14.5">
      <c r="A9" s="575"/>
      <c r="B9" s="43" t="s">
        <v>17</v>
      </c>
      <c r="C9" s="119">
        <f>SUMIFS(Dados!$U:$U,Dados!$V:$V,$B9,Dados!$T:$T,C$2)</f>
        <v>0</v>
      </c>
      <c r="D9" s="119">
        <f>SUMIFS(Dados!$U:$U,Dados!$V:$V,$B9,Dados!$T:$T,D$2)</f>
        <v>0</v>
      </c>
      <c r="E9" s="119">
        <f>SUMIFS(Dados!$U:$U,Dados!$V:$V,$B9,Dados!$T:$T,E$2)</f>
        <v>0</v>
      </c>
      <c r="F9" s="119">
        <f>SUMIFS(Dados!$U:$U,Dados!$V:$V,$B9,Dados!$T:$T,F$2)</f>
        <v>0</v>
      </c>
      <c r="G9" s="119">
        <f>SUMIFS(Dados!$U:$U,Dados!$V:$V,$B9,Dados!$T:$T,G$2)</f>
        <v>0</v>
      </c>
      <c r="H9" s="119">
        <f>SUMIFS(Dados!$U:$U,Dados!$V:$V,$B9,Dados!$T:$T,H$2)</f>
        <v>0</v>
      </c>
      <c r="I9" s="119">
        <f>SUMIFS(Dados!$U:$U,Dados!$V:$V,$B9,Dados!$T:$T,I$2)</f>
        <v>0</v>
      </c>
      <c r="J9" s="119">
        <f>SUMIFS(Dados!$U:$U,Dados!$V:$V,$B9,Dados!$T:$T,J$2)</f>
        <v>0</v>
      </c>
      <c r="K9" s="119">
        <f>SUMIFS(Dados!$U:$U,Dados!$V:$V,$B9,Dados!$T:$T,K$2)</f>
        <v>0</v>
      </c>
      <c r="L9" s="119">
        <f>SUMIFS(Dados!$U:$U,Dados!$V:$V,$B9,Dados!$T:$T,L$2)</f>
        <v>0</v>
      </c>
      <c r="M9" s="119">
        <f>SUMIFS(Dados!$U:$U,Dados!$V:$V,$B9,Dados!$T:$T,M$2)</f>
        <v>0</v>
      </c>
      <c r="N9" s="119">
        <f>SUMIFS(Dados!$U:$U,Dados!$V:$V,$B9,Dados!$T:$T,N$2)</f>
        <v>0</v>
      </c>
      <c r="O9" s="76">
        <f t="shared" si="0"/>
        <v>0</v>
      </c>
      <c r="P9" s="174"/>
      <c r="Q9" s="38"/>
      <c r="R9" s="38"/>
      <c r="S9" s="38"/>
      <c r="T9" s="38"/>
      <c r="U9" s="46"/>
      <c r="V9" s="38"/>
      <c r="W9" s="38"/>
      <c r="X9" s="38"/>
      <c r="Y9" s="38"/>
      <c r="Z9" s="78"/>
      <c r="AA9" s="38"/>
      <c r="AB9" s="38"/>
      <c r="AC9" s="38"/>
      <c r="AD9" s="38"/>
      <c r="AE9" s="38"/>
      <c r="AF9" s="38"/>
      <c r="AG9" s="39"/>
    </row>
    <row r="10" spans="1:33" ht="12.75" customHeight="1">
      <c r="A10" s="575"/>
      <c r="B10" s="43" t="s">
        <v>18</v>
      </c>
      <c r="C10" s="119">
        <f>SUMIFS(Dados!$U:$U,Dados!$V:$V,$B10,Dados!$T:$T,C$2)</f>
        <v>0</v>
      </c>
      <c r="D10" s="119">
        <f>SUMIFS(Dados!$U:$U,Dados!$V:$V,$B10,Dados!$T:$T,D$2)</f>
        <v>0</v>
      </c>
      <c r="E10" s="119">
        <f>SUMIFS(Dados!$U:$U,Dados!$V:$V,$B10,Dados!$T:$T,E$2)</f>
        <v>0</v>
      </c>
      <c r="F10" s="119">
        <f>SUMIFS(Dados!$U:$U,Dados!$V:$V,$B10,Dados!$T:$T,F$2)</f>
        <v>0</v>
      </c>
      <c r="G10" s="119">
        <f>SUMIFS(Dados!$U:$U,Dados!$V:$V,$B10,Dados!$T:$T,G$2)</f>
        <v>0</v>
      </c>
      <c r="H10" s="119">
        <f>SUMIFS(Dados!$U:$U,Dados!$V:$V,$B10,Dados!$T:$T,H$2)</f>
        <v>0</v>
      </c>
      <c r="I10" s="119">
        <f>SUMIFS(Dados!$U:$U,Dados!$V:$V,$B10,Dados!$T:$T,I$2)</f>
        <v>0</v>
      </c>
      <c r="J10" s="119">
        <f>SUMIFS(Dados!$U:$U,Dados!$V:$V,$B10,Dados!$T:$T,J$2)</f>
        <v>0</v>
      </c>
      <c r="K10" s="119">
        <f>SUMIFS(Dados!$U:$U,Dados!$V:$V,$B10,Dados!$T:$T,K$2)</f>
        <v>0</v>
      </c>
      <c r="L10" s="119">
        <f>SUMIFS(Dados!$U:$U,Dados!$V:$V,$B10,Dados!$T:$T,L$2)</f>
        <v>0</v>
      </c>
      <c r="M10" s="119">
        <f>SUMIFS(Dados!$U:$U,Dados!$V:$V,$B10,Dados!$T:$T,M$2)</f>
        <v>0</v>
      </c>
      <c r="N10" s="119">
        <f>SUMIFS(Dados!$U:$U,Dados!$V:$V,$B10,Dados!$T:$T,N$2)</f>
        <v>0</v>
      </c>
      <c r="O10" s="76">
        <f t="shared" si="0"/>
        <v>0</v>
      </c>
      <c r="P10" s="40"/>
      <c r="Q10" s="38"/>
      <c r="R10" s="38"/>
      <c r="S10" s="38"/>
      <c r="T10" s="38"/>
      <c r="U10" s="46"/>
      <c r="V10" s="38"/>
      <c r="W10" s="38"/>
      <c r="X10" s="38"/>
      <c r="Y10" s="38"/>
      <c r="Z10" s="78">
        <f>900</f>
        <v>900</v>
      </c>
      <c r="AA10" s="38"/>
      <c r="AB10" s="38"/>
      <c r="AC10" s="38"/>
      <c r="AD10" s="38"/>
      <c r="AE10" s="38"/>
      <c r="AF10" s="38"/>
      <c r="AG10" s="39"/>
    </row>
    <row r="11" spans="1:33" ht="12.75" customHeight="1">
      <c r="A11" s="575"/>
      <c r="B11" s="132" t="s">
        <v>72</v>
      </c>
      <c r="C11" s="119">
        <f>SUMIFS(Dados!$U:$U,Dados!$V:$V,$B11,Dados!$T:$T,C$2)</f>
        <v>0</v>
      </c>
      <c r="D11" s="119">
        <f>SUMIFS(Dados!$U:$U,Dados!$V:$V,$B11,Dados!$T:$T,D$2)</f>
        <v>0</v>
      </c>
      <c r="E11" s="119">
        <f>SUMIFS(Dados!$U:$U,Dados!$V:$V,$B11,Dados!$T:$T,E$2)</f>
        <v>0</v>
      </c>
      <c r="F11" s="119">
        <f>SUMIFS(Dados!$U:$U,Dados!$V:$V,$B11,Dados!$T:$T,F$2)</f>
        <v>0</v>
      </c>
      <c r="G11" s="119">
        <f>SUMIFS(Dados!$U:$U,Dados!$V:$V,$B11,Dados!$T:$T,G$2)</f>
        <v>0</v>
      </c>
      <c r="H11" s="119">
        <f>SUMIFS(Dados!$U:$U,Dados!$V:$V,$B11,Dados!$T:$T,H$2)</f>
        <v>0</v>
      </c>
      <c r="I11" s="119">
        <f>SUMIFS(Dados!$U:$U,Dados!$V:$V,$B11,Dados!$T:$T,I$2)</f>
        <v>0</v>
      </c>
      <c r="J11" s="119">
        <f>SUMIFS(Dados!$U:$U,Dados!$V:$V,$B11,Dados!$T:$T,J$2)</f>
        <v>0</v>
      </c>
      <c r="K11" s="119">
        <f>SUMIFS(Dados!$U:$U,Dados!$V:$V,$B11,Dados!$T:$T,K$2)</f>
        <v>0</v>
      </c>
      <c r="L11" s="119">
        <f>SUMIFS(Dados!$U:$U,Dados!$V:$V,$B11,Dados!$T:$T,L$2)</f>
        <v>0</v>
      </c>
      <c r="M11" s="119">
        <f>SUMIFS(Dados!$U:$U,Dados!$V:$V,$B11,Dados!$T:$T,M$2)</f>
        <v>0</v>
      </c>
      <c r="N11" s="119">
        <f>SUMIFS(Dados!$U:$U,Dados!$V:$V,$B11,Dados!$T:$T,N$2)</f>
        <v>0</v>
      </c>
      <c r="O11" s="76">
        <f>SUM(C11:N11)</f>
        <v>0</v>
      </c>
      <c r="P11" s="40"/>
      <c r="Q11" s="38"/>
      <c r="R11" s="38"/>
      <c r="S11" s="38"/>
      <c r="T11" s="38"/>
      <c r="U11" s="46"/>
      <c r="V11" s="38"/>
      <c r="W11" s="38"/>
      <c r="X11" s="38"/>
      <c r="Y11" s="38"/>
      <c r="Z11" s="78"/>
      <c r="AA11" s="38"/>
      <c r="AB11" s="38"/>
      <c r="AC11" s="38"/>
      <c r="AD11" s="38"/>
      <c r="AE11" s="38"/>
      <c r="AF11" s="38"/>
      <c r="AG11" s="39"/>
    </row>
    <row r="12" spans="1:33" ht="13.5" customHeight="1" thickBot="1">
      <c r="A12" s="576"/>
      <c r="B12" s="140" t="s">
        <v>19</v>
      </c>
      <c r="C12" s="252">
        <f>SUMIFS(Dados!$U:$U,Dados!$V:$V,$B12,Dados!$T:$T,C$2)</f>
        <v>0</v>
      </c>
      <c r="D12" s="252">
        <f>SUMIFS(Dados!$U:$U,Dados!$V:$V,$B12,Dados!$T:$T,D$2)</f>
        <v>0</v>
      </c>
      <c r="E12" s="252">
        <f>SUMIFS(Dados!$U:$U,Dados!$V:$V,$B12,Dados!$T:$T,E$2)</f>
        <v>0</v>
      </c>
      <c r="F12" s="252">
        <f>SUMIFS(Dados!$U:$U,Dados!$V:$V,$B12,Dados!$T:$T,F$2)</f>
        <v>0</v>
      </c>
      <c r="G12" s="252">
        <f>SUMIFS(Dados!$U:$U,Dados!$V:$V,$B12,Dados!$T:$T,G$2)</f>
        <v>0</v>
      </c>
      <c r="H12" s="252">
        <f>SUMIFS(Dados!$U:$U,Dados!$V:$V,$B12,Dados!$T:$T,H$2)</f>
        <v>0</v>
      </c>
      <c r="I12" s="252">
        <f>SUMIFS(Dados!$U:$U,Dados!$V:$V,$B12,Dados!$T:$T,I$2)</f>
        <v>0</v>
      </c>
      <c r="J12" s="252">
        <f>SUMIFS(Dados!$U:$U,Dados!$V:$V,$B12,Dados!$T:$T,J$2)</f>
        <v>0</v>
      </c>
      <c r="K12" s="252">
        <f>SUMIFS(Dados!$U:$U,Dados!$V:$V,$B12,Dados!$T:$T,K$2)</f>
        <v>0</v>
      </c>
      <c r="L12" s="148">
        <f>SUMIFS(Dados!$U:$U,Dados!$V:$V,$B12,Dados!$T:$T,L$2)</f>
        <v>0</v>
      </c>
      <c r="M12" s="148">
        <f>SUMIFS(Dados!$U:$U,Dados!$V:$V,$B12,Dados!$T:$T,M$2)</f>
        <v>0</v>
      </c>
      <c r="N12" s="148">
        <f>SUMIFS(Dados!$U:$U,Dados!$V:$V,$B12,Dados!$T:$T,N$2)</f>
        <v>0</v>
      </c>
      <c r="O12" s="80">
        <f t="shared" si="0"/>
        <v>0</v>
      </c>
      <c r="P12" s="40"/>
      <c r="Q12" s="38"/>
      <c r="R12" s="38"/>
      <c r="S12" s="38"/>
      <c r="T12" s="38"/>
      <c r="U12" s="46"/>
      <c r="V12" s="38"/>
      <c r="W12" s="38"/>
      <c r="X12" s="38"/>
      <c r="Y12" s="38"/>
      <c r="Z12" s="78">
        <v>1300</v>
      </c>
      <c r="AA12" s="49" t="s">
        <v>20</v>
      </c>
      <c r="AB12" s="38"/>
      <c r="AC12" s="38"/>
      <c r="AD12" s="38"/>
      <c r="AE12" s="38"/>
      <c r="AF12" s="38"/>
      <c r="AG12" s="39"/>
    </row>
    <row r="13" spans="1:33" ht="13.5" customHeight="1" thickBot="1">
      <c r="A13" s="50"/>
      <c r="B13" s="51"/>
      <c r="C13" s="52"/>
      <c r="D13" s="52"/>
      <c r="E13" s="53"/>
      <c r="F13" s="53"/>
      <c r="G13" s="53"/>
      <c r="H13" s="53"/>
      <c r="I13" s="52"/>
      <c r="J13" s="53"/>
      <c r="K13" s="53"/>
      <c r="L13" s="53"/>
      <c r="M13" s="53"/>
      <c r="N13" s="53"/>
      <c r="O13" s="53"/>
      <c r="P13" s="38"/>
      <c r="Q13" s="38"/>
      <c r="R13" s="38"/>
      <c r="S13" s="38"/>
      <c r="T13" s="38"/>
      <c r="U13" s="46"/>
      <c r="V13" s="38"/>
      <c r="W13" s="38"/>
      <c r="X13" s="38"/>
      <c r="Y13" s="38"/>
      <c r="Z13" s="78">
        <v>9955.7999999999993</v>
      </c>
      <c r="AA13" s="54">
        <v>11314.2</v>
      </c>
      <c r="AB13" s="38"/>
      <c r="AC13" s="81"/>
      <c r="AD13" s="81"/>
      <c r="AE13" s="81"/>
      <c r="AF13" s="81"/>
      <c r="AG13" s="39"/>
    </row>
    <row r="14" spans="1:33" ht="13.5" customHeight="1" thickBot="1">
      <c r="A14" s="583" t="s">
        <v>95</v>
      </c>
      <c r="B14" s="583"/>
      <c r="C14" s="139"/>
      <c r="D14" s="139"/>
      <c r="E14" s="139"/>
      <c r="F14" s="139"/>
      <c r="G14" s="139"/>
      <c r="H14" s="139"/>
      <c r="I14" s="139"/>
      <c r="J14" s="139"/>
      <c r="K14" s="139"/>
      <c r="L14" s="139"/>
      <c r="M14" s="139"/>
      <c r="N14" s="139"/>
      <c r="O14" s="139"/>
      <c r="P14" s="38"/>
      <c r="Q14" s="38"/>
      <c r="R14" s="38"/>
      <c r="S14" s="38"/>
      <c r="T14" s="38"/>
      <c r="U14" s="46"/>
      <c r="V14" s="38"/>
      <c r="W14" s="38"/>
      <c r="X14" s="38"/>
      <c r="Y14" s="38"/>
      <c r="Z14" s="78"/>
      <c r="AA14" s="54"/>
      <c r="AB14" s="38"/>
      <c r="AC14" s="81"/>
      <c r="AD14" s="81"/>
      <c r="AE14" s="81"/>
      <c r="AF14" s="81"/>
      <c r="AG14" s="39"/>
    </row>
    <row r="15" spans="1:33" ht="13.5" customHeight="1" thickBot="1">
      <c r="A15" s="61"/>
      <c r="B15" s="61"/>
      <c r="C15" s="62"/>
      <c r="D15" s="527"/>
      <c r="E15" s="63"/>
      <c r="F15" s="63"/>
      <c r="G15" s="63"/>
      <c r="H15" s="63"/>
      <c r="I15" s="62"/>
      <c r="J15" s="63"/>
      <c r="K15" s="63"/>
      <c r="L15" s="63"/>
      <c r="M15" s="63"/>
      <c r="N15" s="63"/>
      <c r="O15" s="63"/>
      <c r="P15" s="38"/>
      <c r="Q15" s="38"/>
      <c r="R15" s="38"/>
      <c r="S15" s="38"/>
      <c r="T15" s="38"/>
      <c r="U15" s="46"/>
      <c r="V15" s="38"/>
      <c r="W15" s="38"/>
      <c r="X15" s="38"/>
      <c r="Y15" s="38"/>
      <c r="Z15" s="78"/>
      <c r="AA15" s="54"/>
      <c r="AB15" s="38"/>
      <c r="AC15" s="81"/>
      <c r="AD15" s="81"/>
      <c r="AE15" s="81"/>
      <c r="AF15" s="81"/>
      <c r="AG15" s="39"/>
    </row>
    <row r="16" spans="1:33" ht="12.75" customHeight="1">
      <c r="A16" s="577" t="s">
        <v>21</v>
      </c>
      <c r="B16" s="70"/>
      <c r="C16" s="125">
        <f>SUM(C17:C26)</f>
        <v>600</v>
      </c>
      <c r="D16" s="125">
        <f>SUM(D17:D26)</f>
        <v>600</v>
      </c>
      <c r="E16" s="82">
        <f>SUM(E17:E26)</f>
        <v>600</v>
      </c>
      <c r="F16" s="82">
        <f>SUM(F17:F26)</f>
        <v>600</v>
      </c>
      <c r="G16" s="82">
        <f>SUM(G17:G26)</f>
        <v>600</v>
      </c>
      <c r="H16" s="82">
        <f>SUM(H17:H26)</f>
        <v>600</v>
      </c>
      <c r="I16" s="125">
        <f>SUM(I17:I26)</f>
        <v>600</v>
      </c>
      <c r="J16" s="82">
        <f>SUM(J17:J26)</f>
        <v>600</v>
      </c>
      <c r="K16" s="82">
        <f>SUM(K17:K26)</f>
        <v>600</v>
      </c>
      <c r="L16" s="82">
        <f>SUM(L17:L26)</f>
        <v>600</v>
      </c>
      <c r="M16" s="82">
        <f>SUM(M17:M26)</f>
        <v>600</v>
      </c>
      <c r="N16" s="82">
        <f>SUM(N17:N26)</f>
        <v>600</v>
      </c>
      <c r="O16" s="73">
        <f t="shared" ref="O16:O26" si="1">SUM(C16:N16)</f>
        <v>7200</v>
      </c>
      <c r="P16" s="40"/>
      <c r="Q16" s="38"/>
      <c r="R16" s="38"/>
      <c r="S16" s="38"/>
      <c r="T16" s="38"/>
      <c r="U16" s="46"/>
      <c r="V16" s="38"/>
      <c r="W16" s="38"/>
      <c r="X16" s="38"/>
      <c r="Y16" s="38"/>
      <c r="Z16" s="78">
        <f>130*10</f>
        <v>1300</v>
      </c>
      <c r="AA16" s="38"/>
      <c r="AB16" s="38"/>
      <c r="AC16" s="38"/>
      <c r="AD16" s="38"/>
      <c r="AE16" s="38"/>
      <c r="AF16" s="38"/>
      <c r="AG16" s="39"/>
    </row>
    <row r="17" spans="1:33" ht="12.75" customHeight="1">
      <c r="A17" s="578"/>
      <c r="B17" s="43" t="s">
        <v>22</v>
      </c>
      <c r="C17" s="119">
        <v>0</v>
      </c>
      <c r="D17" s="119">
        <v>0</v>
      </c>
      <c r="E17" s="119">
        <v>0</v>
      </c>
      <c r="F17" s="119">
        <v>0</v>
      </c>
      <c r="G17" s="119">
        <v>0</v>
      </c>
      <c r="H17" s="119">
        <v>0</v>
      </c>
      <c r="I17" s="119">
        <v>0</v>
      </c>
      <c r="J17" s="119">
        <v>0</v>
      </c>
      <c r="K17" s="119">
        <v>0</v>
      </c>
      <c r="L17" s="119">
        <v>0</v>
      </c>
      <c r="M17" s="119">
        <v>0</v>
      </c>
      <c r="N17" s="119">
        <v>0</v>
      </c>
      <c r="O17" s="76">
        <f t="shared" si="1"/>
        <v>0</v>
      </c>
      <c r="P17" s="40"/>
      <c r="Q17" s="38"/>
      <c r="R17" s="38"/>
      <c r="S17" s="38"/>
      <c r="T17" s="38"/>
      <c r="U17" s="46"/>
      <c r="V17" s="38"/>
      <c r="W17" s="38"/>
      <c r="X17" s="38"/>
      <c r="Y17" s="38"/>
      <c r="Z17" s="78"/>
      <c r="AA17" s="38"/>
      <c r="AB17" s="38"/>
      <c r="AC17" s="38"/>
      <c r="AD17" s="38"/>
      <c r="AE17" s="38"/>
      <c r="AF17" s="38"/>
      <c r="AG17" s="39"/>
    </row>
    <row r="18" spans="1:33" ht="12.75" customHeight="1">
      <c r="A18" s="578"/>
      <c r="B18" s="141" t="s">
        <v>23</v>
      </c>
      <c r="C18" s="149">
        <f>300-SUMIFS(Dados!$E:$E,Dados!$F:$F,$B18,Dados!$C:$C,C$2)</f>
        <v>300</v>
      </c>
      <c r="D18" s="149">
        <f>300-SUMIFS(Dados!$E:$E,Dados!$F:$F,$B18,Dados!$C:$C,D$2)</f>
        <v>300</v>
      </c>
      <c r="E18" s="149">
        <f>300-SUMIFS(Dados!$E:$E,Dados!$F:$F,$B18,Dados!$C:$C,E$2)</f>
        <v>300</v>
      </c>
      <c r="F18" s="149">
        <f>300-SUMIFS(Dados!$E:$E,Dados!$F:$F,$B18,Dados!$C:$C,F$2)</f>
        <v>300</v>
      </c>
      <c r="G18" s="149">
        <f>300-SUMIFS(Dados!$E:$E,Dados!$F:$F,$B18,Dados!$C:$C,G$2)</f>
        <v>300</v>
      </c>
      <c r="H18" s="149">
        <f>300-SUMIFS(Dados!$E:$E,Dados!$F:$F,$B18,Dados!$C:$C,H$2)</f>
        <v>300</v>
      </c>
      <c r="I18" s="149">
        <f>300-SUMIFS(Dados!$E:$E,Dados!$F:$F,$B18,Dados!$C:$C,I$2)</f>
        <v>300</v>
      </c>
      <c r="J18" s="149">
        <f>300-SUMIFS(Dados!$E:$E,Dados!$F:$F,$B18,Dados!$C:$C,J$2)</f>
        <v>300</v>
      </c>
      <c r="K18" s="149">
        <f>300-SUMIFS(Dados!$E:$E,Dados!$F:$F,$B18,Dados!$C:$C,K$2)</f>
        <v>300</v>
      </c>
      <c r="L18" s="149">
        <f>300-SUMIFS(Dados!$E:$E,Dados!$F:$F,$B18,Dados!$C:$C,L$2)</f>
        <v>300</v>
      </c>
      <c r="M18" s="149">
        <f>300-SUMIFS(Dados!$E:$E,Dados!$F:$F,$B18,Dados!$C:$C,M$2)</f>
        <v>300</v>
      </c>
      <c r="N18" s="149">
        <f>300-SUMIFS(Dados!$E:$E,Dados!$F:$F,$B18,Dados!$C:$C,N$2)</f>
        <v>300</v>
      </c>
      <c r="O18" s="76">
        <f t="shared" si="1"/>
        <v>3600</v>
      </c>
      <c r="P18" s="40"/>
      <c r="Q18" s="38"/>
      <c r="R18" s="38"/>
      <c r="S18" s="38"/>
      <c r="T18" s="38"/>
      <c r="U18" s="46"/>
      <c r="V18" s="38"/>
      <c r="W18" s="38"/>
      <c r="X18" s="38"/>
      <c r="Y18" s="38"/>
      <c r="Z18" s="78">
        <v>2200</v>
      </c>
      <c r="AA18" s="38"/>
      <c r="AB18" s="38"/>
      <c r="AC18" s="38"/>
      <c r="AD18" s="38"/>
      <c r="AE18" s="38"/>
      <c r="AF18" s="38"/>
      <c r="AG18" s="39"/>
    </row>
    <row r="19" spans="1:33" ht="12.75" customHeight="1">
      <c r="A19" s="578"/>
      <c r="B19" s="43" t="s">
        <v>24</v>
      </c>
      <c r="C19" s="44">
        <v>0</v>
      </c>
      <c r="D19" s="44">
        <v>0</v>
      </c>
      <c r="E19" s="44">
        <v>0</v>
      </c>
      <c r="F19" s="44">
        <v>0</v>
      </c>
      <c r="G19" s="44">
        <v>0</v>
      </c>
      <c r="H19" s="44">
        <v>0</v>
      </c>
      <c r="I19" s="44">
        <v>0</v>
      </c>
      <c r="J19" s="44">
        <v>0</v>
      </c>
      <c r="K19" s="44">
        <v>0</v>
      </c>
      <c r="L19" s="44">
        <v>0</v>
      </c>
      <c r="M19" s="44">
        <v>0</v>
      </c>
      <c r="N19" s="44">
        <v>0</v>
      </c>
      <c r="O19" s="76">
        <f t="shared" si="1"/>
        <v>0</v>
      </c>
      <c r="P19" s="40"/>
      <c r="Q19" s="38"/>
      <c r="R19" s="38"/>
      <c r="S19" s="38"/>
      <c r="T19" s="38"/>
      <c r="U19" s="46"/>
      <c r="V19" s="38"/>
      <c r="W19" s="38"/>
      <c r="X19" s="38"/>
      <c r="Y19" s="38"/>
      <c r="Z19" s="78">
        <v>1200</v>
      </c>
      <c r="AA19" s="38"/>
      <c r="AB19" s="38"/>
      <c r="AC19" s="38"/>
      <c r="AD19" s="38"/>
      <c r="AE19" s="38"/>
      <c r="AF19" s="38"/>
      <c r="AG19" s="39"/>
    </row>
    <row r="20" spans="1:33" ht="12.75" customHeight="1">
      <c r="A20" s="578"/>
      <c r="B20" s="43" t="s">
        <v>125</v>
      </c>
      <c r="C20" s="44">
        <v>0</v>
      </c>
      <c r="D20" s="44">
        <v>0</v>
      </c>
      <c r="E20" s="44">
        <v>0</v>
      </c>
      <c r="F20" s="44">
        <v>0</v>
      </c>
      <c r="G20" s="44">
        <v>0</v>
      </c>
      <c r="H20" s="44">
        <v>0</v>
      </c>
      <c r="I20" s="44">
        <v>0</v>
      </c>
      <c r="J20" s="44">
        <v>0</v>
      </c>
      <c r="K20" s="44">
        <v>0</v>
      </c>
      <c r="L20" s="44">
        <v>0</v>
      </c>
      <c r="M20" s="44">
        <v>0</v>
      </c>
      <c r="N20" s="44">
        <v>0</v>
      </c>
      <c r="O20" s="76">
        <f t="shared" si="1"/>
        <v>0</v>
      </c>
      <c r="P20" s="174"/>
      <c r="Q20" s="38"/>
      <c r="R20" s="38"/>
      <c r="S20" s="38"/>
      <c r="T20" s="38"/>
      <c r="U20" s="46"/>
      <c r="V20" s="38"/>
      <c r="W20" s="38"/>
      <c r="X20" s="38"/>
      <c r="Y20" s="38"/>
      <c r="Z20" s="78">
        <f>50*12</f>
        <v>600</v>
      </c>
      <c r="AA20" s="38"/>
      <c r="AB20" s="38"/>
      <c r="AC20" s="38"/>
      <c r="AD20" s="38"/>
      <c r="AE20" s="38"/>
      <c r="AF20" s="38"/>
      <c r="AG20" s="39"/>
    </row>
    <row r="21" spans="1:33" ht="12.75" customHeight="1">
      <c r="A21" s="578"/>
      <c r="B21" s="43" t="s">
        <v>103</v>
      </c>
      <c r="C21" s="44">
        <v>0</v>
      </c>
      <c r="D21" s="44">
        <v>0</v>
      </c>
      <c r="E21" s="44">
        <v>0</v>
      </c>
      <c r="F21" s="44">
        <v>0</v>
      </c>
      <c r="G21" s="44">
        <v>0</v>
      </c>
      <c r="H21" s="44">
        <v>0</v>
      </c>
      <c r="I21" s="44">
        <v>0</v>
      </c>
      <c r="J21" s="44">
        <v>0</v>
      </c>
      <c r="K21" s="44">
        <v>0</v>
      </c>
      <c r="L21" s="44">
        <v>0</v>
      </c>
      <c r="M21" s="44">
        <v>0</v>
      </c>
      <c r="N21" s="44">
        <v>0</v>
      </c>
      <c r="O21" s="76">
        <f t="shared" si="1"/>
        <v>0</v>
      </c>
      <c r="P21" s="174"/>
      <c r="Q21" s="38"/>
      <c r="R21" s="38"/>
      <c r="S21" s="38"/>
      <c r="T21" s="38"/>
      <c r="U21" s="46"/>
      <c r="V21" s="38"/>
      <c r="W21" s="38"/>
      <c r="X21" s="38"/>
      <c r="Y21" s="38"/>
      <c r="Z21" s="83">
        <f>720</f>
        <v>720</v>
      </c>
      <c r="AA21" s="38"/>
      <c r="AB21" s="38"/>
      <c r="AC21" s="38"/>
      <c r="AD21" s="38"/>
      <c r="AE21" s="38"/>
      <c r="AF21" s="38"/>
      <c r="AG21" s="39"/>
    </row>
    <row r="22" spans="1:33" ht="12.75" customHeight="1">
      <c r="A22" s="578"/>
      <c r="B22" s="43" t="s">
        <v>25</v>
      </c>
      <c r="C22" s="44">
        <v>0</v>
      </c>
      <c r="D22" s="44">
        <v>0</v>
      </c>
      <c r="E22" s="44">
        <v>0</v>
      </c>
      <c r="F22" s="44">
        <v>0</v>
      </c>
      <c r="G22" s="44">
        <v>0</v>
      </c>
      <c r="H22" s="44">
        <v>0</v>
      </c>
      <c r="I22" s="44">
        <v>0</v>
      </c>
      <c r="J22" s="44">
        <v>0</v>
      </c>
      <c r="K22" s="44">
        <v>0</v>
      </c>
      <c r="L22" s="44">
        <v>0</v>
      </c>
      <c r="M22" s="44">
        <v>0</v>
      </c>
      <c r="N22" s="44">
        <v>0</v>
      </c>
      <c r="O22" s="76">
        <f t="shared" si="1"/>
        <v>0</v>
      </c>
      <c r="P22" s="40"/>
      <c r="Q22" s="49"/>
      <c r="R22" s="38"/>
      <c r="S22" s="38"/>
      <c r="T22" s="38"/>
      <c r="U22" s="46"/>
      <c r="V22" s="38"/>
      <c r="W22" s="38"/>
      <c r="X22" s="38"/>
      <c r="Y22" s="38"/>
      <c r="Z22" s="55">
        <f>SUM(Z7:Z21)</f>
        <v>31999.8</v>
      </c>
      <c r="AA22" s="38"/>
      <c r="AB22" s="38"/>
      <c r="AC22" s="38"/>
      <c r="AD22" s="38"/>
      <c r="AE22" s="38"/>
      <c r="AF22" s="38"/>
      <c r="AG22" s="39"/>
    </row>
    <row r="23" spans="1:33" ht="12.75" customHeight="1">
      <c r="A23" s="578"/>
      <c r="B23" s="43" t="s">
        <v>111</v>
      </c>
      <c r="C23" s="44">
        <v>0</v>
      </c>
      <c r="D23" s="44">
        <v>0</v>
      </c>
      <c r="E23" s="44">
        <v>0</v>
      </c>
      <c r="F23" s="44">
        <v>0</v>
      </c>
      <c r="G23" s="44">
        <v>0</v>
      </c>
      <c r="H23" s="44">
        <v>0</v>
      </c>
      <c r="I23" s="44">
        <v>0</v>
      </c>
      <c r="J23" s="44">
        <v>0</v>
      </c>
      <c r="K23" s="44">
        <v>0</v>
      </c>
      <c r="L23" s="44">
        <v>0</v>
      </c>
      <c r="M23" s="44">
        <v>0</v>
      </c>
      <c r="N23" s="44">
        <v>0</v>
      </c>
      <c r="O23" s="76"/>
      <c r="P23" s="40"/>
      <c r="Q23" s="49"/>
      <c r="R23" s="38"/>
      <c r="S23" s="38"/>
      <c r="T23" s="38"/>
      <c r="U23" s="46"/>
      <c r="V23" s="38"/>
      <c r="W23" s="38"/>
      <c r="X23" s="38"/>
      <c r="Y23" s="38"/>
      <c r="Z23" s="46"/>
      <c r="AA23" s="38"/>
      <c r="AB23" s="38"/>
      <c r="AC23" s="38"/>
      <c r="AD23" s="38"/>
      <c r="AE23" s="38"/>
      <c r="AF23" s="38"/>
      <c r="AG23" s="39"/>
    </row>
    <row r="24" spans="1:33" ht="12.75" customHeight="1">
      <c r="A24" s="578"/>
      <c r="B24" s="43" t="s">
        <v>180</v>
      </c>
      <c r="C24" s="119">
        <v>0</v>
      </c>
      <c r="D24" s="119">
        <v>0</v>
      </c>
      <c r="E24" s="119">
        <v>0</v>
      </c>
      <c r="F24" s="119">
        <v>0</v>
      </c>
      <c r="G24" s="119">
        <v>0</v>
      </c>
      <c r="H24" s="119">
        <v>0</v>
      </c>
      <c r="I24" s="119">
        <v>0</v>
      </c>
      <c r="J24" s="119">
        <v>0</v>
      </c>
      <c r="K24" s="119">
        <v>0</v>
      </c>
      <c r="L24" s="119">
        <v>0</v>
      </c>
      <c r="M24" s="119">
        <v>0</v>
      </c>
      <c r="N24" s="44">
        <v>0</v>
      </c>
      <c r="O24" s="76"/>
      <c r="P24" s="40"/>
      <c r="Q24" s="49"/>
      <c r="R24" s="38"/>
      <c r="S24" s="38"/>
      <c r="T24" s="38"/>
      <c r="U24" s="46"/>
      <c r="V24" s="38"/>
      <c r="W24" s="38"/>
      <c r="X24" s="38"/>
      <c r="Y24" s="38"/>
      <c r="Z24" s="46"/>
      <c r="AA24" s="38"/>
      <c r="AB24" s="38"/>
      <c r="AC24" s="38"/>
      <c r="AD24" s="38"/>
      <c r="AE24" s="38"/>
      <c r="AF24" s="38"/>
      <c r="AG24" s="39"/>
    </row>
    <row r="25" spans="1:33" ht="12.75" customHeight="1">
      <c r="A25" s="578"/>
      <c r="B25" s="141" t="s">
        <v>51</v>
      </c>
      <c r="C25" s="149">
        <f>300-SUMIFS(Dados!$E:$E,Dados!$F:$F,$B25,Dados!$C:$C,C$2)</f>
        <v>300</v>
      </c>
      <c r="D25" s="149">
        <f>300-SUMIFS(Dados!$E:$E,Dados!$F:$F,$B25,Dados!$C:$C,D$2)</f>
        <v>300</v>
      </c>
      <c r="E25" s="149">
        <f>300-SUMIFS(Dados!$E:$E,Dados!$F:$F,$B25,Dados!$C:$C,E$2)</f>
        <v>300</v>
      </c>
      <c r="F25" s="149">
        <f>300-SUMIFS(Dados!$E:$E,Dados!$F:$F,$B25,Dados!$C:$C,F$2)</f>
        <v>300</v>
      </c>
      <c r="G25" s="149">
        <f>300-SUMIFS(Dados!$E:$E,Dados!$F:$F,$B25,Dados!$C:$C,G$2)</f>
        <v>300</v>
      </c>
      <c r="H25" s="149">
        <f>300-SUMIFS(Dados!$E:$E,Dados!$F:$F,$B25,Dados!$C:$C,H$2)</f>
        <v>300</v>
      </c>
      <c r="I25" s="149">
        <f>300-SUMIFS(Dados!$E:$E,Dados!$F:$F,$B25,Dados!$C:$C,I$2)</f>
        <v>300</v>
      </c>
      <c r="J25" s="149">
        <f>300-SUMIFS(Dados!$E:$E,Dados!$F:$F,$B25,Dados!$C:$C,J$2)</f>
        <v>300</v>
      </c>
      <c r="K25" s="149">
        <f>300-SUMIFS(Dados!$E:$E,Dados!$F:$F,$B25,Dados!$C:$C,K$2)</f>
        <v>300</v>
      </c>
      <c r="L25" s="149">
        <f>300-SUMIFS(Dados!$E:$E,Dados!$F:$F,$B25,Dados!$C:$C,L$2)</f>
        <v>300</v>
      </c>
      <c r="M25" s="149">
        <f>300-SUMIFS(Dados!$E:$E,Dados!$F:$F,$B25,Dados!$C:$C,M$2)</f>
        <v>300</v>
      </c>
      <c r="N25" s="149">
        <f>300-SUMIFS(Dados!$E:$E,Dados!$F:$F,$B25,Dados!$C:$C,N$2)</f>
        <v>300</v>
      </c>
      <c r="O25" s="76">
        <f t="shared" si="1"/>
        <v>3600</v>
      </c>
      <c r="P25" s="40"/>
      <c r="Q25" s="38"/>
      <c r="R25" s="94"/>
      <c r="S25" s="38"/>
      <c r="T25" s="38"/>
      <c r="U25" s="46"/>
      <c r="V25" s="38"/>
      <c r="W25" s="38"/>
      <c r="X25" s="38"/>
      <c r="Y25" s="38"/>
      <c r="Z25" s="46"/>
      <c r="AA25" s="38"/>
      <c r="AB25" s="38"/>
      <c r="AC25" s="38"/>
      <c r="AD25" s="38"/>
      <c r="AE25" s="38"/>
      <c r="AF25" s="38"/>
      <c r="AG25" s="39"/>
    </row>
    <row r="26" spans="1:33" ht="13.5" customHeight="1" thickBot="1">
      <c r="A26" s="579"/>
      <c r="B26" s="47" t="s">
        <v>26</v>
      </c>
      <c r="C26" s="48">
        <v>0</v>
      </c>
      <c r="D26" s="48">
        <v>0</v>
      </c>
      <c r="E26" s="48">
        <v>0</v>
      </c>
      <c r="F26" s="48">
        <v>0</v>
      </c>
      <c r="G26" s="48">
        <v>0</v>
      </c>
      <c r="H26" s="56">
        <v>0</v>
      </c>
      <c r="I26" s="48">
        <v>0</v>
      </c>
      <c r="J26" s="56">
        <v>0</v>
      </c>
      <c r="K26" s="56">
        <v>0</v>
      </c>
      <c r="L26" s="56">
        <v>0</v>
      </c>
      <c r="M26" s="56">
        <v>0</v>
      </c>
      <c r="N26" s="56">
        <v>0</v>
      </c>
      <c r="O26" s="80">
        <f t="shared" si="1"/>
        <v>0</v>
      </c>
      <c r="P26" s="40"/>
      <c r="Q26" s="38"/>
      <c r="R26" s="38"/>
      <c r="S26" s="38"/>
      <c r="T26" s="38"/>
      <c r="U26" s="46"/>
      <c r="V26" s="38"/>
      <c r="W26" s="38"/>
      <c r="X26" s="38"/>
      <c r="Y26" s="38"/>
      <c r="Z26" s="46">
        <f>Z22/2</f>
        <v>15999.9</v>
      </c>
      <c r="AA26" s="38"/>
      <c r="AB26" s="38"/>
      <c r="AC26" s="38"/>
      <c r="AD26" s="38"/>
      <c r="AE26" s="38"/>
      <c r="AF26" s="38"/>
      <c r="AG26" s="39"/>
    </row>
    <row r="27" spans="1:33" ht="13.5" customHeight="1" thickBot="1">
      <c r="A27" s="50"/>
      <c r="B27" s="51"/>
      <c r="C27" s="52"/>
      <c r="D27" s="52"/>
      <c r="E27" s="53"/>
      <c r="F27" s="53"/>
      <c r="G27" s="53"/>
      <c r="H27" s="53"/>
      <c r="I27" s="52"/>
      <c r="J27" s="53"/>
      <c r="K27" s="53"/>
      <c r="L27" s="53"/>
      <c r="M27" s="53"/>
      <c r="N27" s="53"/>
      <c r="O27" s="53"/>
      <c r="P27" s="38"/>
      <c r="Q27" s="38"/>
      <c r="R27" s="38"/>
      <c r="S27" s="38"/>
      <c r="T27" s="38"/>
      <c r="U27" s="46"/>
      <c r="V27" s="38"/>
      <c r="W27" s="38"/>
      <c r="X27" s="38"/>
      <c r="Y27" s="38"/>
      <c r="Z27" s="46"/>
      <c r="AA27" s="38"/>
      <c r="AB27" s="38"/>
      <c r="AC27" s="38"/>
      <c r="AD27" s="38"/>
      <c r="AE27" s="38"/>
      <c r="AF27" s="38"/>
      <c r="AG27" s="39"/>
    </row>
    <row r="28" spans="1:33" ht="12.75" customHeight="1">
      <c r="A28" s="584" t="s">
        <v>27</v>
      </c>
      <c r="B28" s="70"/>
      <c r="C28" s="71">
        <f>SUM(C29:C34)</f>
        <v>450</v>
      </c>
      <c r="D28" s="71">
        <f>SUM(D29:D34)</f>
        <v>450</v>
      </c>
      <c r="E28" s="72">
        <f>SUM(E29:E34)</f>
        <v>450</v>
      </c>
      <c r="F28" s="72">
        <f>SUM(F29:F34)</f>
        <v>450</v>
      </c>
      <c r="G28" s="72">
        <f>SUM(G29:G34)</f>
        <v>450</v>
      </c>
      <c r="H28" s="72">
        <f>SUM(H29:H34)</f>
        <v>450</v>
      </c>
      <c r="I28" s="71">
        <f>SUM(I29:I34)</f>
        <v>450</v>
      </c>
      <c r="J28" s="72">
        <f>SUM(J29:J34)</f>
        <v>450</v>
      </c>
      <c r="K28" s="72">
        <f>SUM(K29:K34)</f>
        <v>662.04</v>
      </c>
      <c r="L28" s="72">
        <f>SUM(L29:L34)</f>
        <v>662.04</v>
      </c>
      <c r="M28" s="72">
        <f>SUM(M29:M34)</f>
        <v>662.04</v>
      </c>
      <c r="N28" s="72">
        <f>SUM(N29:N34)</f>
        <v>450</v>
      </c>
      <c r="O28" s="73">
        <f t="shared" ref="O28:O34" si="2">SUM(C28:N28)</f>
        <v>6036.12</v>
      </c>
      <c r="P28" s="40"/>
      <c r="Q28" s="38"/>
      <c r="R28" s="38"/>
      <c r="S28" s="38"/>
      <c r="T28" s="38"/>
      <c r="U28" s="46"/>
      <c r="V28" s="38"/>
      <c r="W28" s="38"/>
      <c r="X28" s="38"/>
      <c r="Y28" s="38"/>
      <c r="Z28" s="57">
        <f>50*12</f>
        <v>600</v>
      </c>
      <c r="AA28" s="38"/>
      <c r="AB28" s="38"/>
      <c r="AC28" s="38"/>
      <c r="AD28" s="38"/>
      <c r="AE28" s="38"/>
      <c r="AF28" s="38"/>
      <c r="AG28" s="39"/>
    </row>
    <row r="29" spans="1:33" ht="12.75" customHeight="1">
      <c r="A29" s="585"/>
      <c r="B29" s="250" t="s">
        <v>28</v>
      </c>
      <c r="C29" s="150">
        <f>150-SUMIFS(Dados!$E:$E,Dados!$F:$F,$B29,Dados!$C:$C,C$2)</f>
        <v>150</v>
      </c>
      <c r="D29" s="150">
        <f>150-SUMIFS(Dados!$E:$E,Dados!$F:$F,$B29,Dados!$C:$C,D$2)</f>
        <v>150</v>
      </c>
      <c r="E29" s="150">
        <f>150-SUMIFS(Dados!$E:$E,Dados!$F:$F,$B29,Dados!$C:$C,E$2)</f>
        <v>150</v>
      </c>
      <c r="F29" s="150">
        <f>150-SUMIFS(Dados!$E:$E,Dados!$F:$F,$B29,Dados!$C:$C,F$2)</f>
        <v>150</v>
      </c>
      <c r="G29" s="150">
        <f>150-SUMIFS(Dados!$E:$E,Dados!$F:$F,$B29,Dados!$C:$C,G$2)</f>
        <v>150</v>
      </c>
      <c r="H29" s="150">
        <f>150-SUMIFS(Dados!$E:$E,Dados!$F:$F,$B29,Dados!$C:$C,H$2)</f>
        <v>150</v>
      </c>
      <c r="I29" s="150">
        <f>150-SUMIFS(Dados!$E:$E,Dados!$F:$F,$B29,Dados!$C:$C,I$2)</f>
        <v>150</v>
      </c>
      <c r="J29" s="150">
        <f>150-SUMIFS(Dados!$E:$E,Dados!$F:$F,$B29,Dados!$C:$C,J$2)</f>
        <v>150</v>
      </c>
      <c r="K29" s="150">
        <f>150-SUMIFS(Dados!$E:$E,Dados!$F:$F,$B29,Dados!$C:$C,K$2)</f>
        <v>150</v>
      </c>
      <c r="L29" s="150">
        <f>150-SUMIFS(Dados!$E:$E,Dados!$F:$F,$B29,Dados!$C:$C,L$2)</f>
        <v>150</v>
      </c>
      <c r="M29" s="150">
        <f>150-SUMIFS(Dados!$E:$E,Dados!$F:$F,$B29,Dados!$C:$C,M$2)</f>
        <v>150</v>
      </c>
      <c r="N29" s="150">
        <f>150-SUMIFS(Dados!$E:$E,Dados!$F:$F,$B29,Dados!$C:$C,N$2)</f>
        <v>150</v>
      </c>
      <c r="O29" s="74">
        <f t="shared" si="2"/>
        <v>1800</v>
      </c>
      <c r="P29" s="251"/>
      <c r="Q29" s="38"/>
      <c r="R29" s="38"/>
      <c r="S29" s="38"/>
      <c r="T29" s="38"/>
      <c r="U29" s="46"/>
      <c r="V29" s="38"/>
      <c r="W29" s="38"/>
      <c r="X29" s="38"/>
      <c r="Y29" s="38"/>
      <c r="Z29" s="55">
        <f>SUM(Z26:Z28)</f>
        <v>16599.900000000001</v>
      </c>
      <c r="AA29" s="58" t="e">
        <f>Z29-#REF!</f>
        <v>#REF!</v>
      </c>
      <c r="AB29" s="77" t="s">
        <v>29</v>
      </c>
      <c r="AC29" s="38"/>
      <c r="AD29" s="38"/>
      <c r="AE29" s="38"/>
      <c r="AF29" s="38"/>
      <c r="AG29" s="39"/>
    </row>
    <row r="30" spans="1:33" ht="12.75" customHeight="1">
      <c r="A30" s="585"/>
      <c r="B30" s="142" t="s">
        <v>52</v>
      </c>
      <c r="C30" s="150">
        <f>300-SUMIFS(Dados!$E:$E,Dados!$F:$F,$B30,Dados!$C:$C,C$2)</f>
        <v>300</v>
      </c>
      <c r="D30" s="150">
        <f>300-SUMIFS(Dados!$E:$E,Dados!$F:$F,$B30,Dados!$C:$C,D$2)</f>
        <v>300</v>
      </c>
      <c r="E30" s="150">
        <f>300-SUMIFS(Dados!$E:$E,Dados!$F:$F,$B30,Dados!$C:$C,E$2)</f>
        <v>300</v>
      </c>
      <c r="F30" s="150">
        <f>300-SUMIFS(Dados!$E:$E,Dados!$F:$F,$B30,Dados!$C:$C,F$2)</f>
        <v>300</v>
      </c>
      <c r="G30" s="150">
        <f>300-SUMIFS(Dados!$E:$E,Dados!$F:$F,$B30,Dados!$C:$C,G$2)</f>
        <v>300</v>
      </c>
      <c r="H30" s="150">
        <f>300-SUMIFS(Dados!$E:$E,Dados!$F:$F,$B30,Dados!$C:$C,H$2)</f>
        <v>300</v>
      </c>
      <c r="I30" s="150">
        <f>300-SUMIFS(Dados!$E:$E,Dados!$F:$F,$B30,Dados!$C:$C,I$2)</f>
        <v>300</v>
      </c>
      <c r="J30" s="150">
        <f>300-SUMIFS(Dados!$E:$E,Dados!$F:$F,$B30,Dados!$C:$C,J$2)</f>
        <v>300</v>
      </c>
      <c r="K30" s="150">
        <f>300-SUMIFS(Dados!$E:$E,Dados!$F:$F,$B30,Dados!$C:$C,K$2)</f>
        <v>300</v>
      </c>
      <c r="L30" s="150">
        <f>300-SUMIFS(Dados!$E:$E,Dados!$F:$F,$B30,Dados!$C:$C,L$2)</f>
        <v>300</v>
      </c>
      <c r="M30" s="150">
        <f>300-SUMIFS(Dados!$E:$E,Dados!$F:$F,$B30,Dados!$C:$C,M$2)</f>
        <v>300</v>
      </c>
      <c r="N30" s="150">
        <f>300-SUMIFS(Dados!$E:$E,Dados!$F:$F,$B30,Dados!$C:$C,N$2)</f>
        <v>300</v>
      </c>
      <c r="O30" s="76">
        <f t="shared" si="2"/>
        <v>3600</v>
      </c>
      <c r="P30" s="40"/>
      <c r="Q30" s="38"/>
      <c r="R30" s="94"/>
      <c r="S30" s="38"/>
      <c r="T30" s="38"/>
      <c r="U30" s="46"/>
      <c r="V30" s="58"/>
      <c r="W30" s="38"/>
      <c r="X30" s="38"/>
      <c r="Y30" s="38"/>
      <c r="Z30" s="38"/>
      <c r="AA30" s="38"/>
      <c r="AB30" s="38"/>
      <c r="AC30" s="38"/>
      <c r="AD30" s="38"/>
      <c r="AE30" s="38"/>
      <c r="AF30" s="38"/>
      <c r="AG30" s="39"/>
    </row>
    <row r="31" spans="1:33" ht="12.75" customHeight="1">
      <c r="A31" s="585"/>
      <c r="B31" s="43" t="s">
        <v>89</v>
      </c>
      <c r="C31" s="44">
        <v>0</v>
      </c>
      <c r="D31" s="44">
        <v>0</v>
      </c>
      <c r="E31" s="44">
        <v>0</v>
      </c>
      <c r="F31" s="45">
        <v>0</v>
      </c>
      <c r="G31" s="45">
        <v>0</v>
      </c>
      <c r="H31" s="45">
        <v>0</v>
      </c>
      <c r="I31" s="44">
        <v>0</v>
      </c>
      <c r="J31" s="45">
        <v>0</v>
      </c>
      <c r="K31" s="45">
        <v>0</v>
      </c>
      <c r="L31" s="45">
        <v>0</v>
      </c>
      <c r="M31" s="45">
        <v>0</v>
      </c>
      <c r="N31" s="45">
        <v>0</v>
      </c>
      <c r="O31" s="76">
        <f t="shared" si="2"/>
        <v>0</v>
      </c>
      <c r="P31" s="40"/>
      <c r="Q31" s="38"/>
      <c r="R31" s="38"/>
      <c r="S31" s="38"/>
      <c r="T31" s="38"/>
      <c r="U31" s="38"/>
      <c r="V31" s="38"/>
      <c r="W31" s="38"/>
      <c r="X31" s="38"/>
      <c r="Y31" s="38"/>
      <c r="Z31" s="38"/>
      <c r="AA31" s="38"/>
      <c r="AB31" s="38"/>
      <c r="AC31" s="38"/>
      <c r="AD31" s="38"/>
      <c r="AE31" s="38"/>
      <c r="AF31" s="38"/>
      <c r="AG31" s="39"/>
    </row>
    <row r="32" spans="1:33" ht="12.75" customHeight="1">
      <c r="A32" s="585"/>
      <c r="B32" s="43" t="s">
        <v>30</v>
      </c>
      <c r="C32" s="44">
        <v>0</v>
      </c>
      <c r="D32" s="44">
        <v>0</v>
      </c>
      <c r="E32" s="44">
        <v>0</v>
      </c>
      <c r="F32" s="45">
        <v>0</v>
      </c>
      <c r="G32" s="45">
        <v>0</v>
      </c>
      <c r="H32" s="45">
        <v>0</v>
      </c>
      <c r="I32" s="44">
        <v>0</v>
      </c>
      <c r="J32" s="45">
        <v>0</v>
      </c>
      <c r="K32" s="45">
        <v>0</v>
      </c>
      <c r="L32" s="45">
        <v>0</v>
      </c>
      <c r="M32" s="45">
        <v>0</v>
      </c>
      <c r="N32" s="45">
        <v>0</v>
      </c>
      <c r="O32" s="76">
        <f t="shared" si="2"/>
        <v>0</v>
      </c>
      <c r="P32" s="174"/>
      <c r="Q32" s="38"/>
      <c r="R32" s="38"/>
      <c r="S32" s="38"/>
      <c r="T32" s="38"/>
      <c r="U32" s="38"/>
      <c r="V32" s="38"/>
      <c r="W32" s="38"/>
      <c r="X32" s="38"/>
      <c r="Y32" s="38"/>
      <c r="Z32" s="38"/>
      <c r="AA32" s="38"/>
      <c r="AB32" s="38"/>
      <c r="AC32" s="38"/>
      <c r="AD32" s="38"/>
      <c r="AE32" s="38"/>
      <c r="AF32" s="38"/>
      <c r="AG32" s="39"/>
    </row>
    <row r="33" spans="1:33" ht="12.75" customHeight="1">
      <c r="A33" s="585"/>
      <c r="B33" s="43" t="s">
        <v>31</v>
      </c>
      <c r="C33" s="150">
        <f>0-SUMIFS(Dados!$E:$E,Dados!$F:$F,$B33,Dados!$C:$C,C$2)</f>
        <v>0</v>
      </c>
      <c r="D33" s="150">
        <f>0-SUMIFS(Dados!$E:$E,Dados!$F:$F,$B33,Dados!$C:$C,D$2)</f>
        <v>0</v>
      </c>
      <c r="E33" s="150">
        <f>0-SUMIFS(Dados!$E:$E,Dados!$F:$F,$B33,Dados!$C:$C,E$2)</f>
        <v>0</v>
      </c>
      <c r="F33" s="150">
        <f>0-SUMIFS(Dados!$E:$E,Dados!$F:$F,$B33,Dados!$C:$C,F$2)</f>
        <v>0</v>
      </c>
      <c r="G33" s="150">
        <f>0-SUMIFS(Dados!$E:$E,Dados!$F:$F,$B33,Dados!$C:$C,G$2)</f>
        <v>0</v>
      </c>
      <c r="H33" s="150">
        <f>0-SUMIFS(Dados!$E:$E,Dados!$F:$F,$B33,Dados!$C:$C,H$2)</f>
        <v>0</v>
      </c>
      <c r="I33" s="150">
        <f>0-SUMIFS(Dados!$E:$E,Dados!$F:$F,$B33,Dados!$C:$C,I$2)</f>
        <v>0</v>
      </c>
      <c r="J33" s="150">
        <f>0-SUMIFS(Dados!$E:$E,Dados!$F:$F,$B33,Dados!$C:$C,J$2)</f>
        <v>0</v>
      </c>
      <c r="K33" s="150">
        <f>212.04-SUMIFS(Dados!$E:$E,Dados!$F:$F,$B33,Dados!$C:$C,K$2)</f>
        <v>212.04</v>
      </c>
      <c r="L33" s="150">
        <f>212.04-SUMIFS(Dados!$E:$E,Dados!$F:$F,$B33,Dados!$C:$C,L$2)</f>
        <v>212.04</v>
      </c>
      <c r="M33" s="150">
        <f>212.04-SUMIFS(Dados!$E:$E,Dados!$F:$F,$B33,Dados!$C:$C,M$2)</f>
        <v>212.04</v>
      </c>
      <c r="N33" s="45">
        <v>0</v>
      </c>
      <c r="O33" s="76">
        <f t="shared" si="2"/>
        <v>636.12</v>
      </c>
      <c r="P33" s="174"/>
      <c r="Q33" s="38"/>
      <c r="R33" s="38"/>
      <c r="S33" s="38"/>
      <c r="T33" s="38"/>
      <c r="U33" s="38"/>
      <c r="V33" s="38"/>
      <c r="W33" s="38"/>
      <c r="X33" s="38"/>
      <c r="Y33" s="38"/>
      <c r="Z33" s="38"/>
      <c r="AA33" s="38"/>
      <c r="AB33" s="38"/>
      <c r="AC33" s="38"/>
      <c r="AD33" s="38"/>
      <c r="AE33" s="38"/>
      <c r="AF33" s="38"/>
      <c r="AG33" s="39"/>
    </row>
    <row r="34" spans="1:33" ht="13.5" customHeight="1" thickBot="1">
      <c r="A34" s="586"/>
      <c r="B34" s="47" t="s">
        <v>19</v>
      </c>
      <c r="C34" s="79">
        <v>0</v>
      </c>
      <c r="D34" s="48">
        <v>0</v>
      </c>
      <c r="E34" s="56">
        <v>0</v>
      </c>
      <c r="F34" s="321">
        <v>0</v>
      </c>
      <c r="G34" s="56">
        <v>0</v>
      </c>
      <c r="H34" s="56">
        <v>0</v>
      </c>
      <c r="I34" s="48">
        <v>0</v>
      </c>
      <c r="J34" s="56">
        <v>0</v>
      </c>
      <c r="K34" s="56">
        <v>0</v>
      </c>
      <c r="L34" s="56">
        <v>0</v>
      </c>
      <c r="M34" s="56">
        <v>0</v>
      </c>
      <c r="N34" s="56">
        <v>0</v>
      </c>
      <c r="O34" s="80">
        <f t="shared" si="2"/>
        <v>0</v>
      </c>
      <c r="P34" s="251"/>
      <c r="Q34" s="38"/>
      <c r="R34" s="38"/>
      <c r="S34" s="38"/>
      <c r="T34" s="38"/>
      <c r="U34" s="38"/>
      <c r="V34" s="38"/>
      <c r="W34" s="38"/>
      <c r="X34" s="38"/>
      <c r="Y34" s="38"/>
      <c r="Z34" s="49" t="s">
        <v>32</v>
      </c>
      <c r="AA34" s="38"/>
      <c r="AB34" s="38"/>
      <c r="AC34" s="38"/>
      <c r="AD34" s="38"/>
      <c r="AE34" s="38"/>
      <c r="AF34" s="38"/>
      <c r="AG34" s="39"/>
    </row>
    <row r="35" spans="1:33" ht="13.5" customHeight="1" thickBot="1">
      <c r="A35" s="50"/>
      <c r="B35" s="51"/>
      <c r="C35" s="52"/>
      <c r="D35" s="52"/>
      <c r="E35" s="53"/>
      <c r="F35" s="53"/>
      <c r="G35" s="53"/>
      <c r="H35" s="53"/>
      <c r="I35" s="52"/>
      <c r="J35" s="53"/>
      <c r="K35" s="53"/>
      <c r="L35" s="53"/>
      <c r="M35" s="53"/>
      <c r="N35" s="53"/>
      <c r="O35" s="53"/>
      <c r="P35" s="38"/>
      <c r="Q35" s="38"/>
      <c r="R35" s="38"/>
      <c r="S35" s="38"/>
      <c r="T35" s="38"/>
      <c r="U35" s="38"/>
      <c r="V35" s="38"/>
      <c r="W35" s="38"/>
      <c r="X35" s="38"/>
      <c r="Y35" s="38"/>
      <c r="Z35" s="38"/>
      <c r="AA35" s="38"/>
      <c r="AB35" s="38"/>
      <c r="AC35" s="38"/>
      <c r="AD35" s="38"/>
      <c r="AE35" s="38"/>
      <c r="AF35" s="38"/>
      <c r="AG35" s="39"/>
    </row>
    <row r="36" spans="1:33" ht="12.75" customHeight="1">
      <c r="A36" s="587" t="s">
        <v>33</v>
      </c>
      <c r="B36" s="70"/>
      <c r="C36" s="72">
        <f>SUM(C37:C41)</f>
        <v>200</v>
      </c>
      <c r="D36" s="72">
        <f>SUM(D37:D41)</f>
        <v>200</v>
      </c>
      <c r="E36" s="72">
        <f>SUM(E37:E41)</f>
        <v>200</v>
      </c>
      <c r="F36" s="72">
        <f>SUM(F37:F41)</f>
        <v>200</v>
      </c>
      <c r="G36" s="72">
        <f>SUM(G37:G41)</f>
        <v>200</v>
      </c>
      <c r="H36" s="72">
        <f>SUM(H37:H41)</f>
        <v>200</v>
      </c>
      <c r="I36" s="71">
        <f>SUM(I37:I41)</f>
        <v>200</v>
      </c>
      <c r="J36" s="72">
        <f>SUM(J37:J41)</f>
        <v>200</v>
      </c>
      <c r="K36" s="72">
        <f>SUM(K37:K41)</f>
        <v>200</v>
      </c>
      <c r="L36" s="72">
        <f>SUM(L37:L41)</f>
        <v>200</v>
      </c>
      <c r="M36" s="72">
        <f>SUM(M37:M41)</f>
        <v>200</v>
      </c>
      <c r="N36" s="72">
        <f>SUM(N37:N41)</f>
        <v>200</v>
      </c>
      <c r="O36" s="73">
        <f>SUM(C36:N36)</f>
        <v>2400</v>
      </c>
      <c r="P36" s="40"/>
      <c r="Q36" s="38"/>
      <c r="R36" s="38"/>
      <c r="S36" s="38"/>
      <c r="T36" s="38"/>
      <c r="U36" s="38"/>
      <c r="V36" s="38"/>
      <c r="W36" s="38"/>
      <c r="X36" s="38"/>
      <c r="Y36" s="38"/>
      <c r="Z36" s="38"/>
      <c r="AA36" s="38"/>
      <c r="AB36" s="38"/>
      <c r="AC36" s="38"/>
      <c r="AD36" s="38"/>
      <c r="AE36" s="38"/>
      <c r="AF36" s="38"/>
      <c r="AG36" s="39"/>
    </row>
    <row r="37" spans="1:33" ht="12.75" customHeight="1">
      <c r="A37" s="588"/>
      <c r="B37" s="41" t="s">
        <v>76</v>
      </c>
      <c r="C37" s="42">
        <v>200</v>
      </c>
      <c r="D37" s="42">
        <v>200</v>
      </c>
      <c r="E37" s="42">
        <v>200</v>
      </c>
      <c r="F37" s="42">
        <v>200</v>
      </c>
      <c r="G37" s="42">
        <v>200</v>
      </c>
      <c r="H37" s="42">
        <v>200</v>
      </c>
      <c r="I37" s="42">
        <v>200</v>
      </c>
      <c r="J37" s="42">
        <v>200</v>
      </c>
      <c r="K37" s="42">
        <v>200</v>
      </c>
      <c r="L37" s="42">
        <v>200</v>
      </c>
      <c r="M37" s="42">
        <v>200</v>
      </c>
      <c r="N37" s="42">
        <v>200</v>
      </c>
      <c r="O37" s="74">
        <f>SUM(C37:N37)</f>
        <v>2400</v>
      </c>
      <c r="P37" s="40"/>
      <c r="R37" s="38"/>
      <c r="S37" s="38"/>
      <c r="T37" s="38"/>
      <c r="U37" s="38"/>
      <c r="V37" s="38"/>
      <c r="W37" s="38"/>
      <c r="X37" s="38"/>
      <c r="Y37" s="38"/>
      <c r="Z37" s="38"/>
      <c r="AA37" s="38"/>
      <c r="AB37" s="38"/>
      <c r="AC37" s="38"/>
      <c r="AD37" s="38"/>
      <c r="AE37" s="38"/>
      <c r="AF37" s="38"/>
      <c r="AG37" s="39"/>
    </row>
    <row r="38" spans="1:33" ht="12.75" customHeight="1">
      <c r="A38" s="588"/>
      <c r="B38" s="43"/>
      <c r="C38" s="119">
        <v>0</v>
      </c>
      <c r="D38" s="119">
        <v>0</v>
      </c>
      <c r="E38" s="119">
        <v>0</v>
      </c>
      <c r="F38" s="119">
        <v>0</v>
      </c>
      <c r="G38" s="119">
        <v>0</v>
      </c>
      <c r="H38" s="119">
        <v>0</v>
      </c>
      <c r="I38" s="119">
        <v>0</v>
      </c>
      <c r="J38" s="119">
        <v>0</v>
      </c>
      <c r="K38" s="119">
        <v>0</v>
      </c>
      <c r="L38" s="119">
        <v>0</v>
      </c>
      <c r="M38" s="119">
        <v>0</v>
      </c>
      <c r="N38" s="119">
        <v>0</v>
      </c>
      <c r="O38" s="76">
        <f>SUM(C38:N38)</f>
        <v>0</v>
      </c>
      <c r="P38" s="40"/>
      <c r="Q38" s="315"/>
      <c r="R38" s="322">
        <v>44959</v>
      </c>
      <c r="S38" s="264"/>
      <c r="T38" s="324">
        <v>45022</v>
      </c>
      <c r="U38" s="324">
        <v>45050</v>
      </c>
      <c r="V38" s="264">
        <v>45078</v>
      </c>
      <c r="W38" s="306"/>
      <c r="X38" s="306"/>
      <c r="Y38" s="264"/>
      <c r="Z38" s="264"/>
      <c r="AA38" s="264"/>
      <c r="AB38" s="264"/>
      <c r="AC38" s="38"/>
      <c r="AD38" s="38"/>
      <c r="AE38" s="38"/>
      <c r="AF38" s="38"/>
      <c r="AG38" s="39"/>
    </row>
    <row r="39" spans="1:33" ht="12.75" customHeight="1">
      <c r="A39" s="588"/>
      <c r="B39" s="43"/>
      <c r="C39" s="119">
        <v>0</v>
      </c>
      <c r="D39" s="119">
        <v>0</v>
      </c>
      <c r="E39" s="119">
        <v>0</v>
      </c>
      <c r="F39" s="119">
        <v>0</v>
      </c>
      <c r="G39" s="119">
        <v>0</v>
      </c>
      <c r="H39" s="119">
        <v>0</v>
      </c>
      <c r="I39" s="119">
        <v>0</v>
      </c>
      <c r="J39" s="119">
        <v>0</v>
      </c>
      <c r="K39" s="119">
        <v>0</v>
      </c>
      <c r="L39" s="119">
        <v>0</v>
      </c>
      <c r="M39" s="119">
        <v>0</v>
      </c>
      <c r="N39" s="119">
        <v>0</v>
      </c>
      <c r="O39" s="76">
        <f>SUM(C39:N39)</f>
        <v>0</v>
      </c>
      <c r="P39" s="40"/>
      <c r="Q39" s="315"/>
      <c r="R39" s="322">
        <v>44966</v>
      </c>
      <c r="S39" s="264"/>
      <c r="T39" s="324">
        <v>45029</v>
      </c>
      <c r="U39" s="324">
        <v>45057</v>
      </c>
      <c r="V39" s="264">
        <v>45086</v>
      </c>
      <c r="W39" s="264"/>
      <c r="X39" s="264"/>
      <c r="Y39" s="264"/>
      <c r="Z39" s="264"/>
      <c r="AA39" s="264"/>
      <c r="AB39" s="264"/>
      <c r="AC39" s="38"/>
      <c r="AD39" s="38"/>
      <c r="AE39" s="38"/>
      <c r="AF39" s="38"/>
      <c r="AG39" s="39"/>
    </row>
    <row r="40" spans="1:33" ht="12.75" customHeight="1">
      <c r="A40" s="588"/>
      <c r="B40" s="43"/>
      <c r="C40" s="119">
        <v>0</v>
      </c>
      <c r="D40" s="119">
        <v>0</v>
      </c>
      <c r="E40" s="119">
        <v>0</v>
      </c>
      <c r="F40" s="119">
        <v>0</v>
      </c>
      <c r="G40" s="119">
        <v>0</v>
      </c>
      <c r="H40" s="119">
        <v>0</v>
      </c>
      <c r="I40" s="119">
        <v>0</v>
      </c>
      <c r="J40" s="119">
        <v>0</v>
      </c>
      <c r="K40" s="119">
        <v>0</v>
      </c>
      <c r="L40" s="119">
        <v>0</v>
      </c>
      <c r="M40" s="119">
        <v>0</v>
      </c>
      <c r="N40" s="119">
        <v>0</v>
      </c>
      <c r="O40" s="76">
        <f t="shared" ref="O40:O41" si="3">SUM(C40:N40)</f>
        <v>0</v>
      </c>
      <c r="P40" s="40"/>
      <c r="Q40" s="273"/>
      <c r="R40" s="38"/>
      <c r="S40" s="264"/>
      <c r="T40" s="36"/>
      <c r="U40" s="36"/>
      <c r="V40" s="264"/>
      <c r="W40" s="38"/>
      <c r="X40" s="38"/>
      <c r="Y40" s="38"/>
      <c r="Z40" s="38"/>
      <c r="AA40" s="38"/>
      <c r="AB40" s="38"/>
      <c r="AC40" s="38"/>
      <c r="AD40" s="38"/>
      <c r="AE40" s="38"/>
      <c r="AF40" s="38"/>
      <c r="AG40" s="39"/>
    </row>
    <row r="41" spans="1:33" ht="13.5" customHeight="1" thickBot="1">
      <c r="A41" s="589"/>
      <c r="B41" s="47" t="s">
        <v>19</v>
      </c>
      <c r="C41" s="56">
        <v>0</v>
      </c>
      <c r="D41" s="56">
        <v>0</v>
      </c>
      <c r="E41" s="56">
        <v>0</v>
      </c>
      <c r="F41" s="56">
        <v>0</v>
      </c>
      <c r="G41" s="56">
        <v>0</v>
      </c>
      <c r="H41" s="56">
        <v>0</v>
      </c>
      <c r="I41" s="48">
        <v>0</v>
      </c>
      <c r="J41" s="56">
        <v>0</v>
      </c>
      <c r="K41" s="56">
        <v>0</v>
      </c>
      <c r="L41" s="56">
        <v>0</v>
      </c>
      <c r="M41" s="56">
        <v>0</v>
      </c>
      <c r="N41" s="56">
        <v>0</v>
      </c>
      <c r="O41" s="80">
        <f t="shared" si="3"/>
        <v>0</v>
      </c>
      <c r="P41" s="40"/>
      <c r="Q41" s="38"/>
      <c r="R41" s="38"/>
      <c r="T41" s="38"/>
      <c r="U41" s="38"/>
      <c r="V41" s="38"/>
      <c r="W41" s="38"/>
      <c r="X41" s="38"/>
      <c r="Y41" s="38"/>
      <c r="Z41" s="38"/>
      <c r="AA41" s="38"/>
      <c r="AB41" s="38"/>
      <c r="AC41" s="38"/>
      <c r="AD41" s="38"/>
      <c r="AE41" s="38"/>
      <c r="AF41" s="38"/>
      <c r="AG41" s="39"/>
    </row>
    <row r="42" spans="1:33" ht="13.5" customHeight="1" thickBot="1">
      <c r="A42" s="50"/>
      <c r="B42" s="51"/>
      <c r="C42" s="51"/>
      <c r="D42" s="51"/>
      <c r="E42" s="281"/>
      <c r="F42" s="51"/>
      <c r="G42" s="51"/>
      <c r="H42" s="51"/>
      <c r="I42" s="126"/>
      <c r="J42" s="51"/>
      <c r="K42" s="281"/>
      <c r="L42" s="51"/>
      <c r="M42" s="51"/>
      <c r="N42" s="51"/>
      <c r="O42" s="51"/>
      <c r="P42" s="38"/>
      <c r="Q42" s="265"/>
      <c r="R42" s="38"/>
      <c r="S42" s="38"/>
      <c r="T42" s="38"/>
      <c r="U42" s="38"/>
      <c r="V42" s="38"/>
      <c r="W42" s="38"/>
      <c r="X42" s="38"/>
      <c r="Y42" s="38"/>
      <c r="Z42" s="38"/>
      <c r="AA42" s="38"/>
      <c r="AB42" s="38"/>
      <c r="AC42" s="38"/>
      <c r="AD42" s="38"/>
      <c r="AE42" s="38"/>
      <c r="AF42" s="38"/>
      <c r="AG42" s="39"/>
    </row>
    <row r="43" spans="1:33" ht="12.75" customHeight="1">
      <c r="A43" s="590" t="s">
        <v>35</v>
      </c>
      <c r="B43" s="70"/>
      <c r="C43" s="71">
        <f>SUM(C44:C55)</f>
        <v>2005.8</v>
      </c>
      <c r="D43" s="71">
        <f>SUM(D44:D55)</f>
        <v>2005.8</v>
      </c>
      <c r="E43" s="72">
        <f>SUM(E44:E55)</f>
        <v>2005.8</v>
      </c>
      <c r="F43" s="72">
        <f>SUM(F44:F55)</f>
        <v>2005.8</v>
      </c>
      <c r="G43" s="72">
        <f>SUM(G44:G55)</f>
        <v>2005.8</v>
      </c>
      <c r="H43" s="72">
        <f>SUM(H44:H55)</f>
        <v>2005.8</v>
      </c>
      <c r="I43" s="71">
        <f>SUM(I44:I55)</f>
        <v>2004.9</v>
      </c>
      <c r="J43" s="72">
        <f>SUM(J44:J55)</f>
        <v>2004.9</v>
      </c>
      <c r="K43" s="72">
        <f>SUM(K44:K55)</f>
        <v>2004.9</v>
      </c>
      <c r="L43" s="72">
        <f>SUM(L44:L55)</f>
        <v>2004.9</v>
      </c>
      <c r="M43" s="72">
        <f>SUM(M44:M55)</f>
        <v>2004.9</v>
      </c>
      <c r="N43" s="72">
        <f>SUM(N44:N55)</f>
        <v>2004.9</v>
      </c>
      <c r="O43" s="73">
        <f>SUM(C43:N43)</f>
        <v>24064.200000000004</v>
      </c>
      <c r="P43" s="40"/>
      <c r="Q43" s="38"/>
      <c r="R43" s="38"/>
      <c r="S43" s="38"/>
      <c r="T43" s="38"/>
      <c r="U43" s="38"/>
      <c r="V43" s="38"/>
      <c r="W43" s="38"/>
      <c r="X43" s="38"/>
      <c r="Y43" s="38"/>
      <c r="Z43" s="38"/>
      <c r="AA43" s="38"/>
      <c r="AB43" s="38"/>
      <c r="AC43" s="38"/>
      <c r="AD43" s="38"/>
      <c r="AE43" s="38"/>
      <c r="AF43" s="38"/>
      <c r="AG43" s="39"/>
    </row>
    <row r="44" spans="1:33" ht="12.75" customHeight="1">
      <c r="A44" s="591"/>
      <c r="B44" s="41" t="s">
        <v>36</v>
      </c>
      <c r="C44" s="151">
        <f>60-SUMIFS(Dados!$E:$E,Dados!$F:$F,$B44,Dados!$C:$C,C$2)</f>
        <v>60</v>
      </c>
      <c r="D44" s="151">
        <f>60-SUMIFS(Dados!$E:$E,Dados!$F:$F,$B44,Dados!$C:$C,D$2)</f>
        <v>60</v>
      </c>
      <c r="E44" s="151">
        <f>60-SUMIFS(Dados!$E:$E,Dados!$F:$F,$B44,Dados!$C:$C,E$2)</f>
        <v>60</v>
      </c>
      <c r="F44" s="151">
        <f>60-SUMIFS(Dados!$E:$E,Dados!$F:$F,$B44,Dados!$C:$C,F$2)</f>
        <v>60</v>
      </c>
      <c r="G44" s="151">
        <f>60-SUMIFS(Dados!$E:$E,Dados!$F:$F,$B44,Dados!$C:$C,G$2)</f>
        <v>60</v>
      </c>
      <c r="H44" s="151">
        <f>60-SUMIFS(Dados!$E:$E,Dados!$F:$F,$B44,Dados!$C:$C,H$2)</f>
        <v>60</v>
      </c>
      <c r="I44" s="151">
        <f>60-SUMIFS(Dados!$E:$E,Dados!$F:$F,$B44,Dados!$C:$C,I$2)</f>
        <v>60</v>
      </c>
      <c r="J44" s="151">
        <f>60-SUMIFS(Dados!$E:$E,Dados!$F:$F,$B44,Dados!$C:$C,J$2)</f>
        <v>60</v>
      </c>
      <c r="K44" s="151">
        <f>60-SUMIFS(Dados!$E:$E,Dados!$F:$F,$B44,Dados!$C:$C,K$2)</f>
        <v>60</v>
      </c>
      <c r="L44" s="151">
        <f>60-SUMIFS(Dados!$E:$E,Dados!$F:$F,$B44,Dados!$C:$C,L$2)</f>
        <v>60</v>
      </c>
      <c r="M44" s="151">
        <f>60-SUMIFS(Dados!$E:$E,Dados!$F:$F,$B44,Dados!$C:$C,M$2)</f>
        <v>60</v>
      </c>
      <c r="N44" s="151">
        <f>60-SUMIFS(Dados!$E:$E,Dados!$F:$F,$B44,Dados!$C:$C,N$2)</f>
        <v>60</v>
      </c>
      <c r="O44" s="74">
        <f>SUM(C44:N44)</f>
        <v>720</v>
      </c>
      <c r="P44" s="40"/>
      <c r="Q44" s="38"/>
      <c r="R44" s="38"/>
      <c r="S44" s="38"/>
      <c r="T44" s="38"/>
      <c r="U44" s="38"/>
      <c r="V44" s="38"/>
      <c r="W44" s="38"/>
      <c r="X44" s="38"/>
      <c r="Y44" s="38"/>
      <c r="Z44" s="38"/>
      <c r="AA44" s="38"/>
      <c r="AB44" s="38"/>
      <c r="AC44" s="38"/>
      <c r="AD44" s="38"/>
      <c r="AE44" s="38"/>
      <c r="AF44" s="38"/>
      <c r="AG44" s="39"/>
    </row>
    <row r="45" spans="1:33" ht="12.75" customHeight="1">
      <c r="A45" s="591"/>
      <c r="B45" s="41" t="s">
        <v>135</v>
      </c>
      <c r="C45" s="119">
        <v>0</v>
      </c>
      <c r="D45" s="119">
        <v>0</v>
      </c>
      <c r="E45" s="119">
        <v>0</v>
      </c>
      <c r="F45" s="119">
        <v>0</v>
      </c>
      <c r="G45" s="119">
        <v>0</v>
      </c>
      <c r="H45" s="119">
        <v>0</v>
      </c>
      <c r="I45" s="119">
        <v>0</v>
      </c>
      <c r="J45" s="119">
        <v>0</v>
      </c>
      <c r="K45" s="119">
        <v>0</v>
      </c>
      <c r="L45" s="119">
        <v>0</v>
      </c>
      <c r="M45" s="119">
        <v>0</v>
      </c>
      <c r="N45" s="119">
        <v>0</v>
      </c>
      <c r="O45" s="74">
        <f t="shared" ref="O45:O49" si="4">SUM(C45:N45)</f>
        <v>0</v>
      </c>
      <c r="P45" s="40"/>
      <c r="Q45" s="38"/>
      <c r="R45" s="38"/>
      <c r="S45" s="38"/>
      <c r="T45" s="38"/>
      <c r="U45" s="38"/>
      <c r="V45" s="38"/>
      <c r="W45" s="38"/>
      <c r="X45" s="38"/>
      <c r="Y45" s="38"/>
      <c r="Z45" s="38"/>
      <c r="AA45" s="38"/>
      <c r="AB45" s="38"/>
      <c r="AC45" s="38"/>
      <c r="AD45" s="38"/>
      <c r="AE45" s="38"/>
      <c r="AF45" s="38"/>
      <c r="AG45" s="39"/>
    </row>
    <row r="46" spans="1:33" ht="12.75" customHeight="1">
      <c r="A46" s="591"/>
      <c r="B46" s="41" t="s">
        <v>87</v>
      </c>
      <c r="C46" s="119">
        <v>0</v>
      </c>
      <c r="D46" s="119">
        <v>0</v>
      </c>
      <c r="E46" s="119">
        <v>0</v>
      </c>
      <c r="F46" s="119">
        <v>0</v>
      </c>
      <c r="G46" s="119">
        <v>0</v>
      </c>
      <c r="H46" s="119">
        <v>0</v>
      </c>
      <c r="I46" s="119">
        <v>0</v>
      </c>
      <c r="J46" s="119">
        <v>0</v>
      </c>
      <c r="K46" s="119">
        <v>0</v>
      </c>
      <c r="L46" s="119">
        <v>0</v>
      </c>
      <c r="M46" s="119">
        <v>0</v>
      </c>
      <c r="N46" s="119">
        <v>0</v>
      </c>
      <c r="O46" s="74">
        <f t="shared" si="4"/>
        <v>0</v>
      </c>
      <c r="P46" s="40"/>
      <c r="Q46" s="38"/>
      <c r="R46" s="38"/>
      <c r="S46" s="38"/>
      <c r="T46" s="38"/>
      <c r="U46" s="38"/>
      <c r="V46" s="38"/>
      <c r="W46" s="38"/>
      <c r="X46" s="38"/>
      <c r="Y46" s="38"/>
      <c r="Z46" s="38"/>
      <c r="AA46" s="38"/>
      <c r="AB46" s="38"/>
      <c r="AC46" s="38"/>
      <c r="AD46" s="38"/>
      <c r="AE46" s="38"/>
      <c r="AF46" s="38"/>
      <c r="AG46" s="39"/>
    </row>
    <row r="47" spans="1:33" ht="12.75" customHeight="1">
      <c r="A47" s="591"/>
      <c r="B47" s="143" t="s">
        <v>129</v>
      </c>
      <c r="C47" s="151">
        <f>109.9-SUMIFS(Dados!$E:$E,Dados!$F:$F,$B47,Dados!$C:$C,C$2)</f>
        <v>109.9</v>
      </c>
      <c r="D47" s="151">
        <f>109.9-SUMIFS(Dados!$E:$E,Dados!$F:$F,$B47,Dados!$C:$C,D$2)</f>
        <v>109.9</v>
      </c>
      <c r="E47" s="151">
        <f>109.9-SUMIFS(Dados!$E:$E,Dados!$F:$F,$B47,Dados!$C:$C,E$2)</f>
        <v>109.9</v>
      </c>
      <c r="F47" s="151">
        <f>109.9-SUMIFS(Dados!$E:$E,Dados!$F:$F,$B47,Dados!$C:$C,F$2)</f>
        <v>109.9</v>
      </c>
      <c r="G47" s="151">
        <f>109.9-SUMIFS(Dados!$E:$E,Dados!$F:$F,$B47,Dados!$C:$C,G$2)</f>
        <v>109.9</v>
      </c>
      <c r="H47" s="151">
        <f>109.9-SUMIFS(Dados!$E:$E,Dados!$F:$F,$B47,Dados!$C:$C,H$2)</f>
        <v>109.9</v>
      </c>
      <c r="I47" s="151">
        <f>109-SUMIFS(Dados!$E:$E,Dados!$F:$F,$B47,Dados!$C:$C,I$2)</f>
        <v>109</v>
      </c>
      <c r="J47" s="151">
        <f>109-SUMIFS(Dados!$E:$E,Dados!$F:$F,$B47,Dados!$C:$C,J$2)</f>
        <v>109</v>
      </c>
      <c r="K47" s="151">
        <f>109-SUMIFS(Dados!$E:$E,Dados!$F:$F,$B47,Dados!$C:$C,K$2)</f>
        <v>109</v>
      </c>
      <c r="L47" s="151">
        <f>109-SUMIFS(Dados!$E:$E,Dados!$F:$F,$B47,Dados!$C:$C,L$2)</f>
        <v>109</v>
      </c>
      <c r="M47" s="151">
        <f>109-SUMIFS(Dados!$E:$E,Dados!$F:$F,$B47,Dados!$C:$C,M$2)</f>
        <v>109</v>
      </c>
      <c r="N47" s="151">
        <f>109-SUMIFS(Dados!$E:$E,Dados!$F:$F,$B47,Dados!$C:$C,N$2)</f>
        <v>109</v>
      </c>
      <c r="O47" s="74">
        <f>SUM(C47:N47)</f>
        <v>1313.4</v>
      </c>
      <c r="P47" s="40"/>
      <c r="Q47" s="38"/>
      <c r="R47" s="38"/>
      <c r="S47" s="38"/>
      <c r="T47" s="38"/>
      <c r="U47" s="38"/>
      <c r="V47" s="38"/>
      <c r="W47" s="38"/>
      <c r="X47" s="38"/>
      <c r="Y47" s="38"/>
      <c r="Z47" s="38"/>
      <c r="AA47" s="38"/>
      <c r="AB47" s="38"/>
      <c r="AC47" s="38"/>
      <c r="AD47" s="38"/>
      <c r="AE47" s="38"/>
      <c r="AF47" s="38"/>
      <c r="AG47" s="39"/>
    </row>
    <row r="48" spans="1:33" ht="12.75" customHeight="1">
      <c r="A48" s="591"/>
      <c r="B48" s="143" t="s">
        <v>126</v>
      </c>
      <c r="C48" s="151">
        <f>85.9-SUMIFS(Dados!$E:$E,Dados!$F:$F,$B48,Dados!$C:$C,C$2)</f>
        <v>85.9</v>
      </c>
      <c r="D48" s="151">
        <f>85.9-SUMIFS(Dados!$E:$E,Dados!$F:$F,$B48,Dados!$C:$C,D$2)</f>
        <v>85.9</v>
      </c>
      <c r="E48" s="151">
        <f>85.9-SUMIFS(Dados!$E:$E,Dados!$F:$F,$B48,Dados!$C:$C,E$2)</f>
        <v>85.9</v>
      </c>
      <c r="F48" s="151">
        <f>85.9-SUMIFS(Dados!$E:$E,Dados!$F:$F,$B48,Dados!$C:$C,F$2)</f>
        <v>85.9</v>
      </c>
      <c r="G48" s="151">
        <f>85.9-SUMIFS(Dados!$E:$E,Dados!$F:$F,$B48,Dados!$C:$C,G$2)</f>
        <v>85.9</v>
      </c>
      <c r="H48" s="151">
        <f>85.9-SUMIFS(Dados!$E:$E,Dados!$F:$F,$B48,Dados!$C:$C,H$2)</f>
        <v>85.9</v>
      </c>
      <c r="I48" s="151">
        <f>85.9-SUMIFS(Dados!$E:$E,Dados!$F:$F,$B48,Dados!$C:$C,I$2)</f>
        <v>85.9</v>
      </c>
      <c r="J48" s="151">
        <f>85.9-SUMIFS(Dados!$E:$E,Dados!$F:$F,$B48,Dados!$C:$C,J$2)</f>
        <v>85.9</v>
      </c>
      <c r="K48" s="151">
        <f>85.9-SUMIFS(Dados!$E:$E,Dados!$F:$F,$B48,Dados!$C:$C,K$2)</f>
        <v>85.9</v>
      </c>
      <c r="L48" s="151">
        <f>85.9-SUMIFS(Dados!$E:$E,Dados!$F:$F,$B48,Dados!$C:$C,L$2)</f>
        <v>85.9</v>
      </c>
      <c r="M48" s="151">
        <f>85.9-SUMIFS(Dados!$E:$E,Dados!$F:$F,$B48,Dados!$C:$C,M$2)</f>
        <v>85.9</v>
      </c>
      <c r="N48" s="151">
        <f>85.9-SUMIFS(Dados!$E:$E,Dados!$F:$F,$B48,Dados!$C:$C,N$2)</f>
        <v>85.9</v>
      </c>
      <c r="O48" s="76">
        <f t="shared" si="4"/>
        <v>1030.8</v>
      </c>
      <c r="P48" s="40"/>
      <c r="Q48" s="38"/>
      <c r="R48" s="38"/>
      <c r="S48" s="38"/>
      <c r="T48" s="38"/>
      <c r="U48" s="38"/>
      <c r="V48" s="38"/>
      <c r="W48" s="38"/>
      <c r="X48" s="38"/>
      <c r="Y48" s="38"/>
      <c r="Z48" s="38"/>
      <c r="AA48" s="38"/>
      <c r="AB48" s="38"/>
      <c r="AC48" s="38"/>
      <c r="AD48" s="38"/>
      <c r="AE48" s="38"/>
      <c r="AF48" s="38"/>
      <c r="AG48" s="39"/>
    </row>
    <row r="49" spans="1:33" ht="12.75" customHeight="1">
      <c r="A49" s="591"/>
      <c r="B49" s="143" t="s">
        <v>88</v>
      </c>
      <c r="C49" s="151">
        <v>50</v>
      </c>
      <c r="D49" s="151">
        <v>50</v>
      </c>
      <c r="E49" s="151">
        <v>50</v>
      </c>
      <c r="F49" s="151">
        <v>50</v>
      </c>
      <c r="G49" s="151">
        <v>50</v>
      </c>
      <c r="H49" s="151">
        <v>50</v>
      </c>
      <c r="I49" s="151">
        <v>50</v>
      </c>
      <c r="J49" s="151">
        <v>50</v>
      </c>
      <c r="K49" s="151">
        <v>50</v>
      </c>
      <c r="L49" s="151">
        <v>50</v>
      </c>
      <c r="M49" s="151">
        <v>50</v>
      </c>
      <c r="N49" s="151">
        <v>50</v>
      </c>
      <c r="O49" s="76">
        <f t="shared" si="4"/>
        <v>600</v>
      </c>
      <c r="P49" s="174"/>
      <c r="Q49" s="38"/>
      <c r="R49" s="94"/>
      <c r="S49" s="38"/>
      <c r="T49" s="38"/>
      <c r="U49" s="38"/>
      <c r="V49" s="38"/>
      <c r="W49" s="38"/>
      <c r="X49" s="38"/>
      <c r="Y49" s="38"/>
      <c r="Z49" s="38"/>
      <c r="AA49" s="38"/>
      <c r="AB49" s="38"/>
      <c r="AC49" s="38"/>
      <c r="AD49" s="38"/>
      <c r="AE49" s="38"/>
      <c r="AF49" s="38"/>
      <c r="AG49" s="39"/>
    </row>
    <row r="50" spans="1:33" ht="12.75" customHeight="1">
      <c r="A50" s="591"/>
      <c r="B50" s="143" t="s">
        <v>37</v>
      </c>
      <c r="C50" s="151">
        <f>600-SUMIFS(Dados!$E:$E,Dados!$F:$F,$B50,Dados!$C:$C,C$2)</f>
        <v>600</v>
      </c>
      <c r="D50" s="151">
        <f>600-SUMIFS(Dados!$E:$E,Dados!$F:$F,$B50,Dados!$C:$C,D$2)</f>
        <v>600</v>
      </c>
      <c r="E50" s="151">
        <f>600-SUMIFS(Dados!$E:$E,Dados!$F:$F,$B50,Dados!$C:$C,E$2)</f>
        <v>600</v>
      </c>
      <c r="F50" s="151">
        <f>600-SUMIFS(Dados!$E:$E,Dados!$F:$F,$B50,Dados!$C:$C,F$2)</f>
        <v>600</v>
      </c>
      <c r="G50" s="151">
        <f>600-SUMIFS(Dados!$E:$E,Dados!$F:$F,$B50,Dados!$C:$C,G$2)</f>
        <v>600</v>
      </c>
      <c r="H50" s="151">
        <f>600-SUMIFS(Dados!$E:$E,Dados!$F:$F,$B50,Dados!$C:$C,H$2)</f>
        <v>600</v>
      </c>
      <c r="I50" s="151">
        <f>600-SUMIFS(Dados!$E:$E,Dados!$F:$F,$B50,Dados!$C:$C,I$2)</f>
        <v>600</v>
      </c>
      <c r="J50" s="151">
        <f>600-SUMIFS(Dados!$E:$E,Dados!$F:$F,$B50,Dados!$C:$C,J$2)</f>
        <v>600</v>
      </c>
      <c r="K50" s="151">
        <f>600-SUMIFS(Dados!$E:$E,Dados!$F:$F,$B50,Dados!$C:$C,K$2)</f>
        <v>600</v>
      </c>
      <c r="L50" s="151">
        <f>600-SUMIFS(Dados!$E:$E,Dados!$F:$F,$B50,Dados!$C:$C,L$2)</f>
        <v>600</v>
      </c>
      <c r="M50" s="151">
        <f>600-SUMIFS(Dados!$E:$E,Dados!$F:$F,$B50,Dados!$C:$C,M$2)</f>
        <v>600</v>
      </c>
      <c r="N50" s="151">
        <f>600-SUMIFS(Dados!$E:$E,Dados!$F:$F,$B50,Dados!$C:$C,N$2)</f>
        <v>600</v>
      </c>
      <c r="O50" s="76">
        <f t="shared" ref="O50:O55" si="5">SUM(C50:N50)</f>
        <v>7200</v>
      </c>
      <c r="P50" s="40"/>
      <c r="Q50" s="38"/>
      <c r="R50" s="94"/>
      <c r="S50" s="38"/>
      <c r="T50" s="38"/>
      <c r="U50" s="38"/>
      <c r="V50" s="38"/>
      <c r="W50" s="38"/>
      <c r="X50" s="38"/>
      <c r="Y50" s="38"/>
      <c r="Z50" s="38"/>
      <c r="AA50" s="38"/>
      <c r="AB50" s="38"/>
      <c r="AC50" s="38"/>
      <c r="AD50" s="38"/>
      <c r="AE50" s="38"/>
      <c r="AF50" s="38"/>
      <c r="AG50" s="39"/>
    </row>
    <row r="51" spans="1:33" ht="12.75" customHeight="1">
      <c r="A51" s="591"/>
      <c r="B51" s="143" t="s">
        <v>49</v>
      </c>
      <c r="C51" s="151">
        <f>600-SUMIFS(Dados!$E:$E,Dados!$F:$F,$B51,Dados!$C:$C,C$2)</f>
        <v>600</v>
      </c>
      <c r="D51" s="151">
        <f>600-SUMIFS(Dados!$E:$E,Dados!$F:$F,$B51,Dados!$C:$C,D$2)</f>
        <v>600</v>
      </c>
      <c r="E51" s="151">
        <f>600-SUMIFS(Dados!$E:$E,Dados!$F:$F,$B51,Dados!$C:$C,E$2)</f>
        <v>600</v>
      </c>
      <c r="F51" s="151">
        <f>600-SUMIFS(Dados!$E:$E,Dados!$F:$F,$B51,Dados!$C:$C,F$2)</f>
        <v>600</v>
      </c>
      <c r="G51" s="151">
        <f>600-SUMIFS(Dados!$E:$E,Dados!$F:$F,$B51,Dados!$C:$C,G$2)</f>
        <v>600</v>
      </c>
      <c r="H51" s="151">
        <f>600-SUMIFS(Dados!$E:$E,Dados!$F:$F,$B51,Dados!$C:$C,H$2)</f>
        <v>600</v>
      </c>
      <c r="I51" s="151">
        <f>600-SUMIFS(Dados!$E:$E,Dados!$F:$F,$B51,Dados!$C:$C,I$2)</f>
        <v>600</v>
      </c>
      <c r="J51" s="151">
        <f>600-SUMIFS(Dados!$E:$E,Dados!$F:$F,$B51,Dados!$C:$C,J$2)</f>
        <v>600</v>
      </c>
      <c r="K51" s="151">
        <f>600-SUMIFS(Dados!$E:$E,Dados!$F:$F,$B51,Dados!$C:$C,K$2)</f>
        <v>600</v>
      </c>
      <c r="L51" s="151">
        <f>600-SUMIFS(Dados!$E:$E,Dados!$F:$F,$B51,Dados!$C:$C,L$2)</f>
        <v>600</v>
      </c>
      <c r="M51" s="151">
        <f>600-SUMIFS(Dados!$E:$E,Dados!$F:$F,$B51,Dados!$C:$C,M$2)</f>
        <v>600</v>
      </c>
      <c r="N51" s="151">
        <f>600-SUMIFS(Dados!$E:$E,Dados!$F:$F,$B51,Dados!$C:$C,N$2)</f>
        <v>600</v>
      </c>
      <c r="O51" s="76">
        <f t="shared" si="5"/>
        <v>7200</v>
      </c>
      <c r="P51" s="174"/>
      <c r="Q51" s="38"/>
      <c r="R51" s="94"/>
      <c r="S51" s="38"/>
      <c r="T51" s="38"/>
      <c r="U51" s="38"/>
      <c r="V51" s="38"/>
      <c r="W51" s="38"/>
      <c r="X51" s="38"/>
      <c r="Y51" s="38"/>
      <c r="Z51" s="38"/>
      <c r="AA51" s="38"/>
      <c r="AB51" s="38"/>
      <c r="AC51" s="38"/>
      <c r="AD51" s="38"/>
      <c r="AE51" s="38"/>
      <c r="AF51" s="38"/>
      <c r="AG51" s="39"/>
    </row>
    <row r="52" spans="1:33" ht="12.75" customHeight="1">
      <c r="A52" s="591"/>
      <c r="B52" s="143" t="s">
        <v>38</v>
      </c>
      <c r="C52" s="151">
        <f>150-SUMIFS(Dados!$E:$E,Dados!$F:$F,$B52,Dados!$C:$C,C$2)</f>
        <v>150</v>
      </c>
      <c r="D52" s="151">
        <f>150-SUMIFS(Dados!$E:$E,Dados!$F:$F,$B52,Dados!$C:$C,D$2)</f>
        <v>150</v>
      </c>
      <c r="E52" s="151">
        <f>150-SUMIFS(Dados!$E:$E,Dados!$F:$F,$B52,Dados!$C:$C,E$2)</f>
        <v>150</v>
      </c>
      <c r="F52" s="151">
        <f>150-SUMIFS(Dados!$E:$E,Dados!$F:$F,$B52,Dados!$C:$C,F$2)</f>
        <v>150</v>
      </c>
      <c r="G52" s="151">
        <f>150-SUMIFS(Dados!$E:$E,Dados!$F:$F,$B52,Dados!$C:$C,G$2)</f>
        <v>150</v>
      </c>
      <c r="H52" s="151">
        <f>150-SUMIFS(Dados!$E:$E,Dados!$F:$F,$B52,Dados!$C:$C,H$2)</f>
        <v>150</v>
      </c>
      <c r="I52" s="151">
        <f>150-SUMIFS(Dados!$E:$E,Dados!$F:$F,$B52,Dados!$C:$C,I$2)</f>
        <v>150</v>
      </c>
      <c r="J52" s="151">
        <f>150-SUMIFS(Dados!$E:$E,Dados!$F:$F,$B52,Dados!$C:$C,J$2)</f>
        <v>150</v>
      </c>
      <c r="K52" s="151">
        <f>150-SUMIFS(Dados!$E:$E,Dados!$F:$F,$B52,Dados!$C:$C,K$2)</f>
        <v>150</v>
      </c>
      <c r="L52" s="151">
        <f>150-SUMIFS(Dados!$E:$E,Dados!$F:$F,$B52,Dados!$C:$C,L$2)</f>
        <v>150</v>
      </c>
      <c r="M52" s="151">
        <f>150-SUMIFS(Dados!$E:$E,Dados!$F:$F,$B52,Dados!$C:$C,M$2)</f>
        <v>150</v>
      </c>
      <c r="N52" s="151">
        <f>150-SUMIFS(Dados!$E:$E,Dados!$F:$F,$B52,Dados!$C:$C,N$2)</f>
        <v>150</v>
      </c>
      <c r="O52" s="76">
        <f t="shared" si="5"/>
        <v>1800</v>
      </c>
      <c r="P52" s="40"/>
      <c r="Q52" s="38"/>
      <c r="R52" s="94"/>
      <c r="S52" s="38"/>
      <c r="T52" s="38"/>
      <c r="U52" s="38"/>
      <c r="V52" s="38"/>
      <c r="W52" s="38"/>
      <c r="X52" s="38"/>
      <c r="Y52" s="38"/>
      <c r="Z52" s="38"/>
      <c r="AA52" s="38"/>
      <c r="AB52" s="38"/>
      <c r="AC52" s="38"/>
      <c r="AD52" s="38"/>
      <c r="AE52" s="38"/>
      <c r="AF52" s="38"/>
      <c r="AG52" s="39"/>
    </row>
    <row r="53" spans="1:33" ht="12.75" customHeight="1">
      <c r="A53" s="591"/>
      <c r="B53" s="143" t="s">
        <v>181</v>
      </c>
      <c r="C53" s="366">
        <v>0</v>
      </c>
      <c r="D53" s="366">
        <v>0</v>
      </c>
      <c r="E53" s="366">
        <v>0</v>
      </c>
      <c r="F53" s="366">
        <v>0</v>
      </c>
      <c r="G53" s="366">
        <v>0</v>
      </c>
      <c r="H53" s="366">
        <v>0</v>
      </c>
      <c r="I53" s="366">
        <v>0</v>
      </c>
      <c r="J53" s="366">
        <v>0</v>
      </c>
      <c r="K53" s="366">
        <v>0</v>
      </c>
      <c r="L53" s="366">
        <v>0</v>
      </c>
      <c r="M53" s="366">
        <v>0</v>
      </c>
      <c r="N53" s="366">
        <v>0</v>
      </c>
      <c r="O53" s="76">
        <f t="shared" si="5"/>
        <v>0</v>
      </c>
      <c r="P53" s="40"/>
      <c r="Q53" s="38"/>
      <c r="R53" s="38"/>
      <c r="S53" s="38"/>
      <c r="T53" s="38"/>
      <c r="U53" s="38"/>
      <c r="V53" s="38"/>
      <c r="W53" s="38"/>
      <c r="X53" s="38"/>
      <c r="Y53" s="38"/>
      <c r="Z53" s="38"/>
      <c r="AA53" s="38"/>
      <c r="AB53" s="38"/>
      <c r="AC53" s="38"/>
      <c r="AD53" s="38"/>
      <c r="AE53" s="38"/>
      <c r="AF53" s="38"/>
      <c r="AG53" s="39"/>
    </row>
    <row r="54" spans="1:33" ht="12.75" customHeight="1">
      <c r="A54" s="591"/>
      <c r="B54" s="143" t="s">
        <v>48</v>
      </c>
      <c r="C54" s="151">
        <f>350-SUMIFS(Dados!$E:$E,Dados!$F:$F,$B54,Dados!$C:$C,C$2)</f>
        <v>350</v>
      </c>
      <c r="D54" s="151">
        <f>350-SUMIFS(Dados!$E:$E,Dados!$F:$F,$B54,Dados!$C:$C,D$2)</f>
        <v>350</v>
      </c>
      <c r="E54" s="151">
        <f>350-SUMIFS(Dados!$E:$E,Dados!$F:$F,$B54,Dados!$C:$C,E$2)</f>
        <v>350</v>
      </c>
      <c r="F54" s="151">
        <f>350-SUMIFS(Dados!$E:$E,Dados!$F:$F,$B54,Dados!$C:$C,F$2)</f>
        <v>350</v>
      </c>
      <c r="G54" s="151">
        <f>350-SUMIFS(Dados!$E:$E,Dados!$F:$F,$B54,Dados!$C:$C,G$2)</f>
        <v>350</v>
      </c>
      <c r="H54" s="151">
        <f>350-SUMIFS(Dados!$E:$E,Dados!$F:$F,$B54,Dados!$C:$C,H$2)</f>
        <v>350</v>
      </c>
      <c r="I54" s="151">
        <f>350-SUMIFS(Dados!$E:$E,Dados!$F:$F,$B54,Dados!$C:$C,I$2)</f>
        <v>350</v>
      </c>
      <c r="J54" s="151">
        <f>350-SUMIFS(Dados!$E:$E,Dados!$F:$F,$B54,Dados!$C:$C,J$2)</f>
        <v>350</v>
      </c>
      <c r="K54" s="151">
        <f>350-SUMIFS(Dados!$E:$E,Dados!$F:$F,$B54,Dados!$C:$C,K$2)</f>
        <v>350</v>
      </c>
      <c r="L54" s="151">
        <f>350-SUMIFS(Dados!$E:$E,Dados!$F:$F,$B54,Dados!$C:$C,L$2)</f>
        <v>350</v>
      </c>
      <c r="M54" s="151">
        <f>350-SUMIFS(Dados!$E:$E,Dados!$F:$F,$B54,Dados!$C:$C,M$2)</f>
        <v>350</v>
      </c>
      <c r="N54" s="151">
        <f>350-SUMIFS(Dados!$E:$E,Dados!$F:$F,$B54,Dados!$C:$C,N$2)</f>
        <v>350</v>
      </c>
      <c r="O54" s="76">
        <f t="shared" si="5"/>
        <v>4200</v>
      </c>
      <c r="P54" s="40"/>
      <c r="Q54" s="38"/>
      <c r="R54" s="94"/>
      <c r="S54" s="95"/>
      <c r="T54" s="95"/>
      <c r="U54" s="95"/>
      <c r="V54" s="95"/>
      <c r="W54" s="95"/>
      <c r="X54" s="95"/>
      <c r="Y54" s="95"/>
      <c r="Z54" s="38"/>
      <c r="AA54" s="38"/>
      <c r="AB54" s="38"/>
      <c r="AC54" s="38"/>
      <c r="AD54" s="38"/>
      <c r="AE54" s="38"/>
      <c r="AF54" s="38"/>
      <c r="AG54" s="39"/>
    </row>
    <row r="55" spans="1:33" ht="13.5" customHeight="1" thickBot="1">
      <c r="A55" s="592"/>
      <c r="B55" s="144" t="s">
        <v>19</v>
      </c>
      <c r="C55" s="152">
        <f>SUMIFS(Dados!$M:$M,Dados!$N:$N,$B55,Dados!$K:$K,C$2)</f>
        <v>0</v>
      </c>
      <c r="D55" s="152">
        <f>SUMIFS(Dados!$M:$M,Dados!$N:$N,$B55,Dados!$K:$K,D$2)</f>
        <v>0</v>
      </c>
      <c r="E55" s="152">
        <f>SUMIFS(Dados!$M:$M,Dados!$N:$N,$B55,Dados!$K:$K,E$2)</f>
        <v>0</v>
      </c>
      <c r="F55" s="152">
        <f>SUMIFS(Dados!$M:$M,Dados!$N:$N,$B55,Dados!$K:$K,F$2)</f>
        <v>0</v>
      </c>
      <c r="G55" s="152">
        <f>SUMIFS(Dados!$M:$M,Dados!$N:$N,$B55,Dados!$K:$K,G$2)</f>
        <v>0</v>
      </c>
      <c r="H55" s="152">
        <f>SUMIFS(Dados!$M:$M,Dados!$N:$N,$B55,Dados!$K:$K,H$2)</f>
        <v>0</v>
      </c>
      <c r="I55" s="151">
        <f>SUMIFS(Dados!$M:$M,Dados!$N:$N,$B55,Dados!$K:$K,I$2)</f>
        <v>0</v>
      </c>
      <c r="J55" s="151">
        <f>SUMIFS(Dados!$M:$M,Dados!$N:$N,$B55,Dados!$K:$K,J$2)</f>
        <v>0</v>
      </c>
      <c r="K55" s="151">
        <f>SUMIFS(Dados!$M:$M,Dados!$N:$N,$B55,Dados!$K:$K,K$2)</f>
        <v>0</v>
      </c>
      <c r="L55" s="152">
        <f>SUMIFS(Dados!$M:$M,Dados!$N:$N,$B55,Dados!$K:$K,L$2)</f>
        <v>0</v>
      </c>
      <c r="M55" s="152">
        <f>SUMIFS(Dados!$M:$M,Dados!$N:$N,$B55,Dados!$K:$K,M$2)</f>
        <v>0</v>
      </c>
      <c r="N55" s="151">
        <f>SUMIFS(Dados!$M:$M,Dados!$N:$N,$B55,Dados!$K:$K,N$2)</f>
        <v>0</v>
      </c>
      <c r="O55" s="80">
        <f t="shared" si="5"/>
        <v>0</v>
      </c>
      <c r="P55" s="40"/>
      <c r="Q55" s="38"/>
      <c r="R55" s="94"/>
      <c r="S55" s="38"/>
      <c r="T55" s="38"/>
      <c r="U55" s="38"/>
      <c r="V55" s="38"/>
      <c r="W55" s="38"/>
      <c r="X55" s="38"/>
      <c r="Y55" s="38"/>
      <c r="Z55" s="38"/>
      <c r="AA55" s="38"/>
      <c r="AB55" s="38"/>
      <c r="AC55" s="38"/>
      <c r="AD55" s="38"/>
      <c r="AE55" s="38"/>
      <c r="AF55" s="38"/>
      <c r="AG55" s="39"/>
    </row>
    <row r="56" spans="1:33" ht="13.5" customHeight="1" thickBot="1">
      <c r="A56" s="50"/>
      <c r="B56" s="51"/>
      <c r="C56" s="53"/>
      <c r="D56" s="53"/>
      <c r="E56" s="53"/>
      <c r="F56" s="53"/>
      <c r="G56" s="53"/>
      <c r="H56" s="53"/>
      <c r="I56" s="52"/>
      <c r="J56" s="278"/>
      <c r="K56" s="53"/>
      <c r="L56" s="53"/>
      <c r="M56" s="53"/>
      <c r="N56" s="53"/>
      <c r="O56" s="53"/>
      <c r="P56" s="38"/>
      <c r="Q56" s="38"/>
      <c r="R56" s="38"/>
      <c r="S56" s="38"/>
      <c r="T56" s="38"/>
      <c r="U56" s="38"/>
      <c r="V56" s="38"/>
      <c r="W56" s="38"/>
      <c r="X56" s="38"/>
      <c r="Y56" s="38"/>
      <c r="Z56" s="38"/>
      <c r="AA56" s="38"/>
      <c r="AB56" s="38"/>
      <c r="AC56" s="38"/>
      <c r="AD56" s="38"/>
      <c r="AE56" s="38"/>
      <c r="AF56" s="38"/>
      <c r="AG56" s="39"/>
    </row>
    <row r="57" spans="1:33" ht="12.75" customHeight="1">
      <c r="A57" s="593" t="s">
        <v>54</v>
      </c>
      <c r="B57" s="70"/>
      <c r="C57" s="72">
        <f t="shared" ref="C57:N57" si="6">SUM(C58:C59)</f>
        <v>0</v>
      </c>
      <c r="D57" s="72">
        <f t="shared" si="6"/>
        <v>0</v>
      </c>
      <c r="E57" s="72">
        <f t="shared" si="6"/>
        <v>0</v>
      </c>
      <c r="F57" s="72">
        <f t="shared" si="6"/>
        <v>0</v>
      </c>
      <c r="G57" s="72">
        <f t="shared" si="6"/>
        <v>0</v>
      </c>
      <c r="H57" s="72">
        <f t="shared" si="6"/>
        <v>0</v>
      </c>
      <c r="I57" s="71">
        <f t="shared" si="6"/>
        <v>0</v>
      </c>
      <c r="J57" s="72">
        <f t="shared" si="6"/>
        <v>0</v>
      </c>
      <c r="K57" s="72">
        <f t="shared" si="6"/>
        <v>0</v>
      </c>
      <c r="L57" s="72">
        <f t="shared" si="6"/>
        <v>0</v>
      </c>
      <c r="M57" s="72">
        <f t="shared" si="6"/>
        <v>0</v>
      </c>
      <c r="N57" s="72">
        <f t="shared" si="6"/>
        <v>0</v>
      </c>
      <c r="O57" s="73">
        <f>SUM(C57:N57)</f>
        <v>0</v>
      </c>
      <c r="P57" s="40"/>
      <c r="Q57" s="38"/>
      <c r="R57" s="38"/>
      <c r="S57" s="38"/>
      <c r="T57" s="38"/>
      <c r="U57" s="38"/>
      <c r="V57" s="38"/>
      <c r="W57" s="38"/>
      <c r="X57" s="38"/>
      <c r="Y57" s="38"/>
      <c r="Z57" s="38"/>
      <c r="AA57" s="38"/>
      <c r="AB57" s="38"/>
      <c r="AC57" s="38"/>
      <c r="AD57" s="38"/>
      <c r="AE57" s="38"/>
      <c r="AF57" s="38"/>
      <c r="AG57" s="39"/>
    </row>
    <row r="58" spans="1:33" ht="12.75" customHeight="1">
      <c r="A58" s="594"/>
      <c r="B58" s="145" t="s">
        <v>76</v>
      </c>
      <c r="C58" s="490">
        <f>-SUMIFS(Dados!$E:$E,Dados!$F:$F,$B58,Dados!$C:$C,C$2)</f>
        <v>0</v>
      </c>
      <c r="D58" s="490">
        <f>-SUMIFS(Dados!$E:$E,Dados!$F:$F,$B58,Dados!$C:$C,D$2)</f>
        <v>0</v>
      </c>
      <c r="E58" s="490">
        <f>-SUMIFS(Dados!$E:$E,Dados!$F:$F,$B58,Dados!$C:$C,E$2)</f>
        <v>0</v>
      </c>
      <c r="F58" s="490">
        <f>-SUMIFS(Dados!$E:$E,Dados!$F:$F,$B58,Dados!$C:$C,F$2)</f>
        <v>0</v>
      </c>
      <c r="G58" s="490">
        <f>-SUMIFS(Dados!$E:$E,Dados!$F:$F,$B58,Dados!$C:$C,G$2)</f>
        <v>0</v>
      </c>
      <c r="H58" s="490">
        <f>-SUMIFS(Dados!$E:$E,Dados!$F:$F,$B58,Dados!$C:$C,H$2)</f>
        <v>0</v>
      </c>
      <c r="I58" s="490">
        <f>-SUMIFS(Dados!$E:$E,Dados!$F:$F,$B58,Dados!$C:$C,I$2)</f>
        <v>0</v>
      </c>
      <c r="J58" s="490">
        <f>-SUMIFS(Dados!$E:$E,Dados!$F:$F,$B58,Dados!$C:$C,J$2)</f>
        <v>0</v>
      </c>
      <c r="K58" s="490">
        <f>-SUMIFS(Dados!$E:$E,Dados!$F:$F,$B58,Dados!$C:$C,K$2)</f>
        <v>0</v>
      </c>
      <c r="L58" s="490">
        <f>-SUMIFS(Dados!$E:$E,Dados!$F:$F,$B58,Dados!$C:$C,L$2)</f>
        <v>0</v>
      </c>
      <c r="M58" s="490">
        <f>-SUMIFS(Dados!$E:$E,Dados!$F:$F,$B58,Dados!$C:$C,M$2)</f>
        <v>0</v>
      </c>
      <c r="N58" s="490">
        <f>-SUMIFS(Dados!$E:$E,Dados!$F:$F,$B58,Dados!$C:$C,N$2)</f>
        <v>0</v>
      </c>
      <c r="O58" s="74">
        <f>SUM(C58:N58)</f>
        <v>0</v>
      </c>
      <c r="P58" s="40"/>
      <c r="Q58" s="38"/>
      <c r="R58" s="38"/>
      <c r="S58" s="38"/>
      <c r="T58" s="38"/>
      <c r="U58" s="38"/>
      <c r="V58" s="38"/>
      <c r="W58" s="38"/>
      <c r="X58" s="38"/>
      <c r="Y58" s="38"/>
      <c r="Z58" s="38"/>
      <c r="AA58" s="38"/>
      <c r="AB58" s="38"/>
      <c r="AC58" s="38"/>
      <c r="AD58" s="38"/>
      <c r="AE58" s="38"/>
      <c r="AF58" s="38"/>
      <c r="AG58" s="39"/>
    </row>
    <row r="59" spans="1:33" ht="13.5" customHeight="1" thickBot="1">
      <c r="A59" s="595"/>
      <c r="B59" s="47" t="s">
        <v>39</v>
      </c>
      <c r="C59" s="56">
        <v>0</v>
      </c>
      <c r="D59" s="56">
        <v>0</v>
      </c>
      <c r="E59" s="56">
        <v>0</v>
      </c>
      <c r="F59" s="56">
        <v>0</v>
      </c>
      <c r="G59" s="56">
        <v>0</v>
      </c>
      <c r="H59" s="56">
        <v>0</v>
      </c>
      <c r="I59" s="48">
        <v>0</v>
      </c>
      <c r="J59" s="56">
        <v>0</v>
      </c>
      <c r="K59" s="56">
        <v>0</v>
      </c>
      <c r="L59" s="56">
        <v>0</v>
      </c>
      <c r="M59" s="56">
        <v>0</v>
      </c>
      <c r="N59" s="56">
        <v>0</v>
      </c>
      <c r="O59" s="80">
        <f>SUM(C59:N59)</f>
        <v>0</v>
      </c>
      <c r="P59" s="40"/>
      <c r="Q59" s="84"/>
      <c r="R59" s="84"/>
      <c r="S59" s="85"/>
      <c r="T59" s="85"/>
      <c r="U59" s="38"/>
      <c r="V59" s="38"/>
      <c r="W59" s="38"/>
      <c r="X59" s="38"/>
      <c r="Y59" s="38"/>
      <c r="Z59" s="38"/>
      <c r="AA59" s="38"/>
      <c r="AB59" s="38"/>
      <c r="AC59" s="38"/>
      <c r="AD59" s="38"/>
      <c r="AE59" s="38"/>
      <c r="AF59" s="38"/>
      <c r="AG59" s="39"/>
    </row>
    <row r="60" spans="1:33" ht="13.5" customHeight="1" thickBot="1">
      <c r="A60" s="50"/>
      <c r="B60" s="51"/>
      <c r="C60" s="53"/>
      <c r="D60" s="53"/>
      <c r="E60" s="53"/>
      <c r="F60" s="53"/>
      <c r="G60" s="53"/>
      <c r="H60" s="53"/>
      <c r="I60" s="52"/>
      <c r="J60" s="53"/>
      <c r="K60" s="53"/>
      <c r="L60" s="53"/>
      <c r="M60" s="53"/>
      <c r="N60" s="53"/>
      <c r="O60" s="53"/>
      <c r="P60" s="38"/>
      <c r="Q60" s="38"/>
      <c r="R60" s="38"/>
      <c r="S60" s="38"/>
      <c r="T60" s="38"/>
      <c r="U60" s="38"/>
      <c r="V60" s="38"/>
      <c r="W60" s="38"/>
      <c r="X60" s="38"/>
      <c r="Y60" s="38"/>
      <c r="Z60" s="38"/>
      <c r="AA60" s="38"/>
      <c r="AB60" s="38"/>
      <c r="AC60" s="38"/>
      <c r="AD60" s="38"/>
      <c r="AE60" s="38"/>
      <c r="AF60" s="38"/>
      <c r="AG60" s="39"/>
    </row>
    <row r="61" spans="1:33" ht="12.75" customHeight="1">
      <c r="A61" s="596" t="s">
        <v>94</v>
      </c>
      <c r="B61" s="70"/>
      <c r="C61" s="72">
        <f t="shared" ref="C61:N61" si="7">SUM(C62:C64)</f>
        <v>5300</v>
      </c>
      <c r="D61" s="72">
        <f t="shared" si="7"/>
        <v>12300</v>
      </c>
      <c r="E61" s="72">
        <f t="shared" si="7"/>
        <v>5350</v>
      </c>
      <c r="F61" s="72">
        <f t="shared" si="7"/>
        <v>5300</v>
      </c>
      <c r="G61" s="72">
        <f t="shared" si="7"/>
        <v>5400</v>
      </c>
      <c r="H61" s="72">
        <f t="shared" si="7"/>
        <v>5300</v>
      </c>
      <c r="I61" s="71">
        <f t="shared" si="7"/>
        <v>5400</v>
      </c>
      <c r="J61" s="72">
        <f t="shared" si="7"/>
        <v>5300</v>
      </c>
      <c r="K61" s="72">
        <f t="shared" si="7"/>
        <v>5150</v>
      </c>
      <c r="L61" s="72">
        <f t="shared" si="7"/>
        <v>5100</v>
      </c>
      <c r="M61" s="72">
        <f t="shared" si="7"/>
        <v>8200</v>
      </c>
      <c r="N61" s="72">
        <f t="shared" si="7"/>
        <v>5400</v>
      </c>
      <c r="O61" s="73">
        <f>SUM(C61:N61)</f>
        <v>73500</v>
      </c>
      <c r="P61" s="40"/>
      <c r="Q61" s="38"/>
      <c r="R61" s="38"/>
      <c r="S61" s="38"/>
      <c r="T61" s="38"/>
      <c r="U61" s="38"/>
      <c r="V61" s="38"/>
      <c r="W61" s="38"/>
      <c r="X61" s="38"/>
      <c r="Y61" s="38"/>
      <c r="Z61" s="38"/>
      <c r="AA61" s="38"/>
      <c r="AB61" s="38"/>
      <c r="AC61" s="38"/>
      <c r="AD61" s="38"/>
      <c r="AE61" s="38"/>
      <c r="AF61" s="38"/>
      <c r="AG61" s="39"/>
    </row>
    <row r="62" spans="1:33" ht="12.75" customHeight="1">
      <c r="A62" s="597"/>
      <c r="B62" s="41" t="s">
        <v>40</v>
      </c>
      <c r="C62" s="133">
        <v>5300</v>
      </c>
      <c r="D62" s="133">
        <v>12300</v>
      </c>
      <c r="E62" s="133">
        <v>5350</v>
      </c>
      <c r="F62" s="133">
        <v>5300</v>
      </c>
      <c r="G62" s="133">
        <v>5400</v>
      </c>
      <c r="H62" s="133">
        <v>5300</v>
      </c>
      <c r="I62" s="133">
        <v>5400</v>
      </c>
      <c r="J62" s="133">
        <v>5300</v>
      </c>
      <c r="K62" s="133">
        <v>5150</v>
      </c>
      <c r="L62" s="133">
        <v>5100</v>
      </c>
      <c r="M62" s="133">
        <v>8200</v>
      </c>
      <c r="N62" s="133">
        <v>5400</v>
      </c>
      <c r="O62" s="74">
        <f>SUM(C62:N62)</f>
        <v>73500</v>
      </c>
      <c r="P62" s="40"/>
      <c r="Q62" s="38"/>
      <c r="R62" s="38"/>
      <c r="S62" s="38"/>
      <c r="T62" s="38"/>
      <c r="U62" s="38"/>
      <c r="V62" s="38"/>
      <c r="W62" s="38"/>
      <c r="X62" s="38"/>
      <c r="Y62" s="38"/>
      <c r="Z62" s="38"/>
      <c r="AA62" s="38"/>
      <c r="AB62" s="38"/>
      <c r="AC62" s="38"/>
      <c r="AD62" s="38"/>
      <c r="AE62" s="38"/>
      <c r="AF62" s="38"/>
      <c r="AG62" s="39"/>
    </row>
    <row r="63" spans="1:33" ht="12.75" customHeight="1">
      <c r="A63" s="597"/>
      <c r="B63" s="424" t="s">
        <v>152</v>
      </c>
      <c r="C63" s="561">
        <v>0</v>
      </c>
      <c r="D63" s="562">
        <v>0</v>
      </c>
      <c r="E63" s="562">
        <v>0</v>
      </c>
      <c r="F63" s="562">
        <v>0</v>
      </c>
      <c r="G63" s="562">
        <v>0</v>
      </c>
      <c r="H63" s="562">
        <v>0</v>
      </c>
      <c r="I63" s="562">
        <v>0</v>
      </c>
      <c r="J63" s="562">
        <v>0</v>
      </c>
      <c r="K63" s="562">
        <v>0</v>
      </c>
      <c r="L63" s="563">
        <v>0</v>
      </c>
      <c r="M63" s="563">
        <v>0</v>
      </c>
      <c r="N63" s="562">
        <v>0</v>
      </c>
      <c r="O63" s="76">
        <f>SUM(C63:N63)</f>
        <v>0</v>
      </c>
      <c r="P63" s="40"/>
      <c r="Q63" s="38"/>
      <c r="R63" s="38"/>
      <c r="S63" s="38"/>
      <c r="T63" s="38"/>
      <c r="U63" s="38"/>
      <c r="V63" s="38"/>
      <c r="W63" s="38"/>
      <c r="X63" s="38"/>
      <c r="Y63" s="38"/>
      <c r="Z63" s="38"/>
      <c r="AA63" s="38"/>
      <c r="AB63" s="38"/>
      <c r="AC63" s="38"/>
      <c r="AD63" s="38"/>
      <c r="AE63" s="38"/>
      <c r="AF63" s="38"/>
      <c r="AG63" s="39"/>
    </row>
    <row r="64" spans="1:33" ht="13.5" customHeight="1" thickBot="1">
      <c r="A64" s="598"/>
      <c r="B64" s="47" t="s">
        <v>19</v>
      </c>
      <c r="C64" s="48">
        <v>0</v>
      </c>
      <c r="D64" s="48">
        <v>0</v>
      </c>
      <c r="E64" s="48">
        <v>0</v>
      </c>
      <c r="F64" s="48">
        <v>0</v>
      </c>
      <c r="G64" s="48">
        <v>0</v>
      </c>
      <c r="H64" s="48">
        <v>0</v>
      </c>
      <c r="I64" s="48">
        <v>0</v>
      </c>
      <c r="J64" s="48">
        <v>0</v>
      </c>
      <c r="K64" s="48">
        <v>0</v>
      </c>
      <c r="L64" s="48">
        <v>0</v>
      </c>
      <c r="M64" s="48">
        <v>0</v>
      </c>
      <c r="N64" s="48">
        <v>0</v>
      </c>
      <c r="O64" s="80">
        <f>SUM(C64:N64)</f>
        <v>0</v>
      </c>
      <c r="P64" s="40"/>
      <c r="Q64" s="38"/>
      <c r="R64" s="38"/>
      <c r="S64" s="38"/>
      <c r="T64" s="38"/>
      <c r="U64" s="38"/>
      <c r="V64" s="38"/>
      <c r="W64" s="38"/>
      <c r="X64" s="38"/>
      <c r="Y64" s="38"/>
      <c r="Z64" s="38"/>
      <c r="AA64" s="38"/>
      <c r="AB64" s="38"/>
      <c r="AC64" s="38"/>
      <c r="AD64" s="38"/>
      <c r="AE64" s="38"/>
      <c r="AF64" s="38"/>
      <c r="AG64" s="39"/>
    </row>
    <row r="65" spans="1:33" ht="13.5" customHeight="1" thickBot="1">
      <c r="A65" s="50"/>
      <c r="B65" s="51"/>
      <c r="C65" s="281"/>
      <c r="D65" s="51"/>
      <c r="E65" s="51"/>
      <c r="F65" s="51"/>
      <c r="G65" s="51"/>
      <c r="H65" s="51"/>
      <c r="I65" s="126"/>
      <c r="J65" s="51"/>
      <c r="K65" s="51"/>
      <c r="L65" s="51"/>
      <c r="M65" s="51"/>
      <c r="N65" s="51"/>
      <c r="O65" s="51"/>
      <c r="P65" s="38"/>
      <c r="Q65" s="38"/>
      <c r="R65" s="38"/>
      <c r="S65" s="38"/>
      <c r="T65" s="38"/>
      <c r="U65" s="38"/>
      <c r="V65" s="38"/>
      <c r="W65" s="38"/>
      <c r="X65" s="38"/>
      <c r="Y65" s="38"/>
      <c r="Z65" s="38"/>
      <c r="AA65" s="38"/>
      <c r="AB65" s="38"/>
      <c r="AC65" s="38"/>
      <c r="AD65" s="38"/>
      <c r="AE65" s="38"/>
      <c r="AF65" s="38"/>
      <c r="AG65" s="39"/>
    </row>
    <row r="66" spans="1:33" ht="12.75" customHeight="1">
      <c r="A66" s="580" t="s">
        <v>41</v>
      </c>
      <c r="B66" s="70"/>
      <c r="C66" s="71">
        <f t="shared" ref="C66:M66" si="8">SUM(C67:C73)</f>
        <v>0</v>
      </c>
      <c r="D66" s="71">
        <f t="shared" si="8"/>
        <v>0</v>
      </c>
      <c r="E66" s="72">
        <f t="shared" si="8"/>
        <v>0</v>
      </c>
      <c r="F66" s="72">
        <f t="shared" si="8"/>
        <v>0</v>
      </c>
      <c r="G66" s="72">
        <f t="shared" si="8"/>
        <v>0</v>
      </c>
      <c r="H66" s="72">
        <f t="shared" si="8"/>
        <v>0</v>
      </c>
      <c r="I66" s="71">
        <f t="shared" si="8"/>
        <v>0</v>
      </c>
      <c r="J66" s="72">
        <f t="shared" si="8"/>
        <v>0</v>
      </c>
      <c r="K66" s="72">
        <f t="shared" si="8"/>
        <v>0</v>
      </c>
      <c r="L66" s="72">
        <f t="shared" si="8"/>
        <v>0</v>
      </c>
      <c r="M66" s="72">
        <f t="shared" si="8"/>
        <v>0</v>
      </c>
      <c r="N66" s="72">
        <f>SUM(N67:N73)</f>
        <v>0</v>
      </c>
      <c r="O66" s="73">
        <f t="shared" ref="O66:O73" si="9">SUM(C66:N66)</f>
        <v>0</v>
      </c>
      <c r="P66" s="40"/>
      <c r="Q66" s="38"/>
      <c r="R66" s="38"/>
      <c r="S66" s="38"/>
      <c r="T66" s="38"/>
      <c r="U66" s="38"/>
      <c r="V66" s="38"/>
      <c r="W66" s="38"/>
      <c r="X66" s="38"/>
      <c r="Y66" s="38"/>
      <c r="Z66" s="38"/>
      <c r="AA66" s="38"/>
      <c r="AB66" s="38"/>
      <c r="AC66" s="38"/>
      <c r="AD66" s="38"/>
      <c r="AE66" s="38"/>
      <c r="AF66" s="38"/>
      <c r="AG66" s="39"/>
    </row>
    <row r="67" spans="1:33" ht="12.75" customHeight="1">
      <c r="A67" s="581"/>
      <c r="B67" s="146" t="s">
        <v>66</v>
      </c>
      <c r="C67" s="153">
        <f>SUMIFS(Dados!$E:$E,Dados!$B:$B,$B67,Dados!$C:$C,C$2)</f>
        <v>0</v>
      </c>
      <c r="D67" s="153">
        <f>SUMIFS(Dados!$E:$E,Dados!$B:$B,$B67,Dados!$C:$C,D$2)</f>
        <v>0</v>
      </c>
      <c r="E67" s="153">
        <f>SUMIFS(Dados!$E:$E,Dados!$B:$B,$B67,Dados!$C:$C,E$2)</f>
        <v>0</v>
      </c>
      <c r="F67" s="153">
        <f>SUMIFS(Dados!$E:$E,Dados!$B:$B,$B67,Dados!$C:$C,F$2)</f>
        <v>0</v>
      </c>
      <c r="G67" s="154">
        <f>SUMIFS(Dados!$E:$E,Dados!$B:$B,$B67,Dados!$C:$C,G$2)</f>
        <v>0</v>
      </c>
      <c r="H67" s="154">
        <f>SUMIFS(Dados!$E:$E,Dados!$B:$B,$B67,Dados!$C:$C,H$2)</f>
        <v>0</v>
      </c>
      <c r="I67" s="154">
        <f>SUMIFS(Dados!$E:$E,Dados!$B:$B,$B67,Dados!$C:$C,I$2)</f>
        <v>0</v>
      </c>
      <c r="J67" s="154">
        <f>SUMIFS(Dados!$E:$E,Dados!$B:$B,$B67,Dados!$C:$C,J$2)</f>
        <v>0</v>
      </c>
      <c r="K67" s="154">
        <f>SUMIFS(Dados!$E:$E,Dados!$B:$B,$B67,Dados!$C:$C,K$2)</f>
        <v>0</v>
      </c>
      <c r="L67" s="154">
        <f>SUMIFS(Dados!$E:$E,Dados!$B:$B,$B67,Dados!$C:$C,L$2)</f>
        <v>0</v>
      </c>
      <c r="M67" s="154">
        <f>SUMIFS(Dados!$E:$E,Dados!$B:$B,$B67,Dados!$C:$C,M$2)</f>
        <v>0</v>
      </c>
      <c r="N67" s="154">
        <f>SUMIFS(Dados!$E:$E,Dados!$B:$B,$B67,Dados!$C:$C,N$2)</f>
        <v>0</v>
      </c>
      <c r="O67" s="74">
        <f t="shared" si="9"/>
        <v>0</v>
      </c>
      <c r="P67" s="40"/>
      <c r="Q67" s="38"/>
      <c r="R67" s="94"/>
      <c r="S67" s="38"/>
      <c r="T67" s="38"/>
      <c r="U67" s="38"/>
      <c r="V67" s="38"/>
      <c r="W67" s="38"/>
      <c r="X67" s="38"/>
      <c r="Y67" s="38"/>
      <c r="Z67" s="38"/>
      <c r="AA67" s="38"/>
      <c r="AB67" s="38"/>
      <c r="AC67" s="38"/>
      <c r="AD67" s="38"/>
      <c r="AE67" s="38"/>
      <c r="AF67" s="38"/>
      <c r="AG67" s="39"/>
    </row>
    <row r="68" spans="1:33" ht="12.75" customHeight="1">
      <c r="A68" s="581"/>
      <c r="B68" s="147" t="s">
        <v>47</v>
      </c>
      <c r="C68" s="153">
        <f>SUMIFS(Dados!$E:$E,Dados!$B:$B,$B68,Dados!$C:$C,C$2)</f>
        <v>0</v>
      </c>
      <c r="D68" s="153">
        <f>SUMIFS(Dados!$E:$E,Dados!$B:$B,$B68,Dados!$C:$C,D$2)</f>
        <v>0</v>
      </c>
      <c r="E68" s="153">
        <f>SUMIFS(Dados!$E:$E,Dados!$B:$B,$B68,Dados!$C:$C,E$2)</f>
        <v>0</v>
      </c>
      <c r="F68" s="153">
        <f>SUMIFS(Dados!$E:$E,Dados!$B:$B,$B68,Dados!$C:$C,F$2)</f>
        <v>0</v>
      </c>
      <c r="G68" s="154">
        <f>SUMIFS(Dados!$E:$E,Dados!$B:$B,$B68,Dados!$C:$C,G$2)</f>
        <v>0</v>
      </c>
      <c r="H68" s="154">
        <f>SUMIFS(Dados!$E:$E,Dados!$B:$B,$B68,Dados!$C:$C,H$2)</f>
        <v>0</v>
      </c>
      <c r="I68" s="154">
        <f>SUMIFS(Dados!$E:$E,Dados!$B:$B,$B68,Dados!$C:$C,I$2)</f>
        <v>0</v>
      </c>
      <c r="J68" s="154">
        <f>SUMIFS(Dados!$E:$E,Dados!$B:$B,$B68,Dados!$C:$C,J$2)</f>
        <v>0</v>
      </c>
      <c r="K68" s="154">
        <f>SUMIFS(Dados!$E:$E,Dados!$B:$B,$B68,Dados!$C:$C,K$2)</f>
        <v>0</v>
      </c>
      <c r="L68" s="154">
        <f>SUMIFS(Dados!$E:$E,Dados!$B:$B,$B68,Dados!$C:$C,L$2)</f>
        <v>0</v>
      </c>
      <c r="M68" s="154">
        <f>SUMIFS(Dados!$E:$E,Dados!$B:$B,$B68,Dados!$C:$C,M$2)</f>
        <v>0</v>
      </c>
      <c r="N68" s="154">
        <f>SUMIFS(Dados!$E:$E,Dados!$B:$B,$B68,Dados!$C:$C,N$2)</f>
        <v>0</v>
      </c>
      <c r="O68" s="76">
        <f t="shared" si="9"/>
        <v>0</v>
      </c>
      <c r="P68" s="40"/>
      <c r="Q68" s="38"/>
      <c r="R68" s="94"/>
      <c r="S68" s="38"/>
      <c r="T68" s="38"/>
      <c r="U68" s="38"/>
      <c r="V68" s="38"/>
      <c r="W68" s="38"/>
      <c r="X68" s="38"/>
      <c r="Y68" s="38"/>
      <c r="Z68" s="38"/>
      <c r="AA68" s="38"/>
      <c r="AB68" s="38"/>
      <c r="AC68" s="38"/>
      <c r="AD68" s="38"/>
      <c r="AE68" s="38"/>
      <c r="AF68" s="38"/>
      <c r="AG68" s="39"/>
    </row>
    <row r="69" spans="1:33" ht="12.75" customHeight="1">
      <c r="A69" s="581"/>
      <c r="B69" s="147" t="s">
        <v>65</v>
      </c>
      <c r="C69" s="153">
        <f>SUMIFS(Dados!$E:$E,Dados!$B:$B,$B69,Dados!$C:$C,C$2)</f>
        <v>0</v>
      </c>
      <c r="D69" s="153">
        <f>SUMIFS(Dados!$E:$E,Dados!$B:$B,$B69,Dados!$C:$C,D$2)</f>
        <v>0</v>
      </c>
      <c r="E69" s="153">
        <f>SUMIFS(Dados!$E:$E,Dados!$B:$B,$B69,Dados!$C:$C,E$2)</f>
        <v>0</v>
      </c>
      <c r="F69" s="153">
        <f>SUMIFS(Dados!$E:$E,Dados!$B:$B,$B69,Dados!$C:$C,F$2)</f>
        <v>0</v>
      </c>
      <c r="G69" s="153">
        <f>SUMIFS(Dados!$E:$E,Dados!$B:$B,$B69,Dados!$C:$C,G$2)</f>
        <v>0</v>
      </c>
      <c r="H69" s="153">
        <f>SUMIFS(Dados!$E:$E,Dados!$B:$B,$B69,Dados!$C:$C,H$2)</f>
        <v>0</v>
      </c>
      <c r="I69" s="153">
        <f>SUMIFS(Dados!$E:$E,Dados!$B:$B,$B69,Dados!$C:$C,I$2)</f>
        <v>0</v>
      </c>
      <c r="J69" s="153">
        <f>SUMIFS(Dados!$E:$E,Dados!$B:$B,$B69,Dados!$C:$C,J$2)</f>
        <v>0</v>
      </c>
      <c r="K69" s="153">
        <f>SUMIFS(Dados!$E:$E,Dados!$B:$B,$B69,Dados!$C:$C,K$2)</f>
        <v>0</v>
      </c>
      <c r="L69" s="153">
        <f>SUMIFS(Dados!$E:$E,Dados!$B:$B,$B69,Dados!$C:$C,L$2)</f>
        <v>0</v>
      </c>
      <c r="M69" s="153">
        <f>SUMIFS(Dados!$E:$E,Dados!$B:$B,$B69,Dados!$C:$C,M$2)</f>
        <v>0</v>
      </c>
      <c r="N69" s="153">
        <f>SUMIFS(Dados!$E:$E,Dados!$B:$B,$B69,Dados!$C:$C,N$2)</f>
        <v>0</v>
      </c>
      <c r="O69" s="76">
        <f t="shared" si="9"/>
        <v>0</v>
      </c>
      <c r="P69" s="40"/>
      <c r="Q69" s="38"/>
      <c r="R69" s="94"/>
      <c r="S69" s="38"/>
      <c r="T69" s="38"/>
      <c r="U69" s="38"/>
      <c r="V69" s="38"/>
      <c r="W69" s="38"/>
      <c r="X69" s="38"/>
      <c r="Y69" s="38"/>
      <c r="Z69" s="38"/>
      <c r="AA69" s="38"/>
      <c r="AB69" s="38"/>
      <c r="AC69" s="38"/>
      <c r="AD69" s="38"/>
      <c r="AE69" s="38"/>
      <c r="AF69" s="38"/>
      <c r="AG69" s="39"/>
    </row>
    <row r="70" spans="1:33" ht="12.75" customHeight="1">
      <c r="A70" s="581"/>
      <c r="B70" s="147" t="s">
        <v>104</v>
      </c>
      <c r="C70" s="153">
        <f>SUMIFS(Dados!$E:$E,Dados!$B:$B,$B70,Dados!$C:$C,C$2)</f>
        <v>0</v>
      </c>
      <c r="D70" s="153">
        <f>SUMIFS(Dados!$E:$E,Dados!$B:$B,$B70,Dados!$C:$C,D$2)</f>
        <v>0</v>
      </c>
      <c r="E70" s="153">
        <f>SUMIFS(Dados!$E:$E,Dados!$B:$B,$B70,Dados!$C:$C,E$2)</f>
        <v>0</v>
      </c>
      <c r="F70" s="153">
        <f>SUMIFS(Dados!$E:$E,Dados!$B:$B,$B70,Dados!$C:$C,F$2)</f>
        <v>0</v>
      </c>
      <c r="G70" s="153">
        <f>SUMIFS(Dados!$E:$E,Dados!$B:$B,$B70,Dados!$C:$C,G$2)</f>
        <v>0</v>
      </c>
      <c r="H70" s="154">
        <f>SUMIFS(Dados!$E:$E,Dados!$B:$B,$B70,Dados!$C:$C,H$2)</f>
        <v>0</v>
      </c>
      <c r="I70" s="154">
        <f>SUMIFS(Dados!$E:$E,Dados!$B:$B,$B70,Dados!$C:$C,I$2)</f>
        <v>0</v>
      </c>
      <c r="J70" s="154">
        <f>SUMIFS(Dados!$E:$E,Dados!$B:$B,$B70,Dados!$C:$C,J$2)</f>
        <v>0</v>
      </c>
      <c r="K70" s="154">
        <f>SUMIFS(Dados!$E:$E,Dados!$B:$B,$B70,Dados!$C:$C,K$2)</f>
        <v>0</v>
      </c>
      <c r="L70" s="154">
        <f>SUMIFS(Dados!$E:$E,Dados!$B:$B,$B70,Dados!$C:$C,L$2)</f>
        <v>0</v>
      </c>
      <c r="M70" s="154">
        <f>SUMIFS(Dados!$E:$E,Dados!$B:$B,$B70,Dados!$C:$C,M$2)</f>
        <v>0</v>
      </c>
      <c r="N70" s="154">
        <f>SUMIFS(Dados!$E:$E,Dados!$B:$B,$B70,Dados!$C:$C,N$2)</f>
        <v>0</v>
      </c>
      <c r="O70" s="76">
        <f t="shared" si="9"/>
        <v>0</v>
      </c>
      <c r="P70" s="40"/>
      <c r="Q70" s="38"/>
      <c r="R70" s="94"/>
      <c r="S70" s="38"/>
      <c r="T70" s="38"/>
      <c r="U70" s="38"/>
      <c r="V70" s="38"/>
      <c r="W70" s="38"/>
      <c r="X70" s="38"/>
      <c r="Y70" s="38"/>
      <c r="Z70" s="38"/>
      <c r="AA70" s="38"/>
      <c r="AB70" s="38"/>
      <c r="AC70" s="38"/>
      <c r="AD70" s="38"/>
      <c r="AE70" s="38"/>
      <c r="AF70" s="38"/>
      <c r="AG70" s="39"/>
    </row>
    <row r="71" spans="1:33" ht="12.75" customHeight="1">
      <c r="A71" s="581"/>
      <c r="B71" s="147" t="s">
        <v>91</v>
      </c>
      <c r="C71" s="153">
        <f>SUMIFS(Dados!$E:$E,Dados!$B:$B,$B71,Dados!$C:$C,C$2)</f>
        <v>0</v>
      </c>
      <c r="D71" s="153">
        <f>SUMIFS(Dados!$E:$E,Dados!$B:$B,$B71,Dados!$C:$C,D$2)</f>
        <v>0</v>
      </c>
      <c r="E71" s="153">
        <f>SUMIFS(Dados!$E:$E,Dados!$B:$B,$B71,Dados!$C:$C,E$2)</f>
        <v>0</v>
      </c>
      <c r="F71" s="153">
        <f>SUMIFS(Dados!$E:$E,Dados!$B:$B,$B71,Dados!$C:$C,F$2)</f>
        <v>0</v>
      </c>
      <c r="G71" s="153">
        <f>SUMIFS(Dados!$E:$E,Dados!$B:$B,$B71,Dados!$C:$C,G$2)</f>
        <v>0</v>
      </c>
      <c r="H71" s="154">
        <f>SUMIFS(Dados!$E:$E,Dados!$B:$B,$B71,Dados!$C:$C,H$2)</f>
        <v>0</v>
      </c>
      <c r="I71" s="154">
        <f>SUMIFS(Dados!$E:$E,Dados!$B:$B,$B71,Dados!$C:$C,I$2)</f>
        <v>0</v>
      </c>
      <c r="J71" s="154">
        <f>SUMIFS(Dados!$E:$E,Dados!$B:$B,$B71,Dados!$C:$C,J$2)</f>
        <v>0</v>
      </c>
      <c r="K71" s="154">
        <f>SUMIFS(Dados!$E:$E,Dados!$B:$B,$B71,Dados!$C:$C,K$2)</f>
        <v>0</v>
      </c>
      <c r="L71" s="154">
        <f>SUMIFS(Dados!$E:$E,Dados!$B:$B,$B71,Dados!$C:$C,L$2)</f>
        <v>0</v>
      </c>
      <c r="M71" s="154">
        <f>SUMIFS(Dados!$E:$E,Dados!$B:$B,$B71,Dados!$C:$C,M$2)</f>
        <v>0</v>
      </c>
      <c r="N71" s="154">
        <f>SUMIFS(Dados!$E:$E,Dados!$B:$B,$B71,Dados!$C:$C,N$2)</f>
        <v>0</v>
      </c>
      <c r="O71" s="76">
        <f>SUM(C71:N71)</f>
        <v>0</v>
      </c>
      <c r="P71" s="40"/>
      <c r="Q71" s="38"/>
      <c r="R71" s="94"/>
      <c r="S71" s="38"/>
      <c r="T71" s="38"/>
      <c r="U71" s="38"/>
      <c r="V71" s="38"/>
      <c r="W71" s="38"/>
      <c r="X71" s="38"/>
      <c r="Y71" s="38"/>
      <c r="Z71" s="38"/>
      <c r="AA71" s="38"/>
      <c r="AB71" s="38"/>
      <c r="AC71" s="38"/>
      <c r="AD71" s="38"/>
      <c r="AE71" s="38"/>
      <c r="AF71" s="38"/>
      <c r="AG71" s="39"/>
    </row>
    <row r="72" spans="1:33" ht="12.75" customHeight="1">
      <c r="A72" s="581"/>
      <c r="B72" s="147" t="s">
        <v>153</v>
      </c>
      <c r="C72" s="153">
        <f>SUMIFS(Dados!$E:$E,Dados!$B:$B,$B72,Dados!$C:$C,C$2)</f>
        <v>0</v>
      </c>
      <c r="D72" s="153">
        <f>SUMIFS(Dados!$E:$E,Dados!$B:$B,$B72,Dados!$C:$C,D$2)</f>
        <v>0</v>
      </c>
      <c r="E72" s="153">
        <f>SUMIFS(Dados!$E:$E,Dados!$B:$B,$B72,Dados!$C:$C,E$2)</f>
        <v>0</v>
      </c>
      <c r="F72" s="153">
        <f>SUMIFS(Dados!$E:$E,Dados!$B:$B,$B72,Dados!$C:$C,F$2)</f>
        <v>0</v>
      </c>
      <c r="G72" s="153">
        <f>SUMIFS(Dados!$E:$E,Dados!$B:$B,$B72,Dados!$C:$C,G$2)</f>
        <v>0</v>
      </c>
      <c r="H72" s="154">
        <f>SUMIFS(Dados!$E:$E,Dados!$B:$B,$B72,Dados!$C:$C,H$2)</f>
        <v>0</v>
      </c>
      <c r="I72" s="154">
        <f>SUMIFS(Dados!$E:$E,Dados!$B:$B,$B72,Dados!$C:$C,I$2)</f>
        <v>0</v>
      </c>
      <c r="J72" s="154">
        <f>SUMIFS(Dados!$E:$E,Dados!$B:$B,$B72,Dados!$C:$C,J$2)</f>
        <v>0</v>
      </c>
      <c r="K72" s="154">
        <f>SUMIFS(Dados!$E:$E,Dados!$B:$B,$B72,Dados!$C:$C,K$2)</f>
        <v>0</v>
      </c>
      <c r="L72" s="154">
        <f>SUMIFS(Dados!$E:$E,Dados!$B:$B,$B72,Dados!$C:$C,L$2)</f>
        <v>0</v>
      </c>
      <c r="M72" s="154">
        <f>SUMIFS(Dados!$E:$E,Dados!$B:$B,$B72,Dados!$C:$C,M$2)</f>
        <v>0</v>
      </c>
      <c r="N72" s="154">
        <f>SUMIFS(Dados!$E:$E,Dados!$B:$B,$B72,Dados!$C:$C,N$2)</f>
        <v>0</v>
      </c>
      <c r="O72" s="76">
        <f>SUM(C72:N72)</f>
        <v>0</v>
      </c>
      <c r="P72" s="40"/>
      <c r="Q72" s="265"/>
      <c r="R72" s="94"/>
      <c r="S72" s="38"/>
      <c r="T72" s="38"/>
      <c r="U72" s="38"/>
      <c r="V72" s="38"/>
      <c r="W72" s="38"/>
      <c r="X72" s="38"/>
      <c r="Y72" s="38"/>
      <c r="Z72" s="38"/>
      <c r="AA72" s="38"/>
      <c r="AB72" s="38"/>
      <c r="AC72" s="38"/>
      <c r="AD72" s="38"/>
      <c r="AE72" s="38"/>
      <c r="AF72" s="38"/>
      <c r="AG72" s="39"/>
    </row>
    <row r="73" spans="1:33" ht="12.75" customHeight="1" thickBot="1">
      <c r="A73" s="582"/>
      <c r="B73" s="147" t="s">
        <v>137</v>
      </c>
      <c r="C73" s="153">
        <f>SUMIFS(Dados!$E:$E,Dados!$B:$B,$B73,Dados!$C:$C,C$2)</f>
        <v>0</v>
      </c>
      <c r="D73" s="153">
        <f>SUMIFS(Dados!$E:$E,Dados!$B:$B,$B73,Dados!$C:$C,D$2)</f>
        <v>0</v>
      </c>
      <c r="E73" s="153">
        <f>SUMIFS(Dados!$E:$E,Dados!$B:$B,$B73,Dados!$C:$C,E$2)</f>
        <v>0</v>
      </c>
      <c r="F73" s="153">
        <f>SUMIFS(Dados!$E:$E,Dados!$B:$B,$B73,Dados!$C:$C,F$2)</f>
        <v>0</v>
      </c>
      <c r="G73" s="154">
        <f>SUMIFS(Dados!$E:$E,Dados!$B:$B,$B73,Dados!$C:$C,G$2)</f>
        <v>0</v>
      </c>
      <c r="H73" s="154">
        <f>SUMIFS(Dados!$E:$E,Dados!$B:$B,$B73,Dados!$C:$C,H$2)</f>
        <v>0</v>
      </c>
      <c r="I73" s="154">
        <f>SUMIFS(Dados!$E:$E,Dados!$B:$B,$B73,Dados!$C:$C,I$2)</f>
        <v>0</v>
      </c>
      <c r="J73" s="154">
        <f>SUMIFS(Dados!$E:$E,Dados!$B:$B,$B73,Dados!$C:$C,J$2)</f>
        <v>0</v>
      </c>
      <c r="K73" s="154">
        <f>SUMIFS(Dados!$E:$E,Dados!$B:$B,$B73,Dados!$C:$C,K$2)</f>
        <v>0</v>
      </c>
      <c r="L73" s="154">
        <f>SUMIFS(Dados!$E:$E,Dados!$B:$B,$B73,Dados!$C:$C,L$2)</f>
        <v>0</v>
      </c>
      <c r="M73" s="154">
        <f>SUMIFS(Dados!$E:$E,Dados!$B:$B,$B73,Dados!$C:$C,M$2)</f>
        <v>0</v>
      </c>
      <c r="N73" s="154">
        <f>SUMIFS(Dados!$E:$E,Dados!$B:$B,$B73,Dados!$C:$C,N$2)</f>
        <v>0</v>
      </c>
      <c r="O73" s="76">
        <f t="shared" si="9"/>
        <v>0</v>
      </c>
      <c r="P73" s="40"/>
      <c r="Q73" s="38"/>
      <c r="R73" s="94"/>
      <c r="S73" s="38"/>
      <c r="T73" s="38"/>
      <c r="U73" s="38"/>
      <c r="V73" s="38"/>
      <c r="W73" s="38"/>
      <c r="X73" s="38"/>
      <c r="Y73" s="38"/>
      <c r="Z73" s="38"/>
      <c r="AA73" s="38"/>
      <c r="AB73" s="38"/>
      <c r="AC73" s="38"/>
      <c r="AD73" s="38"/>
      <c r="AE73" s="38"/>
      <c r="AF73" s="38"/>
      <c r="AG73" s="39"/>
    </row>
    <row r="74" spans="1:33" ht="12.75" customHeight="1">
      <c r="A74" s="37"/>
      <c r="B74" s="38"/>
      <c r="C74" s="689"/>
      <c r="D74" s="689"/>
      <c r="E74" s="689"/>
      <c r="F74" s="689"/>
      <c r="G74" s="690"/>
      <c r="H74" s="690"/>
      <c r="I74" s="690"/>
      <c r="J74" s="690"/>
      <c r="K74" s="690"/>
      <c r="L74" s="690"/>
      <c r="M74" s="690"/>
      <c r="N74" s="690"/>
      <c r="O74" s="691"/>
      <c r="P74" s="38"/>
      <c r="Q74" s="38"/>
      <c r="R74" s="38"/>
      <c r="S74" s="38"/>
      <c r="T74" s="38"/>
      <c r="U74" s="38"/>
      <c r="V74" s="38"/>
      <c r="W74" s="38"/>
      <c r="X74" s="38"/>
      <c r="Y74" s="38"/>
      <c r="Z74" s="38"/>
      <c r="AA74" s="38"/>
      <c r="AB74" s="38"/>
      <c r="AC74" s="38"/>
      <c r="AD74" s="38"/>
      <c r="AE74" s="38"/>
      <c r="AF74" s="38"/>
      <c r="AG74" s="39"/>
    </row>
    <row r="75" spans="1:33" ht="12.75" customHeight="1" thickBot="1">
      <c r="A75" s="64"/>
      <c r="B75" s="65"/>
      <c r="C75" s="118">
        <f>C2</f>
        <v>45292</v>
      </c>
      <c r="D75" s="118">
        <f>D2</f>
        <v>45323</v>
      </c>
      <c r="E75" s="118">
        <f>E2</f>
        <v>45352</v>
      </c>
      <c r="F75" s="118">
        <f>F2</f>
        <v>45383</v>
      </c>
      <c r="G75" s="118">
        <f>G2</f>
        <v>45413</v>
      </c>
      <c r="H75" s="118">
        <f>H2</f>
        <v>45444</v>
      </c>
      <c r="I75" s="118">
        <f>I2</f>
        <v>45474</v>
      </c>
      <c r="J75" s="118">
        <f>J2</f>
        <v>45505</v>
      </c>
      <c r="K75" s="118">
        <f>K2</f>
        <v>45536</v>
      </c>
      <c r="L75" s="118">
        <f>L2</f>
        <v>45566</v>
      </c>
      <c r="M75" s="118">
        <f>M2</f>
        <v>45597</v>
      </c>
      <c r="N75" s="118">
        <f>N2</f>
        <v>45627</v>
      </c>
      <c r="O75" s="65"/>
      <c r="P75" s="38"/>
      <c r="Q75" s="38"/>
      <c r="R75" s="38"/>
      <c r="S75" s="38"/>
      <c r="T75" s="38"/>
      <c r="U75" s="38"/>
      <c r="V75" s="38"/>
      <c r="W75" s="38"/>
      <c r="X75" s="38"/>
      <c r="Y75" s="38"/>
      <c r="Z75" s="38"/>
      <c r="AA75" s="38"/>
      <c r="AB75" s="38"/>
      <c r="AC75" s="38"/>
      <c r="AD75" s="38"/>
      <c r="AE75" s="38"/>
      <c r="AF75" s="38"/>
      <c r="AG75" s="39"/>
    </row>
    <row r="76" spans="1:33" ht="12.75" customHeight="1">
      <c r="A76" s="86"/>
      <c r="B76" s="87" t="s">
        <v>42</v>
      </c>
      <c r="C76" s="491">
        <f>C$3</f>
        <v>8600</v>
      </c>
      <c r="D76" s="491">
        <f t="shared" ref="D76:M76" si="10">D$3</f>
        <v>15568.7</v>
      </c>
      <c r="E76" s="491">
        <f t="shared" si="10"/>
        <v>8600</v>
      </c>
      <c r="F76" s="491">
        <f t="shared" si="10"/>
        <v>8600</v>
      </c>
      <c r="G76" s="155">
        <f t="shared" si="10"/>
        <v>8600</v>
      </c>
      <c r="H76" s="155">
        <f t="shared" si="10"/>
        <v>8600</v>
      </c>
      <c r="I76" s="282">
        <f t="shared" si="10"/>
        <v>8600</v>
      </c>
      <c r="J76" s="155">
        <f t="shared" si="10"/>
        <v>8600</v>
      </c>
      <c r="K76" s="155">
        <f t="shared" si="10"/>
        <v>8600</v>
      </c>
      <c r="L76" s="155">
        <f t="shared" si="10"/>
        <v>8600</v>
      </c>
      <c r="M76" s="155">
        <f t="shared" si="10"/>
        <v>11675.22</v>
      </c>
      <c r="N76" s="155">
        <f>N$3</f>
        <v>8600</v>
      </c>
      <c r="O76" s="169">
        <f>SUM(C76:N76)</f>
        <v>113243.92</v>
      </c>
      <c r="P76" s="40"/>
      <c r="Q76" s="38"/>
      <c r="R76" s="38"/>
      <c r="S76" s="38"/>
      <c r="T76" s="38"/>
      <c r="U76" s="38"/>
      <c r="V76" s="38"/>
      <c r="W76" s="38"/>
      <c r="X76" s="38"/>
      <c r="Y76" s="38"/>
      <c r="Z76" s="38"/>
      <c r="AA76" s="38"/>
      <c r="AB76" s="38"/>
      <c r="AC76" s="38"/>
      <c r="AD76" s="38"/>
      <c r="AE76" s="38"/>
      <c r="AF76" s="38"/>
      <c r="AG76" s="39"/>
    </row>
    <row r="77" spans="1:33" ht="12.75" customHeight="1">
      <c r="A77" s="88"/>
      <c r="B77" s="89" t="s">
        <v>43</v>
      </c>
      <c r="C77" s="492">
        <f>C$16+C$66+C$28+C$43+C$57+C$61+C$36</f>
        <v>8555.7999999999993</v>
      </c>
      <c r="D77" s="492">
        <f>D$16+D$66+D$28+D$43+D$57+D$61+D$36</f>
        <v>15555.8</v>
      </c>
      <c r="E77" s="492">
        <f>E$16+E$66+E$28+E$43+E$57+E$61+E$36</f>
        <v>8605.7999999999993</v>
      </c>
      <c r="F77" s="492">
        <f>F$16+F$66+F$28+F$43+F$57+F$61+F$36</f>
        <v>8555.7999999999993</v>
      </c>
      <c r="G77" s="156">
        <f>G$16+G$66+G$28+G$43+G$57+G$61+G$36</f>
        <v>8655.7999999999993</v>
      </c>
      <c r="H77" s="156">
        <f>H$16+H$66+H$28+H$43+H$57+H$61+H$36</f>
        <v>8555.7999999999993</v>
      </c>
      <c r="I77" s="283">
        <f>I$16+I$66+I$28+I$43+I$57+I$61+I$36</f>
        <v>8654.9</v>
      </c>
      <c r="J77" s="156">
        <f>J$16+J$66+J$28+J$43+J$57+J$61+J$36</f>
        <v>8554.9</v>
      </c>
      <c r="K77" s="156">
        <f>K$16+K$66+K$28+K$43+K$57+K$61+K$36</f>
        <v>8616.94</v>
      </c>
      <c r="L77" s="156">
        <f>L$16+L$66+L$28+L$43+L$57+L$61+L$36</f>
        <v>8566.94</v>
      </c>
      <c r="M77" s="156">
        <f>M$16+M$66+M$28+M$43+M$57+M$61+M$36</f>
        <v>11666.94</v>
      </c>
      <c r="N77" s="156">
        <f>N$16+N$66+N$28+N$43+N$57+N$61+N$36</f>
        <v>8654.9</v>
      </c>
      <c r="O77" s="171">
        <f>SUM(C77:N77)</f>
        <v>113200.31999999999</v>
      </c>
      <c r="P77" s="40"/>
      <c r="Q77" s="38"/>
      <c r="R77" s="38"/>
      <c r="S77" s="38"/>
      <c r="T77" s="38"/>
      <c r="U77" s="38"/>
      <c r="V77" s="38"/>
      <c r="W77" s="38"/>
      <c r="X77" s="38"/>
      <c r="Y77" s="38"/>
      <c r="Z77" s="38"/>
      <c r="AA77" s="38"/>
      <c r="AB77" s="38"/>
      <c r="AC77" s="38"/>
      <c r="AD77" s="38"/>
      <c r="AE77" s="38"/>
      <c r="AF77" s="38"/>
      <c r="AG77" s="39"/>
    </row>
    <row r="78" spans="1:33" ht="12.75" customHeight="1">
      <c r="A78" s="88"/>
      <c r="B78" s="89" t="s">
        <v>75</v>
      </c>
      <c r="C78" s="493">
        <f>C61/C76</f>
        <v>0.61627906976744184</v>
      </c>
      <c r="D78" s="493">
        <f>D61/D76</f>
        <v>0.79004669625594937</v>
      </c>
      <c r="E78" s="493">
        <f>E61/E76</f>
        <v>0.62209302325581395</v>
      </c>
      <c r="F78" s="493">
        <f>F61/F76</f>
        <v>0.61627906976744184</v>
      </c>
      <c r="G78" s="158">
        <f>G61/G76</f>
        <v>0.62790697674418605</v>
      </c>
      <c r="H78" s="158">
        <f>H61/H76</f>
        <v>0.61627906976744184</v>
      </c>
      <c r="I78" s="284">
        <f>I61/I76</f>
        <v>0.62790697674418605</v>
      </c>
      <c r="J78" s="158">
        <f>J61/J76</f>
        <v>0.61627906976744184</v>
      </c>
      <c r="K78" s="158">
        <f>K61/K76</f>
        <v>0.59883720930232553</v>
      </c>
      <c r="L78" s="158">
        <f>L61/L76</f>
        <v>0.59302325581395354</v>
      </c>
      <c r="M78" s="158">
        <f>M61/M76</f>
        <v>0.70234222567112226</v>
      </c>
      <c r="N78" s="158">
        <f>N61/N76</f>
        <v>0.62790697674418605</v>
      </c>
      <c r="O78" s="159">
        <f>AVERAGE(C78:N78)</f>
        <v>0.63793163496679095</v>
      </c>
      <c r="P78" s="40"/>
      <c r="Q78" s="38"/>
      <c r="R78" s="38"/>
      <c r="S78" s="38"/>
      <c r="T78" s="38"/>
      <c r="U78" s="38"/>
      <c r="V78" s="38"/>
      <c r="W78" s="38"/>
      <c r="X78" s="38"/>
      <c r="Y78" s="38"/>
      <c r="Z78" s="38"/>
      <c r="AA78" s="38"/>
      <c r="AB78" s="38"/>
      <c r="AC78" s="38"/>
      <c r="AD78" s="38"/>
      <c r="AE78" s="38"/>
      <c r="AF78" s="38"/>
      <c r="AG78" s="39"/>
    </row>
    <row r="79" spans="1:33" ht="12.75" customHeight="1">
      <c r="A79" s="90"/>
      <c r="B79" s="89" t="s">
        <v>44</v>
      </c>
      <c r="C79" s="492">
        <f>C$76-C$77</f>
        <v>44.200000000000728</v>
      </c>
      <c r="D79" s="492">
        <f t="shared" ref="D79:N79" si="11">D$76-D$77</f>
        <v>12.900000000001455</v>
      </c>
      <c r="E79" s="492">
        <f t="shared" si="11"/>
        <v>-5.7999999999992724</v>
      </c>
      <c r="F79" s="492">
        <f t="shared" si="11"/>
        <v>44.200000000000728</v>
      </c>
      <c r="G79" s="156">
        <f t="shared" si="11"/>
        <v>-55.799999999999272</v>
      </c>
      <c r="H79" s="156">
        <f t="shared" si="11"/>
        <v>44.200000000000728</v>
      </c>
      <c r="I79" s="283">
        <f t="shared" si="11"/>
        <v>-54.899999999999636</v>
      </c>
      <c r="J79" s="156">
        <f t="shared" si="11"/>
        <v>45.100000000000364</v>
      </c>
      <c r="K79" s="156">
        <f t="shared" si="11"/>
        <v>-16.940000000000509</v>
      </c>
      <c r="L79" s="156">
        <f t="shared" si="11"/>
        <v>33.059999999999491</v>
      </c>
      <c r="M79" s="156">
        <f t="shared" si="11"/>
        <v>8.2799999999988358</v>
      </c>
      <c r="N79" s="156">
        <f t="shared" si="11"/>
        <v>-54.899999999999636</v>
      </c>
      <c r="O79" s="170">
        <f>SUM(C79:N79)</f>
        <v>43.600000000004002</v>
      </c>
      <c r="P79" s="40"/>
      <c r="Q79" s="38"/>
      <c r="R79" s="38"/>
      <c r="S79" s="38"/>
      <c r="T79" s="38"/>
      <c r="U79" s="38"/>
      <c r="V79" s="38"/>
      <c r="W79" s="38"/>
      <c r="X79" s="38"/>
      <c r="Y79" s="38"/>
      <c r="Z79" s="38"/>
      <c r="AA79" s="38"/>
      <c r="AB79" s="38"/>
      <c r="AC79" s="38"/>
      <c r="AD79" s="38"/>
      <c r="AE79" s="38"/>
      <c r="AF79" s="38"/>
      <c r="AG79" s="39"/>
    </row>
    <row r="80" spans="1:33" ht="13.5" customHeight="1" thickBot="1">
      <c r="A80" s="91"/>
      <c r="B80" s="92" t="s">
        <v>45</v>
      </c>
      <c r="C80" s="494">
        <f>C$79</f>
        <v>44.200000000000728</v>
      </c>
      <c r="D80" s="494">
        <f>C$80+D$79</f>
        <v>57.100000000002183</v>
      </c>
      <c r="E80" s="494">
        <f>D$80+E$79</f>
        <v>51.30000000000291</v>
      </c>
      <c r="F80" s="494">
        <f>E$80+F$79</f>
        <v>95.500000000003638</v>
      </c>
      <c r="G80" s="157">
        <f>F$80+G$79</f>
        <v>39.700000000004366</v>
      </c>
      <c r="H80" s="157">
        <f t="shared" ref="H80:N80" si="12">G$80+H$79</f>
        <v>83.900000000005093</v>
      </c>
      <c r="I80" s="285">
        <f t="shared" si="12"/>
        <v>29.000000000005457</v>
      </c>
      <c r="J80" s="157">
        <f t="shared" si="12"/>
        <v>74.100000000005821</v>
      </c>
      <c r="K80" s="157">
        <f t="shared" si="12"/>
        <v>57.160000000005311</v>
      </c>
      <c r="L80" s="157">
        <f t="shared" si="12"/>
        <v>90.220000000004802</v>
      </c>
      <c r="M80" s="157">
        <f t="shared" si="12"/>
        <v>98.500000000003638</v>
      </c>
      <c r="N80" s="157">
        <f t="shared" si="12"/>
        <v>43.600000000004002</v>
      </c>
      <c r="O80" s="93">
        <f>N80</f>
        <v>43.600000000004002</v>
      </c>
      <c r="P80" s="40"/>
      <c r="Q80" s="265"/>
      <c r="R80" s="38"/>
      <c r="S80" s="38"/>
      <c r="T80" s="38"/>
      <c r="U80" s="38"/>
      <c r="V80" s="38"/>
      <c r="W80" s="38"/>
      <c r="X80" s="38"/>
      <c r="Y80" s="38"/>
      <c r="Z80" s="38"/>
      <c r="AA80" s="38"/>
      <c r="AB80" s="38"/>
      <c r="AC80" s="38"/>
      <c r="AD80" s="38"/>
      <c r="AE80" s="38"/>
      <c r="AF80" s="38"/>
      <c r="AG80" s="39"/>
    </row>
    <row r="81" spans="1:33" ht="12.75" customHeight="1" thickBot="1">
      <c r="A81" s="60"/>
      <c r="B81" s="61"/>
      <c r="C81" s="61"/>
      <c r="D81" s="61"/>
      <c r="E81" s="61"/>
      <c r="F81" s="61"/>
      <c r="G81" s="61"/>
      <c r="H81" s="61"/>
      <c r="I81" s="127"/>
      <c r="J81" s="61"/>
      <c r="K81" s="61"/>
      <c r="L81" s="61"/>
      <c r="M81" s="61"/>
      <c r="N81" s="61"/>
      <c r="O81" s="61"/>
      <c r="P81" s="38"/>
      <c r="Q81" s="38"/>
      <c r="R81" s="38"/>
      <c r="S81" s="38"/>
      <c r="T81" s="38"/>
      <c r="U81" s="38"/>
      <c r="V81" s="38"/>
      <c r="W81" s="38"/>
      <c r="X81" s="38"/>
      <c r="Y81" s="38"/>
      <c r="Z81" s="38"/>
      <c r="AA81" s="38"/>
      <c r="AB81" s="38"/>
      <c r="AC81" s="38"/>
      <c r="AD81" s="38"/>
      <c r="AE81" s="38"/>
      <c r="AF81" s="38"/>
      <c r="AG81" s="39"/>
    </row>
    <row r="82" spans="1:33" ht="15" thickBot="1">
      <c r="B82" s="123" t="s">
        <v>69</v>
      </c>
      <c r="C82" s="123" t="s">
        <v>42</v>
      </c>
      <c r="D82" s="123" t="s">
        <v>43</v>
      </c>
      <c r="E82" s="123" t="s">
        <v>44</v>
      </c>
      <c r="F82" s="123" t="s">
        <v>79</v>
      </c>
      <c r="G82" s="123" t="s">
        <v>47</v>
      </c>
      <c r="H82" s="123" t="s">
        <v>66</v>
      </c>
      <c r="I82" s="123" t="s">
        <v>137</v>
      </c>
      <c r="J82" s="123" t="s">
        <v>91</v>
      </c>
      <c r="K82" s="123" t="s">
        <v>65</v>
      </c>
      <c r="L82" s="123" t="s">
        <v>76</v>
      </c>
      <c r="M82" s="123" t="s">
        <v>82</v>
      </c>
      <c r="N82" s="123" t="s">
        <v>80</v>
      </c>
      <c r="O82" s="123" t="s">
        <v>81</v>
      </c>
      <c r="Q82" s="274"/>
      <c r="R82" s="351"/>
    </row>
    <row r="83" spans="1:33" ht="12.75" customHeight="1" thickBot="1">
      <c r="B83" s="121" t="s">
        <v>0</v>
      </c>
      <c r="C83" s="167">
        <f>$C76</f>
        <v>8600</v>
      </c>
      <c r="D83" s="167">
        <f>$C77</f>
        <v>8555.7999999999993</v>
      </c>
      <c r="E83" s="167">
        <f>$C79</f>
        <v>44.200000000000728</v>
      </c>
      <c r="F83" s="168">
        <f>$C78</f>
        <v>0.61627906976744184</v>
      </c>
      <c r="G83" s="167">
        <f>$C68</f>
        <v>0</v>
      </c>
      <c r="H83" s="167">
        <f>$C67</f>
        <v>0</v>
      </c>
      <c r="I83" s="167">
        <f>$C73</f>
        <v>0</v>
      </c>
      <c r="J83" s="167">
        <f>$C71</f>
        <v>0</v>
      </c>
      <c r="K83" s="167">
        <f>$C69</f>
        <v>0</v>
      </c>
      <c r="L83" s="160">
        <f>$C$36/$C$77</f>
        <v>2.3375955492180744E-2</v>
      </c>
      <c r="M83" s="160">
        <f>$C$43/$C$77</f>
        <v>0.23443745763108068</v>
      </c>
      <c r="N83" s="160">
        <f>$C$16/$C$77</f>
        <v>7.0127866476542233E-2</v>
      </c>
      <c r="O83" s="160">
        <f>$C$28/$C$77</f>
        <v>5.2595899857406675E-2</v>
      </c>
    </row>
    <row r="84" spans="1:33" ht="12.75" customHeight="1" thickBot="1">
      <c r="B84" s="121" t="s">
        <v>1</v>
      </c>
      <c r="C84" s="167">
        <f>$D76</f>
        <v>15568.7</v>
      </c>
      <c r="D84" s="167">
        <f>$D77</f>
        <v>15555.8</v>
      </c>
      <c r="E84" s="167">
        <f>$D79</f>
        <v>12.900000000001455</v>
      </c>
      <c r="F84" s="168">
        <f>$D78</f>
        <v>0.79004669625594937</v>
      </c>
      <c r="G84" s="167">
        <f>$D68</f>
        <v>0</v>
      </c>
      <c r="H84" s="167">
        <f>$D67</f>
        <v>0</v>
      </c>
      <c r="I84" s="167">
        <f>$D73</f>
        <v>0</v>
      </c>
      <c r="J84" s="167">
        <f>$D71</f>
        <v>0</v>
      </c>
      <c r="K84" s="167">
        <f>$D69</f>
        <v>0</v>
      </c>
      <c r="L84" s="160">
        <f>$D$36/$D$77</f>
        <v>1.2856940819501408E-2</v>
      </c>
      <c r="M84" s="160">
        <f>$D$43/$D$77</f>
        <v>0.12894225947877963</v>
      </c>
      <c r="N84" s="160">
        <f>$D$16/$D$77</f>
        <v>3.8570822458504225E-2</v>
      </c>
      <c r="O84" s="160">
        <f>$D$28/$D$77</f>
        <v>2.8928116843878169E-2</v>
      </c>
      <c r="Q84" s="54"/>
      <c r="R84" s="54"/>
      <c r="S84" s="54"/>
    </row>
    <row r="85" spans="1:33" ht="12.75" customHeight="1" thickBot="1">
      <c r="B85" s="121" t="s">
        <v>2</v>
      </c>
      <c r="C85" s="167">
        <f>$E76</f>
        <v>8600</v>
      </c>
      <c r="D85" s="167">
        <f>$E77</f>
        <v>8605.7999999999993</v>
      </c>
      <c r="E85" s="167">
        <f>$E79</f>
        <v>-5.7999999999992724</v>
      </c>
      <c r="F85" s="168">
        <f>$E78</f>
        <v>0.62209302325581395</v>
      </c>
      <c r="G85" s="167">
        <f>$E68</f>
        <v>0</v>
      </c>
      <c r="H85" s="167">
        <f>$E67</f>
        <v>0</v>
      </c>
      <c r="I85" s="167">
        <f>$E73</f>
        <v>0</v>
      </c>
      <c r="J85" s="167">
        <f>$E71</f>
        <v>0</v>
      </c>
      <c r="K85" s="167">
        <f>$E69</f>
        <v>0</v>
      </c>
      <c r="L85" s="160">
        <f>$E$36/$E$77</f>
        <v>2.3240140370447838E-2</v>
      </c>
      <c r="M85" s="160">
        <f>$E$43/$E$77</f>
        <v>0.23307536777522136</v>
      </c>
      <c r="N85" s="160">
        <f>$E$16/$E$77</f>
        <v>6.9720421111343522E-2</v>
      </c>
      <c r="O85" s="160">
        <f>$E$28/$E$77</f>
        <v>5.2290315833507642E-2</v>
      </c>
    </row>
    <row r="86" spans="1:33" ht="12.75" customHeight="1" thickBot="1">
      <c r="B86" s="121" t="s">
        <v>3</v>
      </c>
      <c r="C86" s="167">
        <f>$F76</f>
        <v>8600</v>
      </c>
      <c r="D86" s="167">
        <f>$F77</f>
        <v>8555.7999999999993</v>
      </c>
      <c r="E86" s="167">
        <f>$F79</f>
        <v>44.200000000000728</v>
      </c>
      <c r="F86" s="168">
        <f>$F78</f>
        <v>0.61627906976744184</v>
      </c>
      <c r="G86" s="167">
        <f>$F68</f>
        <v>0</v>
      </c>
      <c r="H86" s="167">
        <f>$F67</f>
        <v>0</v>
      </c>
      <c r="I86" s="167">
        <f>$F73</f>
        <v>0</v>
      </c>
      <c r="J86" s="167">
        <f>$F71</f>
        <v>0</v>
      </c>
      <c r="K86" s="167">
        <f>$F69</f>
        <v>0</v>
      </c>
      <c r="L86" s="160">
        <f>$F$36/$F$77</f>
        <v>2.3375955492180744E-2</v>
      </c>
      <c r="M86" s="160">
        <f>$F$43/$F$77</f>
        <v>0.23443745763108068</v>
      </c>
      <c r="N86" s="160">
        <f>$F$16/$F$77</f>
        <v>7.0127866476542233E-2</v>
      </c>
      <c r="O86" s="160">
        <f>$F$28/$F$77</f>
        <v>5.2595899857406675E-2</v>
      </c>
    </row>
    <row r="87" spans="1:33" ht="12.75" customHeight="1" thickBot="1">
      <c r="B87" s="121" t="s">
        <v>4</v>
      </c>
      <c r="C87" s="167">
        <f>$G76</f>
        <v>8600</v>
      </c>
      <c r="D87" s="167">
        <f>$G77</f>
        <v>8655.7999999999993</v>
      </c>
      <c r="E87" s="167">
        <f>$G79</f>
        <v>-55.799999999999272</v>
      </c>
      <c r="F87" s="168">
        <f>$G78</f>
        <v>0.62790697674418605</v>
      </c>
      <c r="G87" s="167">
        <f>$G68</f>
        <v>0</v>
      </c>
      <c r="H87" s="167">
        <f>$G67</f>
        <v>0</v>
      </c>
      <c r="I87" s="167">
        <f>$G73</f>
        <v>0</v>
      </c>
      <c r="J87" s="167">
        <f>$G71</f>
        <v>0</v>
      </c>
      <c r="K87" s="167">
        <f>$G69</f>
        <v>0</v>
      </c>
      <c r="L87" s="160">
        <f>$G$36/$G$77</f>
        <v>2.3105894313639411E-2</v>
      </c>
      <c r="M87" s="160">
        <f>$G$43/$G$77</f>
        <v>0.23172901407148966</v>
      </c>
      <c r="N87" s="160">
        <f>$G$16/$G$77</f>
        <v>6.9317682940918238E-2</v>
      </c>
      <c r="O87" s="160">
        <f>$G$28/$G$77</f>
        <v>5.1988262205688675E-2</v>
      </c>
      <c r="Q87" s="274"/>
    </row>
    <row r="88" spans="1:33" ht="12.75" customHeight="1" thickBot="1">
      <c r="B88" s="121" t="s">
        <v>5</v>
      </c>
      <c r="C88" s="167">
        <f>$H76</f>
        <v>8600</v>
      </c>
      <c r="D88" s="167">
        <f>$H77</f>
        <v>8555.7999999999993</v>
      </c>
      <c r="E88" s="167">
        <f>$H79</f>
        <v>44.200000000000728</v>
      </c>
      <c r="F88" s="168">
        <f>$H78</f>
        <v>0.61627906976744184</v>
      </c>
      <c r="G88" s="167">
        <f>$H68</f>
        <v>0</v>
      </c>
      <c r="H88" s="167">
        <f>$H67</f>
        <v>0</v>
      </c>
      <c r="I88" s="167">
        <f>$H73</f>
        <v>0</v>
      </c>
      <c r="J88" s="167">
        <f>$H71</f>
        <v>0</v>
      </c>
      <c r="K88" s="167">
        <f>$H69</f>
        <v>0</v>
      </c>
      <c r="L88" s="160">
        <f>$H$36/$H$77</f>
        <v>2.3375955492180744E-2</v>
      </c>
      <c r="M88" s="160">
        <f>$H$43/$H$77</f>
        <v>0.23443745763108068</v>
      </c>
      <c r="N88" s="160">
        <f>$H$16/$H$77</f>
        <v>7.0127866476542233E-2</v>
      </c>
      <c r="O88" s="160">
        <f>$H$28/$H$77</f>
        <v>5.2595899857406675E-2</v>
      </c>
    </row>
    <row r="89" spans="1:33" ht="12.75" customHeight="1" thickBot="1">
      <c r="B89" s="121" t="s">
        <v>6</v>
      </c>
      <c r="C89" s="167">
        <f>$I76</f>
        <v>8600</v>
      </c>
      <c r="D89" s="167">
        <f>$I77</f>
        <v>8654.9</v>
      </c>
      <c r="E89" s="167">
        <f>$I79</f>
        <v>-54.899999999999636</v>
      </c>
      <c r="F89" s="168">
        <f>$I78</f>
        <v>0.62790697674418605</v>
      </c>
      <c r="G89" s="167">
        <f>$I68</f>
        <v>0</v>
      </c>
      <c r="H89" s="167">
        <f>$I67</f>
        <v>0</v>
      </c>
      <c r="I89" s="167">
        <f>$I73</f>
        <v>0</v>
      </c>
      <c r="J89" s="167">
        <f>$I71</f>
        <v>0</v>
      </c>
      <c r="K89" s="167">
        <f>$I69</f>
        <v>0</v>
      </c>
      <c r="L89" s="160">
        <f>$I$36/$I$77</f>
        <v>2.3108297034050075E-2</v>
      </c>
      <c r="M89" s="160">
        <f>$I$43/$I$77</f>
        <v>0.23164912361783502</v>
      </c>
      <c r="N89" s="160">
        <f>$I$16/$I$77</f>
        <v>6.9324891102150232E-2</v>
      </c>
      <c r="O89" s="160">
        <f>$I$28/$I$77</f>
        <v>5.1993668326612674E-2</v>
      </c>
    </row>
    <row r="90" spans="1:33" ht="12.75" customHeight="1" thickBot="1">
      <c r="B90" s="121" t="s">
        <v>7</v>
      </c>
      <c r="C90" s="167">
        <f>$J76</f>
        <v>8600</v>
      </c>
      <c r="D90" s="167">
        <f>$J77</f>
        <v>8554.9</v>
      </c>
      <c r="E90" s="167">
        <f>$J79</f>
        <v>45.100000000000364</v>
      </c>
      <c r="F90" s="168">
        <f>$J78</f>
        <v>0.61627906976744184</v>
      </c>
      <c r="G90" s="167">
        <f>$J68</f>
        <v>0</v>
      </c>
      <c r="H90" s="167">
        <f>$J67</f>
        <v>0</v>
      </c>
      <c r="I90" s="167">
        <f>$J73</f>
        <v>0</v>
      </c>
      <c r="J90" s="167">
        <f>$J71</f>
        <v>0</v>
      </c>
      <c r="K90" s="167">
        <f>$J69</f>
        <v>0</v>
      </c>
      <c r="L90" s="160">
        <f>$J$36/$J$77</f>
        <v>2.3378414709698536E-2</v>
      </c>
      <c r="M90" s="160">
        <f>$J$43/$J$77</f>
        <v>0.23435691825737298</v>
      </c>
      <c r="N90" s="160">
        <f>$J$16/$J$77</f>
        <v>7.0135244129095609E-2</v>
      </c>
      <c r="O90" s="160">
        <f>$J$28/$J$77</f>
        <v>5.2601433096821706E-2</v>
      </c>
    </row>
    <row r="91" spans="1:33" ht="12.75" customHeight="1" thickBot="1">
      <c r="B91" s="121" t="s">
        <v>8</v>
      </c>
      <c r="C91" s="167">
        <f>$K76</f>
        <v>8600</v>
      </c>
      <c r="D91" s="167">
        <f>$K77</f>
        <v>8616.94</v>
      </c>
      <c r="E91" s="167">
        <f>$K79</f>
        <v>-16.940000000000509</v>
      </c>
      <c r="F91" s="168">
        <f>$K78</f>
        <v>0.59883720930232553</v>
      </c>
      <c r="G91" s="167">
        <f>$K68</f>
        <v>0</v>
      </c>
      <c r="H91" s="167">
        <f>$K67</f>
        <v>0</v>
      </c>
      <c r="I91" s="167">
        <f>$K73</f>
        <v>0</v>
      </c>
      <c r="J91" s="167">
        <f>$K71</f>
        <v>0</v>
      </c>
      <c r="K91" s="167">
        <f>$K69</f>
        <v>0</v>
      </c>
      <c r="L91" s="160">
        <f>$K$36/$K$77</f>
        <v>2.3210095463122637E-2</v>
      </c>
      <c r="M91" s="160">
        <f>$K$43/$K$77</f>
        <v>0.23266960197007289</v>
      </c>
      <c r="N91" s="160">
        <f>$K$16/$K$77</f>
        <v>6.9630286389367912E-2</v>
      </c>
      <c r="O91" s="160">
        <f>$K$28/$K$77</f>
        <v>7.6830058002028551E-2</v>
      </c>
    </row>
    <row r="92" spans="1:33" ht="12.75" customHeight="1" thickBot="1">
      <c r="B92" s="121" t="s">
        <v>9</v>
      </c>
      <c r="C92" s="167">
        <f>$L76</f>
        <v>8600</v>
      </c>
      <c r="D92" s="167">
        <f>$L77</f>
        <v>8566.94</v>
      </c>
      <c r="E92" s="167">
        <f>$L79</f>
        <v>33.059999999999491</v>
      </c>
      <c r="F92" s="168">
        <f>$L78</f>
        <v>0.59302325581395354</v>
      </c>
      <c r="G92" s="167">
        <f>$L68</f>
        <v>0</v>
      </c>
      <c r="H92" s="167">
        <f>$L67</f>
        <v>0</v>
      </c>
      <c r="I92" s="167">
        <f>$L73</f>
        <v>0</v>
      </c>
      <c r="J92" s="167">
        <f>$L71</f>
        <v>0</v>
      </c>
      <c r="K92" s="167">
        <f>$L69</f>
        <v>0</v>
      </c>
      <c r="L92" s="160">
        <f>$L$36/$L$77</f>
        <v>2.3345558624199538E-2</v>
      </c>
      <c r="M92" s="160">
        <f>$L$43/$L$77</f>
        <v>0.23402755242828827</v>
      </c>
      <c r="N92" s="160">
        <f>$L$16/$L$77</f>
        <v>7.0036675872598611E-2</v>
      </c>
      <c r="O92" s="160">
        <f>$L$28/$L$77</f>
        <v>7.7278468157825311E-2</v>
      </c>
    </row>
    <row r="93" spans="1:33" ht="12.75" customHeight="1" thickBot="1">
      <c r="B93" s="121" t="s">
        <v>10</v>
      </c>
      <c r="C93" s="167">
        <f>$M76</f>
        <v>11675.22</v>
      </c>
      <c r="D93" s="167">
        <f>$M77</f>
        <v>11666.94</v>
      </c>
      <c r="E93" s="167">
        <f>$M79</f>
        <v>8.2799999999988358</v>
      </c>
      <c r="F93" s="168">
        <f>$M78</f>
        <v>0.70234222567112226</v>
      </c>
      <c r="G93" s="167">
        <f>$M68</f>
        <v>0</v>
      </c>
      <c r="H93" s="167">
        <f>$M67</f>
        <v>0</v>
      </c>
      <c r="I93" s="167">
        <f>$M73</f>
        <v>0</v>
      </c>
      <c r="J93" s="167">
        <f>$M71</f>
        <v>0</v>
      </c>
      <c r="K93" s="167">
        <f>$M69</f>
        <v>0</v>
      </c>
      <c r="L93" s="160">
        <f>$M$36/$M$77</f>
        <v>1.7142455519613541E-2</v>
      </c>
      <c r="M93" s="160">
        <f>$M$43/$M$77</f>
        <v>0.17184454535636592</v>
      </c>
      <c r="N93" s="160">
        <f>$M$16/$M$77</f>
        <v>5.1427366558840622E-2</v>
      </c>
      <c r="O93" s="160">
        <f>$M$28/$M$77</f>
        <v>5.6744956261024736E-2</v>
      </c>
    </row>
    <row r="94" spans="1:33" ht="12.75" customHeight="1" thickBot="1">
      <c r="B94" s="121" t="s">
        <v>11</v>
      </c>
      <c r="C94" s="167">
        <f>$N76</f>
        <v>8600</v>
      </c>
      <c r="D94" s="167">
        <f>$N77</f>
        <v>8654.9</v>
      </c>
      <c r="E94" s="167">
        <f>$N79</f>
        <v>-54.899999999999636</v>
      </c>
      <c r="F94" s="168">
        <f>$N78</f>
        <v>0.62790697674418605</v>
      </c>
      <c r="G94" s="167">
        <f>$N68</f>
        <v>0</v>
      </c>
      <c r="H94" s="167">
        <f>$N67</f>
        <v>0</v>
      </c>
      <c r="I94" s="167">
        <f>$N73</f>
        <v>0</v>
      </c>
      <c r="J94" s="167">
        <f>$N71</f>
        <v>0</v>
      </c>
      <c r="K94" s="167">
        <f>$N69</f>
        <v>0</v>
      </c>
      <c r="L94" s="160">
        <f>$N$36/$N$77</f>
        <v>2.3108297034050075E-2</v>
      </c>
      <c r="M94" s="160">
        <f>$N$43/$N$77</f>
        <v>0.23164912361783502</v>
      </c>
      <c r="N94" s="160">
        <f>$N$16/$N$77</f>
        <v>6.9324891102150232E-2</v>
      </c>
      <c r="O94" s="160">
        <f>$N$28/$N$77</f>
        <v>5.1993668326612674E-2</v>
      </c>
    </row>
    <row r="95" spans="1:33" ht="12.75" customHeight="1" thickBot="1">
      <c r="B95" s="122">
        <v>2024</v>
      </c>
      <c r="C95" s="167">
        <f>SUM(C83:C94)</f>
        <v>113243.92</v>
      </c>
      <c r="D95" s="167">
        <f>SUM(D83:D94)</f>
        <v>113200.31999999999</v>
      </c>
      <c r="E95" s="167">
        <f>SUM(E83:E94)</f>
        <v>43.600000000004002</v>
      </c>
      <c r="F95" s="168">
        <f>AVERAGE(F83:F94)</f>
        <v>0.63793163496679095</v>
      </c>
      <c r="G95" s="167">
        <f>SUM(G83:G94)</f>
        <v>0</v>
      </c>
      <c r="H95" s="167">
        <f>SUM(H83:H94)</f>
        <v>0</v>
      </c>
      <c r="I95" s="167">
        <f>SUM(I83:I94)</f>
        <v>0</v>
      </c>
      <c r="J95" s="167">
        <f>SUM(J83:J94)</f>
        <v>0</v>
      </c>
      <c r="K95" s="167">
        <f>SUM(K83:K94)</f>
        <v>0</v>
      </c>
      <c r="L95" s="168">
        <f>AVERAGE(L83:L94)</f>
        <v>2.188533003040544E-2</v>
      </c>
      <c r="M95" s="168">
        <f>AVERAGE(M83:M94)</f>
        <v>0.2194379899555419</v>
      </c>
      <c r="N95" s="168">
        <f>AVERAGE(N83:N94)</f>
        <v>6.5655990091216324E-2</v>
      </c>
      <c r="O95" s="168">
        <f>AVERAGE(O83:O94)</f>
        <v>5.486972055218501E-2</v>
      </c>
    </row>
    <row r="97" spans="1:21" ht="12.75" customHeight="1" thickBot="1">
      <c r="B97" s="172" t="s">
        <v>58</v>
      </c>
      <c r="C97" s="118">
        <f>C2</f>
        <v>45292</v>
      </c>
      <c r="D97" s="118">
        <f>D2</f>
        <v>45323</v>
      </c>
      <c r="E97" s="118">
        <f>E2</f>
        <v>45352</v>
      </c>
      <c r="F97" s="118">
        <f>F2</f>
        <v>45383</v>
      </c>
      <c r="G97" s="118">
        <f>G2</f>
        <v>45413</v>
      </c>
      <c r="H97" s="118">
        <f>H2</f>
        <v>45444</v>
      </c>
      <c r="I97" s="118">
        <f>I2</f>
        <v>45474</v>
      </c>
      <c r="J97" s="118">
        <f>J2</f>
        <v>45505</v>
      </c>
      <c r="K97" s="118">
        <f>K2</f>
        <v>45536</v>
      </c>
      <c r="L97" s="118">
        <f>L2</f>
        <v>45566</v>
      </c>
      <c r="M97" s="118">
        <f>M2</f>
        <v>45597</v>
      </c>
      <c r="N97" s="118">
        <f>N2</f>
        <v>45627</v>
      </c>
    </row>
    <row r="98" spans="1:21" ht="12.75" customHeight="1">
      <c r="B98" s="35" t="s">
        <v>98</v>
      </c>
      <c r="C98" s="153">
        <f>C66-C99-C100-C101-C102</f>
        <v>0</v>
      </c>
      <c r="D98" s="153">
        <f>D66-D99-D100-D101-D102</f>
        <v>0</v>
      </c>
      <c r="E98" s="153">
        <f>E66-E99-E100-E101-E102</f>
        <v>0</v>
      </c>
      <c r="F98" s="153">
        <f>F66-F99-F100-F101-F102</f>
        <v>0</v>
      </c>
      <c r="G98" s="153">
        <f>G66-G99-G100-G101-G102</f>
        <v>0</v>
      </c>
      <c r="H98" s="153">
        <f>H66-H99-H100-H101-H102</f>
        <v>0</v>
      </c>
      <c r="I98" s="153">
        <f>I66-I99-I100-I101-I102</f>
        <v>0</v>
      </c>
      <c r="J98" s="153">
        <f>J66-J99-J100-J101-J102</f>
        <v>0</v>
      </c>
      <c r="K98" s="153">
        <f>K66-K99-K100-K101-K102</f>
        <v>0</v>
      </c>
      <c r="L98" s="153">
        <f>L66-L99-L100-L101-L102</f>
        <v>0</v>
      </c>
      <c r="M98" s="153">
        <f>M66-M99-M100-M101-M102</f>
        <v>0</v>
      </c>
      <c r="N98" s="153">
        <f>N66-N99-N100-N101-N102</f>
        <v>0</v>
      </c>
    </row>
    <row r="99" spans="1:21" ht="12.75" customHeight="1">
      <c r="B99" s="35" t="s">
        <v>99</v>
      </c>
      <c r="C99" s="153">
        <f>SUMIFS(Dados!$E:$E,Dados!$F:$F,"Mainha",Dados!$C:$C,C$2)</f>
        <v>0</v>
      </c>
      <c r="D99" s="153">
        <f>SUMIFS(Dados!$E:$E,Dados!$F:$F,"Mainha",Dados!$C:$C,D$2)</f>
        <v>0</v>
      </c>
      <c r="E99" s="153">
        <f>SUMIFS(Dados!$E:$E,Dados!$F:$F,"Mainha",Dados!$C:$C,E$2)</f>
        <v>0</v>
      </c>
      <c r="F99" s="153">
        <f>SUMIFS(Dados!$E:$E,Dados!$F:$F,"Mainha",Dados!$C:$C,F$2)</f>
        <v>0</v>
      </c>
      <c r="G99" s="153">
        <f>SUMIFS(Dados!$E:$E,Dados!$F:$F,"Mainha",Dados!$C:$C,G$2)</f>
        <v>0</v>
      </c>
      <c r="H99" s="153">
        <f>SUMIFS(Dados!$E:$E,Dados!$F:$F,"Mainha",Dados!$C:$C,H$2)</f>
        <v>0</v>
      </c>
      <c r="I99" s="153">
        <f>SUMIFS(Dados!$E:$E,Dados!$F:$F,"Mainha",Dados!$C:$C,I$2)</f>
        <v>0</v>
      </c>
      <c r="J99" s="153">
        <f>SUMIFS(Dados!$E:$E,Dados!$F:$F,"Mainha",Dados!$C:$C,J$2)</f>
        <v>0</v>
      </c>
      <c r="K99" s="153">
        <f>SUMIFS(Dados!$E:$E,Dados!$F:$F,"Mainha",Dados!$C:$C,K$2)</f>
        <v>0</v>
      </c>
      <c r="L99" s="153">
        <f>SUMIFS(Dados!$E:$E,Dados!$F:$F,"Mainha",Dados!$C:$C,L$2)</f>
        <v>0</v>
      </c>
      <c r="M99" s="153">
        <f>SUMIFS(Dados!$E:$E,Dados!$F:$F,"Mainha",Dados!$C:$C,M$2)</f>
        <v>0</v>
      </c>
      <c r="N99" s="153">
        <f>SUMIFS(Dados!$E:$E,Dados!$F:$F,"Mainha",Dados!$C:$C,N$2)</f>
        <v>0</v>
      </c>
    </row>
    <row r="100" spans="1:21" ht="12.75" customHeight="1">
      <c r="A100" s="274"/>
      <c r="B100" s="35" t="s">
        <v>100</v>
      </c>
      <c r="C100" s="153">
        <f>SUMIFS(Dados!$E:$E,Dados!$F:$F,"Transferências",Dados!$C:$C,C$2)</f>
        <v>0</v>
      </c>
      <c r="D100" s="153">
        <f>SUMIFS(Dados!$E:$E,Dados!$F:$F,"Transferências",Dados!$C:$C,D$2)</f>
        <v>0</v>
      </c>
      <c r="E100" s="153">
        <f>SUMIFS(Dados!$E:$E,Dados!$F:$F,"Transferências",Dados!$C:$C,E$2)</f>
        <v>0</v>
      </c>
      <c r="F100" s="153">
        <f>SUMIFS(Dados!$E:$E,Dados!$F:$F,"Transferências",Dados!$C:$C,F$2)</f>
        <v>0</v>
      </c>
      <c r="G100" s="153">
        <f>SUMIFS(Dados!$E:$E,Dados!$F:$F,"Transferências",Dados!$C:$C,G$2)</f>
        <v>0</v>
      </c>
      <c r="H100" s="153">
        <f>SUMIFS(Dados!$E:$E,Dados!$F:$F,"Transferências",Dados!$C:$C,H$2)</f>
        <v>0</v>
      </c>
      <c r="I100" s="153">
        <f>SUMIFS(Dados!$E:$E,Dados!$F:$F,"Transferências",Dados!$C:$C,I$2)</f>
        <v>0</v>
      </c>
      <c r="J100" s="153">
        <f>SUMIFS(Dados!$E:$E,Dados!$F:$F,"Transferências",Dados!$C:$C,J$2)</f>
        <v>0</v>
      </c>
      <c r="K100" s="153">
        <f>SUMIFS(Dados!$E:$E,Dados!$F:$F,"Transferências",Dados!$C:$C,K$2)</f>
        <v>0</v>
      </c>
      <c r="L100" s="153">
        <f>SUMIFS(Dados!$E:$E,Dados!$F:$F,"Transferências",Dados!$C:$C,L$2)</f>
        <v>0</v>
      </c>
      <c r="M100" s="153">
        <f>SUMIFS(Dados!$E:$E,Dados!$F:$F,"Transferências",Dados!$C:$C,M$2)</f>
        <v>0</v>
      </c>
      <c r="N100" s="153">
        <f>SUMIFS(Dados!$E:$E,Dados!$F:$F,"Transferências",Dados!$C:$C,N$2)</f>
        <v>0</v>
      </c>
    </row>
    <row r="101" spans="1:21" ht="12.75" customHeight="1">
      <c r="B101" s="35" t="s">
        <v>101</v>
      </c>
      <c r="C101" s="153">
        <f>SUMIFS(Dados!$E:$E,Dados!$G:$G,"Conta",Dados!$C:$C,C$2)</f>
        <v>0</v>
      </c>
      <c r="D101" s="153">
        <f>SUMIFS(Dados!$E:$E,Dados!$G:$G,"Conta",Dados!$C:$C,D$2)</f>
        <v>0</v>
      </c>
      <c r="E101" s="153">
        <f>SUMIFS(Dados!$E:$E,Dados!$G:$G,"Conta",Dados!$C:$C,E$2)</f>
        <v>0</v>
      </c>
      <c r="F101" s="153">
        <f>SUMIFS(Dados!$E:$E,Dados!$G:$G,"Conta",Dados!$C:$C,F$2)</f>
        <v>0</v>
      </c>
      <c r="G101" s="153">
        <f>SUMIFS(Dados!$E:$E,Dados!$G:$G,"Conta",Dados!$C:$C,G$2)</f>
        <v>0</v>
      </c>
      <c r="H101" s="153">
        <f>SUMIFS(Dados!$E:$E,Dados!$G:$G,"Conta",Dados!$C:$C,H$2)</f>
        <v>0</v>
      </c>
      <c r="I101" s="153">
        <f>SUMIFS(Dados!$E:$E,Dados!$G:$G,"Conta",Dados!$C:$C,I$2)</f>
        <v>0</v>
      </c>
      <c r="J101" s="153">
        <f>SUMIFS(Dados!$E:$E,Dados!$G:$G,"Conta",Dados!$C:$C,J$2)</f>
        <v>0</v>
      </c>
      <c r="K101" s="153">
        <f>SUMIFS(Dados!$E:$E,Dados!$G:$G,"Conta",Dados!$C:$C,K$2)</f>
        <v>0</v>
      </c>
      <c r="L101" s="153">
        <f>SUMIFS(Dados!$E:$E,Dados!$G:$G,"Conta",Dados!$C:$C,L$2)</f>
        <v>0</v>
      </c>
      <c r="M101" s="153">
        <f>SUMIFS(Dados!$E:$E,Dados!$G:$G,"Conta",Dados!$C:$C,M$2)</f>
        <v>0</v>
      </c>
      <c r="N101" s="153">
        <f>SUMIFS(Dados!$E:$E,Dados!$G:$G,"Conta",Dados!$C:$C,N$2)</f>
        <v>0</v>
      </c>
    </row>
    <row r="102" spans="1:21" ht="12.75" customHeight="1">
      <c r="B102" s="35" t="s">
        <v>102</v>
      </c>
      <c r="C102" s="153">
        <f>SUMIFS(Dados!$E:$E,Dados!$G:$G,"Outros",Dados!$C:$C,C$2)</f>
        <v>0</v>
      </c>
      <c r="D102" s="153">
        <f>SUMIFS(Dados!$E:$E,Dados!$G:$G,"Outros",Dados!$C:$C,D$2)</f>
        <v>0</v>
      </c>
      <c r="E102" s="153">
        <f>SUMIFS(Dados!$E:$E,Dados!$G:$G,"Outros",Dados!$C:$C,E$2)</f>
        <v>0</v>
      </c>
      <c r="F102" s="153">
        <f>SUMIFS(Dados!$E:$E,Dados!$G:$G,"Outros",Dados!$C:$C,F$2)</f>
        <v>0</v>
      </c>
      <c r="G102" s="153">
        <f>SUMIFS(Dados!$E:$E,Dados!$G:$G,"Outros",Dados!$C:$C,G$2)</f>
        <v>0</v>
      </c>
      <c r="H102" s="153">
        <f>SUMIFS(Dados!$E:$E,Dados!$G:$G,"Outros",Dados!$C:$C,H$2)</f>
        <v>0</v>
      </c>
      <c r="I102" s="153">
        <f>SUMIFS(Dados!$E:$E,Dados!$G:$G,"Outros",Dados!$C:$C,I$2)</f>
        <v>0</v>
      </c>
      <c r="J102" s="153">
        <f>SUMIFS(Dados!$E:$E,Dados!$G:$G,"Outros",Dados!$C:$C,J$2)</f>
        <v>0</v>
      </c>
      <c r="K102" s="153">
        <f>SUMIFS(Dados!$E:$E,Dados!$G:$G,"Outros",Dados!$C:$C,K$2)</f>
        <v>0</v>
      </c>
      <c r="L102" s="153">
        <f>SUMIFS(Dados!$E:$E,Dados!$G:$G,"Outros",Dados!$C:$C,L$2)</f>
        <v>0</v>
      </c>
      <c r="M102" s="153">
        <f>SUMIFS(Dados!$E:$E,Dados!$G:$G,"Outros",Dados!$C:$C,M$2)</f>
        <v>0</v>
      </c>
      <c r="N102" s="153">
        <f>SUMIFS(Dados!$E:$E,Dados!$G:$G,"Outros",Dados!$C:$C,N$2)</f>
        <v>0</v>
      </c>
    </row>
    <row r="103" spans="1:21" ht="12.75" customHeight="1">
      <c r="B103" s="35" t="s">
        <v>105</v>
      </c>
      <c r="C103" s="153">
        <f>SUMIFS(Dados!$E:$E,Dados!$G:$G,"Extra",Dados!$C:$C,C$2)</f>
        <v>0</v>
      </c>
      <c r="D103" s="153">
        <f>SUMIFS(Dados!$E:$E,Dados!$G:$G,"Extra",Dados!$C:$C,D$2)</f>
        <v>0</v>
      </c>
      <c r="E103" s="153">
        <f>SUMIFS(Dados!$E:$E,Dados!$G:$G,"Extra",Dados!$C:$C,E$2)</f>
        <v>0</v>
      </c>
      <c r="F103" s="153">
        <f>SUMIFS(Dados!$E:$E,Dados!$G:$G,"Extra",Dados!$C:$C,F$2)</f>
        <v>0</v>
      </c>
      <c r="G103" s="153">
        <f>SUMIFS(Dados!$E:$E,Dados!$G:$G,"Extra",Dados!$C:$C,G$2)</f>
        <v>0</v>
      </c>
      <c r="H103" s="153">
        <f>SUMIFS(Dados!$E:$E,Dados!$G:$G,"Extra",Dados!$C:$C,H$2)</f>
        <v>0</v>
      </c>
      <c r="I103" s="153">
        <f>SUMIFS(Dados!$E:$E,Dados!$G:$G,"Extra",Dados!$C:$C,I$2)</f>
        <v>0</v>
      </c>
      <c r="J103" s="153">
        <f>SUMIFS(Dados!$E:$E,Dados!$G:$G,"Extra",Dados!$C:$C,J$2)</f>
        <v>0</v>
      </c>
      <c r="K103" s="153">
        <f>SUMIFS(Dados!$E:$E,Dados!$G:$G,"Extra",Dados!$C:$C,K$2)</f>
        <v>0</v>
      </c>
      <c r="L103" s="153">
        <f>SUMIFS(Dados!$E:$E,Dados!$G:$G,"Extra",Dados!$C:$C,L$2)</f>
        <v>0</v>
      </c>
      <c r="M103" s="153">
        <f>SUMIFS(Dados!$E:$E,Dados!$G:$G,"Extra",Dados!$C:$C,M$2)</f>
        <v>0</v>
      </c>
      <c r="N103" s="153">
        <f>SUMIFS(Dados!$E:$E,Dados!$G:$G,"Extra",Dados!$C:$C,N$2)</f>
        <v>0</v>
      </c>
      <c r="O103" s="203" t="s">
        <v>107</v>
      </c>
    </row>
    <row r="105" spans="1:21" ht="12.75" customHeight="1">
      <c r="B105" s="77" t="s">
        <v>46</v>
      </c>
      <c r="C105" s="75"/>
      <c r="D105" s="38"/>
      <c r="E105" s="38"/>
    </row>
    <row r="106" spans="1:21" ht="14.5">
      <c r="B106" s="66"/>
      <c r="C106" s="66"/>
      <c r="D106" s="38"/>
      <c r="E106" s="38" t="s">
        <v>78</v>
      </c>
      <c r="G106" s="38" t="s">
        <v>77</v>
      </c>
      <c r="J106" s="103" t="s">
        <v>68</v>
      </c>
      <c r="K106"/>
      <c r="L106"/>
    </row>
    <row r="107" spans="1:21" ht="14.5">
      <c r="B107" s="161" t="str">
        <f>A3</f>
        <v xml:space="preserve">RENDA </v>
      </c>
      <c r="C107" s="163">
        <f>O3</f>
        <v>113243.92</v>
      </c>
      <c r="D107" s="67"/>
      <c r="E107" s="165">
        <f>M111</f>
        <v>0.70234222567112226</v>
      </c>
      <c r="G107" s="38" t="s">
        <v>0</v>
      </c>
      <c r="J107" s="104" t="s">
        <v>10</v>
      </c>
      <c r="K107"/>
      <c r="L107"/>
    </row>
    <row r="108" spans="1:21" ht="14.5">
      <c r="B108" s="114" t="str">
        <f>A57</f>
        <v>MAINHA ME DEVE</v>
      </c>
      <c r="C108" s="163">
        <f>73</f>
        <v>73</v>
      </c>
      <c r="D108" s="38"/>
      <c r="E108" s="38"/>
      <c r="G108" s="38" t="s">
        <v>1</v>
      </c>
      <c r="J108" s="104" t="s">
        <v>67</v>
      </c>
      <c r="K108"/>
      <c r="L108"/>
    </row>
    <row r="109" spans="1:21" ht="15" thickBot="1">
      <c r="D109" s="38"/>
      <c r="E109" s="38" t="s">
        <v>84</v>
      </c>
      <c r="G109" s="38" t="s">
        <v>2</v>
      </c>
      <c r="J109"/>
      <c r="K109"/>
      <c r="L109"/>
    </row>
    <row r="110" spans="1:21" ht="15" thickBot="1">
      <c r="B110" s="162" t="str">
        <f>A16</f>
        <v>HABITAÇÃO</v>
      </c>
      <c r="C110" s="115">
        <f>O16</f>
        <v>7200</v>
      </c>
      <c r="D110" s="38"/>
      <c r="E110" s="165">
        <f>R111</f>
        <v>1.7142455519613541E-2</v>
      </c>
      <c r="G110" s="38" t="s">
        <v>3</v>
      </c>
      <c r="I110" s="123" t="s">
        <v>69</v>
      </c>
      <c r="J110" s="120" t="s">
        <v>42</v>
      </c>
      <c r="K110" s="120" t="s">
        <v>43</v>
      </c>
      <c r="L110" s="120" t="s">
        <v>44</v>
      </c>
      <c r="M110" s="124" t="s">
        <v>79</v>
      </c>
      <c r="N110" s="124" t="s">
        <v>47</v>
      </c>
      <c r="O110" s="124" t="s">
        <v>66</v>
      </c>
      <c r="P110" s="124"/>
      <c r="Q110" s="124"/>
      <c r="R110" s="123" t="s">
        <v>50</v>
      </c>
      <c r="S110" s="123" t="s">
        <v>82</v>
      </c>
      <c r="T110" s="123" t="s">
        <v>80</v>
      </c>
      <c r="U110" s="123" t="s">
        <v>81</v>
      </c>
    </row>
    <row r="111" spans="1:21" ht="12.75" customHeight="1" thickBot="1">
      <c r="B111" s="162" t="str">
        <f>A66</f>
        <v>CARTÕES</v>
      </c>
      <c r="C111" s="115">
        <f>O66</f>
        <v>0</v>
      </c>
      <c r="D111" s="67"/>
      <c r="E111" s="59"/>
      <c r="G111" s="38" t="s">
        <v>4</v>
      </c>
      <c r="I111" s="128" t="str">
        <f>J107</f>
        <v>Novembro</v>
      </c>
      <c r="J111" s="166">
        <f>VLOOKUP($I$111,Ano!$B$82:$N$95,2,FALSE)</f>
        <v>11675.22</v>
      </c>
      <c r="K111" s="166">
        <f>VLOOKUP($I$111,Ano!$B$82:$N$95,3,FALSE)</f>
        <v>11666.94</v>
      </c>
      <c r="L111" s="166">
        <f>VLOOKUP($I$111,Ano!$B$82:$N$95,4,FALSE)</f>
        <v>8.2799999999988358</v>
      </c>
      <c r="M111" s="164">
        <f>VLOOKUP($I$111,Ano!$B$82:$N$95,5,FALSE)</f>
        <v>0.70234222567112226</v>
      </c>
      <c r="N111" s="166">
        <f>VLOOKUP($I$111,Ano!$B$82:$N$95,6,FALSE)</f>
        <v>0</v>
      </c>
      <c r="O111" s="166">
        <f>VLOOKUP($I$111,Ano!$B$82:$N$95,7,FALSE)</f>
        <v>0</v>
      </c>
      <c r="P111" s="166"/>
      <c r="Q111" s="166"/>
      <c r="R111" s="164">
        <f>VLOOKUP($I$111,Ano!$B$82:$O$95,11,FALSE)</f>
        <v>1.7142455519613541E-2</v>
      </c>
      <c r="S111" s="164">
        <f>VLOOKUP($I$111,Ano!$B$82:$N$95,12,FALSE)</f>
        <v>0.17184454535636592</v>
      </c>
      <c r="T111" s="164">
        <f>VLOOKUP($I$111,Ano!$B$82:$O$95,13,FALSE)</f>
        <v>5.1427366558840622E-2</v>
      </c>
      <c r="U111" s="164">
        <f>VLOOKUP($I$111,Ano!$B$82:$O$95,14,FALSE)</f>
        <v>5.6744956261024736E-2</v>
      </c>
    </row>
    <row r="112" spans="1:21" ht="14.5">
      <c r="B112" s="162" t="str">
        <f>A28</f>
        <v>AUTOMÓVEL</v>
      </c>
      <c r="C112" s="115">
        <f>O28</f>
        <v>6036.12</v>
      </c>
      <c r="D112" s="67"/>
      <c r="E112" s="38" t="s">
        <v>83</v>
      </c>
      <c r="G112" s="38" t="s">
        <v>5</v>
      </c>
      <c r="J112"/>
      <c r="K112"/>
      <c r="L112"/>
    </row>
    <row r="113" spans="2:12" ht="14.5">
      <c r="B113" s="162" t="str">
        <f>A43</f>
        <v>DESPESAS PESSOAIS</v>
      </c>
      <c r="C113" s="115">
        <f>O43</f>
        <v>24064.200000000004</v>
      </c>
      <c r="D113" s="67"/>
      <c r="E113" s="165">
        <f>S111</f>
        <v>0.17184454535636592</v>
      </c>
      <c r="G113" s="38" t="s">
        <v>6</v>
      </c>
      <c r="J113"/>
      <c r="K113"/>
      <c r="L113"/>
    </row>
    <row r="114" spans="2:12" ht="14.5">
      <c r="B114" s="162" t="str">
        <f>A61</f>
        <v>INVESTIMENTOS</v>
      </c>
      <c r="C114" s="115">
        <f>O61</f>
        <v>73500</v>
      </c>
      <c r="D114" s="67"/>
      <c r="E114" s="38"/>
      <c r="G114" s="38" t="s">
        <v>7</v>
      </c>
      <c r="J114"/>
      <c r="K114"/>
      <c r="L114"/>
    </row>
    <row r="115" spans="2:12" ht="14.5">
      <c r="B115" s="162" t="str">
        <f>A36</f>
        <v>DEPENDENTES</v>
      </c>
      <c r="C115" s="115">
        <f>O36</f>
        <v>2400</v>
      </c>
      <c r="D115" s="68"/>
      <c r="E115" s="38" t="s">
        <v>85</v>
      </c>
      <c r="G115" s="38" t="s">
        <v>8</v>
      </c>
      <c r="J115"/>
      <c r="K115"/>
      <c r="L115"/>
    </row>
    <row r="116" spans="2:12" ht="14.5">
      <c r="E116" s="165">
        <f>T111</f>
        <v>5.1427366558840622E-2</v>
      </c>
      <c r="G116" s="38" t="s">
        <v>9</v>
      </c>
      <c r="J116"/>
      <c r="K116"/>
      <c r="L116"/>
    </row>
    <row r="117" spans="2:12" ht="14.5">
      <c r="G117" s="38" t="s">
        <v>10</v>
      </c>
      <c r="J117"/>
      <c r="K117"/>
      <c r="L117"/>
    </row>
    <row r="118" spans="2:12" ht="14.5">
      <c r="E118" s="38" t="s">
        <v>86</v>
      </c>
      <c r="G118" s="38" t="s">
        <v>11</v>
      </c>
      <c r="J118"/>
      <c r="K118"/>
      <c r="L118"/>
    </row>
    <row r="119" spans="2:12" ht="14.5">
      <c r="E119" s="165">
        <f>U111</f>
        <v>5.6744956261024736E-2</v>
      </c>
      <c r="G119" s="131">
        <v>2024</v>
      </c>
      <c r="J119"/>
      <c r="K119"/>
      <c r="L119"/>
    </row>
    <row r="120" spans="2:12" ht="14.5">
      <c r="J120"/>
      <c r="K120"/>
      <c r="L120"/>
    </row>
    <row r="121" spans="2:12" ht="14.5">
      <c r="J121"/>
      <c r="K121"/>
      <c r="L121"/>
    </row>
    <row r="122" spans="2:12" ht="14.5">
      <c r="J122"/>
      <c r="K122"/>
      <c r="L122"/>
    </row>
    <row r="123" spans="2:12" ht="14.5">
      <c r="J123"/>
      <c r="K123"/>
      <c r="L123"/>
    </row>
  </sheetData>
  <mergeCells count="11">
    <mergeCell ref="C1:O1"/>
    <mergeCell ref="A1:B2"/>
    <mergeCell ref="A3:A12"/>
    <mergeCell ref="A16:A26"/>
    <mergeCell ref="A66:A73"/>
    <mergeCell ref="A14:B14"/>
    <mergeCell ref="A28:A34"/>
    <mergeCell ref="A36:A41"/>
    <mergeCell ref="A43:A55"/>
    <mergeCell ref="A57:A59"/>
    <mergeCell ref="A61:A64"/>
  </mergeCells>
  <conditionalFormatting sqref="C76:N80 O78 O80">
    <cfRule type="cellIs" dxfId="243" priority="17" stopIfTrue="1" operator="lessThan">
      <formula>0</formula>
    </cfRule>
  </conditionalFormatting>
  <conditionalFormatting sqref="C83:C94 E83:E94">
    <cfRule type="cellIs" dxfId="242" priority="13" stopIfTrue="1" operator="lessThan">
      <formula>0</formula>
    </cfRule>
  </conditionalFormatting>
  <conditionalFormatting sqref="H83:H94">
    <cfRule type="cellIs" dxfId="241" priority="4" stopIfTrue="1" operator="lessThan">
      <formula>0</formula>
    </cfRule>
  </conditionalFormatting>
  <conditionalFormatting sqref="I83:I94">
    <cfRule type="cellIs" dxfId="240" priority="3" stopIfTrue="1" operator="lessThan">
      <formula>0</formula>
    </cfRule>
  </conditionalFormatting>
  <conditionalFormatting sqref="D83:D94">
    <cfRule type="cellIs" dxfId="239" priority="9" stopIfTrue="1" operator="lessThan">
      <formula>0</formula>
    </cfRule>
  </conditionalFormatting>
  <conditionalFormatting sqref="F83:F94">
    <cfRule type="cellIs" dxfId="238" priority="8" stopIfTrue="1" operator="lessThan">
      <formula>0</formula>
    </cfRule>
  </conditionalFormatting>
  <conditionalFormatting sqref="G83:G94">
    <cfRule type="cellIs" dxfId="237" priority="7" stopIfTrue="1" operator="lessThan">
      <formula>0</formula>
    </cfRule>
  </conditionalFormatting>
  <conditionalFormatting sqref="J83:J94">
    <cfRule type="cellIs" dxfId="236" priority="2" stopIfTrue="1" operator="lessThan">
      <formula>0</formula>
    </cfRule>
  </conditionalFormatting>
  <conditionalFormatting sqref="K83:K94">
    <cfRule type="cellIs" dxfId="235" priority="1" stopIfTrue="1" operator="lessThan">
      <formula>0</formula>
    </cfRule>
  </conditionalFormatting>
  <pageMargins left="0.511811024" right="0.511811024" top="0.78740157499999996" bottom="0.78740157499999996" header="0.31496062000000002" footer="0.31496062000000002"/>
  <pageSetup paperSize="9" orientation="portrait" r:id="rId2"/>
  <ignoredErrors>
    <ignoredError sqref="F95 O50 O78 O47 E67:F67" formula="1"/>
  </ignoredErrors>
  <drawing r:id="rId3"/>
  <legacyDrawing r:id="rId4"/>
  <tableParts count="1">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ilha6"/>
  <dimension ref="A1:Z1241"/>
  <sheetViews>
    <sheetView showGridLines="0" zoomScaleNormal="100" workbookViewId="0">
      <selection activeCell="A12" sqref="A12"/>
    </sheetView>
  </sheetViews>
  <sheetFormatPr defaultRowHeight="14.5"/>
  <cols>
    <col min="2" max="2" width="11.26953125" style="99" bestFit="1" customWidth="1"/>
    <col min="3" max="3" width="10.36328125" style="111" customWidth="1"/>
    <col min="4" max="4" width="16.81640625" style="99" bestFit="1" customWidth="1"/>
    <col min="5" max="5" width="13.26953125" style="655" bestFit="1" customWidth="1"/>
    <col min="6" max="6" width="38.1796875" style="98" bestFit="1" customWidth="1"/>
    <col min="7" max="7" width="47.54296875" bestFit="1" customWidth="1"/>
    <col min="8" max="8" width="18" customWidth="1"/>
    <col min="9" max="9" width="13.81640625" customWidth="1"/>
    <col min="10" max="10" width="5.7265625" customWidth="1"/>
    <col min="11" max="11" width="10.7265625" style="110" bestFit="1" customWidth="1"/>
    <col min="12" max="12" width="11.81640625" style="99" bestFit="1" customWidth="1"/>
    <col min="13" max="13" width="13.26953125" bestFit="1" customWidth="1"/>
    <col min="14" max="14" width="14.453125" bestFit="1" customWidth="1"/>
    <col min="15" max="15" width="29.1796875" bestFit="1" customWidth="1"/>
    <col min="17" max="17" width="18" customWidth="1"/>
    <col min="18" max="18" width="13.81640625" style="108" bestFit="1" customWidth="1"/>
    <col min="20" max="20" width="9" customWidth="1"/>
    <col min="21" max="21" width="13.26953125" style="100" bestFit="1" customWidth="1"/>
    <col min="22" max="22" width="20.453125" style="104" bestFit="1" customWidth="1"/>
    <col min="23" max="23" width="58.7265625" bestFit="1" customWidth="1"/>
    <col min="25" max="25" width="18" bestFit="1" customWidth="1"/>
    <col min="26" max="26" width="13.81640625" style="108" bestFit="1" customWidth="1"/>
  </cols>
  <sheetData>
    <row r="1" spans="1:26">
      <c r="A1" s="603"/>
      <c r="B1" s="600" t="s">
        <v>58</v>
      </c>
      <c r="C1" s="601"/>
      <c r="D1" s="601"/>
      <c r="E1" s="601"/>
      <c r="F1" s="601"/>
      <c r="G1" s="601"/>
      <c r="H1" s="601"/>
      <c r="I1" s="602"/>
      <c r="K1" s="600" t="s">
        <v>74</v>
      </c>
      <c r="L1" s="601"/>
      <c r="M1" s="601"/>
      <c r="N1" s="601"/>
      <c r="O1" s="601"/>
      <c r="P1" s="601"/>
      <c r="Q1" s="601"/>
      <c r="R1" s="602"/>
      <c r="T1" s="600" t="s">
        <v>73</v>
      </c>
      <c r="U1" s="601"/>
      <c r="V1" s="601"/>
      <c r="W1" s="601"/>
      <c r="X1" s="601"/>
      <c r="Y1" s="601"/>
      <c r="Z1" s="602"/>
    </row>
    <row r="2" spans="1:26" s="97" customFormat="1">
      <c r="A2" s="603"/>
      <c r="B2" s="96"/>
      <c r="C2" s="109"/>
      <c r="D2" s="96"/>
      <c r="E2" s="96"/>
      <c r="F2" s="96"/>
      <c r="G2" s="96"/>
      <c r="H2" s="96"/>
      <c r="I2" s="96"/>
      <c r="K2" s="109"/>
      <c r="L2" s="96"/>
      <c r="M2" s="96"/>
      <c r="N2" s="96"/>
      <c r="O2" s="96"/>
      <c r="P2" s="96"/>
      <c r="Q2" s="96"/>
      <c r="R2" s="113"/>
      <c r="U2" s="176"/>
      <c r="V2" s="116"/>
      <c r="Z2" s="117"/>
    </row>
    <row r="3" spans="1:26" ht="111" customHeight="1">
      <c r="A3" s="603"/>
      <c r="E3" s="99"/>
      <c r="Y3" s="198"/>
      <c r="Z3" s="657"/>
    </row>
    <row r="4" spans="1:26">
      <c r="B4" s="599" t="s">
        <v>58</v>
      </c>
      <c r="C4" s="599"/>
      <c r="D4" s="599"/>
      <c r="E4" s="599"/>
      <c r="F4" s="599"/>
      <c r="G4" s="599"/>
      <c r="H4" s="656"/>
      <c r="I4" s="656"/>
      <c r="J4" s="100"/>
      <c r="K4" s="599" t="s">
        <v>59</v>
      </c>
      <c r="L4" s="599"/>
      <c r="M4" s="599"/>
      <c r="N4" s="599"/>
      <c r="O4" s="599"/>
      <c r="P4" s="100"/>
      <c r="Q4" s="656"/>
      <c r="R4" s="656"/>
      <c r="T4" s="599" t="s">
        <v>73</v>
      </c>
      <c r="U4" s="599"/>
      <c r="V4" s="599"/>
      <c r="W4" s="599"/>
      <c r="Y4" s="656"/>
      <c r="Z4" s="656"/>
    </row>
    <row r="5" spans="1:26">
      <c r="B5" s="99" t="s">
        <v>60</v>
      </c>
      <c r="C5" s="111" t="s">
        <v>69</v>
      </c>
      <c r="D5" s="99" t="s">
        <v>70</v>
      </c>
      <c r="E5" s="101" t="s">
        <v>62</v>
      </c>
      <c r="F5" s="99" t="s">
        <v>63</v>
      </c>
      <c r="G5" s="99" t="s">
        <v>64</v>
      </c>
      <c r="H5" s="198"/>
      <c r="I5" s="198"/>
      <c r="K5" s="111" t="s">
        <v>69</v>
      </c>
      <c r="L5" s="99" t="s">
        <v>61</v>
      </c>
      <c r="M5" s="101" t="s">
        <v>62</v>
      </c>
      <c r="N5" s="101" t="s">
        <v>63</v>
      </c>
      <c r="O5" s="99" t="s">
        <v>64</v>
      </c>
      <c r="Q5" s="97"/>
      <c r="R5" s="97"/>
      <c r="T5" s="111" t="s">
        <v>69</v>
      </c>
      <c r="U5" s="248" t="s">
        <v>62</v>
      </c>
      <c r="V5" s="99" t="s">
        <v>63</v>
      </c>
      <c r="W5" s="99" t="s">
        <v>64</v>
      </c>
      <c r="Y5" s="198"/>
      <c r="Z5" s="198"/>
    </row>
    <row r="6" spans="1:26">
      <c r="B6" s="106"/>
      <c r="C6" s="105"/>
      <c r="D6" s="107"/>
      <c r="E6" s="487"/>
      <c r="F6" s="102"/>
      <c r="G6" s="100"/>
      <c r="H6" s="198"/>
      <c r="I6" s="198"/>
      <c r="K6" s="105"/>
      <c r="L6" s="107"/>
      <c r="M6" s="135"/>
      <c r="N6" s="102"/>
      <c r="O6" s="100"/>
      <c r="Q6" s="97"/>
      <c r="R6" s="97"/>
      <c r="T6" s="105"/>
      <c r="U6" s="353"/>
      <c r="V6" s="388"/>
      <c r="W6" s="266"/>
      <c r="Y6" s="198"/>
      <c r="Z6" s="198"/>
    </row>
    <row r="7" spans="1:26">
      <c r="B7" s="106"/>
      <c r="C7" s="105"/>
      <c r="D7" s="107"/>
      <c r="E7" s="487"/>
      <c r="F7" s="102"/>
      <c r="G7" s="100"/>
      <c r="H7" s="198"/>
      <c r="I7" s="198"/>
      <c r="K7" s="105"/>
      <c r="L7" s="107"/>
      <c r="M7" s="112"/>
      <c r="N7" s="102"/>
      <c r="O7" s="100"/>
      <c r="Q7" s="97"/>
      <c r="R7" s="97"/>
      <c r="T7" s="105"/>
      <c r="U7" s="353"/>
      <c r="V7" s="388"/>
      <c r="W7" s="266"/>
      <c r="Y7" s="198"/>
      <c r="Z7" s="198"/>
    </row>
    <row r="8" spans="1:26">
      <c r="B8" s="106"/>
      <c r="C8" s="105"/>
      <c r="D8" s="107"/>
      <c r="E8" s="487"/>
      <c r="F8" s="102"/>
      <c r="G8" s="100"/>
      <c r="H8" s="198"/>
      <c r="I8" s="198"/>
      <c r="K8" s="105"/>
      <c r="L8" s="107"/>
      <c r="M8" s="134"/>
      <c r="N8" s="102"/>
      <c r="O8" s="100"/>
      <c r="Q8" s="97"/>
      <c r="R8" s="97"/>
      <c r="T8" s="470"/>
      <c r="U8" s="471"/>
      <c r="V8" s="388"/>
      <c r="W8" s="266"/>
      <c r="Y8" s="198"/>
      <c r="Z8" s="198"/>
    </row>
    <row r="9" spans="1:26">
      <c r="B9" s="106"/>
      <c r="C9" s="105"/>
      <c r="D9" s="107"/>
      <c r="E9" s="487"/>
      <c r="F9" s="102"/>
      <c r="G9" s="100"/>
      <c r="H9" s="198"/>
      <c r="I9" s="198"/>
      <c r="K9" s="105"/>
      <c r="L9" s="107"/>
      <c r="M9" s="134"/>
      <c r="N9" s="102"/>
      <c r="O9" s="100"/>
      <c r="Q9" s="97"/>
      <c r="R9" s="97"/>
      <c r="T9" s="105"/>
      <c r="U9" s="477"/>
      <c r="V9" s="388"/>
      <c r="W9" s="266"/>
      <c r="Y9" s="198"/>
      <c r="Z9" s="198"/>
    </row>
    <row r="10" spans="1:26">
      <c r="B10" s="106"/>
      <c r="C10" s="105"/>
      <c r="D10" s="107"/>
      <c r="E10" s="254"/>
      <c r="F10" s="102"/>
      <c r="G10" s="100"/>
      <c r="H10" s="198"/>
      <c r="I10" s="198"/>
      <c r="K10" s="105"/>
      <c r="L10" s="107"/>
      <c r="M10" s="134"/>
      <c r="N10" s="102"/>
      <c r="O10" s="100"/>
      <c r="Q10" s="97"/>
      <c r="R10" s="97"/>
      <c r="T10" s="105"/>
      <c r="U10" s="477"/>
      <c r="V10" s="356"/>
      <c r="W10" s="356"/>
      <c r="Y10" s="198"/>
      <c r="Z10" s="198"/>
    </row>
    <row r="11" spans="1:26">
      <c r="B11" s="106"/>
      <c r="C11" s="105"/>
      <c r="D11" s="107"/>
      <c r="E11" s="640"/>
      <c r="F11" s="102"/>
      <c r="G11" s="100"/>
      <c r="H11" s="198"/>
      <c r="I11" s="198"/>
      <c r="K11" s="105"/>
      <c r="L11" s="107"/>
      <c r="M11" s="134"/>
      <c r="N11" s="102"/>
      <c r="O11" s="100"/>
      <c r="Q11" s="97"/>
      <c r="R11" s="97"/>
      <c r="T11" s="105"/>
      <c r="U11" s="477"/>
      <c r="V11" s="356"/>
      <c r="W11" s="356"/>
      <c r="Y11" s="198"/>
      <c r="Z11" s="198"/>
    </row>
    <row r="12" spans="1:26">
      <c r="B12" s="106"/>
      <c r="C12" s="105"/>
      <c r="D12" s="107"/>
      <c r="E12" s="640"/>
      <c r="F12" s="102"/>
      <c r="G12" s="100"/>
      <c r="H12" s="198"/>
      <c r="I12" s="198"/>
      <c r="K12" s="522"/>
      <c r="L12" s="520"/>
      <c r="M12" s="134"/>
      <c r="N12" s="102"/>
      <c r="O12" s="100"/>
      <c r="Q12" s="97"/>
      <c r="R12" s="97"/>
      <c r="T12" s="495"/>
      <c r="U12" s="477"/>
      <c r="V12" s="356"/>
      <c r="W12" s="356"/>
      <c r="Y12" s="198"/>
      <c r="Z12" s="198"/>
    </row>
    <row r="13" spans="1:26">
      <c r="B13" s="106"/>
      <c r="C13" s="105"/>
      <c r="D13" s="107"/>
      <c r="E13" s="640"/>
      <c r="F13" s="102"/>
      <c r="G13" s="100"/>
      <c r="H13" s="198"/>
      <c r="I13" s="198"/>
      <c r="K13" s="522"/>
      <c r="L13" s="520"/>
      <c r="M13" s="134"/>
      <c r="N13" s="102"/>
      <c r="O13" s="100"/>
      <c r="Q13" s="97"/>
      <c r="R13" s="97"/>
      <c r="T13" s="495"/>
      <c r="U13" s="477"/>
      <c r="V13" s="356"/>
      <c r="W13" s="356"/>
      <c r="Y13" s="198"/>
      <c r="Z13" s="198"/>
    </row>
    <row r="14" spans="1:26">
      <c r="B14" s="106"/>
      <c r="C14" s="105"/>
      <c r="D14" s="107"/>
      <c r="E14" s="640"/>
      <c r="F14" s="102"/>
      <c r="G14" s="100"/>
      <c r="H14" s="198"/>
      <c r="I14" s="198"/>
      <c r="K14" s="528"/>
      <c r="L14" s="529"/>
      <c r="M14" s="134"/>
      <c r="N14" s="530"/>
      <c r="O14" s="100"/>
      <c r="Q14" s="97"/>
      <c r="R14" s="97"/>
      <c r="T14" s="105"/>
      <c r="U14" s="477"/>
      <c r="V14" s="356"/>
      <c r="W14" s="356"/>
      <c r="Y14" s="198"/>
      <c r="Z14" s="198"/>
    </row>
    <row r="15" spans="1:26">
      <c r="B15" s="106"/>
      <c r="C15" s="105"/>
      <c r="D15" s="107"/>
      <c r="E15" s="640"/>
      <c r="F15" s="102"/>
      <c r="G15" s="100"/>
      <c r="H15" s="198"/>
      <c r="I15" s="198"/>
      <c r="K15" s="541"/>
      <c r="L15" s="536"/>
      <c r="M15" s="134"/>
      <c r="N15" s="530"/>
      <c r="O15" s="100"/>
      <c r="Q15" s="97"/>
      <c r="R15" s="97"/>
      <c r="T15" s="495"/>
      <c r="U15" s="477"/>
      <c r="V15" s="356"/>
      <c r="W15" s="356"/>
      <c r="Y15" s="198"/>
      <c r="Z15" s="198"/>
    </row>
    <row r="16" spans="1:26">
      <c r="B16" s="106"/>
      <c r="C16" s="105"/>
      <c r="D16" s="107"/>
      <c r="E16" s="640"/>
      <c r="F16" s="102"/>
      <c r="G16" s="100"/>
      <c r="H16" s="198"/>
      <c r="I16" s="198"/>
      <c r="K16" s="105"/>
      <c r="L16" s="107"/>
      <c r="M16" s="134"/>
      <c r="N16" s="530"/>
      <c r="O16" s="100"/>
      <c r="Q16" s="97"/>
      <c r="R16" s="97"/>
      <c r="T16" s="105"/>
      <c r="U16" s="477"/>
      <c r="V16" s="356"/>
      <c r="W16" s="356"/>
      <c r="Y16" s="198"/>
      <c r="Z16" s="198"/>
    </row>
    <row r="17" spans="2:26">
      <c r="B17" s="106"/>
      <c r="C17" s="105"/>
      <c r="D17" s="107"/>
      <c r="E17" s="640"/>
      <c r="F17" s="102"/>
      <c r="G17" s="100"/>
      <c r="H17" s="198"/>
      <c r="I17" s="198"/>
      <c r="K17" s="105"/>
      <c r="L17" s="107"/>
      <c r="M17" s="134"/>
      <c r="N17" s="530"/>
      <c r="O17" s="100"/>
      <c r="Q17" s="97"/>
      <c r="R17" s="97"/>
      <c r="T17" s="511"/>
      <c r="U17" s="477"/>
      <c r="V17" s="356"/>
      <c r="W17" s="356"/>
      <c r="Y17" s="198"/>
      <c r="Z17" s="198"/>
    </row>
    <row r="18" spans="2:26">
      <c r="B18" s="106"/>
      <c r="C18" s="105"/>
      <c r="D18" s="107"/>
      <c r="E18" s="640"/>
      <c r="F18" s="102"/>
      <c r="G18" s="100"/>
      <c r="H18" s="198"/>
      <c r="I18" s="198"/>
      <c r="K18" s="105"/>
      <c r="L18" s="107"/>
      <c r="M18" s="134"/>
      <c r="N18" s="530"/>
      <c r="O18" s="100"/>
      <c r="Q18" s="97"/>
      <c r="R18" s="97"/>
      <c r="T18" s="105"/>
      <c r="U18" s="477"/>
      <c r="V18" s="356"/>
      <c r="W18" s="356"/>
      <c r="Y18" s="198"/>
      <c r="Z18" s="198"/>
    </row>
    <row r="19" spans="2:26">
      <c r="B19" s="106"/>
      <c r="C19" s="105"/>
      <c r="D19" s="107"/>
      <c r="E19" s="641"/>
      <c r="F19" s="102"/>
      <c r="G19" s="100"/>
      <c r="H19" s="198"/>
      <c r="I19" s="198"/>
      <c r="K19" s="105"/>
      <c r="L19" s="107"/>
      <c r="M19" s="102"/>
      <c r="N19" s="530"/>
      <c r="O19" s="100"/>
      <c r="Q19" s="97"/>
      <c r="R19" s="97"/>
      <c r="T19" s="105"/>
      <c r="U19" s="477"/>
      <c r="V19" s="356"/>
      <c r="W19" s="356"/>
      <c r="Y19" s="198"/>
      <c r="Z19" s="657"/>
    </row>
    <row r="20" spans="2:26">
      <c r="B20" s="106"/>
      <c r="C20" s="105"/>
      <c r="D20" s="107"/>
      <c r="E20" s="641"/>
      <c r="F20" s="102"/>
      <c r="G20" s="100"/>
      <c r="H20" s="198"/>
      <c r="I20" s="198"/>
      <c r="K20" s="565"/>
      <c r="L20" s="558"/>
      <c r="M20" s="135"/>
      <c r="N20" s="530"/>
      <c r="O20" s="100"/>
      <c r="Q20" s="97"/>
      <c r="R20" s="97"/>
      <c r="T20" s="522"/>
      <c r="U20" s="477"/>
      <c r="V20" s="356"/>
      <c r="W20" s="356"/>
    </row>
    <row r="21" spans="2:26">
      <c r="B21" s="106"/>
      <c r="C21" s="105"/>
      <c r="D21" s="107"/>
      <c r="E21" s="641"/>
      <c r="F21" s="102"/>
      <c r="G21" s="100"/>
      <c r="H21" s="198"/>
      <c r="I21" s="198"/>
      <c r="K21" s="105"/>
      <c r="L21" s="107"/>
      <c r="M21" s="135"/>
      <c r="N21" s="530"/>
      <c r="O21" s="100"/>
      <c r="Q21" s="97"/>
      <c r="R21" s="97"/>
      <c r="T21" s="105"/>
      <c r="U21" s="477"/>
      <c r="V21" s="356"/>
      <c r="W21" s="356"/>
    </row>
    <row r="22" spans="2:26">
      <c r="B22" s="106"/>
      <c r="C22" s="105"/>
      <c r="D22" s="107"/>
      <c r="E22" s="641"/>
      <c r="F22" s="102"/>
      <c r="G22" s="100"/>
      <c r="H22" s="198"/>
      <c r="I22" s="198"/>
      <c r="K22" s="105"/>
      <c r="L22" s="107"/>
      <c r="M22" s="135"/>
      <c r="N22" s="530"/>
      <c r="O22" s="100"/>
      <c r="T22" s="528"/>
      <c r="U22" s="477"/>
      <c r="V22" s="356"/>
      <c r="W22" s="356"/>
    </row>
    <row r="23" spans="2:26">
      <c r="B23" s="106"/>
      <c r="C23" s="105"/>
      <c r="D23" s="107"/>
      <c r="E23" s="640"/>
      <c r="F23" s="102"/>
      <c r="G23" s="100"/>
      <c r="H23" s="198"/>
      <c r="I23" s="198"/>
      <c r="K23" s="105"/>
      <c r="L23" s="107"/>
      <c r="M23" s="134"/>
      <c r="N23" s="530"/>
      <c r="O23" s="100"/>
      <c r="T23" s="105"/>
      <c r="U23" s="477"/>
      <c r="V23" s="356"/>
      <c r="W23" s="356"/>
    </row>
    <row r="24" spans="2:26">
      <c r="B24" s="106"/>
      <c r="C24" s="105"/>
      <c r="D24" s="107"/>
      <c r="E24" s="640"/>
      <c r="F24" s="102"/>
      <c r="G24" s="100"/>
      <c r="H24" s="198"/>
      <c r="I24" s="198"/>
      <c r="K24" s="565"/>
      <c r="L24" s="558"/>
      <c r="M24" s="559"/>
      <c r="N24" s="559"/>
      <c r="O24" s="560"/>
      <c r="T24" s="105"/>
      <c r="U24" s="471"/>
      <c r="V24" s="356"/>
      <c r="W24" s="356"/>
    </row>
    <row r="25" spans="2:26">
      <c r="B25" s="106"/>
      <c r="C25" s="105"/>
      <c r="D25" s="107"/>
      <c r="E25" s="640"/>
      <c r="F25" s="102"/>
      <c r="G25" s="100"/>
      <c r="H25" s="198"/>
      <c r="I25" s="198"/>
      <c r="K25" s="105"/>
      <c r="L25" s="107"/>
      <c r="M25" s="134"/>
      <c r="N25" s="336"/>
      <c r="O25" s="100"/>
      <c r="T25" s="105"/>
      <c r="U25" s="471"/>
      <c r="V25" s="356"/>
      <c r="W25" s="356"/>
    </row>
    <row r="26" spans="2:26">
      <c r="B26" s="106"/>
      <c r="C26" s="105"/>
      <c r="D26" s="107"/>
      <c r="E26" s="640"/>
      <c r="F26" s="102"/>
      <c r="G26" s="100"/>
      <c r="H26" s="198"/>
      <c r="I26" s="198"/>
      <c r="K26" s="105"/>
      <c r="L26" s="107"/>
      <c r="M26" s="134"/>
      <c r="N26" s="336"/>
      <c r="O26" s="100"/>
      <c r="T26" s="105"/>
      <c r="U26" s="471"/>
      <c r="V26" s="356"/>
      <c r="W26" s="356"/>
    </row>
    <row r="27" spans="2:26">
      <c r="B27" s="106"/>
      <c r="C27" s="105"/>
      <c r="D27" s="107"/>
      <c r="E27" s="640"/>
      <c r="F27" s="102"/>
      <c r="G27" s="100"/>
      <c r="H27" s="198"/>
      <c r="I27" s="198"/>
      <c r="K27" s="105"/>
      <c r="L27" s="107"/>
      <c r="M27" s="134"/>
      <c r="N27" s="336"/>
      <c r="O27" s="100"/>
      <c r="T27" s="105"/>
      <c r="U27" s="477"/>
      <c r="V27" s="356"/>
      <c r="W27" s="356"/>
    </row>
    <row r="28" spans="2:26">
      <c r="B28" s="106"/>
      <c r="C28" s="105"/>
      <c r="D28" s="107"/>
      <c r="E28" s="640"/>
      <c r="F28" s="102"/>
      <c r="G28" s="100"/>
      <c r="H28" s="198"/>
      <c r="I28" s="198"/>
      <c r="K28" s="338"/>
      <c r="L28" s="339"/>
      <c r="M28" s="134"/>
      <c r="N28" s="336"/>
      <c r="O28" s="100"/>
      <c r="T28" s="105"/>
      <c r="U28" s="471"/>
      <c r="V28" s="356"/>
      <c r="W28" s="356"/>
    </row>
    <row r="29" spans="2:26">
      <c r="B29" s="106"/>
      <c r="C29" s="105"/>
      <c r="D29" s="107"/>
      <c r="E29" s="640"/>
      <c r="F29" s="102"/>
      <c r="G29" s="100"/>
      <c r="H29" s="198"/>
      <c r="I29" s="198"/>
      <c r="K29" s="338"/>
      <c r="L29" s="339"/>
      <c r="M29" s="134"/>
      <c r="N29" s="336"/>
      <c r="O29" s="100"/>
      <c r="T29" s="105"/>
      <c r="U29" s="471"/>
      <c r="V29" s="356"/>
      <c r="W29" s="356"/>
    </row>
    <row r="30" spans="2:26">
      <c r="B30" s="106"/>
      <c r="C30" s="105"/>
      <c r="D30" s="107"/>
      <c r="E30" s="640"/>
      <c r="F30" s="102"/>
      <c r="G30" s="100"/>
      <c r="H30" s="198"/>
      <c r="I30" s="198"/>
      <c r="K30" s="338"/>
      <c r="L30" s="339"/>
      <c r="M30" s="134"/>
      <c r="N30" s="336"/>
      <c r="O30" s="100"/>
      <c r="T30" s="105"/>
      <c r="U30" s="471"/>
      <c r="V30" s="356"/>
      <c r="W30" s="356"/>
    </row>
    <row r="31" spans="2:26">
      <c r="B31" s="106"/>
      <c r="C31" s="105"/>
      <c r="D31" s="107"/>
      <c r="E31" s="640"/>
      <c r="F31" s="102"/>
      <c r="G31" s="100"/>
      <c r="H31" s="198"/>
      <c r="I31" s="198"/>
      <c r="K31" s="105"/>
      <c r="L31" s="107"/>
      <c r="M31" s="134"/>
      <c r="N31" s="336"/>
      <c r="O31" s="100"/>
      <c r="T31" s="541"/>
      <c r="U31" s="343"/>
      <c r="V31" s="356"/>
      <c r="W31" s="356"/>
    </row>
    <row r="32" spans="2:26">
      <c r="B32" s="106"/>
      <c r="C32" s="105"/>
      <c r="D32" s="107"/>
      <c r="E32" s="641"/>
      <c r="F32" s="102"/>
      <c r="G32" s="100"/>
      <c r="H32" s="198"/>
      <c r="I32" s="198"/>
      <c r="K32" s="105"/>
      <c r="L32" s="107"/>
      <c r="M32" s="134"/>
      <c r="N32" s="102"/>
      <c r="O32" s="100"/>
      <c r="T32" s="105"/>
      <c r="U32" s="343"/>
      <c r="V32" s="356"/>
      <c r="W32" s="356"/>
    </row>
    <row r="33" spans="2:23">
      <c r="B33" s="106"/>
      <c r="C33" s="105"/>
      <c r="D33" s="107"/>
      <c r="E33" s="641"/>
      <c r="F33" s="102"/>
      <c r="G33" s="100"/>
      <c r="H33" s="198"/>
      <c r="I33" s="198"/>
      <c r="K33" s="338"/>
      <c r="L33" s="339"/>
      <c r="M33" s="134"/>
      <c r="N33" s="102"/>
      <c r="O33" s="100"/>
      <c r="T33" s="105"/>
      <c r="U33" s="477"/>
      <c r="V33" s="356"/>
      <c r="W33" s="356"/>
    </row>
    <row r="34" spans="2:23">
      <c r="B34" s="106"/>
      <c r="C34" s="105"/>
      <c r="D34" s="107"/>
      <c r="E34" s="641"/>
      <c r="F34" s="102"/>
      <c r="G34" s="100"/>
      <c r="H34" s="198"/>
      <c r="I34" s="198"/>
      <c r="K34" s="338"/>
      <c r="L34" s="339"/>
      <c r="M34" s="134"/>
      <c r="N34" s="341"/>
      <c r="O34" s="340"/>
      <c r="T34" s="105"/>
      <c r="U34" s="477"/>
      <c r="V34" s="356"/>
      <c r="W34" s="356"/>
    </row>
    <row r="35" spans="2:23">
      <c r="B35" s="106"/>
      <c r="C35" s="105"/>
      <c r="D35" s="107"/>
      <c r="E35" s="641"/>
      <c r="F35" s="102"/>
      <c r="G35" s="100"/>
      <c r="H35" s="198"/>
      <c r="I35" s="198"/>
      <c r="K35" s="338"/>
      <c r="L35" s="339"/>
      <c r="M35" s="134"/>
      <c r="N35" s="341"/>
      <c r="O35" s="100"/>
      <c r="T35" s="105"/>
      <c r="U35" s="471"/>
      <c r="V35" s="356"/>
      <c r="W35" s="356"/>
    </row>
    <row r="36" spans="2:23">
      <c r="B36" s="106"/>
      <c r="C36" s="105"/>
      <c r="D36" s="107"/>
      <c r="E36" s="640"/>
      <c r="F36" s="102"/>
      <c r="G36" s="100"/>
      <c r="H36" s="198"/>
      <c r="I36" s="198"/>
      <c r="K36" s="338"/>
      <c r="L36" s="339"/>
      <c r="M36" s="134"/>
      <c r="N36" s="341"/>
      <c r="O36" s="100"/>
      <c r="T36" s="105"/>
      <c r="U36" s="471"/>
      <c r="V36" s="356"/>
      <c r="W36" s="356"/>
    </row>
    <row r="37" spans="2:23">
      <c r="B37" s="106"/>
      <c r="C37" s="105"/>
      <c r="D37" s="107"/>
      <c r="E37" s="640"/>
      <c r="F37" s="102"/>
      <c r="G37" s="100"/>
      <c r="H37" s="198"/>
      <c r="I37" s="198"/>
      <c r="K37" s="347"/>
      <c r="L37" s="348"/>
      <c r="M37" s="134"/>
      <c r="N37" s="341"/>
      <c r="O37" s="100"/>
      <c r="T37" s="105"/>
      <c r="U37" s="477"/>
      <c r="V37" s="356"/>
      <c r="W37" s="356"/>
    </row>
    <row r="38" spans="2:23">
      <c r="B38" s="106"/>
      <c r="C38" s="105"/>
      <c r="D38" s="107"/>
      <c r="E38" s="640"/>
      <c r="F38" s="102"/>
      <c r="G38" s="100"/>
      <c r="H38" s="198"/>
      <c r="I38" s="198"/>
      <c r="K38" s="105"/>
      <c r="L38" s="107"/>
      <c r="M38" s="134"/>
      <c r="N38" s="341"/>
      <c r="O38" s="100"/>
      <c r="T38" s="105"/>
      <c r="U38" s="477"/>
      <c r="V38" s="356"/>
      <c r="W38" s="356"/>
    </row>
    <row r="39" spans="2:23">
      <c r="B39" s="106"/>
      <c r="C39" s="105"/>
      <c r="D39" s="107"/>
      <c r="E39" s="640"/>
      <c r="F39" s="102"/>
      <c r="G39" s="100"/>
      <c r="H39" s="198"/>
      <c r="I39" s="198"/>
      <c r="K39" s="347"/>
      <c r="L39" s="348"/>
      <c r="M39" s="350"/>
      <c r="N39" s="341"/>
      <c r="O39" s="100"/>
      <c r="T39" s="541"/>
      <c r="U39" s="477"/>
      <c r="V39" s="356"/>
      <c r="W39" s="356"/>
    </row>
    <row r="40" spans="2:23">
      <c r="B40" s="106"/>
      <c r="C40" s="105"/>
      <c r="D40" s="107"/>
      <c r="E40" s="640"/>
      <c r="F40" s="102"/>
      <c r="G40" s="100"/>
      <c r="H40" s="198"/>
      <c r="I40" s="198"/>
      <c r="K40" s="105"/>
      <c r="L40" s="107"/>
      <c r="M40" s="134"/>
      <c r="N40" s="341"/>
      <c r="O40" s="100"/>
      <c r="T40" s="541"/>
      <c r="U40" s="477"/>
      <c r="V40" s="356"/>
      <c r="W40" s="356"/>
    </row>
    <row r="41" spans="2:23">
      <c r="B41" s="106"/>
      <c r="C41" s="105"/>
      <c r="D41" s="107"/>
      <c r="E41" s="640"/>
      <c r="F41" s="102"/>
      <c r="G41" s="100"/>
      <c r="K41" s="347"/>
      <c r="L41" s="348"/>
      <c r="M41" s="134"/>
      <c r="N41" s="341"/>
      <c r="O41" s="100"/>
      <c r="T41" s="541"/>
      <c r="U41" s="343"/>
      <c r="V41" s="356"/>
      <c r="W41" s="356"/>
    </row>
    <row r="42" spans="2:23">
      <c r="B42" s="106"/>
      <c r="C42" s="105"/>
      <c r="D42" s="107"/>
      <c r="E42" s="640"/>
      <c r="F42" s="102"/>
      <c r="G42" s="100"/>
      <c r="K42" s="347"/>
      <c r="L42" s="348"/>
      <c r="M42" s="352"/>
      <c r="N42" s="341"/>
      <c r="O42" s="100"/>
      <c r="T42" s="105"/>
      <c r="U42" s="477"/>
      <c r="V42" s="356"/>
      <c r="W42" s="356"/>
    </row>
    <row r="43" spans="2:23">
      <c r="B43" s="106"/>
      <c r="C43" s="105"/>
      <c r="D43" s="107"/>
      <c r="E43" s="640"/>
      <c r="F43" s="102"/>
      <c r="G43" s="100"/>
      <c r="K43" s="258"/>
      <c r="L43" s="257"/>
      <c r="M43" s="134"/>
      <c r="N43" s="102"/>
      <c r="O43" s="100"/>
      <c r="T43" s="541"/>
      <c r="U43" s="477"/>
      <c r="V43" s="356"/>
      <c r="W43" s="356"/>
    </row>
    <row r="44" spans="2:23">
      <c r="B44" s="106"/>
      <c r="C44" s="105"/>
      <c r="D44" s="107"/>
      <c r="E44" s="640"/>
      <c r="F44" s="102"/>
      <c r="G44" s="100"/>
      <c r="K44" s="105"/>
      <c r="L44" s="107"/>
      <c r="M44" s="134"/>
      <c r="N44" s="102"/>
      <c r="O44" s="100"/>
      <c r="T44" s="105"/>
      <c r="U44" s="343"/>
      <c r="V44" s="356"/>
      <c r="W44" s="356"/>
    </row>
    <row r="45" spans="2:23">
      <c r="B45" s="106"/>
      <c r="C45" s="105"/>
      <c r="D45" s="107"/>
      <c r="E45" s="641"/>
      <c r="F45" s="102"/>
      <c r="G45" s="100"/>
      <c r="K45" s="105"/>
      <c r="L45" s="260"/>
      <c r="M45" s="134"/>
      <c r="N45" s="102"/>
      <c r="O45" s="100"/>
      <c r="T45" s="105"/>
      <c r="U45" s="477"/>
      <c r="V45" s="356"/>
      <c r="W45" s="356"/>
    </row>
    <row r="46" spans="2:23">
      <c r="B46" s="106"/>
      <c r="C46" s="105"/>
      <c r="D46" s="107"/>
      <c r="E46" s="641"/>
      <c r="F46" s="102"/>
      <c r="G46" s="100"/>
      <c r="K46" s="263"/>
      <c r="L46" s="260"/>
      <c r="M46" s="134"/>
      <c r="N46" s="102"/>
      <c r="O46" s="100"/>
      <c r="T46" s="105"/>
      <c r="U46" s="343"/>
      <c r="V46" s="356"/>
      <c r="W46" s="356"/>
    </row>
    <row r="47" spans="2:23">
      <c r="B47" s="106"/>
      <c r="C47" s="105"/>
      <c r="D47" s="107"/>
      <c r="E47" s="641"/>
      <c r="F47" s="102"/>
      <c r="G47" s="100"/>
      <c r="K47" s="263"/>
      <c r="L47" s="260"/>
      <c r="M47" s="135"/>
      <c r="N47" s="102"/>
      <c r="O47" s="102"/>
      <c r="T47" s="105"/>
      <c r="U47" s="343"/>
      <c r="V47" s="356"/>
      <c r="W47" s="356"/>
    </row>
    <row r="48" spans="2:23">
      <c r="B48" s="106"/>
      <c r="C48" s="105"/>
      <c r="D48" s="107"/>
      <c r="E48" s="641"/>
      <c r="F48" s="102"/>
      <c r="G48" s="100"/>
      <c r="K48" s="263"/>
      <c r="L48" s="260"/>
      <c r="M48" s="135"/>
      <c r="N48" s="261"/>
      <c r="O48" s="102"/>
      <c r="T48" s="105"/>
      <c r="U48" s="343"/>
      <c r="V48" s="356"/>
      <c r="W48" s="356"/>
    </row>
    <row r="49" spans="2:23">
      <c r="B49" s="106"/>
      <c r="C49" s="105"/>
      <c r="D49" s="107"/>
      <c r="E49" s="640"/>
      <c r="F49" s="102"/>
      <c r="G49" s="100"/>
      <c r="K49" s="263"/>
      <c r="L49" s="260"/>
      <c r="M49" s="135"/>
      <c r="N49" s="261"/>
      <c r="O49" s="100"/>
      <c r="T49" s="338"/>
      <c r="U49" s="343"/>
      <c r="V49" s="356"/>
      <c r="W49" s="356"/>
    </row>
    <row r="50" spans="2:23">
      <c r="B50" s="106"/>
      <c r="C50" s="105"/>
      <c r="D50" s="107"/>
      <c r="E50" s="640"/>
      <c r="F50" s="102"/>
      <c r="G50" s="100"/>
      <c r="K50" s="105"/>
      <c r="L50" s="107"/>
      <c r="M50" s="134"/>
      <c r="N50" s="261"/>
      <c r="O50" s="100"/>
      <c r="T50" s="105"/>
      <c r="U50" s="334"/>
      <c r="V50" s="356"/>
      <c r="W50" s="356"/>
    </row>
    <row r="51" spans="2:23">
      <c r="B51" s="106"/>
      <c r="C51" s="105"/>
      <c r="D51" s="107"/>
      <c r="E51" s="640"/>
      <c r="F51" s="102"/>
      <c r="G51" s="100"/>
      <c r="K51" s="105"/>
      <c r="L51" s="107"/>
      <c r="M51" s="134"/>
      <c r="N51" s="261"/>
      <c r="O51" s="100"/>
      <c r="T51" s="105"/>
      <c r="U51" s="334"/>
      <c r="V51" s="356"/>
      <c r="W51" s="356"/>
    </row>
    <row r="52" spans="2:23">
      <c r="B52" s="106"/>
      <c r="C52" s="105"/>
      <c r="D52" s="107"/>
      <c r="E52" s="640"/>
      <c r="F52" s="102"/>
      <c r="G52" s="100"/>
      <c r="K52" s="105"/>
      <c r="L52" s="260"/>
      <c r="M52" s="134"/>
      <c r="N52" s="261"/>
      <c r="O52" s="262"/>
      <c r="T52" s="105"/>
      <c r="U52" s="318"/>
      <c r="V52" s="356"/>
      <c r="W52" s="356"/>
    </row>
    <row r="53" spans="2:23">
      <c r="B53" s="106"/>
      <c r="C53" s="105"/>
      <c r="D53" s="107"/>
      <c r="E53" s="640"/>
      <c r="F53" s="102"/>
      <c r="G53" s="100"/>
      <c r="K53" s="263"/>
      <c r="L53" s="260"/>
      <c r="M53" s="134"/>
      <c r="N53" s="261"/>
      <c r="O53" s="100"/>
      <c r="T53" s="105"/>
      <c r="U53" s="334"/>
      <c r="V53" s="356"/>
      <c r="W53" s="356"/>
    </row>
    <row r="54" spans="2:23">
      <c r="B54" s="106"/>
      <c r="C54" s="105"/>
      <c r="D54" s="107"/>
      <c r="E54" s="640"/>
      <c r="F54" s="102"/>
      <c r="G54" s="100"/>
      <c r="K54" s="263"/>
      <c r="L54" s="260"/>
      <c r="M54" s="134"/>
      <c r="N54" s="261"/>
      <c r="O54" s="100"/>
      <c r="T54" s="338"/>
      <c r="U54" s="334"/>
      <c r="V54" s="356"/>
      <c r="W54" s="356"/>
    </row>
    <row r="55" spans="2:23">
      <c r="B55" s="106"/>
      <c r="C55" s="105"/>
      <c r="D55" s="107"/>
      <c r="E55" s="640"/>
      <c r="F55" s="102"/>
      <c r="G55" s="100"/>
      <c r="K55" s="263"/>
      <c r="L55" s="260"/>
      <c r="M55" s="134"/>
      <c r="N55" s="261"/>
      <c r="O55" s="100"/>
      <c r="T55" s="105"/>
      <c r="U55" s="318"/>
      <c r="V55" s="356"/>
      <c r="W55" s="356"/>
    </row>
    <row r="56" spans="2:23">
      <c r="B56" s="106"/>
      <c r="C56" s="105"/>
      <c r="D56" s="107"/>
      <c r="E56" s="640"/>
      <c r="F56" s="102"/>
      <c r="G56" s="100"/>
      <c r="K56" s="263"/>
      <c r="L56" s="260"/>
      <c r="M56" s="134"/>
      <c r="N56" s="261"/>
      <c r="O56" s="100"/>
      <c r="T56" s="105"/>
      <c r="U56" s="334"/>
      <c r="V56" s="356"/>
      <c r="W56" s="356"/>
    </row>
    <row r="57" spans="2:23">
      <c r="B57" s="106"/>
      <c r="C57" s="105"/>
      <c r="D57" s="107"/>
      <c r="E57" s="640"/>
      <c r="F57" s="102"/>
      <c r="G57" s="100"/>
      <c r="K57" s="263"/>
      <c r="L57" s="260"/>
      <c r="M57" s="134"/>
      <c r="N57" s="261"/>
      <c r="O57" s="100"/>
      <c r="T57" s="105"/>
      <c r="U57" s="334"/>
      <c r="V57" s="356"/>
      <c r="W57" s="356"/>
    </row>
    <row r="58" spans="2:23">
      <c r="B58" s="106"/>
      <c r="C58" s="105"/>
      <c r="D58" s="107"/>
      <c r="E58" s="641"/>
      <c r="F58" s="102"/>
      <c r="G58" s="100"/>
      <c r="K58" s="263"/>
      <c r="L58" s="107"/>
      <c r="M58" s="135"/>
      <c r="N58" s="261"/>
      <c r="O58" s="100"/>
      <c r="T58" s="105"/>
      <c r="U58" s="334"/>
      <c r="V58" s="356"/>
      <c r="W58" s="356"/>
    </row>
    <row r="59" spans="2:23">
      <c r="B59" s="106"/>
      <c r="C59" s="105"/>
      <c r="D59" s="107"/>
      <c r="E59" s="641"/>
      <c r="F59" s="102"/>
      <c r="G59" s="100"/>
      <c r="K59" s="105"/>
      <c r="L59" s="107"/>
      <c r="M59" s="134"/>
      <c r="N59" s="261"/>
      <c r="O59" s="100"/>
      <c r="T59" s="347"/>
      <c r="U59" s="334"/>
      <c r="V59" s="356"/>
      <c r="W59" s="356"/>
    </row>
    <row r="60" spans="2:23">
      <c r="B60" s="106"/>
      <c r="C60" s="532"/>
      <c r="D60" s="107"/>
      <c r="E60" s="641"/>
      <c r="F60" s="102"/>
      <c r="G60" s="100"/>
      <c r="K60" s="105"/>
      <c r="L60" s="107"/>
      <c r="M60" s="134"/>
      <c r="N60" s="261"/>
      <c r="O60" s="100"/>
      <c r="T60" s="105"/>
      <c r="U60" s="334"/>
      <c r="V60" s="356"/>
      <c r="W60" s="356"/>
    </row>
    <row r="61" spans="2:23">
      <c r="B61" s="106"/>
      <c r="C61" s="105"/>
      <c r="D61" s="107"/>
      <c r="E61" s="640"/>
      <c r="F61" s="102"/>
      <c r="G61" s="100"/>
      <c r="K61" s="105"/>
      <c r="L61" s="268"/>
      <c r="M61" s="134"/>
      <c r="N61" s="261"/>
      <c r="O61" s="100"/>
      <c r="T61" s="347"/>
      <c r="U61" s="343"/>
      <c r="V61" s="356"/>
      <c r="W61" s="356"/>
    </row>
    <row r="62" spans="2:23">
      <c r="B62" s="106"/>
      <c r="C62" s="105"/>
      <c r="D62" s="107"/>
      <c r="E62" s="640"/>
      <c r="F62" s="102"/>
      <c r="G62" s="100"/>
      <c r="K62" s="271"/>
      <c r="L62" s="270"/>
      <c r="M62" s="134"/>
      <c r="N62" s="261"/>
      <c r="O62" s="100"/>
      <c r="T62" s="105"/>
      <c r="U62" s="343"/>
      <c r="V62" s="356"/>
      <c r="W62" s="356"/>
    </row>
    <row r="63" spans="2:23">
      <c r="B63" s="106"/>
      <c r="C63" s="105"/>
      <c r="D63" s="107"/>
      <c r="E63" s="640"/>
      <c r="F63" s="102"/>
      <c r="G63" s="100"/>
      <c r="K63" s="271"/>
      <c r="L63" s="270"/>
      <c r="M63" s="134"/>
      <c r="N63" s="261"/>
      <c r="O63" s="100"/>
      <c r="T63" s="347"/>
      <c r="U63" s="334"/>
      <c r="V63" s="356"/>
      <c r="W63" s="356"/>
    </row>
    <row r="64" spans="2:23">
      <c r="B64" s="106"/>
      <c r="C64" s="105"/>
      <c r="D64" s="107"/>
      <c r="E64" s="640"/>
      <c r="F64" s="102"/>
      <c r="G64" s="100"/>
      <c r="K64" s="105"/>
      <c r="L64" s="107"/>
      <c r="M64" s="134"/>
      <c r="N64" s="261"/>
      <c r="O64" s="100"/>
      <c r="T64" s="105"/>
      <c r="U64" s="319"/>
      <c r="V64" s="356"/>
      <c r="W64" s="356"/>
    </row>
    <row r="65" spans="2:23">
      <c r="B65" s="106"/>
      <c r="C65" s="105"/>
      <c r="D65" s="107"/>
      <c r="E65" s="640"/>
      <c r="F65" s="102"/>
      <c r="G65" s="100"/>
      <c r="K65" s="105"/>
      <c r="L65" s="107"/>
      <c r="M65" s="134"/>
      <c r="N65" s="261"/>
      <c r="O65" s="100"/>
      <c r="T65" s="105"/>
      <c r="U65" s="330"/>
      <c r="V65" s="356"/>
      <c r="W65" s="356"/>
    </row>
    <row r="66" spans="2:23">
      <c r="B66" s="106"/>
      <c r="C66" s="105"/>
      <c r="D66" s="107"/>
      <c r="E66" s="640"/>
      <c r="F66" s="102"/>
      <c r="G66" s="100"/>
      <c r="K66" s="276"/>
      <c r="L66" s="277"/>
      <c r="M66" s="173"/>
      <c r="N66" s="261"/>
      <c r="O66" s="136"/>
      <c r="T66" s="105"/>
      <c r="U66" s="330"/>
      <c r="V66" s="356"/>
      <c r="W66" s="356"/>
    </row>
    <row r="67" spans="2:23">
      <c r="B67" s="106"/>
      <c r="C67" s="105"/>
      <c r="D67" s="107"/>
      <c r="E67" s="640"/>
      <c r="F67" s="102"/>
      <c r="G67" s="100"/>
      <c r="K67" s="276"/>
      <c r="L67" s="275"/>
      <c r="M67" s="134"/>
      <c r="N67" s="261"/>
      <c r="O67" s="100"/>
      <c r="T67" s="105"/>
      <c r="U67" s="330"/>
      <c r="V67" s="356"/>
      <c r="W67" s="356"/>
    </row>
    <row r="68" spans="2:23">
      <c r="B68" s="106"/>
      <c r="C68" s="105"/>
      <c r="D68" s="107"/>
      <c r="E68" s="640"/>
      <c r="F68" s="102"/>
      <c r="G68" s="100"/>
      <c r="K68" s="276"/>
      <c r="L68" s="275"/>
      <c r="M68" s="134"/>
      <c r="N68" s="261"/>
      <c r="O68" s="100"/>
      <c r="T68" s="105"/>
      <c r="U68" s="330"/>
      <c r="V68" s="356"/>
      <c r="W68" s="356"/>
    </row>
    <row r="69" spans="2:23">
      <c r="B69" s="106"/>
      <c r="C69" s="105"/>
      <c r="D69" s="107"/>
      <c r="E69" s="640"/>
      <c r="F69" s="102"/>
      <c r="G69" s="100"/>
      <c r="K69" s="276"/>
      <c r="L69" s="275"/>
      <c r="M69" s="134"/>
      <c r="N69" s="261"/>
      <c r="O69" s="100"/>
      <c r="T69" s="105"/>
      <c r="U69" s="330"/>
      <c r="V69" s="356"/>
      <c r="W69" s="356"/>
    </row>
    <row r="70" spans="2:23">
      <c r="B70" s="106"/>
      <c r="C70" s="105"/>
      <c r="D70" s="107"/>
      <c r="E70" s="640"/>
      <c r="F70" s="102"/>
      <c r="G70" s="100"/>
      <c r="K70" s="276"/>
      <c r="L70" s="275"/>
      <c r="M70" s="134"/>
      <c r="N70" s="261"/>
      <c r="O70" s="100"/>
      <c r="T70" s="105"/>
      <c r="U70" s="330"/>
      <c r="V70" s="356"/>
      <c r="W70" s="356"/>
    </row>
    <row r="71" spans="2:23">
      <c r="B71" s="335"/>
      <c r="C71" s="332"/>
      <c r="D71" s="333"/>
      <c r="E71" s="641"/>
      <c r="F71" s="102"/>
      <c r="G71" s="100"/>
      <c r="K71" s="105"/>
      <c r="L71" s="107"/>
      <c r="M71" s="134"/>
      <c r="N71" s="102"/>
      <c r="O71" s="102"/>
      <c r="T71" s="105"/>
      <c r="U71" s="330"/>
      <c r="V71" s="356"/>
      <c r="W71" s="356"/>
    </row>
    <row r="72" spans="2:23">
      <c r="B72" s="335"/>
      <c r="C72" s="332"/>
      <c r="D72" s="333"/>
      <c r="E72" s="641"/>
      <c r="F72" s="102"/>
      <c r="G72" s="100"/>
      <c r="K72" s="179"/>
      <c r="L72" s="178"/>
      <c r="M72" s="134"/>
      <c r="N72" s="102"/>
      <c r="O72" s="100"/>
      <c r="T72" s="258"/>
      <c r="U72" s="173"/>
      <c r="V72" s="259"/>
      <c r="W72" s="100"/>
    </row>
    <row r="73" spans="2:23">
      <c r="B73" s="335"/>
      <c r="C73" s="332"/>
      <c r="D73" s="333"/>
      <c r="E73" s="641"/>
      <c r="F73" s="102"/>
      <c r="G73" s="100"/>
      <c r="K73" s="179"/>
      <c r="L73" s="178"/>
      <c r="M73" s="134"/>
      <c r="N73" s="102"/>
      <c r="O73" s="177"/>
      <c r="T73" s="258"/>
      <c r="U73" s="173"/>
      <c r="V73" s="259"/>
      <c r="W73" s="100"/>
    </row>
    <row r="74" spans="2:23">
      <c r="B74" s="337"/>
      <c r="C74" s="338"/>
      <c r="D74" s="339"/>
      <c r="E74" s="641"/>
      <c r="F74" s="341"/>
      <c r="G74" s="340"/>
      <c r="K74" s="181"/>
      <c r="L74" s="182"/>
      <c r="M74" s="134"/>
      <c r="N74" s="102"/>
      <c r="O74" s="102"/>
      <c r="T74" s="105"/>
      <c r="U74" s="173"/>
      <c r="V74" s="205"/>
      <c r="W74" s="100"/>
    </row>
    <row r="75" spans="2:23">
      <c r="B75" s="337"/>
      <c r="C75" s="338"/>
      <c r="D75" s="339"/>
      <c r="E75" s="641"/>
      <c r="F75" s="341"/>
      <c r="G75" s="340"/>
      <c r="K75" s="181"/>
      <c r="L75" s="182"/>
      <c r="M75" s="134"/>
      <c r="N75" s="102"/>
      <c r="O75" s="100"/>
      <c r="T75" s="263"/>
      <c r="U75" s="353"/>
      <c r="V75" s="354"/>
      <c r="W75" s="355"/>
    </row>
    <row r="76" spans="2:23">
      <c r="B76" s="337"/>
      <c r="C76" s="338"/>
      <c r="D76" s="339"/>
      <c r="E76" s="641"/>
      <c r="F76" s="102"/>
      <c r="G76" s="100"/>
      <c r="K76" s="105"/>
      <c r="L76" s="107"/>
      <c r="M76" s="134"/>
      <c r="N76" s="102"/>
      <c r="O76" s="100"/>
      <c r="T76" s="185"/>
      <c r="U76" s="269"/>
      <c r="V76" s="356"/>
      <c r="W76" s="180"/>
    </row>
    <row r="77" spans="2:23">
      <c r="B77" s="337"/>
      <c r="C77" s="338"/>
      <c r="D77" s="339"/>
      <c r="E77" s="641"/>
      <c r="F77" s="102"/>
      <c r="G77" s="100"/>
      <c r="K77" s="183"/>
      <c r="L77" s="184"/>
      <c r="M77" s="134"/>
      <c r="N77" s="102"/>
      <c r="O77" s="100"/>
      <c r="T77" s="105"/>
      <c r="U77" s="353"/>
      <c r="V77" s="356"/>
      <c r="W77" s="180"/>
    </row>
    <row r="78" spans="2:23">
      <c r="B78" s="337"/>
      <c r="C78" s="338"/>
      <c r="D78" s="339"/>
      <c r="E78" s="641"/>
      <c r="F78" s="102"/>
      <c r="G78" s="100"/>
      <c r="K78" s="181"/>
      <c r="L78" s="184"/>
      <c r="M78" s="134"/>
      <c r="N78" s="102"/>
      <c r="O78" s="100"/>
      <c r="T78" s="105"/>
      <c r="U78" s="353"/>
      <c r="V78" s="356"/>
      <c r="W78" s="180"/>
    </row>
    <row r="79" spans="2:23">
      <c r="B79" s="337"/>
      <c r="C79" s="338"/>
      <c r="D79" s="339"/>
      <c r="E79" s="641"/>
      <c r="F79" s="102"/>
      <c r="G79" s="100"/>
      <c r="K79" s="181"/>
      <c r="L79" s="182"/>
      <c r="M79" s="134"/>
      <c r="N79" s="102"/>
      <c r="O79" s="100"/>
      <c r="T79" s="105"/>
      <c r="U79" s="353"/>
      <c r="V79" s="356"/>
      <c r="W79" s="180"/>
    </row>
    <row r="80" spans="2:23">
      <c r="B80" s="337"/>
      <c r="C80" s="338"/>
      <c r="D80" s="339"/>
      <c r="E80" s="642"/>
      <c r="F80" s="102"/>
      <c r="G80" s="100"/>
      <c r="K80" s="105"/>
      <c r="L80" s="130"/>
      <c r="M80" s="173"/>
      <c r="N80" s="102"/>
      <c r="O80" s="102"/>
      <c r="T80" s="105"/>
      <c r="U80" s="353"/>
      <c r="V80" s="356"/>
      <c r="W80" s="357"/>
    </row>
    <row r="81" spans="2:23">
      <c r="B81" s="337"/>
      <c r="C81" s="338"/>
      <c r="D81" s="339"/>
      <c r="E81" s="642"/>
      <c r="F81" s="102"/>
      <c r="G81" s="100"/>
      <c r="K81" s="105"/>
      <c r="L81" s="130"/>
      <c r="M81" s="173"/>
      <c r="N81" s="102"/>
      <c r="O81" s="136"/>
      <c r="T81" s="105"/>
      <c r="U81" s="353"/>
      <c r="V81" s="356"/>
      <c r="W81" s="357"/>
    </row>
    <row r="82" spans="2:23">
      <c r="B82" s="337"/>
      <c r="C82" s="338"/>
      <c r="D82" s="339"/>
      <c r="E82" s="642"/>
      <c r="F82" s="102"/>
      <c r="G82" s="100"/>
      <c r="K82" s="105"/>
      <c r="L82" s="130"/>
      <c r="M82" s="173"/>
      <c r="N82" s="102"/>
      <c r="O82" s="136"/>
      <c r="T82" s="267"/>
      <c r="U82" s="353"/>
      <c r="V82" s="356"/>
      <c r="W82" s="357"/>
    </row>
    <row r="83" spans="2:23">
      <c r="B83" s="337"/>
      <c r="C83" s="338"/>
      <c r="D83" s="339"/>
      <c r="E83" s="642"/>
      <c r="F83" s="102"/>
      <c r="G83" s="100"/>
      <c r="K83" s="105"/>
      <c r="L83" s="130"/>
      <c r="M83" s="173"/>
      <c r="N83" s="102"/>
      <c r="O83" s="187"/>
      <c r="T83" s="267"/>
      <c r="U83" s="353"/>
      <c r="V83" s="356"/>
      <c r="W83" s="180"/>
    </row>
    <row r="84" spans="2:23">
      <c r="B84" s="337"/>
      <c r="C84" s="338"/>
      <c r="D84" s="339"/>
      <c r="E84" s="642"/>
      <c r="F84" s="102"/>
      <c r="G84" s="100"/>
      <c r="K84" s="105"/>
      <c r="L84" s="189"/>
      <c r="M84" s="134"/>
      <c r="N84" s="102"/>
      <c r="O84" s="102"/>
      <c r="T84" s="267"/>
      <c r="U84" s="353"/>
      <c r="V84" s="356"/>
      <c r="W84" s="180"/>
    </row>
    <row r="85" spans="2:23">
      <c r="B85" s="337"/>
      <c r="C85" s="338"/>
      <c r="D85" s="339"/>
      <c r="E85" s="642"/>
      <c r="F85" s="102"/>
      <c r="G85" s="100"/>
      <c r="K85" s="105"/>
      <c r="L85" s="107"/>
      <c r="M85" s="134"/>
      <c r="N85" s="102"/>
      <c r="O85" s="102"/>
      <c r="T85" s="271"/>
      <c r="U85" s="353"/>
      <c r="V85" s="356"/>
      <c r="W85" s="180"/>
    </row>
    <row r="86" spans="2:23">
      <c r="B86" s="337"/>
      <c r="C86" s="338"/>
      <c r="D86" s="339"/>
      <c r="E86" s="642"/>
      <c r="F86" s="102"/>
      <c r="G86" s="100"/>
      <c r="K86" s="105"/>
      <c r="L86" s="107"/>
      <c r="M86" s="134"/>
      <c r="N86" s="175"/>
      <c r="O86" s="100"/>
      <c r="T86" s="271"/>
      <c r="U86" s="353"/>
      <c r="V86" s="356"/>
      <c r="W86" s="180"/>
    </row>
    <row r="87" spans="2:23">
      <c r="B87" s="337"/>
      <c r="C87" s="338"/>
      <c r="D87" s="339"/>
      <c r="E87" s="642"/>
      <c r="F87" s="102"/>
      <c r="G87" s="100"/>
      <c r="K87" s="188"/>
      <c r="L87" s="189"/>
      <c r="M87" s="134"/>
      <c r="N87" s="102"/>
      <c r="O87" s="100"/>
      <c r="T87" s="271"/>
      <c r="U87" s="353"/>
      <c r="V87" s="356"/>
      <c r="W87" s="180"/>
    </row>
    <row r="88" spans="2:23">
      <c r="B88" s="337"/>
      <c r="C88" s="338"/>
      <c r="D88" s="339"/>
      <c r="E88" s="642"/>
      <c r="F88" s="102"/>
      <c r="G88" s="100"/>
      <c r="K88" s="188"/>
      <c r="L88" s="189"/>
      <c r="M88" s="173"/>
      <c r="N88" s="190"/>
      <c r="O88" s="191"/>
      <c r="T88" s="105"/>
      <c r="U88" s="353"/>
      <c r="V88" s="356"/>
      <c r="W88" s="180"/>
    </row>
    <row r="89" spans="2:23">
      <c r="B89" s="346"/>
      <c r="C89" s="347"/>
      <c r="D89" s="348"/>
      <c r="E89" s="641"/>
      <c r="F89" s="102"/>
      <c r="G89" s="349"/>
      <c r="K89" s="105"/>
      <c r="L89" s="130"/>
      <c r="M89" s="134"/>
      <c r="N89" s="100"/>
      <c r="O89" s="100"/>
      <c r="T89" s="105"/>
      <c r="U89" s="353"/>
      <c r="V89" s="356"/>
      <c r="W89" s="180"/>
    </row>
    <row r="90" spans="2:23">
      <c r="B90" s="346"/>
      <c r="C90" s="347"/>
      <c r="D90" s="348"/>
      <c r="E90" s="641"/>
      <c r="F90" s="102"/>
      <c r="G90" s="349"/>
      <c r="K90" s="192"/>
      <c r="L90" s="195"/>
      <c r="M90" s="173"/>
      <c r="N90" s="193"/>
      <c r="O90" s="194"/>
      <c r="T90" s="272"/>
      <c r="U90" s="353"/>
      <c r="V90" s="356"/>
      <c r="W90" s="180"/>
    </row>
    <row r="91" spans="2:23">
      <c r="B91" s="346"/>
      <c r="C91" s="347"/>
      <c r="D91" s="348"/>
      <c r="E91" s="641"/>
      <c r="F91" s="102"/>
      <c r="G91" s="349"/>
      <c r="K91" s="105"/>
      <c r="L91" s="130"/>
      <c r="M91" s="134"/>
      <c r="N91" s="102"/>
      <c r="O91" s="100"/>
      <c r="T91" s="105"/>
      <c r="U91" s="269"/>
      <c r="V91" s="356"/>
      <c r="W91" s="180"/>
    </row>
    <row r="92" spans="2:23">
      <c r="B92" s="346"/>
      <c r="C92" s="347"/>
      <c r="D92" s="348"/>
      <c r="E92" s="641"/>
      <c r="F92" s="102"/>
      <c r="G92" s="349"/>
      <c r="K92" s="105"/>
      <c r="L92" s="130"/>
      <c r="M92" s="134"/>
      <c r="N92" s="102"/>
      <c r="O92" s="100"/>
      <c r="T92" s="105"/>
      <c r="U92" s="269"/>
      <c r="V92" s="356"/>
      <c r="W92" s="180"/>
    </row>
    <row r="93" spans="2:23">
      <c r="B93" s="346"/>
      <c r="C93" s="347"/>
      <c r="D93" s="348"/>
      <c r="E93" s="641"/>
      <c r="F93" s="102"/>
      <c r="G93" s="349"/>
      <c r="K93" s="196"/>
      <c r="L93" s="199"/>
      <c r="M93" s="134"/>
      <c r="N93" s="100"/>
      <c r="O93" s="200"/>
      <c r="T93" s="276"/>
      <c r="U93" s="353"/>
      <c r="V93" s="356"/>
      <c r="W93" s="180"/>
    </row>
    <row r="94" spans="2:23">
      <c r="B94" s="346"/>
      <c r="C94" s="347"/>
      <c r="D94" s="348"/>
      <c r="E94" s="643"/>
      <c r="F94" s="102"/>
      <c r="G94" s="349"/>
      <c r="K94" s="196"/>
      <c r="L94" s="199"/>
      <c r="M94" s="134"/>
      <c r="N94" s="197"/>
      <c r="O94" s="200"/>
      <c r="T94" s="276"/>
      <c r="U94" s="269"/>
      <c r="V94" s="356"/>
      <c r="W94" s="180"/>
    </row>
    <row r="95" spans="2:23">
      <c r="B95" s="346"/>
      <c r="C95" s="347"/>
      <c r="D95" s="348"/>
      <c r="E95" s="643"/>
      <c r="F95" s="102"/>
      <c r="G95" s="364"/>
      <c r="K95" s="196"/>
      <c r="L95" s="199"/>
      <c r="M95" s="134"/>
      <c r="N95" s="197"/>
      <c r="O95" s="200"/>
      <c r="T95" s="105"/>
      <c r="U95" s="269"/>
      <c r="V95" s="356"/>
      <c r="W95" s="180"/>
    </row>
    <row r="96" spans="2:23">
      <c r="B96" s="346"/>
      <c r="C96" s="347"/>
      <c r="D96" s="348"/>
      <c r="E96" s="643"/>
      <c r="F96" s="102"/>
      <c r="G96" s="365"/>
      <c r="K96" s="105"/>
      <c r="L96" s="130"/>
      <c r="M96" s="134"/>
      <c r="N96" s="102"/>
      <c r="O96" s="100"/>
      <c r="T96" s="105"/>
      <c r="U96" s="269"/>
      <c r="V96" s="356"/>
      <c r="W96" s="180"/>
    </row>
    <row r="97" spans="2:23">
      <c r="B97" s="346"/>
      <c r="C97" s="347"/>
      <c r="D97" s="348"/>
      <c r="E97" s="643"/>
      <c r="F97" s="102"/>
      <c r="G97" s="365"/>
      <c r="T97" s="276"/>
      <c r="U97" s="269"/>
      <c r="V97" s="356"/>
      <c r="W97" s="180"/>
    </row>
    <row r="98" spans="2:23">
      <c r="B98" s="346"/>
      <c r="C98" s="347"/>
      <c r="D98" s="348"/>
      <c r="E98" s="643"/>
      <c r="F98" s="102"/>
      <c r="G98" s="365"/>
      <c r="T98" s="105"/>
      <c r="U98" s="269"/>
      <c r="V98" s="356"/>
      <c r="W98" s="180"/>
    </row>
    <row r="99" spans="2:23">
      <c r="B99" s="346"/>
      <c r="C99" s="347"/>
      <c r="D99" s="348"/>
      <c r="E99" s="643"/>
      <c r="F99" s="102"/>
      <c r="G99" s="365"/>
      <c r="T99" s="276"/>
      <c r="U99" s="353"/>
      <c r="V99" s="356"/>
      <c r="W99" s="180"/>
    </row>
    <row r="100" spans="2:23">
      <c r="B100" s="346"/>
      <c r="C100" s="347"/>
      <c r="D100" s="348"/>
      <c r="E100" s="643"/>
      <c r="F100" s="102"/>
      <c r="G100" s="364"/>
      <c r="T100" s="276"/>
      <c r="U100" s="353"/>
      <c r="V100" s="358"/>
      <c r="W100" s="359"/>
    </row>
    <row r="101" spans="2:23">
      <c r="B101" s="346"/>
      <c r="C101" s="347"/>
      <c r="D101" s="348"/>
      <c r="E101" s="643"/>
      <c r="F101" s="102"/>
      <c r="G101" s="364"/>
      <c r="T101" s="276"/>
      <c r="U101" s="360"/>
      <c r="V101" s="358"/>
      <c r="W101" s="359"/>
    </row>
    <row r="102" spans="2:23">
      <c r="B102" s="346"/>
      <c r="C102" s="347"/>
      <c r="D102" s="348"/>
      <c r="E102" s="643"/>
      <c r="F102" s="102"/>
      <c r="G102" s="349"/>
      <c r="T102" s="276"/>
      <c r="U102" s="360"/>
      <c r="V102" s="358"/>
      <c r="W102" s="359"/>
    </row>
    <row r="103" spans="2:23">
      <c r="B103" s="346"/>
      <c r="C103" s="347"/>
      <c r="D103" s="348"/>
      <c r="E103" s="643"/>
      <c r="F103" s="102"/>
      <c r="G103" s="349"/>
      <c r="T103" s="276"/>
      <c r="U103" s="353"/>
      <c r="V103" s="358"/>
      <c r="W103" s="180"/>
    </row>
    <row r="104" spans="2:23">
      <c r="B104" s="346"/>
      <c r="C104" s="347"/>
      <c r="D104" s="348"/>
      <c r="E104" s="643"/>
      <c r="F104" s="102"/>
      <c r="G104" s="365"/>
      <c r="T104" s="280"/>
      <c r="U104" s="353"/>
      <c r="V104" s="358"/>
      <c r="W104" s="180"/>
    </row>
    <row r="105" spans="2:23">
      <c r="B105" s="106"/>
      <c r="C105" s="105"/>
      <c r="D105" s="107"/>
      <c r="E105" s="641"/>
      <c r="F105" s="102"/>
      <c r="G105" s="180"/>
      <c r="T105" s="280"/>
      <c r="U105" s="353"/>
      <c r="V105" s="358"/>
      <c r="W105" s="180"/>
    </row>
    <row r="106" spans="2:23">
      <c r="B106" s="106"/>
      <c r="C106" s="286"/>
      <c r="D106" s="107"/>
      <c r="E106" s="641"/>
      <c r="F106" s="102"/>
      <c r="G106" s="180"/>
      <c r="T106" s="280"/>
      <c r="U106" s="353"/>
      <c r="V106" s="358"/>
      <c r="W106" s="180"/>
    </row>
    <row r="107" spans="2:23">
      <c r="B107" s="106"/>
      <c r="C107" s="532"/>
      <c r="D107" s="107"/>
      <c r="E107" s="641"/>
      <c r="F107" s="102"/>
      <c r="G107" s="180"/>
      <c r="T107" s="280"/>
      <c r="U107" s="353"/>
      <c r="V107" s="358"/>
      <c r="W107" s="180"/>
    </row>
    <row r="108" spans="2:23">
      <c r="B108" s="106"/>
      <c r="C108" s="105"/>
      <c r="D108" s="107"/>
      <c r="E108" s="640"/>
      <c r="F108" s="102"/>
      <c r="G108" s="100"/>
      <c r="T108" s="105"/>
      <c r="U108" s="353"/>
      <c r="V108" s="356"/>
      <c r="W108" s="180"/>
    </row>
    <row r="109" spans="2:23">
      <c r="B109" s="106"/>
      <c r="C109" s="105"/>
      <c r="D109" s="107"/>
      <c r="E109" s="640"/>
      <c r="F109" s="102"/>
      <c r="G109" s="100"/>
      <c r="T109" s="280"/>
      <c r="U109" s="353"/>
      <c r="V109" s="361"/>
      <c r="W109" s="362"/>
    </row>
    <row r="110" spans="2:23">
      <c r="B110" s="106"/>
      <c r="C110" s="105"/>
      <c r="D110" s="107"/>
      <c r="E110" s="640"/>
      <c r="F110" s="102"/>
      <c r="G110" s="100"/>
      <c r="T110" s="280"/>
      <c r="U110" s="269"/>
      <c r="V110" s="361"/>
      <c r="W110" s="180"/>
    </row>
    <row r="111" spans="2:23">
      <c r="B111" s="346"/>
      <c r="C111" s="347"/>
      <c r="D111" s="348"/>
      <c r="E111" s="641"/>
      <c r="F111" s="350"/>
      <c r="G111" s="349"/>
      <c r="T111" s="105"/>
      <c r="U111" s="269"/>
      <c r="V111" s="361"/>
      <c r="W111" s="180"/>
    </row>
    <row r="112" spans="2:23">
      <c r="B112" s="346"/>
      <c r="C112" s="105"/>
      <c r="D112" s="348"/>
      <c r="E112" s="641"/>
      <c r="F112" s="350"/>
      <c r="G112" s="367"/>
      <c r="T112" s="280"/>
      <c r="U112" s="247"/>
      <c r="V112" s="361"/>
      <c r="W112" s="180"/>
    </row>
    <row r="113" spans="2:23">
      <c r="B113" s="346"/>
      <c r="C113" s="105"/>
      <c r="D113" s="348"/>
      <c r="E113" s="641"/>
      <c r="F113" s="350"/>
      <c r="G113" s="367"/>
      <c r="T113" s="280"/>
      <c r="U113" s="269"/>
      <c r="V113" s="361"/>
      <c r="W113" s="180"/>
    </row>
    <row r="114" spans="2:23">
      <c r="B114" s="346"/>
      <c r="C114" s="347"/>
      <c r="D114" s="368"/>
      <c r="E114" s="644"/>
      <c r="F114" s="350"/>
      <c r="G114" s="367"/>
      <c r="T114" s="280"/>
      <c r="U114" s="269"/>
      <c r="V114" s="361"/>
      <c r="W114" s="180"/>
    </row>
    <row r="115" spans="2:23">
      <c r="B115" s="346"/>
      <c r="C115" s="347"/>
      <c r="D115" s="368"/>
      <c r="E115" s="269"/>
      <c r="F115" s="350"/>
      <c r="G115" s="367"/>
      <c r="T115" s="280"/>
      <c r="U115" s="269"/>
      <c r="V115" s="361"/>
      <c r="W115" s="180"/>
    </row>
    <row r="116" spans="2:23">
      <c r="B116" s="346"/>
      <c r="C116" s="347"/>
      <c r="D116" s="368"/>
      <c r="E116" s="644"/>
      <c r="F116" s="350"/>
      <c r="G116" s="367"/>
      <c r="T116" s="105"/>
      <c r="U116" s="269"/>
      <c r="V116" s="361"/>
      <c r="W116" s="180"/>
    </row>
    <row r="117" spans="2:23">
      <c r="B117" s="346"/>
      <c r="C117" s="347"/>
      <c r="D117" s="368"/>
      <c r="E117" s="644"/>
      <c r="F117" s="350"/>
      <c r="G117" s="367"/>
      <c r="T117" s="105"/>
      <c r="U117" s="360"/>
      <c r="V117" s="356"/>
      <c r="W117" s="180"/>
    </row>
    <row r="118" spans="2:23">
      <c r="B118" s="346"/>
      <c r="C118" s="347"/>
      <c r="D118" s="368"/>
      <c r="E118" s="644"/>
      <c r="F118" s="350"/>
      <c r="G118" s="367"/>
      <c r="U118" s="180"/>
      <c r="V118" s="363"/>
      <c r="W118" s="198"/>
    </row>
    <row r="119" spans="2:23">
      <c r="B119" s="346"/>
      <c r="C119" s="347"/>
      <c r="D119" s="368"/>
      <c r="E119" s="644"/>
      <c r="F119" s="350"/>
      <c r="G119" s="367"/>
      <c r="U119" s="180"/>
      <c r="V119" s="363"/>
      <c r="W119" s="198"/>
    </row>
    <row r="120" spans="2:23">
      <c r="B120" s="346"/>
      <c r="C120" s="347"/>
      <c r="D120" s="368"/>
      <c r="E120" s="644"/>
      <c r="F120" s="350"/>
      <c r="G120" s="367"/>
      <c r="U120" s="180"/>
      <c r="V120" s="363"/>
      <c r="W120" s="198"/>
    </row>
    <row r="121" spans="2:23">
      <c r="B121" s="346"/>
      <c r="C121" s="347"/>
      <c r="D121" s="368"/>
      <c r="E121" s="644"/>
      <c r="F121" s="350"/>
      <c r="G121" s="367"/>
      <c r="U121" s="180"/>
      <c r="V121" s="363"/>
      <c r="W121" s="198"/>
    </row>
    <row r="122" spans="2:23">
      <c r="B122" s="346"/>
      <c r="C122" s="347"/>
      <c r="D122" s="368"/>
      <c r="E122" s="644"/>
      <c r="F122" s="350"/>
      <c r="G122" s="367"/>
      <c r="U122" s="180"/>
      <c r="V122" s="363"/>
      <c r="W122" s="198"/>
    </row>
    <row r="123" spans="2:23">
      <c r="B123" s="346"/>
      <c r="C123" s="347"/>
      <c r="D123" s="368"/>
      <c r="E123" s="644"/>
      <c r="F123" s="350"/>
      <c r="G123" s="367"/>
      <c r="U123" s="180"/>
      <c r="V123" s="363"/>
      <c r="W123" s="198"/>
    </row>
    <row r="124" spans="2:23">
      <c r="B124" s="346"/>
      <c r="C124" s="347"/>
      <c r="D124" s="368"/>
      <c r="E124" s="644"/>
      <c r="F124" s="350"/>
      <c r="G124" s="367"/>
      <c r="U124" s="180"/>
      <c r="V124" s="363"/>
      <c r="W124" s="198"/>
    </row>
    <row r="125" spans="2:23">
      <c r="B125" s="106"/>
      <c r="C125" s="105"/>
      <c r="D125" s="107"/>
      <c r="E125" s="641"/>
      <c r="F125" s="102"/>
      <c r="G125" s="100"/>
      <c r="L125" s="279"/>
      <c r="U125" s="180"/>
      <c r="V125" s="363"/>
      <c r="W125" s="198"/>
    </row>
    <row r="126" spans="2:23">
      <c r="B126" s="106"/>
      <c r="C126" s="105"/>
      <c r="D126" s="107"/>
      <c r="E126" s="641"/>
      <c r="F126" s="102"/>
      <c r="G126" s="100"/>
      <c r="L126" s="279"/>
      <c r="U126" s="180"/>
      <c r="V126" s="363"/>
      <c r="W126" s="198"/>
    </row>
    <row r="127" spans="2:23">
      <c r="B127" s="106"/>
      <c r="C127" s="105"/>
      <c r="D127" s="107"/>
      <c r="E127" s="641"/>
      <c r="F127" s="102"/>
      <c r="G127" s="100"/>
      <c r="L127" s="279"/>
      <c r="U127" s="180"/>
      <c r="V127" s="363"/>
      <c r="W127" s="198"/>
    </row>
    <row r="128" spans="2:23">
      <c r="B128" s="106"/>
      <c r="C128" s="105"/>
      <c r="D128" s="107"/>
      <c r="E128" s="641"/>
      <c r="F128" s="102"/>
      <c r="G128" s="100"/>
      <c r="U128" s="180"/>
      <c r="V128" s="363"/>
      <c r="W128" s="198"/>
    </row>
    <row r="129" spans="2:23">
      <c r="B129" s="106"/>
      <c r="C129" s="105"/>
      <c r="D129" s="107"/>
      <c r="E129" s="641"/>
      <c r="F129" s="102"/>
      <c r="G129" s="100"/>
      <c r="U129" s="180"/>
      <c r="V129" s="363"/>
      <c r="W129" s="198"/>
    </row>
    <row r="130" spans="2:23">
      <c r="B130" s="346"/>
      <c r="C130" s="347"/>
      <c r="D130" s="348"/>
      <c r="E130" s="641"/>
      <c r="F130" s="350"/>
      <c r="G130" s="349"/>
      <c r="U130" s="180"/>
      <c r="V130" s="363"/>
      <c r="W130" s="198"/>
    </row>
    <row r="131" spans="2:23">
      <c r="B131" s="346"/>
      <c r="C131" s="347"/>
      <c r="D131" s="348"/>
      <c r="E131" s="641"/>
      <c r="F131" s="350"/>
      <c r="G131" s="349"/>
      <c r="U131" s="180"/>
      <c r="V131" s="363"/>
      <c r="W131" s="198"/>
    </row>
    <row r="132" spans="2:23">
      <c r="B132" s="346"/>
      <c r="C132" s="347"/>
      <c r="D132" s="348"/>
      <c r="E132" s="641"/>
      <c r="F132" s="350"/>
      <c r="G132" s="349"/>
      <c r="U132" s="180"/>
      <c r="V132" s="363"/>
      <c r="W132" s="198"/>
    </row>
    <row r="133" spans="2:23">
      <c r="B133" s="346"/>
      <c r="C133" s="347"/>
      <c r="D133" s="348"/>
      <c r="E133" s="641"/>
      <c r="F133" s="350"/>
      <c r="G133" s="349"/>
      <c r="U133" s="180"/>
      <c r="V133" s="363"/>
      <c r="W133" s="198"/>
    </row>
    <row r="134" spans="2:23">
      <c r="B134" s="346"/>
      <c r="C134" s="347"/>
      <c r="D134" s="348"/>
      <c r="E134" s="643"/>
      <c r="F134" s="350"/>
      <c r="G134" s="349"/>
      <c r="U134" s="180"/>
      <c r="V134" s="363"/>
      <c r="W134" s="198"/>
    </row>
    <row r="135" spans="2:23">
      <c r="B135" s="346"/>
      <c r="C135" s="347"/>
      <c r="D135" s="348"/>
      <c r="E135" s="643"/>
      <c r="F135" s="350"/>
      <c r="G135" s="349"/>
      <c r="U135" s="180"/>
      <c r="V135" s="363"/>
      <c r="W135" s="198"/>
    </row>
    <row r="136" spans="2:23">
      <c r="B136" s="346"/>
      <c r="C136" s="347"/>
      <c r="D136" s="348"/>
      <c r="E136" s="643"/>
      <c r="F136" s="350"/>
      <c r="G136" s="349"/>
      <c r="U136" s="180"/>
      <c r="V136" s="363"/>
      <c r="W136" s="198"/>
    </row>
    <row r="137" spans="2:23">
      <c r="B137" s="346"/>
      <c r="C137" s="347"/>
      <c r="D137" s="348"/>
      <c r="E137" s="643"/>
      <c r="F137" s="350"/>
      <c r="G137" s="349"/>
      <c r="U137" s="180"/>
      <c r="V137" s="363"/>
      <c r="W137" s="198"/>
    </row>
    <row r="138" spans="2:23">
      <c r="B138" s="382"/>
      <c r="C138" s="383"/>
      <c r="D138" s="384"/>
      <c r="E138" s="641"/>
      <c r="F138" s="385"/>
      <c r="G138" s="386"/>
      <c r="U138" s="180"/>
      <c r="V138" s="363"/>
      <c r="W138" s="198"/>
    </row>
    <row r="139" spans="2:23">
      <c r="B139" s="382"/>
      <c r="C139" s="383"/>
      <c r="D139" s="384"/>
      <c r="E139" s="641"/>
      <c r="F139" s="385"/>
      <c r="G139" s="386"/>
      <c r="U139" s="180"/>
      <c r="V139" s="363"/>
      <c r="W139" s="198"/>
    </row>
    <row r="140" spans="2:23">
      <c r="B140" s="346"/>
      <c r="C140" s="347"/>
      <c r="D140" s="348"/>
      <c r="E140" s="643"/>
      <c r="F140" s="350"/>
      <c r="G140" s="349"/>
      <c r="U140" s="180"/>
      <c r="V140" s="363"/>
      <c r="W140" s="198"/>
    </row>
    <row r="141" spans="2:23">
      <c r="B141" s="346"/>
      <c r="C141" s="532"/>
      <c r="D141" s="348"/>
      <c r="E141" s="643"/>
      <c r="F141" s="350"/>
      <c r="G141" s="349"/>
    </row>
    <row r="142" spans="2:23">
      <c r="B142" s="346"/>
      <c r="C142" s="532"/>
      <c r="D142" s="348"/>
      <c r="E142" s="643"/>
      <c r="F142" s="350"/>
      <c r="G142" s="349"/>
    </row>
    <row r="143" spans="2:23">
      <c r="B143" s="346"/>
      <c r="C143" s="347"/>
      <c r="D143" s="348"/>
      <c r="E143" s="641"/>
      <c r="F143" s="350"/>
      <c r="G143" s="349"/>
      <c r="U143" s="180"/>
      <c r="V143" s="363"/>
      <c r="W143" s="198"/>
    </row>
    <row r="144" spans="2:23">
      <c r="B144" s="346"/>
      <c r="C144" s="347"/>
      <c r="D144" s="348"/>
      <c r="E144" s="641"/>
      <c r="F144" s="350"/>
      <c r="G144" s="349"/>
      <c r="U144" s="180"/>
      <c r="V144" s="363"/>
      <c r="W144" s="198"/>
    </row>
    <row r="145" spans="2:23">
      <c r="B145" s="346"/>
      <c r="C145" s="347"/>
      <c r="D145" s="348"/>
      <c r="E145" s="641"/>
      <c r="F145" s="350"/>
      <c r="G145" s="349"/>
      <c r="U145" s="180"/>
      <c r="V145" s="363"/>
      <c r="W145" s="198"/>
    </row>
    <row r="146" spans="2:23">
      <c r="B146" s="346"/>
      <c r="C146" s="347"/>
      <c r="D146" s="348"/>
      <c r="E146" s="641"/>
      <c r="F146" s="350"/>
      <c r="G146" s="349"/>
      <c r="U146" s="180"/>
      <c r="V146" s="363"/>
      <c r="W146" s="198"/>
    </row>
    <row r="147" spans="2:23">
      <c r="B147" s="346"/>
      <c r="C147" s="347"/>
      <c r="D147" s="348"/>
      <c r="E147" s="643"/>
      <c r="F147" s="350"/>
      <c r="G147" s="349"/>
      <c r="U147" s="180"/>
      <c r="V147" s="363"/>
      <c r="W147" s="198"/>
    </row>
    <row r="148" spans="2:23">
      <c r="B148" s="346"/>
      <c r="C148" s="347"/>
      <c r="D148" s="348"/>
      <c r="E148" s="643"/>
      <c r="F148" s="350"/>
      <c r="G148" s="349"/>
      <c r="U148" s="180"/>
      <c r="V148" s="363"/>
      <c r="W148" s="198"/>
    </row>
    <row r="149" spans="2:23">
      <c r="B149" s="346"/>
      <c r="C149" s="347"/>
      <c r="D149" s="348"/>
      <c r="E149" s="643"/>
      <c r="F149" s="350"/>
      <c r="G149" s="349"/>
      <c r="U149" s="180"/>
      <c r="V149" s="363"/>
      <c r="W149" s="198"/>
    </row>
    <row r="150" spans="2:23">
      <c r="B150" s="346"/>
      <c r="C150" s="347"/>
      <c r="D150" s="348"/>
      <c r="E150" s="641"/>
      <c r="F150" s="350"/>
      <c r="G150" s="349"/>
      <c r="U150" s="180"/>
      <c r="V150" s="363"/>
      <c r="W150" s="198"/>
    </row>
    <row r="151" spans="2:23">
      <c r="B151" s="346"/>
      <c r="C151" s="347"/>
      <c r="D151" s="348"/>
      <c r="E151" s="641"/>
      <c r="F151" s="350"/>
      <c r="G151" s="349"/>
      <c r="U151" s="180"/>
      <c r="V151" s="363"/>
      <c r="W151" s="198"/>
    </row>
    <row r="152" spans="2:23">
      <c r="B152" s="346"/>
      <c r="C152" s="347"/>
      <c r="D152" s="348"/>
      <c r="E152" s="641"/>
      <c r="F152" s="350"/>
      <c r="G152" s="349"/>
      <c r="U152" s="180"/>
      <c r="V152" s="363"/>
      <c r="W152" s="198"/>
    </row>
    <row r="153" spans="2:23">
      <c r="B153" s="346"/>
      <c r="C153" s="347"/>
      <c r="D153" s="348"/>
      <c r="E153" s="641"/>
      <c r="F153" s="350"/>
      <c r="G153" s="349"/>
      <c r="U153" s="180"/>
      <c r="V153" s="363"/>
      <c r="W153" s="198"/>
    </row>
    <row r="154" spans="2:23">
      <c r="B154" s="346"/>
      <c r="C154" s="347"/>
      <c r="D154" s="348"/>
      <c r="E154" s="641"/>
      <c r="F154" s="350"/>
      <c r="G154" s="349"/>
    </row>
    <row r="155" spans="2:23">
      <c r="B155" s="346"/>
      <c r="C155" s="347"/>
      <c r="D155" s="348"/>
      <c r="E155" s="643"/>
      <c r="F155" s="350"/>
      <c r="G155" s="349"/>
    </row>
    <row r="156" spans="2:23">
      <c r="B156" s="346"/>
      <c r="C156" s="347"/>
      <c r="D156" s="348"/>
      <c r="E156" s="643"/>
      <c r="F156" s="350"/>
      <c r="G156" s="349"/>
    </row>
    <row r="157" spans="2:23">
      <c r="B157" s="346"/>
      <c r="C157" s="347"/>
      <c r="D157" s="348"/>
      <c r="E157" s="643"/>
      <c r="F157" s="350"/>
      <c r="G157" s="349"/>
    </row>
    <row r="158" spans="2:23">
      <c r="B158" s="346"/>
      <c r="C158" s="347"/>
      <c r="D158" s="348"/>
      <c r="E158" s="643"/>
      <c r="F158" s="350"/>
      <c r="G158" s="349"/>
    </row>
    <row r="159" spans="2:23">
      <c r="B159" s="346"/>
      <c r="C159" s="347"/>
      <c r="D159" s="348"/>
      <c r="E159" s="643"/>
      <c r="F159" s="350"/>
      <c r="G159" s="349"/>
    </row>
    <row r="160" spans="2:23">
      <c r="B160" s="346"/>
      <c r="C160" s="347"/>
      <c r="D160" s="348"/>
      <c r="E160" s="643"/>
      <c r="F160" s="350"/>
      <c r="G160" s="349"/>
    </row>
    <row r="161" spans="2:12">
      <c r="B161" s="382"/>
      <c r="C161" s="383"/>
      <c r="D161" s="384"/>
      <c r="E161" s="641"/>
      <c r="F161" s="102"/>
      <c r="G161" s="100"/>
    </row>
    <row r="162" spans="2:12">
      <c r="B162" s="382"/>
      <c r="C162" s="383"/>
      <c r="D162" s="384"/>
      <c r="E162" s="641"/>
      <c r="F162" s="385"/>
      <c r="G162" s="386"/>
      <c r="L162" s="387"/>
    </row>
    <row r="163" spans="2:12">
      <c r="B163" s="382"/>
      <c r="C163" s="383"/>
      <c r="D163" s="384"/>
      <c r="E163" s="641"/>
      <c r="F163" s="385"/>
      <c r="G163" s="386"/>
    </row>
    <row r="164" spans="2:12">
      <c r="B164" s="382"/>
      <c r="C164" s="383"/>
      <c r="D164" s="384"/>
      <c r="E164" s="641"/>
      <c r="F164" s="385"/>
      <c r="G164" s="386"/>
    </row>
    <row r="165" spans="2:12">
      <c r="B165" s="382"/>
      <c r="C165" s="383"/>
      <c r="D165" s="384"/>
      <c r="E165" s="641"/>
      <c r="F165" s="385"/>
      <c r="G165" s="386"/>
    </row>
    <row r="166" spans="2:12">
      <c r="B166" s="382"/>
      <c r="C166" s="383"/>
      <c r="D166" s="384"/>
      <c r="E166" s="641"/>
      <c r="F166" s="385"/>
      <c r="G166" s="386"/>
    </row>
    <row r="167" spans="2:12">
      <c r="B167" s="382"/>
      <c r="C167" s="383"/>
      <c r="D167" s="384"/>
      <c r="E167" s="641"/>
      <c r="F167" s="385"/>
      <c r="G167" s="386"/>
    </row>
    <row r="168" spans="2:12">
      <c r="B168" s="382"/>
      <c r="C168" s="383"/>
      <c r="D168" s="384"/>
      <c r="E168" s="641"/>
      <c r="F168" s="385"/>
      <c r="G168" s="386"/>
    </row>
    <row r="169" spans="2:12">
      <c r="B169" s="382"/>
      <c r="C169" s="383"/>
      <c r="D169" s="384"/>
      <c r="E169" s="645"/>
      <c r="F169" s="385"/>
      <c r="G169" s="386"/>
    </row>
    <row r="170" spans="2:12">
      <c r="B170" s="382"/>
      <c r="C170" s="383"/>
      <c r="D170" s="384"/>
      <c r="E170" s="645"/>
      <c r="F170" s="385"/>
      <c r="G170" s="386"/>
    </row>
    <row r="171" spans="2:12">
      <c r="B171" s="382"/>
      <c r="C171" s="383"/>
      <c r="D171" s="384"/>
      <c r="E171" s="645"/>
      <c r="F171" s="385"/>
      <c r="G171" s="386"/>
    </row>
    <row r="172" spans="2:12">
      <c r="B172" s="382"/>
      <c r="C172" s="383"/>
      <c r="D172" s="384"/>
      <c r="E172" s="645"/>
      <c r="F172" s="385"/>
      <c r="G172" s="386"/>
      <c r="L172" s="431"/>
    </row>
    <row r="173" spans="2:12">
      <c r="B173" s="382"/>
      <c r="C173" s="383"/>
      <c r="D173" s="384"/>
      <c r="E173" s="641"/>
      <c r="F173" s="385"/>
      <c r="G173" s="386"/>
    </row>
    <row r="174" spans="2:12">
      <c r="B174" s="382"/>
      <c r="C174" s="383"/>
      <c r="D174" s="384"/>
      <c r="E174" s="641"/>
      <c r="F174" s="385"/>
      <c r="G174" s="386"/>
    </row>
    <row r="175" spans="2:12">
      <c r="B175" s="382"/>
      <c r="C175" s="383"/>
      <c r="D175" s="384"/>
      <c r="E175" s="641"/>
      <c r="F175" s="385"/>
      <c r="G175" s="386"/>
    </row>
    <row r="176" spans="2:12">
      <c r="B176" s="382"/>
      <c r="C176" s="383"/>
      <c r="D176" s="384"/>
      <c r="E176" s="641"/>
      <c r="F176" s="385"/>
      <c r="G176" s="386"/>
    </row>
    <row r="177" spans="2:7">
      <c r="B177" s="382"/>
      <c r="C177" s="383"/>
      <c r="D177" s="384"/>
      <c r="E177" s="641"/>
      <c r="F177" s="385"/>
      <c r="G177" s="386"/>
    </row>
    <row r="178" spans="2:7">
      <c r="B178" s="382"/>
      <c r="C178" s="383"/>
      <c r="D178" s="384"/>
      <c r="E178" s="641"/>
      <c r="F178" s="385"/>
      <c r="G178" s="386"/>
    </row>
    <row r="179" spans="2:7">
      <c r="B179" s="382"/>
      <c r="C179" s="383"/>
      <c r="D179" s="384"/>
      <c r="E179" s="641"/>
      <c r="F179" s="385"/>
      <c r="G179" s="386"/>
    </row>
    <row r="180" spans="2:7">
      <c r="B180" s="382"/>
      <c r="C180" s="383"/>
      <c r="D180" s="384"/>
      <c r="E180" s="641"/>
      <c r="F180" s="385"/>
      <c r="G180" s="386"/>
    </row>
    <row r="181" spans="2:7">
      <c r="B181" s="382"/>
      <c r="C181" s="383"/>
      <c r="D181" s="384"/>
      <c r="E181" s="645"/>
      <c r="F181" s="385"/>
      <c r="G181" s="386"/>
    </row>
    <row r="182" spans="2:7">
      <c r="B182" s="382"/>
      <c r="C182" s="383"/>
      <c r="D182" s="384"/>
      <c r="E182" s="645"/>
      <c r="F182" s="385"/>
      <c r="G182" s="386"/>
    </row>
    <row r="183" spans="2:7">
      <c r="B183" s="382"/>
      <c r="C183" s="383"/>
      <c r="D183" s="384"/>
      <c r="E183" s="645"/>
      <c r="F183" s="385"/>
      <c r="G183" s="386"/>
    </row>
    <row r="184" spans="2:7">
      <c r="B184" s="382"/>
      <c r="C184" s="383"/>
      <c r="D184" s="384"/>
      <c r="E184" s="645"/>
      <c r="F184" s="385"/>
      <c r="G184" s="386"/>
    </row>
    <row r="185" spans="2:7">
      <c r="B185" s="382"/>
      <c r="C185" s="383"/>
      <c r="D185" s="384"/>
      <c r="E185" s="641"/>
      <c r="F185" s="385"/>
      <c r="G185" s="386"/>
    </row>
    <row r="186" spans="2:7">
      <c r="B186" s="382"/>
      <c r="C186" s="383"/>
      <c r="D186" s="384"/>
      <c r="E186" s="641"/>
      <c r="F186" s="385"/>
      <c r="G186" s="386"/>
    </row>
    <row r="187" spans="2:7">
      <c r="B187" s="382"/>
      <c r="C187" s="383"/>
      <c r="D187" s="384"/>
      <c r="E187" s="641"/>
      <c r="F187" s="385"/>
      <c r="G187" s="386"/>
    </row>
    <row r="188" spans="2:7">
      <c r="B188" s="382"/>
      <c r="C188" s="383"/>
      <c r="D188" s="384"/>
      <c r="E188" s="641"/>
      <c r="F188" s="385"/>
      <c r="G188" s="386"/>
    </row>
    <row r="189" spans="2:7">
      <c r="B189" s="382"/>
      <c r="C189" s="383"/>
      <c r="D189" s="384"/>
      <c r="E189" s="641"/>
      <c r="F189" s="385"/>
      <c r="G189" s="386"/>
    </row>
    <row r="190" spans="2:7">
      <c r="B190" s="382"/>
      <c r="C190" s="383"/>
      <c r="D190" s="384"/>
      <c r="E190" s="640"/>
      <c r="F190" s="385"/>
      <c r="G190" s="386"/>
    </row>
    <row r="191" spans="2:7">
      <c r="B191" s="382"/>
      <c r="C191" s="383"/>
      <c r="D191" s="384"/>
      <c r="E191" s="640"/>
      <c r="F191" s="385"/>
      <c r="G191" s="386"/>
    </row>
    <row r="192" spans="2:7">
      <c r="B192" s="382"/>
      <c r="C192" s="383"/>
      <c r="D192" s="384"/>
      <c r="E192" s="640"/>
      <c r="F192" s="385"/>
      <c r="G192" s="386"/>
    </row>
    <row r="193" spans="2:12">
      <c r="B193" s="382"/>
      <c r="C193" s="383"/>
      <c r="D193" s="384"/>
      <c r="E193" s="640"/>
      <c r="F193" s="385"/>
      <c r="G193" s="386"/>
    </row>
    <row r="194" spans="2:12">
      <c r="B194" s="382"/>
      <c r="C194" s="383"/>
      <c r="D194" s="384"/>
      <c r="E194" s="640"/>
      <c r="F194" s="385"/>
      <c r="G194" s="386"/>
    </row>
    <row r="195" spans="2:12">
      <c r="B195" s="382"/>
      <c r="C195" s="383"/>
      <c r="D195" s="384"/>
      <c r="E195" s="640"/>
      <c r="F195" s="385"/>
      <c r="G195" s="386"/>
    </row>
    <row r="196" spans="2:12">
      <c r="B196" s="382"/>
      <c r="C196" s="383"/>
      <c r="D196" s="384"/>
      <c r="E196" s="640"/>
      <c r="F196" s="385"/>
      <c r="G196" s="386"/>
    </row>
    <row r="197" spans="2:12">
      <c r="B197" s="382"/>
      <c r="C197" s="383"/>
      <c r="D197" s="384"/>
      <c r="E197" s="640"/>
      <c r="F197" s="385"/>
      <c r="G197" s="386"/>
    </row>
    <row r="198" spans="2:12">
      <c r="B198" s="382"/>
      <c r="C198" s="383"/>
      <c r="D198" s="384"/>
      <c r="E198" s="640"/>
      <c r="F198" s="385"/>
      <c r="G198" s="386"/>
    </row>
    <row r="199" spans="2:12">
      <c r="B199" s="382"/>
      <c r="C199" s="383"/>
      <c r="D199" s="384"/>
      <c r="E199" s="641"/>
      <c r="F199" s="385"/>
      <c r="G199" s="386"/>
    </row>
    <row r="200" spans="2:12">
      <c r="B200" s="382"/>
      <c r="C200" s="383"/>
      <c r="D200" s="384"/>
      <c r="E200" s="641"/>
      <c r="F200" s="385"/>
      <c r="G200" s="386"/>
    </row>
    <row r="201" spans="2:12">
      <c r="B201" s="382"/>
      <c r="C201" s="383"/>
      <c r="D201" s="384"/>
      <c r="E201" s="641"/>
      <c r="F201" s="385"/>
      <c r="G201" s="386"/>
    </row>
    <row r="202" spans="2:12">
      <c r="B202" s="382"/>
      <c r="C202" s="383"/>
      <c r="D202" s="384"/>
      <c r="E202" s="641"/>
      <c r="F202" s="385"/>
      <c r="G202" s="386"/>
      <c r="L202" s="317"/>
    </row>
    <row r="203" spans="2:12">
      <c r="B203" s="382"/>
      <c r="C203" s="383"/>
      <c r="D203" s="384"/>
      <c r="E203" s="641"/>
      <c r="F203" s="385"/>
      <c r="G203" s="386"/>
      <c r="L203" s="317"/>
    </row>
    <row r="204" spans="2:12">
      <c r="B204" s="382"/>
      <c r="C204" s="383"/>
      <c r="D204" s="384"/>
      <c r="E204" s="641"/>
      <c r="F204" s="385"/>
      <c r="G204" s="386"/>
    </row>
    <row r="205" spans="2:12">
      <c r="B205" s="382"/>
      <c r="C205" s="383"/>
      <c r="D205" s="384"/>
      <c r="E205" s="645"/>
      <c r="F205" s="385"/>
      <c r="G205" s="386"/>
    </row>
    <row r="206" spans="2:12">
      <c r="B206" s="382"/>
      <c r="C206" s="383"/>
      <c r="D206" s="384"/>
      <c r="E206" s="645"/>
      <c r="F206" s="385"/>
      <c r="G206" s="386"/>
    </row>
    <row r="207" spans="2:12">
      <c r="B207" s="382"/>
      <c r="C207" s="383"/>
      <c r="D207" s="384"/>
      <c r="E207" s="645"/>
      <c r="F207" s="385"/>
      <c r="G207" s="386"/>
    </row>
    <row r="208" spans="2:12">
      <c r="B208" s="382"/>
      <c r="C208" s="383"/>
      <c r="D208" s="384"/>
      <c r="E208" s="645"/>
      <c r="F208" s="385"/>
      <c r="G208" s="386"/>
    </row>
    <row r="209" spans="2:12">
      <c r="B209" s="382"/>
      <c r="C209" s="383"/>
      <c r="D209" s="384"/>
      <c r="E209" s="645"/>
      <c r="F209" s="385"/>
      <c r="G209" s="386"/>
    </row>
    <row r="210" spans="2:12">
      <c r="B210" s="382"/>
      <c r="C210" s="383"/>
      <c r="D210" s="384"/>
      <c r="E210" s="645"/>
      <c r="F210" s="385"/>
      <c r="G210" s="386"/>
    </row>
    <row r="211" spans="2:12">
      <c r="B211" s="382"/>
      <c r="C211" s="383"/>
      <c r="D211" s="384"/>
      <c r="E211" s="641"/>
      <c r="F211" s="385"/>
      <c r="G211" s="386"/>
    </row>
    <row r="212" spans="2:12">
      <c r="B212" s="382"/>
      <c r="C212" s="383"/>
      <c r="D212" s="384"/>
      <c r="E212" s="641"/>
      <c r="F212" s="385"/>
      <c r="G212" s="386"/>
    </row>
    <row r="213" spans="2:12">
      <c r="B213" s="382"/>
      <c r="C213" s="383"/>
      <c r="D213" s="384"/>
      <c r="E213" s="645"/>
      <c r="F213" s="385"/>
      <c r="G213" s="100"/>
    </row>
    <row r="214" spans="2:12">
      <c r="B214" s="382"/>
      <c r="C214" s="383"/>
      <c r="D214" s="384"/>
      <c r="E214" s="645"/>
      <c r="F214" s="385"/>
      <c r="G214" s="100"/>
    </row>
    <row r="215" spans="2:12">
      <c r="B215" s="382"/>
      <c r="C215" s="383"/>
      <c r="D215" s="384"/>
      <c r="E215" s="645"/>
      <c r="F215" s="385"/>
      <c r="G215" s="100"/>
    </row>
    <row r="216" spans="2:12">
      <c r="B216" s="382"/>
      <c r="C216" s="383"/>
      <c r="D216" s="384"/>
      <c r="E216" s="645"/>
      <c r="F216" s="385"/>
      <c r="G216" s="100"/>
      <c r="L216" s="488"/>
    </row>
    <row r="217" spans="2:12">
      <c r="B217" s="382"/>
      <c r="C217" s="383"/>
      <c r="D217" s="384"/>
      <c r="E217" s="641"/>
      <c r="F217" s="385"/>
      <c r="G217" s="386"/>
    </row>
    <row r="218" spans="2:12">
      <c r="B218" s="382"/>
      <c r="C218" s="383"/>
      <c r="D218" s="384"/>
      <c r="E218" s="641"/>
      <c r="F218" s="385"/>
      <c r="G218" s="386"/>
    </row>
    <row r="219" spans="2:12">
      <c r="B219" s="382"/>
      <c r="C219" s="383"/>
      <c r="D219" s="384"/>
      <c r="E219" s="641"/>
      <c r="F219" s="385"/>
      <c r="G219" s="386"/>
    </row>
    <row r="220" spans="2:12">
      <c r="B220" s="382"/>
      <c r="C220" s="383"/>
      <c r="D220" s="384"/>
      <c r="E220" s="641"/>
      <c r="F220" s="385"/>
      <c r="G220" s="386"/>
    </row>
    <row r="221" spans="2:12">
      <c r="B221" s="382"/>
      <c r="C221" s="383"/>
      <c r="D221" s="384"/>
      <c r="E221" s="641"/>
      <c r="F221" s="385"/>
      <c r="G221" s="386"/>
    </row>
    <row r="222" spans="2:12">
      <c r="B222" s="382"/>
      <c r="C222" s="383"/>
      <c r="D222" s="384"/>
      <c r="E222" s="641"/>
      <c r="F222" s="385"/>
      <c r="G222" s="386"/>
    </row>
    <row r="223" spans="2:12">
      <c r="B223" s="382"/>
      <c r="C223" s="383"/>
      <c r="D223" s="384"/>
      <c r="E223" s="641"/>
      <c r="F223" s="385"/>
      <c r="G223" s="386"/>
    </row>
    <row r="224" spans="2:12">
      <c r="B224" s="382"/>
      <c r="C224" s="383"/>
      <c r="D224" s="384"/>
      <c r="E224" s="645"/>
      <c r="F224" s="385"/>
      <c r="G224" s="386"/>
    </row>
    <row r="225" spans="2:7">
      <c r="B225" s="382"/>
      <c r="C225" s="383"/>
      <c r="D225" s="384"/>
      <c r="E225" s="641"/>
      <c r="F225" s="385"/>
      <c r="G225" s="386"/>
    </row>
    <row r="226" spans="2:7">
      <c r="B226" s="382"/>
      <c r="C226" s="383"/>
      <c r="D226" s="384"/>
      <c r="E226" s="641"/>
      <c r="F226" s="385"/>
      <c r="G226" s="386"/>
    </row>
    <row r="227" spans="2:7">
      <c r="B227" s="382"/>
      <c r="C227" s="383"/>
      <c r="D227" s="384"/>
      <c r="E227" s="641"/>
      <c r="F227" s="385"/>
      <c r="G227" s="386"/>
    </row>
    <row r="228" spans="2:7">
      <c r="B228" s="382"/>
      <c r="C228" s="414"/>
      <c r="D228" s="384"/>
      <c r="E228" s="641"/>
      <c r="F228" s="385"/>
      <c r="G228" s="386"/>
    </row>
    <row r="229" spans="2:7">
      <c r="B229" s="382"/>
      <c r="C229" s="383"/>
      <c r="D229" s="384"/>
      <c r="E229" s="641"/>
      <c r="F229" s="385"/>
      <c r="G229" s="386"/>
    </row>
    <row r="230" spans="2:7">
      <c r="B230" s="382"/>
      <c r="C230" s="383"/>
      <c r="D230" s="384"/>
      <c r="E230" s="641"/>
      <c r="F230" s="385"/>
      <c r="G230" s="386"/>
    </row>
    <row r="231" spans="2:7">
      <c r="B231" s="382"/>
      <c r="C231" s="414"/>
      <c r="D231" s="384"/>
      <c r="E231" s="641"/>
      <c r="F231" s="385"/>
      <c r="G231" s="386"/>
    </row>
    <row r="232" spans="2:7">
      <c r="B232" s="382"/>
      <c r="C232" s="414"/>
      <c r="D232" s="384"/>
      <c r="E232" s="641"/>
      <c r="F232" s="385"/>
      <c r="G232" s="386"/>
    </row>
    <row r="233" spans="2:7">
      <c r="B233" s="382"/>
      <c r="C233" s="414"/>
      <c r="D233" s="384"/>
      <c r="E233" s="641"/>
      <c r="F233" s="385"/>
      <c r="G233" s="386"/>
    </row>
    <row r="234" spans="2:7">
      <c r="B234" s="382"/>
      <c r="C234" s="383"/>
      <c r="D234" s="384"/>
      <c r="E234" s="641"/>
      <c r="F234" s="385"/>
      <c r="G234" s="386"/>
    </row>
    <row r="235" spans="2:7">
      <c r="B235" s="382"/>
      <c r="C235" s="414"/>
      <c r="D235" s="384"/>
      <c r="E235" s="641"/>
      <c r="F235" s="385"/>
      <c r="G235" s="386"/>
    </row>
    <row r="236" spans="2:7">
      <c r="B236" s="382"/>
      <c r="C236" s="383"/>
      <c r="D236" s="384"/>
      <c r="E236" s="641"/>
      <c r="F236" s="385"/>
      <c r="G236" s="386"/>
    </row>
    <row r="237" spans="2:7">
      <c r="B237" s="382"/>
      <c r="C237" s="414"/>
      <c r="D237" s="384"/>
      <c r="E237" s="641"/>
      <c r="F237" s="385"/>
      <c r="G237" s="386"/>
    </row>
    <row r="238" spans="2:7">
      <c r="B238" s="382"/>
      <c r="C238" s="414"/>
      <c r="D238" s="384"/>
      <c r="E238" s="641"/>
      <c r="F238" s="385"/>
      <c r="G238" s="386"/>
    </row>
    <row r="239" spans="2:7">
      <c r="B239" s="382"/>
      <c r="C239" s="383"/>
      <c r="D239" s="384"/>
      <c r="E239" s="641"/>
      <c r="F239" s="385"/>
      <c r="G239" s="386"/>
    </row>
    <row r="240" spans="2:7">
      <c r="B240" s="382"/>
      <c r="C240" s="383"/>
      <c r="D240" s="384"/>
      <c r="E240" s="641"/>
      <c r="F240" s="385"/>
      <c r="G240" s="385"/>
    </row>
    <row r="241" spans="2:7">
      <c r="B241" s="382"/>
      <c r="C241" s="414"/>
      <c r="D241" s="384"/>
      <c r="E241" s="641"/>
      <c r="F241" s="385"/>
      <c r="G241" s="385"/>
    </row>
    <row r="242" spans="2:7">
      <c r="B242" s="382"/>
      <c r="C242" s="414"/>
      <c r="D242" s="384"/>
      <c r="E242" s="641"/>
      <c r="F242" s="385"/>
      <c r="G242" s="386"/>
    </row>
    <row r="243" spans="2:7">
      <c r="B243" s="382"/>
      <c r="C243" s="383"/>
      <c r="D243" s="384"/>
      <c r="E243" s="641"/>
      <c r="F243" s="385"/>
      <c r="G243" s="386"/>
    </row>
    <row r="244" spans="2:7">
      <c r="B244" s="382"/>
      <c r="C244" s="414"/>
      <c r="D244" s="384"/>
      <c r="E244" s="645"/>
      <c r="F244" s="385"/>
      <c r="G244" s="386"/>
    </row>
    <row r="245" spans="2:7">
      <c r="B245" s="382"/>
      <c r="C245" s="383"/>
      <c r="D245" s="384"/>
      <c r="E245" s="645"/>
      <c r="F245" s="385"/>
      <c r="G245" s="386"/>
    </row>
    <row r="246" spans="2:7">
      <c r="B246" s="382"/>
      <c r="C246" s="414"/>
      <c r="D246" s="384"/>
      <c r="E246" s="645"/>
      <c r="F246" s="385"/>
      <c r="G246" s="386"/>
    </row>
    <row r="247" spans="2:7">
      <c r="B247" s="382"/>
      <c r="C247" s="414"/>
      <c r="D247" s="384"/>
      <c r="E247" s="645"/>
      <c r="F247" s="385"/>
      <c r="G247" s="386"/>
    </row>
    <row r="248" spans="2:7">
      <c r="B248" s="382"/>
      <c r="C248" s="383"/>
      <c r="D248" s="384"/>
      <c r="E248" s="645"/>
      <c r="F248" s="385"/>
      <c r="G248" s="386"/>
    </row>
    <row r="249" spans="2:7">
      <c r="B249" s="382"/>
      <c r="C249" s="383"/>
      <c r="D249" s="384"/>
      <c r="E249" s="641"/>
      <c r="F249" s="385"/>
      <c r="G249" s="386"/>
    </row>
    <row r="250" spans="2:7">
      <c r="B250" s="382"/>
      <c r="C250" s="383"/>
      <c r="D250" s="384"/>
      <c r="E250" s="641"/>
      <c r="F250" s="385"/>
      <c r="G250" s="386"/>
    </row>
    <row r="251" spans="2:7">
      <c r="B251" s="382"/>
      <c r="C251" s="414"/>
      <c r="D251" s="384"/>
      <c r="E251" s="641"/>
      <c r="F251" s="385"/>
      <c r="G251" s="386"/>
    </row>
    <row r="252" spans="2:7">
      <c r="B252" s="382"/>
      <c r="C252" s="414"/>
      <c r="D252" s="384"/>
      <c r="E252" s="641"/>
      <c r="F252" s="385"/>
      <c r="G252" s="386"/>
    </row>
    <row r="253" spans="2:7">
      <c r="B253" s="382"/>
      <c r="C253" s="383"/>
      <c r="D253" s="384"/>
      <c r="E253" s="641"/>
      <c r="F253" s="385"/>
      <c r="G253" s="386"/>
    </row>
    <row r="254" spans="2:7">
      <c r="B254" s="382"/>
      <c r="C254" s="383"/>
      <c r="D254" s="384"/>
      <c r="E254" s="641"/>
      <c r="F254" s="385"/>
      <c r="G254" s="386"/>
    </row>
    <row r="255" spans="2:7">
      <c r="B255" s="382"/>
      <c r="C255" s="383"/>
      <c r="D255" s="384"/>
      <c r="E255" s="641"/>
      <c r="F255" s="385"/>
      <c r="G255" s="386"/>
    </row>
    <row r="256" spans="2:7">
      <c r="B256" s="382"/>
      <c r="C256" s="383"/>
      <c r="D256" s="384"/>
      <c r="E256" s="641"/>
      <c r="F256" s="385"/>
      <c r="G256" s="386"/>
    </row>
    <row r="257" spans="2:7">
      <c r="B257" s="382"/>
      <c r="C257" s="414"/>
      <c r="D257" s="384"/>
      <c r="E257" s="641"/>
      <c r="F257" s="385"/>
      <c r="G257" s="386"/>
    </row>
    <row r="258" spans="2:7">
      <c r="B258" s="382"/>
      <c r="C258" s="383"/>
      <c r="D258" s="384"/>
      <c r="E258" s="641"/>
      <c r="F258" s="385"/>
      <c r="G258" s="386"/>
    </row>
    <row r="259" spans="2:7">
      <c r="B259" s="382"/>
      <c r="C259" s="414"/>
      <c r="D259" s="384"/>
      <c r="E259" s="641"/>
      <c r="F259" s="385"/>
      <c r="G259" s="386"/>
    </row>
    <row r="260" spans="2:7">
      <c r="B260" s="382"/>
      <c r="C260" s="383"/>
      <c r="D260" s="384"/>
      <c r="E260" s="645"/>
      <c r="F260" s="385"/>
      <c r="G260" s="386"/>
    </row>
    <row r="261" spans="2:7">
      <c r="B261" s="382"/>
      <c r="C261" s="383"/>
      <c r="D261" s="384"/>
      <c r="E261" s="641"/>
      <c r="F261" s="385"/>
      <c r="G261" s="386"/>
    </row>
    <row r="262" spans="2:7">
      <c r="B262" s="382"/>
      <c r="C262" s="414"/>
      <c r="D262" s="384"/>
      <c r="E262" s="641"/>
      <c r="F262" s="385"/>
      <c r="G262" s="386"/>
    </row>
    <row r="263" spans="2:7">
      <c r="B263" s="382"/>
      <c r="C263" s="383"/>
      <c r="D263" s="384"/>
      <c r="E263" s="641"/>
      <c r="F263" s="385"/>
      <c r="G263" s="386"/>
    </row>
    <row r="264" spans="2:7">
      <c r="B264" s="417"/>
      <c r="C264" s="418"/>
      <c r="D264" s="419"/>
      <c r="E264" s="641"/>
      <c r="F264" s="421"/>
      <c r="G264" s="422"/>
    </row>
    <row r="265" spans="2:7">
      <c r="B265" s="417"/>
      <c r="C265" s="420"/>
      <c r="D265" s="419"/>
      <c r="E265" s="641"/>
      <c r="F265" s="421"/>
      <c r="G265" s="422"/>
    </row>
    <row r="266" spans="2:7">
      <c r="B266" s="417"/>
      <c r="C266" s="420"/>
      <c r="D266" s="419"/>
      <c r="E266" s="641"/>
      <c r="F266" s="421"/>
      <c r="G266" s="422"/>
    </row>
    <row r="267" spans="2:7">
      <c r="B267" s="417"/>
      <c r="C267" s="418"/>
      <c r="D267" s="419"/>
      <c r="E267" s="641"/>
      <c r="F267" s="421"/>
      <c r="G267" s="422"/>
    </row>
    <row r="268" spans="2:7">
      <c r="B268" s="417"/>
      <c r="C268" s="420"/>
      <c r="D268" s="419"/>
      <c r="E268" s="646"/>
      <c r="F268" s="421"/>
      <c r="G268" s="422"/>
    </row>
    <row r="269" spans="2:7">
      <c r="B269" s="417"/>
      <c r="C269" s="418"/>
      <c r="D269" s="419"/>
      <c r="E269" s="641"/>
      <c r="F269" s="421"/>
      <c r="G269" s="422"/>
    </row>
    <row r="270" spans="2:7">
      <c r="B270" s="106"/>
      <c r="C270" s="286"/>
      <c r="D270" s="107"/>
      <c r="E270" s="641"/>
      <c r="F270" s="102"/>
      <c r="G270" s="100"/>
    </row>
    <row r="271" spans="2:7">
      <c r="B271" s="106"/>
      <c r="C271" s="286"/>
      <c r="D271" s="107"/>
      <c r="E271" s="641"/>
      <c r="F271" s="102"/>
      <c r="G271" s="100"/>
    </row>
    <row r="272" spans="2:7">
      <c r="B272" s="106"/>
      <c r="C272" s="286"/>
      <c r="D272" s="107"/>
      <c r="E272" s="641"/>
      <c r="F272" s="102"/>
      <c r="G272" s="100"/>
    </row>
    <row r="273" spans="2:12">
      <c r="B273" s="106"/>
      <c r="C273" s="286"/>
      <c r="D273" s="107"/>
      <c r="E273" s="641"/>
      <c r="F273" s="102"/>
      <c r="G273" s="100"/>
    </row>
    <row r="274" spans="2:12">
      <c r="B274" s="106"/>
      <c r="C274" s="286"/>
      <c r="D274" s="107"/>
      <c r="E274" s="641"/>
      <c r="F274" s="102"/>
      <c r="G274" s="100"/>
    </row>
    <row r="275" spans="2:12">
      <c r="B275" s="106"/>
      <c r="C275" s="286"/>
      <c r="D275" s="107"/>
      <c r="E275" s="641"/>
      <c r="F275" s="102"/>
      <c r="G275" s="100"/>
    </row>
    <row r="276" spans="2:12">
      <c r="B276" s="106"/>
      <c r="C276" s="286"/>
      <c r="D276" s="107"/>
      <c r="E276" s="640"/>
      <c r="F276" s="102"/>
      <c r="G276" s="100"/>
    </row>
    <row r="277" spans="2:12">
      <c r="B277" s="106"/>
      <c r="C277" s="286"/>
      <c r="D277" s="107"/>
      <c r="E277" s="640"/>
      <c r="F277" s="102"/>
      <c r="G277" s="100"/>
      <c r="L277" s="423"/>
    </row>
    <row r="278" spans="2:12">
      <c r="B278" s="106"/>
      <c r="C278" s="286"/>
      <c r="D278" s="107"/>
      <c r="E278" s="641"/>
      <c r="F278" s="102"/>
      <c r="G278" s="100"/>
    </row>
    <row r="279" spans="2:12">
      <c r="B279" s="106"/>
      <c r="C279" s="286"/>
      <c r="D279" s="107"/>
      <c r="E279" s="641"/>
      <c r="F279" s="102"/>
      <c r="G279" s="100"/>
    </row>
    <row r="280" spans="2:12">
      <c r="B280" s="106"/>
      <c r="C280" s="105"/>
      <c r="D280" s="107"/>
      <c r="E280" s="641"/>
      <c r="F280" s="102"/>
      <c r="G280" s="100"/>
    </row>
    <row r="281" spans="2:12">
      <c r="B281" s="106"/>
      <c r="C281" s="286"/>
      <c r="D281" s="107"/>
      <c r="E281" s="641"/>
      <c r="F281" s="102"/>
      <c r="G281" s="100"/>
    </row>
    <row r="282" spans="2:12">
      <c r="B282" s="106"/>
      <c r="C282" s="286"/>
      <c r="D282" s="107"/>
      <c r="E282" s="641"/>
      <c r="F282" s="102"/>
      <c r="G282" s="100"/>
    </row>
    <row r="283" spans="2:12">
      <c r="B283" s="106"/>
      <c r="C283" s="286"/>
      <c r="D283" s="107"/>
      <c r="E283" s="641"/>
      <c r="F283" s="102"/>
      <c r="G283" s="100"/>
    </row>
    <row r="284" spans="2:12">
      <c r="B284" s="106"/>
      <c r="C284" s="286"/>
      <c r="D284" s="107"/>
      <c r="E284" s="641"/>
      <c r="F284" s="102"/>
      <c r="G284" s="100"/>
    </row>
    <row r="285" spans="2:12">
      <c r="B285" s="106"/>
      <c r="C285" s="286"/>
      <c r="D285" s="107"/>
      <c r="E285" s="641"/>
      <c r="F285" s="102"/>
      <c r="G285" s="100"/>
    </row>
    <row r="286" spans="2:12">
      <c r="B286" s="106"/>
      <c r="C286" s="286"/>
      <c r="D286" s="107"/>
      <c r="E286" s="641"/>
      <c r="F286" s="102"/>
      <c r="G286" s="100"/>
    </row>
    <row r="287" spans="2:12">
      <c r="B287" s="106"/>
      <c r="C287" s="286"/>
      <c r="D287" s="107"/>
      <c r="E287" s="641"/>
      <c r="F287" s="102"/>
      <c r="G287" s="100"/>
    </row>
    <row r="288" spans="2:12">
      <c r="B288" s="106"/>
      <c r="C288" s="286"/>
      <c r="D288" s="107"/>
      <c r="E288" s="641"/>
      <c r="F288" s="102"/>
      <c r="G288" s="100"/>
    </row>
    <row r="289" spans="2:7">
      <c r="B289" s="106"/>
      <c r="C289" s="286"/>
      <c r="D289" s="107"/>
      <c r="E289" s="641"/>
      <c r="F289" s="102"/>
      <c r="G289" s="100"/>
    </row>
    <row r="290" spans="2:7">
      <c r="B290" s="426"/>
      <c r="C290" s="427"/>
      <c r="D290" s="428"/>
      <c r="E290" s="641"/>
      <c r="F290" s="429"/>
      <c r="G290" s="430"/>
    </row>
    <row r="291" spans="2:7">
      <c r="B291" s="426"/>
      <c r="C291" s="427"/>
      <c r="D291" s="428"/>
      <c r="E291" s="641"/>
      <c r="F291" s="429"/>
      <c r="G291" s="430"/>
    </row>
    <row r="292" spans="2:7">
      <c r="B292" s="426"/>
      <c r="C292" s="427"/>
      <c r="D292" s="428"/>
      <c r="E292" s="641"/>
      <c r="F292" s="429"/>
      <c r="G292" s="430"/>
    </row>
    <row r="293" spans="2:7">
      <c r="B293" s="426"/>
      <c r="C293" s="427"/>
      <c r="D293" s="428"/>
      <c r="E293" s="641"/>
      <c r="F293" s="429"/>
      <c r="G293" s="430"/>
    </row>
    <row r="294" spans="2:7">
      <c r="B294" s="426"/>
      <c r="C294" s="427"/>
      <c r="D294" s="428"/>
      <c r="E294" s="641"/>
      <c r="F294" s="429"/>
      <c r="G294" s="430"/>
    </row>
    <row r="295" spans="2:7">
      <c r="B295" s="426"/>
      <c r="C295" s="427"/>
      <c r="D295" s="428"/>
      <c r="E295" s="641"/>
      <c r="F295" s="429"/>
      <c r="G295" s="430"/>
    </row>
    <row r="296" spans="2:7">
      <c r="B296" s="426"/>
      <c r="C296" s="427"/>
      <c r="D296" s="428"/>
      <c r="E296" s="641"/>
      <c r="F296" s="429"/>
      <c r="G296" s="430"/>
    </row>
    <row r="297" spans="2:7">
      <c r="B297" s="426"/>
      <c r="C297" s="427"/>
      <c r="D297" s="428"/>
      <c r="E297" s="641"/>
      <c r="F297" s="429"/>
      <c r="G297" s="100"/>
    </row>
    <row r="298" spans="2:7">
      <c r="B298" s="426"/>
      <c r="C298" s="427"/>
      <c r="D298" s="428"/>
      <c r="E298" s="641"/>
      <c r="F298" s="429"/>
      <c r="G298" s="100"/>
    </row>
    <row r="299" spans="2:7">
      <c r="B299" s="426"/>
      <c r="C299" s="427"/>
      <c r="D299" s="428"/>
      <c r="E299" s="641"/>
      <c r="F299" s="429"/>
      <c r="G299" s="100"/>
    </row>
    <row r="300" spans="2:7">
      <c r="B300" s="426"/>
      <c r="C300" s="427"/>
      <c r="D300" s="428"/>
      <c r="E300" s="641"/>
      <c r="F300" s="429"/>
      <c r="G300" s="100"/>
    </row>
    <row r="301" spans="2:7">
      <c r="B301" s="426"/>
      <c r="C301" s="427"/>
      <c r="D301" s="428"/>
      <c r="E301" s="641"/>
      <c r="F301" s="102"/>
      <c r="G301" s="100"/>
    </row>
    <row r="302" spans="2:7">
      <c r="B302" s="426"/>
      <c r="C302" s="427"/>
      <c r="D302" s="428"/>
      <c r="E302" s="641"/>
      <c r="F302" s="102"/>
      <c r="G302" s="430"/>
    </row>
    <row r="303" spans="2:7">
      <c r="B303" s="426"/>
      <c r="C303" s="427"/>
      <c r="D303" s="428"/>
      <c r="E303" s="641"/>
      <c r="F303" s="102"/>
      <c r="G303" s="100"/>
    </row>
    <row r="304" spans="2:7">
      <c r="B304" s="426"/>
      <c r="C304" s="427"/>
      <c r="D304" s="428"/>
      <c r="E304" s="641"/>
      <c r="F304" s="102"/>
      <c r="G304" s="100"/>
    </row>
    <row r="305" spans="2:12">
      <c r="B305" s="426"/>
      <c r="C305" s="427"/>
      <c r="D305" s="428"/>
      <c r="E305" s="641"/>
      <c r="F305" s="102"/>
      <c r="G305" s="100"/>
    </row>
    <row r="306" spans="2:12">
      <c r="B306" s="106"/>
      <c r="C306" s="427"/>
      <c r="D306" s="428"/>
      <c r="E306" s="641"/>
      <c r="F306" s="102"/>
      <c r="G306" s="100"/>
    </row>
    <row r="307" spans="2:12">
      <c r="B307" s="106"/>
      <c r="C307" s="427"/>
      <c r="D307" s="428"/>
      <c r="E307" s="641"/>
      <c r="F307" s="102"/>
      <c r="G307" s="100"/>
    </row>
    <row r="308" spans="2:12">
      <c r="B308" s="426"/>
      <c r="C308" s="427"/>
      <c r="D308" s="428"/>
      <c r="E308" s="641"/>
      <c r="F308" s="429"/>
      <c r="G308" s="100"/>
      <c r="L308" s="432"/>
    </row>
    <row r="309" spans="2:12">
      <c r="B309" s="426"/>
      <c r="C309" s="427"/>
      <c r="D309" s="428"/>
      <c r="E309" s="641"/>
      <c r="F309" s="102"/>
      <c r="G309" s="100"/>
    </row>
    <row r="310" spans="2:12">
      <c r="B310" s="426"/>
      <c r="C310" s="427"/>
      <c r="D310" s="428"/>
      <c r="E310" s="641"/>
      <c r="F310" s="429"/>
      <c r="G310" s="100"/>
      <c r="L310" s="481"/>
    </row>
    <row r="311" spans="2:12">
      <c r="B311" s="426"/>
      <c r="C311" s="427"/>
      <c r="D311" s="428"/>
      <c r="E311" s="641"/>
      <c r="F311" s="102"/>
      <c r="G311" s="100"/>
    </row>
    <row r="312" spans="2:12">
      <c r="B312" s="426"/>
      <c r="C312" s="427"/>
      <c r="D312" s="428"/>
      <c r="E312" s="641"/>
      <c r="F312" s="429"/>
      <c r="G312" s="100"/>
    </row>
    <row r="313" spans="2:12">
      <c r="B313" s="426"/>
      <c r="C313" s="427"/>
      <c r="D313" s="428"/>
      <c r="E313" s="641"/>
      <c r="F313" s="429"/>
      <c r="G313" s="100"/>
    </row>
    <row r="314" spans="2:12">
      <c r="B314" s="426"/>
      <c r="C314" s="427"/>
      <c r="D314" s="428"/>
      <c r="E314" s="641"/>
      <c r="F314" s="429"/>
      <c r="G314" s="100"/>
      <c r="L314" s="432"/>
    </row>
    <row r="315" spans="2:12">
      <c r="B315" s="426"/>
      <c r="C315" s="427"/>
      <c r="D315" s="428"/>
      <c r="E315" s="641"/>
      <c r="F315" s="429"/>
      <c r="G315" s="100"/>
    </row>
    <row r="316" spans="2:12">
      <c r="B316" s="426"/>
      <c r="C316" s="427"/>
      <c r="D316" s="428"/>
      <c r="E316" s="641"/>
      <c r="F316" s="429"/>
      <c r="G316" s="100"/>
    </row>
    <row r="317" spans="2:12">
      <c r="B317" s="426"/>
      <c r="C317" s="427"/>
      <c r="D317" s="428"/>
      <c r="E317" s="641"/>
      <c r="F317" s="429"/>
      <c r="G317" s="100"/>
    </row>
    <row r="318" spans="2:12">
      <c r="B318" s="426"/>
      <c r="C318" s="427"/>
      <c r="D318" s="428"/>
      <c r="E318" s="641"/>
      <c r="F318" s="429"/>
      <c r="G318" s="100"/>
    </row>
    <row r="319" spans="2:12">
      <c r="B319" s="426"/>
      <c r="C319" s="427"/>
      <c r="D319" s="428"/>
      <c r="E319" s="641"/>
      <c r="F319" s="102"/>
      <c r="G319" s="100"/>
    </row>
    <row r="320" spans="2:12">
      <c r="B320" s="426"/>
      <c r="C320" s="427"/>
      <c r="D320" s="428"/>
      <c r="E320" s="641"/>
      <c r="F320" s="102"/>
      <c r="G320" s="100"/>
    </row>
    <row r="321" spans="2:12">
      <c r="B321" s="426"/>
      <c r="C321" s="427"/>
      <c r="D321" s="428"/>
      <c r="E321" s="641"/>
      <c r="F321" s="429"/>
      <c r="G321" s="100"/>
    </row>
    <row r="322" spans="2:12">
      <c r="B322" s="426"/>
      <c r="C322" s="427"/>
      <c r="D322" s="428"/>
      <c r="E322" s="641"/>
      <c r="F322" s="429"/>
      <c r="G322" s="100"/>
    </row>
    <row r="323" spans="2:12">
      <c r="B323" s="426"/>
      <c r="C323" s="427"/>
      <c r="D323" s="428"/>
      <c r="E323" s="641"/>
      <c r="F323" s="429"/>
      <c r="G323" s="100"/>
    </row>
    <row r="324" spans="2:12">
      <c r="B324" s="426"/>
      <c r="C324" s="427"/>
      <c r="D324" s="428"/>
      <c r="E324" s="641"/>
      <c r="F324" s="429"/>
      <c r="G324" s="100"/>
    </row>
    <row r="325" spans="2:12">
      <c r="B325" s="426"/>
      <c r="C325" s="427"/>
      <c r="D325" s="428"/>
      <c r="E325" s="641"/>
      <c r="F325" s="429"/>
      <c r="G325" s="100"/>
    </row>
    <row r="326" spans="2:12">
      <c r="B326" s="106"/>
      <c r="C326" s="286"/>
      <c r="D326" s="107"/>
      <c r="E326" s="641"/>
      <c r="F326" s="102"/>
      <c r="G326" s="100"/>
    </row>
    <row r="327" spans="2:12">
      <c r="B327" s="106"/>
      <c r="C327" s="286"/>
      <c r="D327" s="107"/>
      <c r="E327" s="641"/>
      <c r="F327" s="102"/>
      <c r="G327" s="100"/>
      <c r="L327" s="455"/>
    </row>
    <row r="328" spans="2:12">
      <c r="B328" s="106"/>
      <c r="C328" s="286"/>
      <c r="D328" s="107"/>
      <c r="E328" s="641"/>
      <c r="F328" s="102"/>
      <c r="G328" s="100"/>
    </row>
    <row r="329" spans="2:12">
      <c r="B329" s="106"/>
      <c r="C329" s="286"/>
      <c r="D329" s="107"/>
      <c r="E329" s="641"/>
      <c r="F329" s="102"/>
      <c r="G329" s="100"/>
    </row>
    <row r="330" spans="2:12">
      <c r="B330" s="106"/>
      <c r="C330" s="286"/>
      <c r="D330" s="107"/>
      <c r="E330" s="641"/>
      <c r="F330" s="102"/>
      <c r="G330" s="100"/>
    </row>
    <row r="331" spans="2:12">
      <c r="B331" s="106"/>
      <c r="C331" s="286"/>
      <c r="D331" s="107"/>
      <c r="E331" s="641"/>
      <c r="F331" s="102"/>
      <c r="G331" s="100"/>
    </row>
    <row r="332" spans="2:12">
      <c r="B332" s="106"/>
      <c r="C332" s="286"/>
      <c r="D332" s="107"/>
      <c r="E332" s="641"/>
      <c r="F332" s="102"/>
      <c r="G332" s="100"/>
    </row>
    <row r="333" spans="2:12">
      <c r="B333" s="106"/>
      <c r="C333" s="286"/>
      <c r="D333" s="107"/>
      <c r="E333" s="641"/>
      <c r="F333" s="102"/>
      <c r="G333" s="100"/>
    </row>
    <row r="334" spans="2:12">
      <c r="B334" s="106"/>
      <c r="C334" s="286"/>
      <c r="D334" s="107"/>
      <c r="E334" s="641"/>
      <c r="F334" s="102"/>
      <c r="G334" s="100"/>
    </row>
    <row r="335" spans="2:12">
      <c r="B335" s="106"/>
      <c r="C335" s="286"/>
      <c r="D335" s="107"/>
      <c r="E335" s="641"/>
      <c r="F335" s="102"/>
      <c r="G335" s="100"/>
    </row>
    <row r="336" spans="2:12">
      <c r="B336" s="106"/>
      <c r="C336" s="286"/>
      <c r="D336" s="107"/>
      <c r="E336" s="641"/>
      <c r="F336" s="102"/>
      <c r="G336" s="100"/>
    </row>
    <row r="337" spans="2:7">
      <c r="B337" s="106"/>
      <c r="C337" s="286"/>
      <c r="D337" s="107"/>
      <c r="E337" s="641"/>
      <c r="F337" s="102"/>
      <c r="G337" s="100"/>
    </row>
    <row r="338" spans="2:7">
      <c r="B338" s="106"/>
      <c r="C338" s="286"/>
      <c r="D338" s="107"/>
      <c r="E338" s="641"/>
      <c r="F338" s="102"/>
      <c r="G338" s="100"/>
    </row>
    <row r="339" spans="2:7">
      <c r="B339" s="106"/>
      <c r="C339" s="286"/>
      <c r="D339" s="107"/>
      <c r="E339" s="641"/>
      <c r="F339" s="102"/>
      <c r="G339" s="100"/>
    </row>
    <row r="340" spans="2:7">
      <c r="B340" s="106"/>
      <c r="C340" s="286"/>
      <c r="D340" s="107"/>
      <c r="E340" s="641"/>
      <c r="F340" s="102"/>
      <c r="G340" s="100"/>
    </row>
    <row r="341" spans="2:7">
      <c r="B341" s="106"/>
      <c r="C341" s="286"/>
      <c r="D341" s="107"/>
      <c r="E341" s="641"/>
      <c r="F341" s="102"/>
      <c r="G341" s="100"/>
    </row>
    <row r="342" spans="2:7">
      <c r="B342" s="106"/>
      <c r="C342" s="286"/>
      <c r="D342" s="107"/>
      <c r="E342" s="641"/>
      <c r="F342" s="102"/>
      <c r="G342" s="100"/>
    </row>
    <row r="343" spans="2:7">
      <c r="B343" s="106"/>
      <c r="C343" s="286"/>
      <c r="D343" s="107"/>
      <c r="E343" s="641"/>
      <c r="F343" s="102"/>
      <c r="G343" s="100"/>
    </row>
    <row r="344" spans="2:7">
      <c r="B344" s="106"/>
      <c r="C344" s="286"/>
      <c r="D344" s="107"/>
      <c r="E344" s="641"/>
      <c r="F344" s="102"/>
      <c r="G344" s="100"/>
    </row>
    <row r="345" spans="2:7">
      <c r="B345" s="106"/>
      <c r="C345" s="286"/>
      <c r="D345" s="107"/>
      <c r="E345" s="641"/>
      <c r="F345" s="102"/>
      <c r="G345" s="100"/>
    </row>
    <row r="346" spans="2:7">
      <c r="B346" s="106"/>
      <c r="C346" s="286"/>
      <c r="D346" s="107"/>
      <c r="E346" s="641"/>
      <c r="F346" s="102"/>
      <c r="G346" s="100"/>
    </row>
    <row r="347" spans="2:7">
      <c r="B347" s="106"/>
      <c r="C347" s="286"/>
      <c r="D347" s="107"/>
      <c r="E347" s="641"/>
      <c r="F347" s="102"/>
      <c r="G347" s="100"/>
    </row>
    <row r="348" spans="2:7">
      <c r="B348" s="106"/>
      <c r="C348" s="286"/>
      <c r="D348" s="107"/>
      <c r="E348" s="641"/>
      <c r="F348" s="102"/>
      <c r="G348" s="100"/>
    </row>
    <row r="349" spans="2:7">
      <c r="B349" s="106"/>
      <c r="C349" s="286"/>
      <c r="D349" s="107"/>
      <c r="E349" s="641"/>
      <c r="F349" s="102"/>
      <c r="G349" s="100"/>
    </row>
    <row r="350" spans="2:7">
      <c r="B350" s="106"/>
      <c r="C350" s="286"/>
      <c r="D350" s="107"/>
      <c r="E350" s="641"/>
      <c r="F350" s="102"/>
      <c r="G350" s="100"/>
    </row>
    <row r="351" spans="2:7">
      <c r="B351" s="106"/>
      <c r="C351" s="286"/>
      <c r="D351" s="107"/>
      <c r="E351" s="641"/>
      <c r="F351" s="102"/>
      <c r="G351" s="100"/>
    </row>
    <row r="352" spans="2:7">
      <c r="B352" s="106"/>
      <c r="C352" s="286"/>
      <c r="D352" s="107"/>
      <c r="E352" s="641"/>
      <c r="F352" s="102"/>
      <c r="G352" s="100"/>
    </row>
    <row r="353" spans="2:7">
      <c r="B353" s="106"/>
      <c r="C353" s="286"/>
      <c r="D353" s="107"/>
      <c r="E353" s="641"/>
      <c r="F353" s="102"/>
      <c r="G353" s="100"/>
    </row>
    <row r="354" spans="2:7">
      <c r="B354" s="106"/>
      <c r="C354" s="286"/>
      <c r="D354" s="107"/>
      <c r="E354" s="641"/>
      <c r="F354" s="102"/>
      <c r="G354" s="100"/>
    </row>
    <row r="355" spans="2:7">
      <c r="B355" s="106"/>
      <c r="C355" s="286"/>
      <c r="D355" s="107"/>
      <c r="E355" s="641"/>
      <c r="F355" s="102"/>
      <c r="G355" s="100"/>
    </row>
    <row r="356" spans="2:7">
      <c r="B356" s="106"/>
      <c r="C356" s="286"/>
      <c r="D356" s="107"/>
      <c r="E356" s="641"/>
      <c r="F356" s="102"/>
      <c r="G356" s="100"/>
    </row>
    <row r="357" spans="2:7">
      <c r="B357" s="106"/>
      <c r="C357" s="286"/>
      <c r="D357" s="107"/>
      <c r="E357" s="641"/>
      <c r="F357" s="102"/>
      <c r="G357" s="100"/>
    </row>
    <row r="358" spans="2:7">
      <c r="B358" s="106"/>
      <c r="C358" s="286"/>
      <c r="D358" s="107"/>
      <c r="E358" s="641"/>
      <c r="F358" s="102"/>
      <c r="G358" s="100"/>
    </row>
    <row r="359" spans="2:7">
      <c r="B359" s="445"/>
      <c r="C359" s="446"/>
      <c r="D359" s="447"/>
      <c r="E359" s="641"/>
      <c r="F359" s="102"/>
      <c r="G359" s="100"/>
    </row>
    <row r="360" spans="2:7">
      <c r="B360" s="445"/>
      <c r="C360" s="446"/>
      <c r="D360" s="447"/>
      <c r="E360" s="641"/>
      <c r="F360" s="102"/>
      <c r="G360" s="100"/>
    </row>
    <row r="361" spans="2:7">
      <c r="B361" s="445"/>
      <c r="C361" s="446"/>
      <c r="D361" s="447"/>
      <c r="E361" s="641"/>
      <c r="F361" s="102"/>
      <c r="G361" s="100"/>
    </row>
    <row r="362" spans="2:7">
      <c r="B362" s="445"/>
      <c r="C362" s="446"/>
      <c r="D362" s="447"/>
      <c r="E362" s="641"/>
      <c r="F362" s="102"/>
      <c r="G362" s="100"/>
    </row>
    <row r="363" spans="2:7">
      <c r="B363" s="445"/>
      <c r="C363" s="446"/>
      <c r="D363" s="447"/>
      <c r="E363" s="641"/>
      <c r="F363" s="102"/>
      <c r="G363" s="448"/>
    </row>
    <row r="364" spans="2:7">
      <c r="B364" s="445"/>
      <c r="C364" s="446"/>
      <c r="D364" s="447"/>
      <c r="E364" s="641"/>
      <c r="F364" s="102"/>
      <c r="G364" s="100"/>
    </row>
    <row r="365" spans="2:7">
      <c r="B365" s="106"/>
      <c r="C365" s="446"/>
      <c r="D365" s="447"/>
      <c r="E365" s="641"/>
      <c r="F365" s="102"/>
      <c r="G365" s="100"/>
    </row>
    <row r="366" spans="2:7">
      <c r="B366" s="106"/>
      <c r="C366" s="286"/>
      <c r="D366" s="107"/>
      <c r="E366" s="641"/>
      <c r="F366" s="102"/>
      <c r="G366" s="100"/>
    </row>
    <row r="367" spans="2:7">
      <c r="B367" s="106"/>
      <c r="C367" s="286"/>
      <c r="D367" s="107"/>
      <c r="E367" s="641"/>
      <c r="F367" s="102"/>
      <c r="G367" s="100"/>
    </row>
    <row r="368" spans="2:7">
      <c r="B368" s="106"/>
      <c r="C368" s="286"/>
      <c r="D368" s="107"/>
      <c r="E368" s="641"/>
      <c r="F368" s="102"/>
      <c r="G368" s="100"/>
    </row>
    <row r="369" spans="2:12">
      <c r="B369" s="106"/>
      <c r="C369" s="286"/>
      <c r="D369" s="107"/>
      <c r="E369" s="641"/>
      <c r="F369" s="102"/>
      <c r="G369" s="100"/>
    </row>
    <row r="370" spans="2:12">
      <c r="B370" s="106"/>
      <c r="C370" s="286"/>
      <c r="D370" s="107"/>
      <c r="E370" s="641"/>
      <c r="F370" s="102"/>
      <c r="G370" s="100"/>
    </row>
    <row r="371" spans="2:12">
      <c r="B371" s="449"/>
      <c r="C371" s="450"/>
      <c r="D371" s="451"/>
      <c r="E371" s="641"/>
      <c r="F371" s="452"/>
      <c r="G371" s="100"/>
    </row>
    <row r="372" spans="2:12">
      <c r="B372" s="449"/>
      <c r="C372" s="450"/>
      <c r="D372" s="451"/>
      <c r="E372" s="641"/>
      <c r="F372" s="452"/>
      <c r="G372" s="100"/>
    </row>
    <row r="373" spans="2:12">
      <c r="B373" s="449"/>
      <c r="C373" s="450"/>
      <c r="D373" s="451"/>
      <c r="E373" s="641"/>
      <c r="F373" s="452"/>
      <c r="G373" s="100"/>
    </row>
    <row r="374" spans="2:12">
      <c r="B374" s="449"/>
      <c r="C374" s="450"/>
      <c r="D374" s="451"/>
      <c r="E374" s="641"/>
      <c r="F374" s="102"/>
      <c r="G374" s="100"/>
    </row>
    <row r="375" spans="2:12">
      <c r="B375" s="106"/>
      <c r="C375" s="286"/>
      <c r="D375" s="107"/>
      <c r="E375" s="641"/>
      <c r="F375" s="102"/>
      <c r="G375" s="100"/>
    </row>
    <row r="376" spans="2:12">
      <c r="B376" s="106"/>
      <c r="C376" s="450"/>
      <c r="D376" s="107"/>
      <c r="E376" s="641"/>
      <c r="F376" s="102"/>
      <c r="G376" s="100"/>
    </row>
    <row r="377" spans="2:12">
      <c r="B377" s="106"/>
      <c r="C377" s="286"/>
      <c r="D377" s="107"/>
      <c r="E377" s="641"/>
      <c r="F377" s="102"/>
      <c r="G377" s="100"/>
    </row>
    <row r="378" spans="2:12">
      <c r="B378" s="106"/>
      <c r="C378" s="286"/>
      <c r="D378" s="107"/>
      <c r="E378" s="641"/>
      <c r="F378" s="102"/>
      <c r="G378" s="100"/>
    </row>
    <row r="379" spans="2:12">
      <c r="B379" s="106"/>
      <c r="C379" s="286"/>
      <c r="D379" s="107"/>
      <c r="E379" s="641"/>
      <c r="F379" s="102"/>
      <c r="G379" s="100"/>
    </row>
    <row r="380" spans="2:12">
      <c r="B380" s="106"/>
      <c r="C380" s="286"/>
      <c r="D380" s="107"/>
      <c r="E380" s="641"/>
      <c r="F380" s="102"/>
      <c r="G380" s="100"/>
      <c r="L380" s="317"/>
    </row>
    <row r="381" spans="2:12">
      <c r="B381" s="106"/>
      <c r="C381" s="286"/>
      <c r="D381" s="107"/>
      <c r="E381" s="641"/>
      <c r="F381" s="102"/>
      <c r="G381" s="100"/>
    </row>
    <row r="382" spans="2:12">
      <c r="B382" s="106"/>
      <c r="C382" s="286"/>
      <c r="D382" s="451"/>
      <c r="E382" s="641"/>
      <c r="F382" s="102"/>
      <c r="G382" s="100"/>
    </row>
    <row r="383" spans="2:12">
      <c r="B383" s="106"/>
      <c r="C383" s="286"/>
      <c r="D383" s="107"/>
      <c r="E383" s="641"/>
      <c r="F383" s="102"/>
      <c r="G383" s="100"/>
    </row>
    <row r="384" spans="2:12">
      <c r="B384" s="106"/>
      <c r="C384" s="286"/>
      <c r="D384" s="107"/>
      <c r="E384" s="641"/>
      <c r="F384" s="102"/>
      <c r="G384" s="100"/>
    </row>
    <row r="385" spans="2:7">
      <c r="B385" s="106"/>
      <c r="C385" s="286"/>
      <c r="D385" s="107"/>
      <c r="E385" s="641"/>
      <c r="F385" s="102"/>
      <c r="G385" s="100"/>
    </row>
    <row r="386" spans="2:7">
      <c r="B386" s="106"/>
      <c r="C386" s="286"/>
      <c r="D386" s="107"/>
      <c r="E386" s="641"/>
      <c r="F386" s="102"/>
      <c r="G386" s="100"/>
    </row>
    <row r="387" spans="2:7">
      <c r="B387" s="449"/>
      <c r="C387" s="450"/>
      <c r="D387" s="451"/>
      <c r="E387" s="641"/>
      <c r="F387" s="102"/>
      <c r="G387" s="100"/>
    </row>
    <row r="388" spans="2:7">
      <c r="B388" s="449"/>
      <c r="C388" s="450"/>
      <c r="D388" s="451"/>
      <c r="E388" s="641"/>
      <c r="F388" s="452"/>
      <c r="G388" s="100"/>
    </row>
    <row r="389" spans="2:7">
      <c r="B389" s="449"/>
      <c r="C389" s="450"/>
      <c r="D389" s="451"/>
      <c r="E389" s="641"/>
      <c r="F389" s="452"/>
      <c r="G389" s="100"/>
    </row>
    <row r="390" spans="2:7">
      <c r="B390" s="449"/>
      <c r="C390" s="450"/>
      <c r="D390" s="451"/>
      <c r="E390" s="641"/>
      <c r="F390" s="102"/>
      <c r="G390" s="100"/>
    </row>
    <row r="391" spans="2:7">
      <c r="B391" s="449"/>
      <c r="C391" s="450"/>
      <c r="D391" s="451"/>
      <c r="E391" s="641"/>
      <c r="F391" s="102"/>
      <c r="G391" s="100"/>
    </row>
    <row r="392" spans="2:7">
      <c r="B392" s="449"/>
      <c r="C392" s="450"/>
      <c r="D392" s="451"/>
      <c r="E392" s="641"/>
      <c r="F392" s="102"/>
      <c r="G392" s="100"/>
    </row>
    <row r="393" spans="2:7">
      <c r="B393" s="449"/>
      <c r="C393" s="450"/>
      <c r="D393" s="451"/>
      <c r="E393" s="641"/>
      <c r="F393" s="452"/>
      <c r="G393" s="453"/>
    </row>
    <row r="394" spans="2:7">
      <c r="B394" s="106"/>
      <c r="C394" s="450"/>
      <c r="D394" s="107"/>
      <c r="E394" s="641"/>
      <c r="F394" s="102"/>
      <c r="G394" s="100"/>
    </row>
    <row r="395" spans="2:7">
      <c r="B395" s="106"/>
      <c r="C395" s="450"/>
      <c r="D395" s="107"/>
      <c r="E395" s="641"/>
      <c r="F395" s="102"/>
      <c r="G395" s="100"/>
    </row>
    <row r="396" spans="2:7">
      <c r="B396" s="106"/>
      <c r="C396" s="450"/>
      <c r="D396" s="107"/>
      <c r="E396" s="641"/>
      <c r="F396" s="102"/>
      <c r="G396" s="100"/>
    </row>
    <row r="397" spans="2:7">
      <c r="B397" s="106"/>
      <c r="C397" s="450"/>
      <c r="D397" s="107"/>
      <c r="E397" s="641"/>
      <c r="F397" s="102"/>
      <c r="G397" s="100"/>
    </row>
    <row r="398" spans="2:7">
      <c r="B398" s="106"/>
      <c r="C398" s="286"/>
      <c r="D398" s="107"/>
      <c r="E398" s="641"/>
      <c r="F398" s="102"/>
      <c r="G398" s="100"/>
    </row>
    <row r="399" spans="2:7">
      <c r="B399" s="106"/>
      <c r="C399" s="286"/>
      <c r="D399" s="107"/>
      <c r="E399" s="641"/>
      <c r="F399" s="102"/>
      <c r="G399" s="100"/>
    </row>
    <row r="400" spans="2:7">
      <c r="B400" s="449"/>
      <c r="C400" s="450"/>
      <c r="D400" s="451"/>
      <c r="E400" s="641"/>
      <c r="F400" s="452"/>
      <c r="G400" s="100"/>
    </row>
    <row r="401" spans="2:12">
      <c r="B401" s="449"/>
      <c r="C401" s="450"/>
      <c r="D401" s="451"/>
      <c r="E401" s="641"/>
      <c r="F401" s="452"/>
      <c r="G401" s="100"/>
    </row>
    <row r="402" spans="2:12">
      <c r="B402" s="449"/>
      <c r="C402" s="450"/>
      <c r="D402" s="451"/>
      <c r="E402" s="641"/>
      <c r="F402" s="452"/>
      <c r="G402" s="100"/>
      <c r="L402" s="459"/>
    </row>
    <row r="403" spans="2:12">
      <c r="B403" s="449"/>
      <c r="C403" s="450"/>
      <c r="D403" s="451"/>
      <c r="E403" s="641"/>
      <c r="F403" s="102"/>
      <c r="G403" s="453"/>
    </row>
    <row r="404" spans="2:12">
      <c r="B404" s="449"/>
      <c r="C404" s="450"/>
      <c r="D404" s="451"/>
      <c r="E404" s="641"/>
      <c r="F404" s="452"/>
      <c r="G404" s="100"/>
    </row>
    <row r="405" spans="2:12">
      <c r="B405" s="449"/>
      <c r="C405" s="450"/>
      <c r="D405" s="451"/>
      <c r="E405" s="641"/>
      <c r="F405" s="452"/>
      <c r="G405" s="100"/>
    </row>
    <row r="406" spans="2:12">
      <c r="B406" s="449"/>
      <c r="C406" s="450"/>
      <c r="D406" s="451"/>
      <c r="E406" s="641"/>
      <c r="F406" s="452"/>
      <c r="G406" s="100"/>
    </row>
    <row r="407" spans="2:12">
      <c r="B407" s="449"/>
      <c r="C407" s="450"/>
      <c r="D407" s="451"/>
      <c r="E407" s="641"/>
      <c r="F407" s="102"/>
      <c r="G407" s="100"/>
    </row>
    <row r="408" spans="2:12">
      <c r="B408" s="449"/>
      <c r="C408" s="450"/>
      <c r="D408" s="451"/>
      <c r="E408" s="641"/>
      <c r="F408" s="102"/>
      <c r="G408" s="100"/>
    </row>
    <row r="409" spans="2:12">
      <c r="B409" s="449"/>
      <c r="C409" s="450"/>
      <c r="D409" s="451"/>
      <c r="E409" s="641"/>
      <c r="F409" s="102"/>
      <c r="G409" s="100"/>
    </row>
    <row r="410" spans="2:12">
      <c r="B410" s="449"/>
      <c r="C410" s="450"/>
      <c r="D410" s="451"/>
      <c r="E410" s="641"/>
      <c r="F410" s="102"/>
      <c r="G410" s="100"/>
    </row>
    <row r="411" spans="2:12">
      <c r="B411" s="449"/>
      <c r="C411" s="450"/>
      <c r="D411" s="451"/>
      <c r="E411" s="647"/>
      <c r="F411" s="102"/>
      <c r="G411" s="100"/>
    </row>
    <row r="412" spans="2:12">
      <c r="B412" s="449"/>
      <c r="C412" s="450"/>
      <c r="D412" s="451"/>
      <c r="E412" s="641"/>
      <c r="F412" s="452"/>
      <c r="G412" s="453"/>
    </row>
    <row r="413" spans="2:12">
      <c r="B413" s="449"/>
      <c r="C413" s="450"/>
      <c r="D413" s="451"/>
      <c r="E413" s="641"/>
      <c r="F413" s="452"/>
      <c r="G413" s="453"/>
    </row>
    <row r="414" spans="2:12">
      <c r="B414" s="106"/>
      <c r="C414" s="286"/>
      <c r="D414" s="107"/>
      <c r="E414" s="641"/>
      <c r="F414" s="102"/>
      <c r="G414" s="100"/>
    </row>
    <row r="415" spans="2:12">
      <c r="B415" s="106"/>
      <c r="C415" s="286"/>
      <c r="D415" s="107"/>
      <c r="E415" s="641"/>
      <c r="F415" s="102"/>
      <c r="G415" s="100"/>
    </row>
    <row r="416" spans="2:12">
      <c r="B416" s="106"/>
      <c r="C416" s="286"/>
      <c r="D416" s="107"/>
      <c r="E416" s="641"/>
      <c r="F416" s="102"/>
      <c r="G416" s="100"/>
    </row>
    <row r="417" spans="2:12">
      <c r="B417" s="106"/>
      <c r="C417" s="286"/>
      <c r="D417" s="107"/>
      <c r="E417" s="641"/>
      <c r="F417" s="102"/>
      <c r="G417" s="100"/>
    </row>
    <row r="418" spans="2:12">
      <c r="B418" s="106"/>
      <c r="C418" s="286"/>
      <c r="D418" s="107"/>
      <c r="E418" s="641"/>
      <c r="F418" s="102"/>
      <c r="G418" s="100"/>
    </row>
    <row r="419" spans="2:12">
      <c r="B419" s="106"/>
      <c r="C419" s="286"/>
      <c r="D419" s="107"/>
      <c r="E419" s="641"/>
      <c r="F419" s="102"/>
      <c r="G419" s="100"/>
      <c r="L419" s="481"/>
    </row>
    <row r="420" spans="2:12">
      <c r="B420" s="106"/>
      <c r="C420" s="286"/>
      <c r="D420" s="107"/>
      <c r="E420" s="641"/>
      <c r="F420" s="102"/>
      <c r="G420" s="100"/>
    </row>
    <row r="421" spans="2:12">
      <c r="B421" s="449"/>
      <c r="C421" s="450"/>
      <c r="D421" s="451"/>
      <c r="E421" s="641"/>
      <c r="F421" s="452"/>
      <c r="G421" s="100"/>
    </row>
    <row r="422" spans="2:12">
      <c r="B422" s="449"/>
      <c r="C422" s="450"/>
      <c r="D422" s="451"/>
      <c r="E422" s="641"/>
      <c r="F422" s="102"/>
      <c r="G422" s="100"/>
    </row>
    <row r="423" spans="2:12">
      <c r="B423" s="449"/>
      <c r="C423" s="450"/>
      <c r="D423" s="451"/>
      <c r="E423" s="641"/>
      <c r="F423" s="102"/>
      <c r="G423" s="100"/>
    </row>
    <row r="424" spans="2:12">
      <c r="B424" s="449"/>
      <c r="C424" s="450"/>
      <c r="D424" s="451"/>
      <c r="E424" s="641"/>
      <c r="F424" s="102"/>
      <c r="G424" s="100"/>
    </row>
    <row r="425" spans="2:12">
      <c r="B425" s="449"/>
      <c r="C425" s="450"/>
      <c r="D425" s="451"/>
      <c r="E425" s="641"/>
      <c r="F425" s="102"/>
      <c r="G425" s="100"/>
      <c r="L425" s="469"/>
    </row>
    <row r="426" spans="2:12">
      <c r="B426" s="449"/>
      <c r="C426" s="450"/>
      <c r="D426" s="451"/>
      <c r="E426" s="641"/>
      <c r="F426" s="452"/>
      <c r="G426" s="453"/>
    </row>
    <row r="427" spans="2:12">
      <c r="B427" s="449"/>
      <c r="C427" s="450"/>
      <c r="D427" s="451"/>
      <c r="E427" s="641"/>
      <c r="F427" s="452"/>
      <c r="G427" s="100"/>
    </row>
    <row r="428" spans="2:12">
      <c r="B428" s="449"/>
      <c r="C428" s="450"/>
      <c r="D428" s="451"/>
      <c r="E428" s="641"/>
      <c r="F428" s="452"/>
      <c r="G428" s="453"/>
    </row>
    <row r="429" spans="2:12">
      <c r="B429" s="449"/>
      <c r="C429" s="450"/>
      <c r="D429" s="451"/>
      <c r="E429" s="641"/>
      <c r="F429" s="452"/>
      <c r="G429" s="100"/>
    </row>
    <row r="430" spans="2:12">
      <c r="B430" s="449"/>
      <c r="C430" s="450"/>
      <c r="D430" s="451"/>
      <c r="E430" s="641"/>
      <c r="F430" s="452"/>
      <c r="G430" s="100"/>
    </row>
    <row r="431" spans="2:12">
      <c r="B431" s="449"/>
      <c r="C431" s="450"/>
      <c r="D431" s="451"/>
      <c r="E431" s="641"/>
      <c r="F431" s="452"/>
      <c r="G431" s="100"/>
    </row>
    <row r="432" spans="2:12">
      <c r="B432" s="106"/>
      <c r="C432" s="450"/>
      <c r="D432" s="451"/>
      <c r="E432" s="641"/>
      <c r="F432" s="102"/>
      <c r="G432" s="100"/>
    </row>
    <row r="433" spans="2:7">
      <c r="B433" s="106"/>
      <c r="C433" s="286"/>
      <c r="D433" s="107"/>
      <c r="E433" s="641"/>
      <c r="F433" s="102"/>
      <c r="G433" s="100"/>
    </row>
    <row r="434" spans="2:7">
      <c r="B434" s="106"/>
      <c r="C434" s="450"/>
      <c r="D434" s="107"/>
      <c r="E434" s="641"/>
      <c r="F434" s="102"/>
      <c r="G434" s="100"/>
    </row>
    <row r="435" spans="2:7">
      <c r="B435" s="106"/>
      <c r="C435" s="286"/>
      <c r="D435" s="107"/>
      <c r="E435" s="641"/>
      <c r="F435" s="102"/>
      <c r="G435" s="100"/>
    </row>
    <row r="436" spans="2:7">
      <c r="B436" s="106"/>
      <c r="C436" s="286"/>
      <c r="D436" s="107"/>
      <c r="E436" s="641"/>
      <c r="F436" s="102"/>
      <c r="G436" s="100"/>
    </row>
    <row r="437" spans="2:7">
      <c r="B437" s="106"/>
      <c r="C437" s="286"/>
      <c r="D437" s="107"/>
      <c r="E437" s="640"/>
      <c r="F437" s="102"/>
      <c r="G437" s="100"/>
    </row>
    <row r="438" spans="2:7">
      <c r="B438" s="106"/>
      <c r="C438" s="286"/>
      <c r="D438" s="107"/>
      <c r="E438" s="641"/>
      <c r="F438" s="102"/>
      <c r="G438" s="100"/>
    </row>
    <row r="439" spans="2:7">
      <c r="B439" s="106"/>
      <c r="C439" s="286"/>
      <c r="D439" s="107"/>
      <c r="E439" s="641"/>
      <c r="F439" s="102"/>
      <c r="G439" s="100"/>
    </row>
    <row r="440" spans="2:7">
      <c r="B440" s="106"/>
      <c r="C440" s="286"/>
      <c r="D440" s="107"/>
      <c r="E440" s="641"/>
      <c r="F440" s="102"/>
      <c r="G440" s="100"/>
    </row>
    <row r="441" spans="2:7">
      <c r="B441" s="106"/>
      <c r="C441" s="286"/>
      <c r="D441" s="107"/>
      <c r="E441" s="641"/>
      <c r="F441" s="102"/>
      <c r="G441" s="100"/>
    </row>
    <row r="442" spans="2:7">
      <c r="B442" s="106"/>
      <c r="C442" s="286"/>
      <c r="D442" s="107"/>
      <c r="E442" s="641"/>
      <c r="F442" s="102"/>
      <c r="G442" s="100"/>
    </row>
    <row r="443" spans="2:7">
      <c r="B443" s="106"/>
      <c r="C443" s="286"/>
      <c r="D443" s="107"/>
      <c r="E443" s="641"/>
      <c r="F443" s="102"/>
      <c r="G443" s="100"/>
    </row>
    <row r="444" spans="2:7">
      <c r="B444" s="482"/>
      <c r="C444" s="483"/>
      <c r="D444" s="484"/>
      <c r="E444" s="648"/>
      <c r="F444" s="102"/>
      <c r="G444" s="100"/>
    </row>
    <row r="445" spans="2:7">
      <c r="B445" s="482"/>
      <c r="C445" s="483"/>
      <c r="D445" s="484"/>
      <c r="E445" s="641"/>
      <c r="F445" s="102"/>
      <c r="G445" s="100"/>
    </row>
    <row r="446" spans="2:7">
      <c r="B446" s="482"/>
      <c r="C446" s="483"/>
      <c r="D446" s="484"/>
      <c r="E446" s="641"/>
      <c r="F446" s="102"/>
      <c r="G446" s="100"/>
    </row>
    <row r="447" spans="2:7">
      <c r="B447" s="482"/>
      <c r="C447" s="483"/>
      <c r="D447" s="484"/>
      <c r="E447" s="641"/>
      <c r="F447" s="102"/>
      <c r="G447" s="100"/>
    </row>
    <row r="448" spans="2:7">
      <c r="B448" s="482"/>
      <c r="C448" s="483"/>
      <c r="D448" s="484"/>
      <c r="E448" s="648"/>
      <c r="F448" s="102"/>
      <c r="G448" s="100"/>
    </row>
    <row r="449" spans="2:7">
      <c r="B449" s="106"/>
      <c r="C449" s="105"/>
      <c r="D449" s="107"/>
      <c r="E449" s="641"/>
      <c r="F449" s="102"/>
      <c r="G449" s="100"/>
    </row>
    <row r="450" spans="2:7">
      <c r="B450" s="106"/>
      <c r="C450" s="286"/>
      <c r="D450" s="107"/>
      <c r="E450" s="641"/>
      <c r="F450" s="102"/>
      <c r="G450" s="100"/>
    </row>
    <row r="451" spans="2:7">
      <c r="B451" s="106"/>
      <c r="C451" s="105"/>
      <c r="D451" s="107"/>
      <c r="E451" s="641"/>
      <c r="F451" s="102"/>
      <c r="G451" s="100"/>
    </row>
    <row r="452" spans="2:7">
      <c r="B452" s="106"/>
      <c r="C452" s="286"/>
      <c r="D452" s="107"/>
      <c r="E452" s="641"/>
      <c r="F452" s="102"/>
      <c r="G452" s="100"/>
    </row>
    <row r="453" spans="2:7">
      <c r="B453" s="106"/>
      <c r="C453" s="105"/>
      <c r="D453" s="107"/>
      <c r="E453" s="640"/>
      <c r="F453" s="102"/>
      <c r="G453" s="100"/>
    </row>
    <row r="454" spans="2:7">
      <c r="B454" s="106"/>
      <c r="C454" s="286"/>
      <c r="D454" s="107"/>
      <c r="E454" s="640"/>
      <c r="F454" s="102"/>
      <c r="G454" s="100"/>
    </row>
    <row r="455" spans="2:7">
      <c r="B455" s="106"/>
      <c r="C455" s="105"/>
      <c r="D455" s="107"/>
      <c r="E455" s="640"/>
      <c r="F455" s="102"/>
      <c r="G455" s="100"/>
    </row>
    <row r="456" spans="2:7">
      <c r="B456" s="106"/>
      <c r="C456" s="286"/>
      <c r="D456" s="107"/>
      <c r="E456" s="640"/>
      <c r="F456" s="102"/>
      <c r="G456" s="100"/>
    </row>
    <row r="457" spans="2:7">
      <c r="B457" s="106"/>
      <c r="C457" s="105"/>
      <c r="D457" s="107"/>
      <c r="E457" s="640"/>
      <c r="F457" s="102"/>
      <c r="G457" s="100"/>
    </row>
    <row r="458" spans="2:7">
      <c r="B458" s="106"/>
      <c r="C458" s="105"/>
      <c r="D458" s="107"/>
      <c r="E458" s="641"/>
      <c r="F458" s="102"/>
      <c r="G458" s="100"/>
    </row>
    <row r="459" spans="2:7">
      <c r="B459" s="106"/>
      <c r="C459" s="105"/>
      <c r="D459" s="107"/>
      <c r="E459" s="641"/>
      <c r="F459" s="102"/>
      <c r="G459" s="100"/>
    </row>
    <row r="460" spans="2:7">
      <c r="B460" s="106"/>
      <c r="C460" s="286"/>
      <c r="D460" s="107"/>
      <c r="E460" s="641"/>
      <c r="F460" s="102"/>
      <c r="G460" s="100"/>
    </row>
    <row r="461" spans="2:7">
      <c r="B461" s="106"/>
      <c r="C461" s="105"/>
      <c r="D461" s="107"/>
      <c r="E461" s="641"/>
      <c r="F461" s="102"/>
      <c r="G461" s="100"/>
    </row>
    <row r="462" spans="2:7">
      <c r="B462" s="106"/>
      <c r="C462" s="105"/>
      <c r="D462" s="107"/>
      <c r="E462" s="641"/>
      <c r="F462" s="102"/>
      <c r="G462" s="100"/>
    </row>
    <row r="463" spans="2:7">
      <c r="B463" s="106"/>
      <c r="C463" s="286"/>
      <c r="D463" s="107"/>
      <c r="E463" s="641"/>
      <c r="F463" s="102"/>
      <c r="G463" s="100"/>
    </row>
    <row r="464" spans="2:7">
      <c r="B464" s="106"/>
      <c r="C464" s="286"/>
      <c r="D464" s="107"/>
      <c r="E464" s="641"/>
      <c r="F464" s="102"/>
      <c r="G464" s="100"/>
    </row>
    <row r="465" spans="2:12">
      <c r="B465" s="106"/>
      <c r="C465" s="286"/>
      <c r="D465" s="107"/>
      <c r="E465" s="641"/>
      <c r="F465" s="102"/>
      <c r="G465" s="100"/>
    </row>
    <row r="466" spans="2:12">
      <c r="B466" s="482"/>
      <c r="C466" s="483"/>
      <c r="D466" s="484"/>
      <c r="E466" s="641"/>
      <c r="F466" s="102"/>
      <c r="G466" s="100"/>
    </row>
    <row r="467" spans="2:12">
      <c r="B467" s="482"/>
      <c r="C467" s="483"/>
      <c r="D467" s="484"/>
      <c r="E467" s="641"/>
      <c r="F467" s="102"/>
      <c r="G467" s="100"/>
    </row>
    <row r="468" spans="2:12">
      <c r="B468" s="106"/>
      <c r="C468" s="483"/>
      <c r="D468" s="107"/>
      <c r="E468" s="641"/>
      <c r="F468" s="102"/>
      <c r="G468" s="100"/>
    </row>
    <row r="469" spans="2:12">
      <c r="B469" s="106"/>
      <c r="C469" s="286"/>
      <c r="D469" s="107"/>
      <c r="E469" s="641"/>
      <c r="F469" s="102"/>
      <c r="G469" s="100"/>
    </row>
    <row r="470" spans="2:12">
      <c r="B470" s="106"/>
      <c r="C470" s="286"/>
      <c r="D470" s="107"/>
      <c r="E470" s="641"/>
      <c r="F470" s="102"/>
      <c r="G470" s="100"/>
    </row>
    <row r="471" spans="2:12">
      <c r="B471" s="106"/>
      <c r="C471" s="286"/>
      <c r="D471" s="107"/>
      <c r="E471" s="641"/>
      <c r="F471" s="102"/>
      <c r="G471" s="100"/>
    </row>
    <row r="472" spans="2:12">
      <c r="B472" s="106"/>
      <c r="C472" s="286"/>
      <c r="D472" s="107"/>
      <c r="E472" s="641"/>
      <c r="F472" s="102"/>
      <c r="G472" s="100"/>
      <c r="L472" s="486"/>
    </row>
    <row r="473" spans="2:12">
      <c r="B473" s="106"/>
      <c r="C473" s="286"/>
      <c r="D473" s="107"/>
      <c r="E473" s="641"/>
      <c r="F473" s="102"/>
      <c r="G473" s="100"/>
      <c r="L473" s="486"/>
    </row>
    <row r="474" spans="2:12">
      <c r="B474" s="106"/>
      <c r="C474" s="286"/>
      <c r="D474" s="107"/>
      <c r="E474" s="641"/>
      <c r="F474" s="102"/>
      <c r="G474" s="100"/>
    </row>
    <row r="475" spans="2:12">
      <c r="B475" s="106"/>
      <c r="C475" s="286"/>
      <c r="D475" s="107"/>
      <c r="E475" s="641"/>
      <c r="F475" s="102"/>
      <c r="G475" s="100"/>
    </row>
    <row r="476" spans="2:12">
      <c r="B476" s="106"/>
      <c r="C476" s="286"/>
      <c r="D476" s="107"/>
      <c r="E476" s="641"/>
      <c r="F476" s="102"/>
      <c r="G476" s="100"/>
    </row>
    <row r="477" spans="2:12">
      <c r="B477" s="106"/>
      <c r="C477" s="286"/>
      <c r="D477" s="107"/>
      <c r="E477" s="641"/>
      <c r="F477" s="102"/>
      <c r="G477" s="100"/>
    </row>
    <row r="478" spans="2:12">
      <c r="B478" s="106"/>
      <c r="C478" s="286"/>
      <c r="D478" s="107"/>
      <c r="E478" s="641"/>
      <c r="F478" s="102"/>
      <c r="G478" s="100"/>
    </row>
    <row r="479" spans="2:12">
      <c r="B479" s="106"/>
      <c r="C479" s="286"/>
      <c r="D479" s="107"/>
      <c r="E479" s="640"/>
      <c r="F479" s="102"/>
      <c r="G479" s="100"/>
    </row>
    <row r="480" spans="2:12">
      <c r="B480" s="106"/>
      <c r="C480" s="286"/>
      <c r="D480" s="107"/>
      <c r="E480" s="641"/>
      <c r="F480" s="102"/>
      <c r="G480" s="100"/>
    </row>
    <row r="481" spans="2:7">
      <c r="B481" s="106"/>
      <c r="C481" s="286"/>
      <c r="D481" s="107"/>
      <c r="E481" s="641"/>
      <c r="F481" s="102"/>
      <c r="G481" s="100"/>
    </row>
    <row r="482" spans="2:7">
      <c r="B482" s="106"/>
      <c r="C482" s="286"/>
      <c r="D482" s="107"/>
      <c r="E482" s="641"/>
      <c r="F482" s="102"/>
      <c r="G482" s="100"/>
    </row>
    <row r="483" spans="2:7">
      <c r="B483" s="106"/>
      <c r="C483" s="286"/>
      <c r="D483" s="107"/>
      <c r="E483" s="640"/>
      <c r="F483" s="102"/>
      <c r="G483" s="100"/>
    </row>
    <row r="484" spans="2:7">
      <c r="B484" s="106"/>
      <c r="C484" s="286"/>
      <c r="D484" s="107"/>
      <c r="E484" s="640"/>
      <c r="F484" s="102"/>
      <c r="G484" s="100"/>
    </row>
    <row r="485" spans="2:7">
      <c r="B485" s="106"/>
      <c r="C485" s="286"/>
      <c r="D485" s="107"/>
      <c r="E485" s="640"/>
      <c r="F485" s="102"/>
      <c r="G485" s="100"/>
    </row>
    <row r="486" spans="2:7">
      <c r="B486" s="106"/>
      <c r="C486" s="286"/>
      <c r="D486" s="107"/>
      <c r="E486" s="640"/>
      <c r="F486" s="102"/>
      <c r="G486" s="100"/>
    </row>
    <row r="487" spans="2:7">
      <c r="B487" s="106"/>
      <c r="C487" s="286"/>
      <c r="D487" s="107"/>
      <c r="E487" s="640"/>
      <c r="F487" s="102"/>
      <c r="G487" s="100"/>
    </row>
    <row r="488" spans="2:7">
      <c r="B488" s="106"/>
      <c r="C488" s="286"/>
      <c r="D488" s="107"/>
      <c r="E488" s="640"/>
      <c r="F488" s="102"/>
      <c r="G488" s="100"/>
    </row>
    <row r="489" spans="2:7">
      <c r="B489" s="106"/>
      <c r="C489" s="286"/>
      <c r="D489" s="107"/>
      <c r="E489" s="641"/>
      <c r="F489" s="102"/>
      <c r="G489" s="100"/>
    </row>
    <row r="490" spans="2:7">
      <c r="B490" s="106"/>
      <c r="C490" s="286"/>
      <c r="D490" s="107"/>
      <c r="E490" s="641"/>
      <c r="F490" s="102"/>
      <c r="G490" s="100"/>
    </row>
    <row r="491" spans="2:7">
      <c r="B491" s="106"/>
      <c r="C491" s="286"/>
      <c r="D491" s="107"/>
      <c r="E491" s="641"/>
      <c r="F491" s="102"/>
      <c r="G491" s="100"/>
    </row>
    <row r="492" spans="2:7">
      <c r="B492" s="106"/>
      <c r="C492" s="286"/>
      <c r="D492" s="107"/>
      <c r="E492" s="641"/>
      <c r="F492" s="102"/>
      <c r="G492" s="100"/>
    </row>
    <row r="493" spans="2:7">
      <c r="B493" s="106"/>
      <c r="C493" s="286"/>
      <c r="D493" s="107"/>
      <c r="E493" s="641"/>
      <c r="F493" s="102"/>
      <c r="G493" s="100"/>
    </row>
    <row r="494" spans="2:7">
      <c r="B494" s="482"/>
      <c r="C494" s="483"/>
      <c r="D494" s="484"/>
      <c r="E494" s="641"/>
      <c r="F494" s="102"/>
      <c r="G494" s="100"/>
    </row>
    <row r="495" spans="2:7">
      <c r="B495" s="482"/>
      <c r="C495" s="483"/>
      <c r="D495" s="484"/>
      <c r="E495" s="641"/>
      <c r="F495" s="102"/>
      <c r="G495" s="100"/>
    </row>
    <row r="496" spans="2:7">
      <c r="B496" s="482"/>
      <c r="C496" s="483"/>
      <c r="D496" s="484"/>
      <c r="E496" s="641"/>
      <c r="F496" s="102"/>
      <c r="G496" s="100"/>
    </row>
    <row r="497" spans="2:7">
      <c r="B497" s="482"/>
      <c r="C497" s="483"/>
      <c r="D497" s="484"/>
      <c r="E497" s="648"/>
      <c r="F497" s="102"/>
      <c r="G497" s="100"/>
    </row>
    <row r="498" spans="2:7">
      <c r="B498" s="482"/>
      <c r="C498" s="483"/>
      <c r="D498" s="484"/>
      <c r="E498" s="648"/>
      <c r="F498" s="102"/>
      <c r="G498" s="100"/>
    </row>
    <row r="499" spans="2:7">
      <c r="B499" s="106"/>
      <c r="C499" s="483"/>
      <c r="D499" s="484"/>
      <c r="E499" s="641"/>
      <c r="F499" s="102"/>
      <c r="G499" s="100"/>
    </row>
    <row r="500" spans="2:7">
      <c r="B500" s="106"/>
      <c r="C500" s="286"/>
      <c r="D500" s="107"/>
      <c r="E500" s="641"/>
      <c r="F500" s="102"/>
      <c r="G500" s="100"/>
    </row>
    <row r="501" spans="2:7">
      <c r="B501" s="106"/>
      <c r="C501" s="286"/>
      <c r="D501" s="107"/>
      <c r="E501" s="641"/>
      <c r="F501" s="102"/>
      <c r="G501" s="100"/>
    </row>
    <row r="502" spans="2:7">
      <c r="B502" s="106"/>
      <c r="C502" s="286"/>
      <c r="D502" s="107"/>
      <c r="E502" s="641"/>
      <c r="F502" s="102"/>
      <c r="G502" s="100"/>
    </row>
    <row r="503" spans="2:7">
      <c r="B503" s="106"/>
      <c r="C503" s="286"/>
      <c r="D503" s="107"/>
      <c r="E503" s="641"/>
      <c r="F503" s="102"/>
      <c r="G503" s="100"/>
    </row>
    <row r="504" spans="2:7">
      <c r="B504" s="106"/>
      <c r="C504" s="286"/>
      <c r="D504" s="107"/>
      <c r="E504" s="640"/>
      <c r="F504" s="102"/>
      <c r="G504" s="100"/>
    </row>
    <row r="505" spans="2:7">
      <c r="B505" s="106"/>
      <c r="C505" s="286"/>
      <c r="D505" s="107"/>
      <c r="E505" s="640"/>
      <c r="F505" s="102"/>
      <c r="G505" s="100"/>
    </row>
    <row r="506" spans="2:7">
      <c r="B506" s="106"/>
      <c r="C506" s="286"/>
      <c r="D506" s="107"/>
      <c r="E506" s="640"/>
      <c r="F506" s="102"/>
      <c r="G506" s="100"/>
    </row>
    <row r="507" spans="2:7">
      <c r="B507" s="482"/>
      <c r="C507" s="286"/>
      <c r="D507" s="484"/>
      <c r="E507" s="641"/>
      <c r="F507" s="102"/>
      <c r="G507" s="100"/>
    </row>
    <row r="508" spans="2:7">
      <c r="B508" s="482"/>
      <c r="C508" s="483"/>
      <c r="D508" s="484"/>
      <c r="E508" s="641"/>
      <c r="F508" s="489"/>
      <c r="G508" s="100"/>
    </row>
    <row r="509" spans="2:7">
      <c r="B509" s="482"/>
      <c r="C509" s="483"/>
      <c r="D509" s="484"/>
      <c r="E509" s="641"/>
      <c r="F509" s="489"/>
      <c r="G509" s="100"/>
    </row>
    <row r="510" spans="2:7">
      <c r="B510" s="482"/>
      <c r="C510" s="483"/>
      <c r="D510" s="484"/>
      <c r="E510" s="641"/>
      <c r="F510" s="102"/>
      <c r="G510" s="100"/>
    </row>
    <row r="511" spans="2:7">
      <c r="B511" s="482"/>
      <c r="C511" s="483"/>
      <c r="D511" s="484"/>
      <c r="E511" s="641"/>
      <c r="F511" s="102"/>
      <c r="G511" s="100"/>
    </row>
    <row r="512" spans="2:7">
      <c r="B512" s="482"/>
      <c r="C512" s="483"/>
      <c r="D512" s="484"/>
      <c r="E512" s="641"/>
      <c r="F512" s="102"/>
      <c r="G512" s="100"/>
    </row>
    <row r="513" spans="2:7">
      <c r="B513" s="482"/>
      <c r="C513" s="483"/>
      <c r="D513" s="484"/>
      <c r="E513" s="641"/>
      <c r="F513" s="102"/>
      <c r="G513" s="100"/>
    </row>
    <row r="514" spans="2:7">
      <c r="B514" s="482"/>
      <c r="C514" s="483"/>
      <c r="D514" s="484"/>
      <c r="E514" s="641"/>
      <c r="F514" s="102"/>
      <c r="G514" s="100"/>
    </row>
    <row r="515" spans="2:7">
      <c r="B515" s="482"/>
      <c r="C515" s="483"/>
      <c r="D515" s="484"/>
      <c r="E515" s="641"/>
      <c r="F515" s="102"/>
      <c r="G515" s="485"/>
    </row>
    <row r="516" spans="2:7">
      <c r="B516" s="482"/>
      <c r="C516" s="483"/>
      <c r="D516" s="484"/>
      <c r="E516" s="641"/>
      <c r="F516" s="102"/>
      <c r="G516" s="485"/>
    </row>
    <row r="517" spans="2:7">
      <c r="B517" s="482"/>
      <c r="C517" s="483"/>
      <c r="D517" s="484"/>
      <c r="E517" s="641"/>
      <c r="F517" s="102"/>
      <c r="G517" s="485"/>
    </row>
    <row r="518" spans="2:7">
      <c r="B518" s="106"/>
      <c r="C518" s="483"/>
      <c r="D518" s="107"/>
      <c r="E518" s="641"/>
      <c r="F518" s="102"/>
      <c r="G518" s="100"/>
    </row>
    <row r="519" spans="2:7">
      <c r="B519" s="106"/>
      <c r="C519" s="286"/>
      <c r="D519" s="107"/>
      <c r="E519" s="641"/>
      <c r="F519" s="102"/>
      <c r="G519" s="100"/>
    </row>
    <row r="520" spans="2:7">
      <c r="B520" s="106"/>
      <c r="C520" s="483"/>
      <c r="D520" s="107"/>
      <c r="E520" s="641"/>
      <c r="F520" s="102"/>
      <c r="G520" s="100"/>
    </row>
    <row r="521" spans="2:7">
      <c r="B521" s="106"/>
      <c r="C521" s="286"/>
      <c r="D521" s="107"/>
      <c r="E521" s="641"/>
      <c r="F521" s="102"/>
      <c r="G521" s="100"/>
    </row>
    <row r="522" spans="2:7">
      <c r="B522" s="106"/>
      <c r="C522" s="483"/>
      <c r="D522" s="107"/>
      <c r="E522" s="641"/>
      <c r="F522" s="102"/>
      <c r="G522" s="100"/>
    </row>
    <row r="523" spans="2:7">
      <c r="B523" s="106"/>
      <c r="C523" s="286"/>
      <c r="D523" s="107"/>
      <c r="E523" s="641"/>
      <c r="F523" s="102"/>
      <c r="G523" s="100"/>
    </row>
    <row r="524" spans="2:7">
      <c r="B524" s="482"/>
      <c r="C524" s="483"/>
      <c r="D524" s="107"/>
      <c r="E524" s="641"/>
      <c r="F524" s="102"/>
      <c r="G524" s="100"/>
    </row>
    <row r="525" spans="2:7">
      <c r="B525" s="482"/>
      <c r="C525" s="483"/>
      <c r="D525" s="107"/>
      <c r="E525" s="641"/>
      <c r="F525" s="102"/>
      <c r="G525" s="100"/>
    </row>
    <row r="526" spans="2:7">
      <c r="B526" s="482"/>
      <c r="C526" s="483"/>
      <c r="D526" s="107"/>
      <c r="E526" s="641"/>
      <c r="F526" s="102"/>
      <c r="G526" s="100"/>
    </row>
    <row r="527" spans="2:7">
      <c r="B527" s="482"/>
      <c r="C527" s="286"/>
      <c r="D527" s="107"/>
      <c r="E527" s="641"/>
      <c r="F527" s="102"/>
      <c r="G527" s="100"/>
    </row>
    <row r="528" spans="2:7">
      <c r="B528" s="482"/>
      <c r="C528" s="483"/>
      <c r="D528" s="484"/>
      <c r="E528" s="641"/>
      <c r="F528" s="102"/>
      <c r="G528" s="100"/>
    </row>
    <row r="529" spans="2:12">
      <c r="B529" s="482"/>
      <c r="C529" s="483"/>
      <c r="D529" s="484"/>
      <c r="E529" s="641"/>
      <c r="F529" s="102"/>
      <c r="G529" s="100"/>
    </row>
    <row r="530" spans="2:12">
      <c r="B530" s="482"/>
      <c r="C530" s="483"/>
      <c r="D530" s="484"/>
      <c r="E530" s="641"/>
      <c r="F530" s="102"/>
      <c r="G530" s="100"/>
    </row>
    <row r="531" spans="2:12">
      <c r="B531" s="482"/>
      <c r="C531" s="483"/>
      <c r="D531" s="484"/>
      <c r="E531" s="648"/>
      <c r="F531" s="102"/>
      <c r="G531" s="100"/>
    </row>
    <row r="532" spans="2:12">
      <c r="B532" s="482"/>
      <c r="C532" s="483"/>
      <c r="D532" s="484"/>
      <c r="E532" s="648"/>
      <c r="F532" s="102"/>
      <c r="G532" s="100"/>
    </row>
    <row r="533" spans="2:12">
      <c r="B533" s="482"/>
      <c r="C533" s="483"/>
      <c r="D533" s="484"/>
      <c r="E533" s="641"/>
      <c r="F533" s="102"/>
      <c r="G533" s="100"/>
    </row>
    <row r="534" spans="2:12">
      <c r="B534" s="106"/>
      <c r="C534" s="483"/>
      <c r="D534" s="484"/>
      <c r="E534" s="641"/>
      <c r="F534" s="102"/>
      <c r="G534" s="100"/>
    </row>
    <row r="535" spans="2:12">
      <c r="B535" s="106"/>
      <c r="C535" s="286"/>
      <c r="D535" s="107"/>
      <c r="E535" s="641"/>
      <c r="F535" s="102"/>
      <c r="G535" s="100"/>
    </row>
    <row r="536" spans="2:12">
      <c r="B536" s="106"/>
      <c r="C536" s="286"/>
      <c r="D536" s="107"/>
      <c r="E536" s="641"/>
      <c r="F536" s="102"/>
      <c r="G536" s="100"/>
    </row>
    <row r="537" spans="2:12">
      <c r="B537" s="106"/>
      <c r="C537" s="286"/>
      <c r="D537" s="107"/>
      <c r="E537" s="641"/>
      <c r="F537" s="102"/>
      <c r="G537" s="100"/>
    </row>
    <row r="538" spans="2:12">
      <c r="B538" s="106"/>
      <c r="C538" s="286"/>
      <c r="D538" s="107"/>
      <c r="E538" s="641"/>
      <c r="F538" s="102"/>
      <c r="G538" s="100"/>
    </row>
    <row r="539" spans="2:12">
      <c r="B539" s="106"/>
      <c r="C539" s="286"/>
      <c r="D539" s="107"/>
      <c r="E539" s="641"/>
      <c r="F539" s="102"/>
      <c r="G539" s="100"/>
      <c r="L539" s="323"/>
    </row>
    <row r="540" spans="2:12">
      <c r="B540" s="482"/>
      <c r="C540" s="286"/>
      <c r="D540" s="107"/>
      <c r="E540" s="641"/>
      <c r="F540" s="102"/>
      <c r="G540" s="100"/>
      <c r="L540" s="323"/>
    </row>
    <row r="541" spans="2:12">
      <c r="B541" s="482"/>
      <c r="C541" s="286"/>
      <c r="D541" s="107"/>
      <c r="E541" s="641"/>
      <c r="F541" s="102"/>
      <c r="G541" s="100"/>
    </row>
    <row r="542" spans="2:12">
      <c r="B542" s="106"/>
      <c r="C542" s="286"/>
      <c r="D542" s="107"/>
      <c r="E542" s="641"/>
      <c r="F542" s="102"/>
      <c r="G542" s="100"/>
      <c r="L542" s="323"/>
    </row>
    <row r="543" spans="2:12">
      <c r="B543" s="106"/>
      <c r="C543" s="286"/>
      <c r="D543" s="107"/>
      <c r="E543" s="641"/>
      <c r="F543" s="102"/>
      <c r="G543" s="100"/>
      <c r="L543" s="323"/>
    </row>
    <row r="544" spans="2:12">
      <c r="B544" s="106"/>
      <c r="C544" s="286"/>
      <c r="D544" s="107"/>
      <c r="E544" s="641"/>
      <c r="F544" s="102"/>
      <c r="G544" s="100"/>
    </row>
    <row r="545" spans="2:8">
      <c r="B545" s="106"/>
      <c r="C545" s="286"/>
      <c r="D545" s="107"/>
      <c r="E545" s="640"/>
      <c r="F545" s="102"/>
      <c r="G545" s="100"/>
    </row>
    <row r="546" spans="2:8">
      <c r="B546" s="106"/>
      <c r="C546" s="286"/>
      <c r="D546" s="107"/>
      <c r="E546" s="640"/>
      <c r="F546" s="102"/>
      <c r="G546" s="100"/>
    </row>
    <row r="547" spans="2:8">
      <c r="B547" s="106"/>
      <c r="C547" s="286"/>
      <c r="D547" s="107"/>
      <c r="E547" s="640"/>
      <c r="F547" s="102"/>
      <c r="G547" s="100"/>
    </row>
    <row r="548" spans="2:8">
      <c r="B548" s="106"/>
      <c r="C548" s="286"/>
      <c r="D548" s="107"/>
      <c r="E548" s="640"/>
      <c r="F548" s="102"/>
      <c r="G548" s="100"/>
    </row>
    <row r="549" spans="2:8">
      <c r="B549" s="106"/>
      <c r="C549" s="286"/>
      <c r="D549" s="107"/>
      <c r="E549" s="640"/>
      <c r="F549" s="102"/>
      <c r="G549" s="100"/>
    </row>
    <row r="550" spans="2:8">
      <c r="B550" s="106"/>
      <c r="C550" s="286"/>
      <c r="D550" s="107"/>
      <c r="E550" s="640"/>
      <c r="F550" s="102"/>
      <c r="G550" s="100"/>
    </row>
    <row r="551" spans="2:8">
      <c r="B551" s="106"/>
      <c r="C551" s="286"/>
      <c r="D551" s="107"/>
      <c r="E551" s="640"/>
      <c r="F551" s="102"/>
      <c r="G551" s="100"/>
    </row>
    <row r="552" spans="2:8">
      <c r="B552" s="482"/>
      <c r="C552" s="286"/>
      <c r="D552" s="107"/>
      <c r="E552" s="641"/>
      <c r="F552" s="102"/>
      <c r="G552" s="100"/>
    </row>
    <row r="553" spans="2:8">
      <c r="B553" s="106"/>
      <c r="C553" s="286"/>
      <c r="D553" s="107"/>
      <c r="E553" s="641"/>
      <c r="F553" s="102"/>
      <c r="G553" s="100"/>
    </row>
    <row r="554" spans="2:8">
      <c r="B554" s="482"/>
      <c r="C554" s="483"/>
      <c r="D554" s="484"/>
      <c r="E554" s="641"/>
      <c r="F554" s="102"/>
      <c r="G554" s="100"/>
    </row>
    <row r="555" spans="2:8">
      <c r="B555" s="482"/>
      <c r="C555" s="483"/>
      <c r="D555" s="484"/>
      <c r="E555" s="641"/>
      <c r="F555" s="102"/>
      <c r="G555" s="100"/>
    </row>
    <row r="556" spans="2:8">
      <c r="B556" s="482"/>
      <c r="C556" s="483"/>
      <c r="D556" s="484"/>
      <c r="E556" s="641"/>
      <c r="F556" s="102"/>
      <c r="G556" s="485"/>
      <c r="H556" s="320"/>
    </row>
    <row r="557" spans="2:8">
      <c r="B557" s="482"/>
      <c r="C557" s="483"/>
      <c r="D557" s="484"/>
      <c r="E557" s="641"/>
      <c r="F557" s="489"/>
      <c r="G557" s="100"/>
    </row>
    <row r="558" spans="2:8">
      <c r="B558" s="482"/>
      <c r="C558" s="483"/>
      <c r="D558" s="484"/>
      <c r="E558" s="641"/>
      <c r="F558" s="489"/>
      <c r="G558" s="100"/>
    </row>
    <row r="559" spans="2:8">
      <c r="B559" s="482"/>
      <c r="C559" s="483"/>
      <c r="D559" s="484"/>
      <c r="E559" s="641"/>
      <c r="F559" s="489"/>
      <c r="G559" s="100"/>
    </row>
    <row r="560" spans="2:8">
      <c r="B560" s="482"/>
      <c r="C560" s="483"/>
      <c r="D560" s="484"/>
      <c r="E560" s="641"/>
      <c r="F560" s="489"/>
      <c r="G560" s="100"/>
    </row>
    <row r="561" spans="2:7">
      <c r="B561" s="106"/>
      <c r="C561" s="483"/>
      <c r="D561" s="484"/>
      <c r="E561" s="641"/>
      <c r="F561" s="102"/>
      <c r="G561" s="100"/>
    </row>
    <row r="562" spans="2:7">
      <c r="B562" s="106"/>
      <c r="C562" s="286"/>
      <c r="D562" s="107"/>
      <c r="E562" s="641"/>
      <c r="F562" s="102"/>
      <c r="G562" s="100"/>
    </row>
    <row r="563" spans="2:7">
      <c r="B563" s="106"/>
      <c r="C563" s="286"/>
      <c r="D563" s="107"/>
      <c r="E563" s="641"/>
      <c r="F563" s="102"/>
      <c r="G563" s="100"/>
    </row>
    <row r="564" spans="2:7">
      <c r="B564" s="106"/>
      <c r="C564" s="286"/>
      <c r="D564" s="107"/>
      <c r="E564" s="641"/>
      <c r="F564" s="102"/>
      <c r="G564" s="100"/>
    </row>
    <row r="565" spans="2:7">
      <c r="B565" s="106"/>
      <c r="C565" s="286"/>
      <c r="D565" s="107"/>
      <c r="E565" s="641"/>
      <c r="F565" s="102"/>
      <c r="G565" s="100"/>
    </row>
    <row r="566" spans="2:7">
      <c r="B566" s="106"/>
      <c r="C566" s="286"/>
      <c r="D566" s="107"/>
      <c r="E566" s="641"/>
      <c r="F566" s="102"/>
      <c r="G566" s="100"/>
    </row>
    <row r="567" spans="2:7">
      <c r="B567" s="106"/>
      <c r="C567" s="286"/>
      <c r="D567" s="107"/>
      <c r="E567" s="640"/>
      <c r="F567" s="102"/>
      <c r="G567" s="100"/>
    </row>
    <row r="568" spans="2:7">
      <c r="B568" s="106"/>
      <c r="C568" s="286"/>
      <c r="D568" s="107"/>
      <c r="E568" s="640"/>
      <c r="F568" s="102"/>
      <c r="G568" s="100"/>
    </row>
    <row r="569" spans="2:7">
      <c r="B569" s="106"/>
      <c r="C569" s="286"/>
      <c r="D569" s="107"/>
      <c r="E569" s="640"/>
      <c r="F569" s="102"/>
      <c r="G569" s="100"/>
    </row>
    <row r="570" spans="2:7">
      <c r="B570" s="106"/>
      <c r="C570" s="286"/>
      <c r="D570" s="107"/>
      <c r="E570" s="640"/>
      <c r="F570" s="102"/>
      <c r="G570" s="100"/>
    </row>
    <row r="571" spans="2:7">
      <c r="B571" s="106"/>
      <c r="C571" s="286"/>
      <c r="D571" s="107"/>
      <c r="E571" s="640"/>
      <c r="F571" s="102"/>
      <c r="G571" s="100"/>
    </row>
    <row r="572" spans="2:7">
      <c r="B572" s="106"/>
      <c r="C572" s="286"/>
      <c r="D572" s="107"/>
      <c r="E572" s="640"/>
      <c r="F572" s="102"/>
      <c r="G572" s="100"/>
    </row>
    <row r="573" spans="2:7">
      <c r="B573" s="106"/>
      <c r="C573" s="286"/>
      <c r="D573" s="107"/>
      <c r="E573" s="640"/>
      <c r="F573" s="102"/>
      <c r="G573" s="100"/>
    </row>
    <row r="574" spans="2:7">
      <c r="B574" s="106"/>
      <c r="C574" s="286"/>
      <c r="D574" s="107"/>
      <c r="E574" s="641"/>
      <c r="F574" s="102"/>
      <c r="G574" s="100"/>
    </row>
    <row r="575" spans="2:7">
      <c r="B575" s="106"/>
      <c r="C575" s="286"/>
      <c r="D575" s="107"/>
      <c r="E575" s="641"/>
      <c r="F575" s="102"/>
      <c r="G575" s="100"/>
    </row>
    <row r="576" spans="2:7">
      <c r="B576" s="106"/>
      <c r="C576" s="286"/>
      <c r="D576" s="107"/>
      <c r="E576" s="641"/>
      <c r="F576" s="102"/>
      <c r="G576" s="100"/>
    </row>
    <row r="577" spans="2:7">
      <c r="B577" s="106"/>
      <c r="C577" s="286"/>
      <c r="D577" s="107"/>
      <c r="E577" s="641"/>
      <c r="F577" s="102"/>
      <c r="G577" s="100"/>
    </row>
    <row r="578" spans="2:7">
      <c r="B578" s="106"/>
      <c r="C578" s="286"/>
      <c r="D578" s="107"/>
      <c r="E578" s="641"/>
      <c r="F578" s="102"/>
      <c r="G578" s="100"/>
    </row>
    <row r="579" spans="2:7">
      <c r="B579" s="106"/>
      <c r="C579" s="286"/>
      <c r="D579" s="107"/>
      <c r="E579" s="641"/>
      <c r="F579" s="102"/>
      <c r="G579" s="100"/>
    </row>
    <row r="580" spans="2:7">
      <c r="B580" s="106"/>
      <c r="C580" s="286"/>
      <c r="D580" s="107"/>
      <c r="E580" s="641"/>
      <c r="F580" s="102"/>
      <c r="G580" s="100"/>
    </row>
    <row r="581" spans="2:7">
      <c r="B581" s="106"/>
      <c r="C581" s="286"/>
      <c r="D581" s="107"/>
      <c r="E581" s="641"/>
      <c r="F581" s="102"/>
      <c r="G581" s="100"/>
    </row>
    <row r="582" spans="2:7">
      <c r="B582" s="106"/>
      <c r="C582" s="286"/>
      <c r="D582" s="107"/>
      <c r="E582" s="641"/>
      <c r="F582" s="102"/>
      <c r="G582" s="100"/>
    </row>
    <row r="583" spans="2:7">
      <c r="B583" s="106"/>
      <c r="C583" s="286"/>
      <c r="D583" s="107"/>
      <c r="E583" s="641"/>
      <c r="F583" s="102"/>
      <c r="G583" s="100"/>
    </row>
    <row r="584" spans="2:7">
      <c r="B584" s="106"/>
      <c r="C584" s="286"/>
      <c r="D584" s="107"/>
      <c r="E584" s="641"/>
      <c r="F584" s="102"/>
      <c r="G584" s="100"/>
    </row>
    <row r="585" spans="2:7">
      <c r="B585" s="106"/>
      <c r="C585" s="286"/>
      <c r="D585" s="107"/>
      <c r="E585" s="641"/>
      <c r="F585" s="102"/>
      <c r="G585" s="100"/>
    </row>
    <row r="586" spans="2:7">
      <c r="B586" s="106"/>
      <c r="C586" s="286"/>
      <c r="D586" s="107"/>
      <c r="E586" s="641"/>
      <c r="F586" s="102"/>
      <c r="G586" s="100"/>
    </row>
    <row r="587" spans="2:7">
      <c r="B587" s="106"/>
      <c r="C587" s="286"/>
      <c r="D587" s="107"/>
      <c r="E587" s="641"/>
      <c r="F587" s="102"/>
      <c r="G587" s="100"/>
    </row>
    <row r="588" spans="2:7">
      <c r="B588" s="106"/>
      <c r="C588" s="286"/>
      <c r="D588" s="107"/>
      <c r="E588" s="641"/>
      <c r="F588" s="102"/>
      <c r="G588" s="100"/>
    </row>
    <row r="589" spans="2:7">
      <c r="B589" s="106"/>
      <c r="C589" s="286"/>
      <c r="D589" s="107"/>
      <c r="E589" s="641"/>
      <c r="F589" s="102"/>
      <c r="G589" s="100"/>
    </row>
    <row r="590" spans="2:7">
      <c r="B590" s="106"/>
      <c r="C590" s="286"/>
      <c r="D590" s="107"/>
      <c r="E590" s="641"/>
      <c r="F590" s="102"/>
      <c r="G590" s="100"/>
    </row>
    <row r="591" spans="2:7">
      <c r="B591" s="106"/>
      <c r="C591" s="286"/>
      <c r="D591" s="107"/>
      <c r="E591" s="641"/>
      <c r="F591" s="102"/>
      <c r="G591" s="100"/>
    </row>
    <row r="592" spans="2:7">
      <c r="B592" s="106"/>
      <c r="C592" s="286"/>
      <c r="D592" s="107"/>
      <c r="E592" s="641"/>
      <c r="F592" s="102"/>
      <c r="G592" s="100"/>
    </row>
    <row r="593" spans="2:7">
      <c r="B593" s="106"/>
      <c r="C593" s="286"/>
      <c r="D593" s="107"/>
      <c r="E593" s="641"/>
      <c r="F593" s="102"/>
      <c r="G593" s="100"/>
    </row>
    <row r="594" spans="2:7">
      <c r="B594" s="106"/>
      <c r="C594" s="286"/>
      <c r="D594" s="107"/>
      <c r="E594" s="641"/>
      <c r="F594" s="102"/>
      <c r="G594" s="100"/>
    </row>
    <row r="595" spans="2:7">
      <c r="B595" s="482"/>
      <c r="C595" s="483"/>
      <c r="D595" s="107"/>
      <c r="E595" s="641"/>
      <c r="F595" s="102"/>
      <c r="G595" s="100"/>
    </row>
    <row r="596" spans="2:7">
      <c r="B596" s="482"/>
      <c r="C596" s="483"/>
      <c r="D596" s="107"/>
      <c r="E596" s="641"/>
      <c r="F596" s="102"/>
      <c r="G596" s="485"/>
    </row>
    <row r="597" spans="2:7">
      <c r="B597" s="482"/>
      <c r="C597" s="483"/>
      <c r="D597" s="484"/>
      <c r="E597" s="641"/>
      <c r="F597" s="102"/>
      <c r="G597" s="100"/>
    </row>
    <row r="598" spans="2:7">
      <c r="B598" s="482"/>
      <c r="C598" s="483"/>
      <c r="D598" s="484"/>
      <c r="E598" s="641"/>
      <c r="F598" s="102"/>
      <c r="G598" s="100"/>
    </row>
    <row r="599" spans="2:7">
      <c r="B599" s="106"/>
      <c r="C599" s="286"/>
      <c r="D599" s="107"/>
      <c r="E599" s="641"/>
      <c r="F599" s="102"/>
      <c r="G599" s="100"/>
    </row>
    <row r="600" spans="2:7">
      <c r="B600" s="106"/>
      <c r="C600" s="286"/>
      <c r="D600" s="107"/>
      <c r="E600" s="641"/>
      <c r="F600" s="102"/>
      <c r="G600" s="100"/>
    </row>
    <row r="601" spans="2:7">
      <c r="B601" s="106"/>
      <c r="C601" s="286"/>
      <c r="D601" s="484"/>
      <c r="E601" s="641"/>
      <c r="F601" s="102"/>
      <c r="G601" s="100"/>
    </row>
    <row r="602" spans="2:7">
      <c r="B602" s="106"/>
      <c r="C602" s="286"/>
      <c r="D602" s="107"/>
      <c r="E602" s="641"/>
      <c r="F602" s="102"/>
      <c r="G602" s="100"/>
    </row>
    <row r="603" spans="2:7">
      <c r="B603" s="106"/>
      <c r="C603" s="286"/>
      <c r="D603" s="107"/>
      <c r="E603" s="641"/>
      <c r="F603" s="102"/>
      <c r="G603" s="100"/>
    </row>
    <row r="604" spans="2:7">
      <c r="B604" s="106"/>
      <c r="C604" s="286"/>
      <c r="D604" s="107"/>
      <c r="E604" s="641"/>
      <c r="F604" s="102"/>
      <c r="G604" s="100"/>
    </row>
    <row r="605" spans="2:7">
      <c r="B605" s="106"/>
      <c r="C605" s="286"/>
      <c r="D605" s="107"/>
      <c r="E605" s="641"/>
      <c r="F605" s="102"/>
      <c r="G605" s="100"/>
    </row>
    <row r="606" spans="2:7">
      <c r="B606" s="106"/>
      <c r="C606" s="286"/>
      <c r="D606" s="107"/>
      <c r="E606" s="641"/>
      <c r="F606" s="102"/>
      <c r="G606" s="100"/>
    </row>
    <row r="607" spans="2:7">
      <c r="B607" s="106"/>
      <c r="C607" s="286"/>
      <c r="D607" s="107"/>
      <c r="E607" s="641"/>
      <c r="F607" s="102"/>
      <c r="G607" s="100"/>
    </row>
    <row r="608" spans="2:7">
      <c r="B608" s="106"/>
      <c r="C608" s="286"/>
      <c r="D608" s="107"/>
      <c r="E608" s="641"/>
      <c r="F608" s="102"/>
      <c r="G608" s="100"/>
    </row>
    <row r="609" spans="2:7">
      <c r="B609" s="106"/>
      <c r="C609" s="286"/>
      <c r="D609" s="107"/>
      <c r="E609" s="641"/>
      <c r="F609" s="102"/>
      <c r="G609" s="100"/>
    </row>
    <row r="610" spans="2:7">
      <c r="B610" s="106"/>
      <c r="C610" s="286"/>
      <c r="D610" s="107"/>
      <c r="E610" s="640"/>
      <c r="F610" s="102"/>
      <c r="G610" s="100"/>
    </row>
    <row r="611" spans="2:7">
      <c r="B611" s="106"/>
      <c r="C611" s="286"/>
      <c r="D611" s="107"/>
      <c r="E611" s="641"/>
      <c r="F611" s="102"/>
      <c r="G611" s="100"/>
    </row>
    <row r="612" spans="2:7">
      <c r="B612" s="106"/>
      <c r="C612" s="286"/>
      <c r="D612" s="107"/>
      <c r="E612" s="641"/>
      <c r="F612" s="102"/>
      <c r="G612" s="100"/>
    </row>
    <row r="613" spans="2:7">
      <c r="B613" s="106"/>
      <c r="C613" s="286"/>
      <c r="D613" s="107"/>
      <c r="E613" s="641"/>
      <c r="F613" s="102"/>
      <c r="G613" s="100"/>
    </row>
    <row r="614" spans="2:7">
      <c r="B614" s="106"/>
      <c r="C614" s="286"/>
      <c r="D614" s="107"/>
      <c r="E614" s="641"/>
      <c r="F614" s="102"/>
      <c r="G614" s="100"/>
    </row>
    <row r="615" spans="2:7">
      <c r="B615" s="106"/>
      <c r="C615" s="286"/>
      <c r="D615" s="107"/>
      <c r="E615" s="641"/>
      <c r="F615" s="102"/>
      <c r="G615" s="100"/>
    </row>
    <row r="616" spans="2:7">
      <c r="B616" s="106"/>
      <c r="C616" s="286"/>
      <c r="D616" s="107"/>
      <c r="E616" s="641"/>
      <c r="F616" s="102"/>
      <c r="G616" s="100"/>
    </row>
    <row r="617" spans="2:7">
      <c r="B617" s="106"/>
      <c r="C617" s="286"/>
      <c r="D617" s="107"/>
      <c r="E617" s="641"/>
      <c r="F617" s="102"/>
      <c r="G617" s="100"/>
    </row>
    <row r="618" spans="2:7">
      <c r="B618" s="106"/>
      <c r="C618" s="286"/>
      <c r="D618" s="107"/>
      <c r="E618" s="641"/>
      <c r="F618" s="102"/>
      <c r="G618" s="100"/>
    </row>
    <row r="619" spans="2:7">
      <c r="B619" s="106"/>
      <c r="C619" s="286"/>
      <c r="D619" s="107"/>
      <c r="E619" s="641"/>
      <c r="F619" s="102"/>
      <c r="G619" s="100"/>
    </row>
    <row r="620" spans="2:7">
      <c r="B620" s="106"/>
      <c r="C620" s="286"/>
      <c r="D620" s="107"/>
      <c r="E620" s="641"/>
      <c r="F620" s="102"/>
      <c r="G620" s="100"/>
    </row>
    <row r="621" spans="2:7">
      <c r="B621" s="106"/>
      <c r="C621" s="286"/>
      <c r="D621" s="107"/>
      <c r="E621" s="641"/>
      <c r="F621" s="102"/>
      <c r="G621" s="100"/>
    </row>
    <row r="622" spans="2:7">
      <c r="B622" s="106"/>
      <c r="C622" s="286"/>
      <c r="D622" s="107"/>
      <c r="E622" s="641"/>
      <c r="F622" s="102"/>
      <c r="G622" s="100"/>
    </row>
    <row r="623" spans="2:7">
      <c r="B623" s="106"/>
      <c r="C623" s="286"/>
      <c r="D623" s="107"/>
      <c r="E623" s="641"/>
      <c r="F623" s="102"/>
      <c r="G623" s="100"/>
    </row>
    <row r="624" spans="2:7">
      <c r="B624" s="106"/>
      <c r="C624" s="286"/>
      <c r="D624" s="107"/>
      <c r="E624" s="641"/>
      <c r="F624" s="102"/>
      <c r="G624" s="100"/>
    </row>
    <row r="625" spans="2:12">
      <c r="B625" s="106"/>
      <c r="C625" s="286"/>
      <c r="D625" s="107"/>
      <c r="E625" s="641"/>
      <c r="F625" s="102"/>
      <c r="G625" s="100"/>
    </row>
    <row r="626" spans="2:12">
      <c r="B626" s="505"/>
      <c r="C626" s="506"/>
      <c r="D626" s="507"/>
      <c r="E626" s="641"/>
      <c r="F626" s="102"/>
      <c r="G626" s="100"/>
      <c r="L626" s="328"/>
    </row>
    <row r="627" spans="2:12">
      <c r="B627" s="106"/>
      <c r="C627" s="286"/>
      <c r="D627" s="107"/>
      <c r="E627" s="641"/>
      <c r="F627" s="102"/>
      <c r="G627" s="100"/>
    </row>
    <row r="628" spans="2:12">
      <c r="B628" s="508"/>
      <c r="C628" s="483"/>
      <c r="D628" s="509"/>
      <c r="E628" s="641"/>
      <c r="F628" s="102"/>
      <c r="G628" s="510"/>
    </row>
    <row r="629" spans="2:12">
      <c r="B629" s="106"/>
      <c r="C629" s="286"/>
      <c r="D629" s="107"/>
      <c r="E629" s="641"/>
      <c r="F629" s="102"/>
      <c r="G629" s="100"/>
    </row>
    <row r="630" spans="2:12">
      <c r="B630" s="106"/>
      <c r="C630" s="286"/>
      <c r="D630" s="107"/>
      <c r="E630" s="641"/>
      <c r="F630" s="102"/>
      <c r="G630" s="100"/>
    </row>
    <row r="631" spans="2:12">
      <c r="B631" s="106"/>
      <c r="C631" s="286"/>
      <c r="D631" s="107"/>
      <c r="E631" s="641"/>
      <c r="F631" s="102"/>
      <c r="G631" s="100"/>
    </row>
    <row r="632" spans="2:12">
      <c r="B632" s="106"/>
      <c r="C632" s="286"/>
      <c r="D632" s="107"/>
      <c r="E632" s="641"/>
      <c r="F632" s="102"/>
      <c r="G632" s="100"/>
    </row>
    <row r="633" spans="2:12">
      <c r="B633" s="106"/>
      <c r="C633" s="286"/>
      <c r="D633" s="107"/>
      <c r="E633" s="641"/>
      <c r="F633" s="102"/>
      <c r="G633" s="100"/>
    </row>
    <row r="634" spans="2:12">
      <c r="B634" s="106"/>
      <c r="C634" s="286"/>
      <c r="D634" s="107"/>
      <c r="E634" s="640"/>
      <c r="F634" s="102"/>
      <c r="G634" s="100"/>
    </row>
    <row r="635" spans="2:12">
      <c r="B635" s="106"/>
      <c r="C635" s="286"/>
      <c r="D635" s="107"/>
      <c r="E635" s="640"/>
      <c r="F635" s="102"/>
      <c r="G635" s="100"/>
    </row>
    <row r="636" spans="2:12">
      <c r="B636" s="106"/>
      <c r="C636" s="286"/>
      <c r="D636" s="107"/>
      <c r="E636" s="640"/>
      <c r="F636" s="102"/>
      <c r="G636" s="100"/>
    </row>
    <row r="637" spans="2:12">
      <c r="B637" s="106"/>
      <c r="C637" s="286"/>
      <c r="D637" s="107"/>
      <c r="E637" s="641"/>
      <c r="F637" s="102"/>
      <c r="G637" s="100"/>
    </row>
    <row r="638" spans="2:12">
      <c r="B638" s="106"/>
      <c r="C638" s="286"/>
      <c r="D638" s="107"/>
      <c r="E638" s="641"/>
      <c r="F638" s="102"/>
      <c r="G638" s="100"/>
    </row>
    <row r="639" spans="2:12">
      <c r="B639" s="106"/>
      <c r="C639" s="286"/>
      <c r="D639" s="107"/>
      <c r="E639" s="640"/>
      <c r="F639" s="102"/>
      <c r="G639" s="100"/>
    </row>
    <row r="640" spans="2:12">
      <c r="B640" s="106"/>
      <c r="C640" s="286"/>
      <c r="D640" s="107"/>
      <c r="E640" s="641"/>
      <c r="F640" s="102"/>
      <c r="G640" s="100"/>
    </row>
    <row r="641" spans="2:7">
      <c r="B641" s="106"/>
      <c r="C641" s="286"/>
      <c r="D641" s="107"/>
      <c r="E641" s="641"/>
      <c r="F641" s="102"/>
      <c r="G641" s="100"/>
    </row>
    <row r="642" spans="2:7">
      <c r="B642" s="106"/>
      <c r="C642" s="286"/>
      <c r="D642" s="107"/>
      <c r="E642" s="640"/>
      <c r="F642" s="102"/>
      <c r="G642" s="100"/>
    </row>
    <row r="643" spans="2:7">
      <c r="B643" s="106"/>
      <c r="C643" s="286"/>
      <c r="D643" s="107"/>
      <c r="E643" s="641"/>
      <c r="F643" s="102"/>
      <c r="G643" s="100"/>
    </row>
    <row r="644" spans="2:7">
      <c r="B644" s="106"/>
      <c r="C644" s="286"/>
      <c r="D644" s="107"/>
      <c r="E644" s="641"/>
      <c r="F644" s="102"/>
      <c r="G644" s="100"/>
    </row>
    <row r="645" spans="2:7">
      <c r="B645" s="106"/>
      <c r="C645" s="286"/>
      <c r="D645" s="107"/>
      <c r="E645" s="640"/>
      <c r="F645" s="102"/>
      <c r="G645" s="100"/>
    </row>
    <row r="646" spans="2:7">
      <c r="B646" s="106"/>
      <c r="C646" s="286"/>
      <c r="D646" s="107"/>
      <c r="E646" s="641"/>
      <c r="F646" s="102"/>
      <c r="G646" s="100"/>
    </row>
    <row r="647" spans="2:7">
      <c r="B647" s="106"/>
      <c r="C647" s="286"/>
      <c r="D647" s="107"/>
      <c r="E647" s="641"/>
      <c r="F647" s="102"/>
      <c r="G647" s="100"/>
    </row>
    <row r="648" spans="2:7">
      <c r="B648" s="106"/>
      <c r="C648" s="483"/>
      <c r="D648" s="107"/>
      <c r="E648" s="641"/>
      <c r="F648" s="102"/>
      <c r="G648" s="100"/>
    </row>
    <row r="649" spans="2:7">
      <c r="B649" s="106"/>
      <c r="C649" s="286"/>
      <c r="D649" s="107"/>
      <c r="E649" s="641"/>
      <c r="F649" s="102"/>
      <c r="G649" s="100"/>
    </row>
    <row r="650" spans="2:7">
      <c r="B650" s="106"/>
      <c r="C650" s="483"/>
      <c r="D650" s="107"/>
      <c r="E650" s="641"/>
      <c r="F650" s="102"/>
      <c r="G650" s="100"/>
    </row>
    <row r="651" spans="2:7">
      <c r="B651" s="106"/>
      <c r="C651" s="286"/>
      <c r="D651" s="107"/>
      <c r="E651" s="640"/>
      <c r="F651" s="102"/>
      <c r="G651" s="100"/>
    </row>
    <row r="652" spans="2:7">
      <c r="B652" s="508"/>
      <c r="C652" s="512"/>
      <c r="D652" s="509"/>
      <c r="E652" s="641"/>
      <c r="F652" s="102"/>
      <c r="G652" s="100"/>
    </row>
    <row r="653" spans="2:7">
      <c r="B653" s="508"/>
      <c r="C653" s="512"/>
      <c r="D653" s="509"/>
      <c r="E653" s="641"/>
      <c r="F653" s="102"/>
      <c r="G653" s="100"/>
    </row>
    <row r="654" spans="2:7">
      <c r="B654" s="508"/>
      <c r="C654" s="512"/>
      <c r="D654" s="509"/>
      <c r="E654" s="641"/>
      <c r="F654" s="102"/>
      <c r="G654" s="100"/>
    </row>
    <row r="655" spans="2:7">
      <c r="B655" s="508"/>
      <c r="C655" s="512"/>
      <c r="D655" s="509"/>
      <c r="E655" s="641"/>
      <c r="F655" s="102"/>
      <c r="G655" s="100"/>
    </row>
    <row r="656" spans="2:7">
      <c r="B656" s="508"/>
      <c r="C656" s="512"/>
      <c r="D656" s="509"/>
      <c r="E656" s="641"/>
      <c r="F656" s="102"/>
      <c r="G656" s="100"/>
    </row>
    <row r="657" spans="2:7">
      <c r="B657" s="508"/>
      <c r="C657" s="512"/>
      <c r="D657" s="509"/>
      <c r="E657" s="641"/>
      <c r="F657" s="102"/>
      <c r="G657" s="100"/>
    </row>
    <row r="658" spans="2:7">
      <c r="B658" s="508"/>
      <c r="C658" s="512"/>
      <c r="D658" s="509"/>
      <c r="E658" s="641"/>
      <c r="F658" s="102"/>
      <c r="G658" s="100"/>
    </row>
    <row r="659" spans="2:7">
      <c r="B659" s="508"/>
      <c r="C659" s="512"/>
      <c r="D659" s="509"/>
      <c r="E659" s="641"/>
      <c r="F659" s="513"/>
      <c r="G659" s="100"/>
    </row>
    <row r="660" spans="2:7">
      <c r="B660" s="508"/>
      <c r="C660" s="512"/>
      <c r="D660" s="509"/>
      <c r="E660" s="641"/>
      <c r="F660" s="513"/>
      <c r="G660" s="100"/>
    </row>
    <row r="661" spans="2:7">
      <c r="B661" s="508"/>
      <c r="C661" s="512"/>
      <c r="D661" s="509"/>
      <c r="E661" s="641"/>
      <c r="F661" s="513"/>
      <c r="G661" s="102"/>
    </row>
    <row r="662" spans="2:7">
      <c r="B662" s="508"/>
      <c r="C662" s="512"/>
      <c r="D662" s="509"/>
      <c r="E662" s="641"/>
      <c r="F662" s="513"/>
      <c r="G662" s="102"/>
    </row>
    <row r="663" spans="2:7">
      <c r="B663" s="508"/>
      <c r="C663" s="512"/>
      <c r="D663" s="509"/>
      <c r="E663" s="641"/>
      <c r="F663" s="102"/>
      <c r="G663" s="100"/>
    </row>
    <row r="664" spans="2:7">
      <c r="B664" s="508"/>
      <c r="C664" s="512"/>
      <c r="D664" s="509"/>
      <c r="E664" s="641"/>
      <c r="F664" s="102"/>
      <c r="G664" s="100"/>
    </row>
    <row r="665" spans="2:7">
      <c r="B665" s="508"/>
      <c r="C665" s="512"/>
      <c r="D665" s="509"/>
      <c r="E665" s="641"/>
      <c r="F665" s="102"/>
      <c r="G665" s="510"/>
    </row>
    <row r="666" spans="2:7">
      <c r="B666" s="508"/>
      <c r="C666" s="512"/>
      <c r="D666" s="509"/>
      <c r="E666" s="641"/>
      <c r="F666" s="102"/>
      <c r="G666" s="510"/>
    </row>
    <row r="667" spans="2:7">
      <c r="B667" s="508"/>
      <c r="C667" s="512"/>
      <c r="D667" s="509"/>
      <c r="E667" s="649"/>
      <c r="F667" s="102"/>
      <c r="G667" s="510"/>
    </row>
    <row r="668" spans="2:7">
      <c r="B668" s="508"/>
      <c r="C668" s="512"/>
      <c r="D668" s="509"/>
      <c r="E668" s="641"/>
      <c r="F668" s="102"/>
      <c r="G668" s="100"/>
    </row>
    <row r="669" spans="2:7">
      <c r="B669" s="508"/>
      <c r="C669" s="512"/>
      <c r="D669" s="509"/>
      <c r="E669" s="641"/>
      <c r="F669" s="102"/>
      <c r="G669" s="510"/>
    </row>
    <row r="670" spans="2:7">
      <c r="B670" s="508"/>
      <c r="C670" s="512"/>
      <c r="D670" s="509"/>
      <c r="E670" s="641"/>
      <c r="F670" s="102"/>
      <c r="G670" s="510"/>
    </row>
    <row r="671" spans="2:7">
      <c r="B671" s="508"/>
      <c r="C671" s="512"/>
      <c r="D671" s="509"/>
      <c r="E671" s="641"/>
      <c r="F671" s="513"/>
      <c r="G671" s="100"/>
    </row>
    <row r="672" spans="2:7">
      <c r="B672" s="508"/>
      <c r="C672" s="512"/>
      <c r="D672" s="509"/>
      <c r="E672" s="641"/>
      <c r="F672" s="102"/>
      <c r="G672" s="100"/>
    </row>
    <row r="673" spans="2:7">
      <c r="B673" s="508"/>
      <c r="C673" s="512"/>
      <c r="D673" s="509"/>
      <c r="E673" s="641"/>
      <c r="F673" s="513"/>
      <c r="G673" s="510"/>
    </row>
    <row r="674" spans="2:7">
      <c r="B674" s="106"/>
      <c r="C674" s="512"/>
      <c r="D674" s="107"/>
      <c r="E674" s="641"/>
      <c r="F674" s="102"/>
      <c r="G674" s="100"/>
    </row>
    <row r="675" spans="2:7">
      <c r="B675" s="106"/>
      <c r="C675" s="286"/>
      <c r="D675" s="107"/>
      <c r="E675" s="641"/>
      <c r="F675" s="513"/>
      <c r="G675" s="510"/>
    </row>
    <row r="676" spans="2:7">
      <c r="B676" s="106"/>
      <c r="C676" s="286"/>
      <c r="D676" s="107"/>
      <c r="E676" s="641"/>
      <c r="F676" s="102"/>
      <c r="G676" s="100"/>
    </row>
    <row r="677" spans="2:7">
      <c r="B677" s="106"/>
      <c r="C677" s="286"/>
      <c r="D677" s="107"/>
      <c r="E677" s="641"/>
      <c r="F677" s="102"/>
      <c r="G677" s="100"/>
    </row>
    <row r="678" spans="2:7">
      <c r="B678" s="106"/>
      <c r="C678" s="286"/>
      <c r="D678" s="107"/>
      <c r="E678" s="641"/>
      <c r="F678" s="102"/>
      <c r="G678" s="100"/>
    </row>
    <row r="679" spans="2:7">
      <c r="B679" s="106"/>
      <c r="C679" s="512"/>
      <c r="D679" s="107"/>
      <c r="E679" s="641"/>
      <c r="F679" s="102"/>
      <c r="G679" s="100"/>
    </row>
    <row r="680" spans="2:7">
      <c r="B680" s="106"/>
      <c r="C680" s="512"/>
      <c r="D680" s="107"/>
      <c r="E680" s="640"/>
      <c r="F680" s="102"/>
      <c r="G680" s="100"/>
    </row>
    <row r="681" spans="2:7">
      <c r="B681" s="106"/>
      <c r="C681" s="286"/>
      <c r="D681" s="107"/>
      <c r="E681" s="641"/>
      <c r="F681" s="102"/>
      <c r="G681" s="100"/>
    </row>
    <row r="682" spans="2:7">
      <c r="B682" s="106"/>
      <c r="C682" s="286"/>
      <c r="D682" s="107"/>
      <c r="E682" s="641"/>
      <c r="F682" s="102"/>
      <c r="G682" s="100"/>
    </row>
    <row r="683" spans="2:7">
      <c r="B683" s="106"/>
      <c r="C683" s="286"/>
      <c r="D683" s="107"/>
      <c r="E683" s="641"/>
      <c r="F683" s="102"/>
      <c r="G683" s="100"/>
    </row>
    <row r="684" spans="2:7">
      <c r="B684" s="106"/>
      <c r="C684" s="286"/>
      <c r="D684" s="107"/>
      <c r="E684" s="641"/>
      <c r="F684" s="102"/>
      <c r="G684" s="100"/>
    </row>
    <row r="685" spans="2:7">
      <c r="B685" s="106"/>
      <c r="C685" s="286"/>
      <c r="D685" s="107"/>
      <c r="E685" s="641"/>
      <c r="F685" s="102"/>
      <c r="G685" s="100"/>
    </row>
    <row r="686" spans="2:7">
      <c r="B686" s="106"/>
      <c r="C686" s="286"/>
      <c r="D686" s="107"/>
      <c r="E686" s="641"/>
      <c r="F686" s="102"/>
      <c r="G686" s="100"/>
    </row>
    <row r="687" spans="2:7">
      <c r="B687" s="106"/>
      <c r="C687" s="512"/>
      <c r="D687" s="107"/>
      <c r="E687" s="641"/>
      <c r="F687" s="102"/>
      <c r="G687" s="100"/>
    </row>
    <row r="688" spans="2:7">
      <c r="B688" s="106"/>
      <c r="C688" s="286"/>
      <c r="D688" s="107"/>
      <c r="E688" s="640"/>
      <c r="F688" s="102"/>
      <c r="G688" s="100"/>
    </row>
    <row r="689" spans="2:7">
      <c r="B689" s="106"/>
      <c r="C689" s="512"/>
      <c r="D689" s="107"/>
      <c r="E689" s="640"/>
      <c r="F689" s="102"/>
      <c r="G689" s="100"/>
    </row>
    <row r="690" spans="2:7">
      <c r="B690" s="106"/>
      <c r="C690" s="286"/>
      <c r="D690" s="107"/>
      <c r="E690" s="641"/>
      <c r="F690" s="102"/>
      <c r="G690" s="100"/>
    </row>
    <row r="691" spans="2:7">
      <c r="B691" s="106"/>
      <c r="C691" s="286"/>
      <c r="D691" s="107"/>
      <c r="E691" s="641"/>
      <c r="F691" s="102"/>
      <c r="G691" s="100"/>
    </row>
    <row r="692" spans="2:7">
      <c r="B692" s="106"/>
      <c r="C692" s="286"/>
      <c r="D692" s="107"/>
      <c r="E692" s="641"/>
      <c r="F692" s="102"/>
      <c r="G692" s="100"/>
    </row>
    <row r="693" spans="2:7">
      <c r="B693" s="106"/>
      <c r="C693" s="286"/>
      <c r="D693" s="107"/>
      <c r="E693" s="641"/>
      <c r="F693" s="102"/>
      <c r="G693" s="100"/>
    </row>
    <row r="694" spans="2:7">
      <c r="B694" s="106"/>
      <c r="C694" s="286"/>
      <c r="D694" s="107"/>
      <c r="E694" s="641"/>
      <c r="F694" s="102"/>
      <c r="G694" s="100"/>
    </row>
    <row r="695" spans="2:7">
      <c r="B695" s="106"/>
      <c r="C695" s="286"/>
      <c r="D695" s="107"/>
      <c r="E695" s="641"/>
      <c r="F695" s="102"/>
      <c r="G695" s="100"/>
    </row>
    <row r="696" spans="2:7">
      <c r="B696" s="106"/>
      <c r="C696" s="286"/>
      <c r="D696" s="107"/>
      <c r="E696" s="641"/>
      <c r="F696" s="102"/>
      <c r="G696" s="100"/>
    </row>
    <row r="697" spans="2:7">
      <c r="B697" s="106"/>
      <c r="C697" s="286"/>
      <c r="D697" s="107"/>
      <c r="E697" s="641"/>
      <c r="F697" s="102"/>
      <c r="G697" s="100"/>
    </row>
    <row r="698" spans="2:7">
      <c r="B698" s="106"/>
      <c r="C698" s="286"/>
      <c r="D698" s="107"/>
      <c r="E698" s="641"/>
      <c r="F698" s="102"/>
      <c r="G698" s="100"/>
    </row>
    <row r="699" spans="2:7">
      <c r="B699" s="106"/>
      <c r="C699" s="286"/>
      <c r="D699" s="107"/>
      <c r="E699" s="641"/>
      <c r="F699" s="102"/>
      <c r="G699" s="100"/>
    </row>
    <row r="700" spans="2:7">
      <c r="B700" s="106"/>
      <c r="C700" s="286"/>
      <c r="D700" s="107"/>
      <c r="E700" s="641"/>
      <c r="F700" s="102"/>
      <c r="G700" s="100"/>
    </row>
    <row r="701" spans="2:7">
      <c r="B701" s="106"/>
      <c r="C701" s="286"/>
      <c r="D701" s="107"/>
      <c r="E701" s="641"/>
      <c r="F701" s="102"/>
      <c r="G701" s="100"/>
    </row>
    <row r="702" spans="2:7">
      <c r="B702" s="106"/>
      <c r="C702" s="286"/>
      <c r="D702" s="107"/>
      <c r="E702" s="641"/>
      <c r="F702" s="102"/>
      <c r="G702" s="100"/>
    </row>
    <row r="703" spans="2:7">
      <c r="B703" s="106"/>
      <c r="C703" s="286"/>
      <c r="D703" s="107"/>
      <c r="E703" s="641"/>
      <c r="F703" s="102"/>
      <c r="G703" s="100"/>
    </row>
    <row r="704" spans="2:7">
      <c r="B704" s="518"/>
      <c r="C704" s="519"/>
      <c r="D704" s="520"/>
      <c r="E704" s="641"/>
      <c r="F704" s="102"/>
      <c r="G704" s="521"/>
    </row>
    <row r="705" spans="2:7">
      <c r="B705" s="518"/>
      <c r="C705" s="519"/>
      <c r="D705" s="520"/>
      <c r="E705" s="641"/>
      <c r="F705" s="102"/>
      <c r="G705" s="521"/>
    </row>
    <row r="706" spans="2:7">
      <c r="B706" s="518"/>
      <c r="C706" s="519"/>
      <c r="D706" s="520"/>
      <c r="E706" s="641"/>
      <c r="F706" s="102"/>
      <c r="G706" s="100"/>
    </row>
    <row r="707" spans="2:7">
      <c r="B707" s="518"/>
      <c r="C707" s="519"/>
      <c r="D707" s="520"/>
      <c r="E707" s="641"/>
      <c r="F707" s="102"/>
      <c r="G707" s="100"/>
    </row>
    <row r="708" spans="2:7">
      <c r="B708" s="518"/>
      <c r="C708" s="519"/>
      <c r="D708" s="520"/>
      <c r="E708" s="650"/>
      <c r="F708" s="102"/>
      <c r="G708" s="100"/>
    </row>
    <row r="709" spans="2:7">
      <c r="B709" s="518"/>
      <c r="C709" s="519"/>
      <c r="D709" s="520"/>
      <c r="E709" s="650"/>
      <c r="F709" s="102"/>
      <c r="G709" s="100"/>
    </row>
    <row r="710" spans="2:7">
      <c r="B710" s="106"/>
      <c r="C710" s="519"/>
      <c r="D710" s="520"/>
      <c r="E710" s="641"/>
      <c r="F710" s="102"/>
      <c r="G710" s="100"/>
    </row>
    <row r="711" spans="2:7">
      <c r="B711" s="106"/>
      <c r="C711" s="286"/>
      <c r="D711" s="107"/>
      <c r="E711" s="641"/>
      <c r="F711" s="102"/>
      <c r="G711" s="100"/>
    </row>
    <row r="712" spans="2:7">
      <c r="B712" s="106"/>
      <c r="C712" s="286"/>
      <c r="D712" s="107"/>
      <c r="E712" s="641"/>
      <c r="F712" s="102"/>
      <c r="G712" s="100"/>
    </row>
    <row r="713" spans="2:7">
      <c r="B713" s="106"/>
      <c r="C713" s="286"/>
      <c r="D713" s="107"/>
      <c r="E713" s="641"/>
      <c r="F713" s="102"/>
      <c r="G713" s="100"/>
    </row>
    <row r="714" spans="2:7">
      <c r="B714" s="106"/>
      <c r="C714" s="286"/>
      <c r="D714" s="107"/>
      <c r="E714" s="641"/>
      <c r="F714" s="102"/>
      <c r="G714" s="100"/>
    </row>
    <row r="715" spans="2:7">
      <c r="B715" s="518"/>
      <c r="C715" s="519"/>
      <c r="D715" s="107"/>
      <c r="E715" s="641"/>
      <c r="F715" s="102"/>
      <c r="G715" s="100"/>
    </row>
    <row r="716" spans="2:7">
      <c r="B716" s="518"/>
      <c r="C716" s="519"/>
      <c r="D716" s="107"/>
      <c r="E716" s="641"/>
      <c r="F716" s="102"/>
      <c r="G716" s="100"/>
    </row>
    <row r="717" spans="2:7">
      <c r="B717" s="518"/>
      <c r="C717" s="519"/>
      <c r="D717" s="107"/>
      <c r="E717" s="650"/>
      <c r="F717" s="102"/>
      <c r="G717" s="100"/>
    </row>
    <row r="718" spans="2:7">
      <c r="B718" s="518"/>
      <c r="C718" s="519"/>
      <c r="D718" s="107"/>
      <c r="E718" s="650"/>
      <c r="F718" s="102"/>
      <c r="G718" s="100"/>
    </row>
    <row r="719" spans="2:7">
      <c r="B719" s="518"/>
      <c r="C719" s="519"/>
      <c r="D719" s="107"/>
      <c r="E719" s="650"/>
      <c r="F719" s="102"/>
      <c r="G719" s="100"/>
    </row>
    <row r="720" spans="2:7">
      <c r="B720" s="518"/>
      <c r="C720" s="519"/>
      <c r="D720" s="107"/>
      <c r="E720" s="650"/>
      <c r="F720" s="102"/>
      <c r="G720" s="100"/>
    </row>
    <row r="721" spans="2:7">
      <c r="B721" s="518"/>
      <c r="C721" s="519"/>
      <c r="D721" s="520"/>
      <c r="E721" s="641"/>
      <c r="F721" s="102"/>
      <c r="G721" s="100"/>
    </row>
    <row r="722" spans="2:7">
      <c r="B722" s="518"/>
      <c r="C722" s="519"/>
      <c r="D722" s="520"/>
      <c r="E722" s="641"/>
      <c r="F722" s="102"/>
      <c r="G722" s="100"/>
    </row>
    <row r="723" spans="2:7">
      <c r="B723" s="518"/>
      <c r="C723" s="519"/>
      <c r="D723" s="520"/>
      <c r="E723" s="641"/>
      <c r="F723" s="102"/>
      <c r="G723" s="100"/>
    </row>
    <row r="724" spans="2:7">
      <c r="B724" s="518"/>
      <c r="C724" s="519"/>
      <c r="D724" s="520"/>
      <c r="E724" s="641"/>
      <c r="F724" s="102"/>
      <c r="G724" s="100"/>
    </row>
    <row r="725" spans="2:7">
      <c r="B725" s="518"/>
      <c r="C725" s="519"/>
      <c r="D725" s="520"/>
      <c r="E725" s="641"/>
      <c r="F725" s="102"/>
      <c r="G725" s="100"/>
    </row>
    <row r="726" spans="2:7">
      <c r="B726" s="518"/>
      <c r="C726" s="519"/>
      <c r="D726" s="520"/>
      <c r="E726" s="641"/>
      <c r="F726" s="102"/>
      <c r="G726" s="100"/>
    </row>
    <row r="727" spans="2:7">
      <c r="B727" s="518"/>
      <c r="C727" s="519"/>
      <c r="D727" s="520"/>
      <c r="E727" s="641"/>
      <c r="F727" s="102"/>
      <c r="G727" s="100"/>
    </row>
    <row r="728" spans="2:7">
      <c r="B728" s="518"/>
      <c r="C728" s="519"/>
      <c r="D728" s="520"/>
      <c r="E728" s="650"/>
      <c r="F728" s="102"/>
      <c r="G728" s="100"/>
    </row>
    <row r="729" spans="2:7">
      <c r="B729" s="518"/>
      <c r="C729" s="519"/>
      <c r="D729" s="520"/>
      <c r="E729" s="641"/>
      <c r="F729" s="102"/>
      <c r="G729" s="100"/>
    </row>
    <row r="730" spans="2:7">
      <c r="B730" s="518"/>
      <c r="C730" s="519"/>
      <c r="D730" s="520"/>
      <c r="E730" s="641"/>
      <c r="F730" s="102"/>
      <c r="G730" s="521"/>
    </row>
    <row r="731" spans="2:7">
      <c r="B731" s="518"/>
      <c r="C731" s="519"/>
      <c r="D731" s="520"/>
      <c r="E731" s="641"/>
      <c r="F731" s="102"/>
      <c r="G731" s="100"/>
    </row>
    <row r="732" spans="2:7">
      <c r="B732" s="106"/>
      <c r="C732" s="286"/>
      <c r="D732" s="107"/>
      <c r="E732" s="641"/>
      <c r="F732" s="102"/>
      <c r="G732" s="100"/>
    </row>
    <row r="733" spans="2:7">
      <c r="B733" s="106"/>
      <c r="C733" s="286"/>
      <c r="D733" s="520"/>
      <c r="E733" s="641"/>
      <c r="F733" s="102"/>
      <c r="G733" s="100"/>
    </row>
    <row r="734" spans="2:7">
      <c r="B734" s="518"/>
      <c r="C734" s="519"/>
      <c r="D734" s="520"/>
      <c r="E734" s="641"/>
      <c r="F734" s="102"/>
      <c r="G734" s="521"/>
    </row>
    <row r="735" spans="2:7">
      <c r="B735" s="518"/>
      <c r="C735" s="519"/>
      <c r="D735" s="520"/>
      <c r="E735" s="641"/>
      <c r="F735" s="102"/>
      <c r="G735" s="100"/>
    </row>
    <row r="736" spans="2:7">
      <c r="B736" s="518"/>
      <c r="C736" s="519"/>
      <c r="D736" s="520"/>
      <c r="E736" s="641"/>
      <c r="F736" s="523"/>
      <c r="G736" s="521"/>
    </row>
    <row r="737" spans="2:7">
      <c r="B737" s="106"/>
      <c r="C737" s="286"/>
      <c r="D737" s="107"/>
      <c r="E737" s="641"/>
      <c r="F737" s="102"/>
      <c r="G737" s="100"/>
    </row>
    <row r="738" spans="2:7">
      <c r="B738" s="106"/>
      <c r="C738" s="286"/>
      <c r="D738" s="107"/>
      <c r="E738" s="641"/>
      <c r="F738" s="102"/>
      <c r="G738" s="100"/>
    </row>
    <row r="739" spans="2:7">
      <c r="B739" s="106"/>
      <c r="C739" s="519"/>
      <c r="D739" s="520"/>
      <c r="E739" s="641"/>
      <c r="F739" s="523"/>
      <c r="G739" s="100"/>
    </row>
    <row r="740" spans="2:7">
      <c r="B740" s="518"/>
      <c r="C740" s="519"/>
      <c r="D740" s="520"/>
      <c r="E740" s="641"/>
      <c r="F740" s="102"/>
      <c r="G740" s="521"/>
    </row>
    <row r="741" spans="2:7">
      <c r="B741" s="518"/>
      <c r="C741" s="519"/>
      <c r="D741" s="520"/>
      <c r="E741" s="641"/>
      <c r="F741" s="102"/>
      <c r="G741" s="521"/>
    </row>
    <row r="742" spans="2:7">
      <c r="B742" s="518"/>
      <c r="C742" s="519"/>
      <c r="D742" s="520"/>
      <c r="E742" s="641"/>
      <c r="F742" s="102"/>
      <c r="G742" s="521"/>
    </row>
    <row r="743" spans="2:7">
      <c r="B743" s="518"/>
      <c r="C743" s="519"/>
      <c r="D743" s="520"/>
      <c r="E743" s="641"/>
      <c r="F743" s="102"/>
      <c r="G743" s="100"/>
    </row>
    <row r="744" spans="2:7">
      <c r="B744" s="518"/>
      <c r="C744" s="519"/>
      <c r="D744" s="520"/>
      <c r="E744" s="641"/>
      <c r="F744" s="102"/>
      <c r="G744" s="100"/>
    </row>
    <row r="745" spans="2:7">
      <c r="B745" s="518"/>
      <c r="C745" s="519"/>
      <c r="D745" s="520"/>
      <c r="E745" s="641"/>
      <c r="F745" s="102"/>
      <c r="G745" s="100"/>
    </row>
    <row r="746" spans="2:7">
      <c r="B746" s="518"/>
      <c r="C746" s="519"/>
      <c r="D746" s="520"/>
      <c r="E746" s="641"/>
      <c r="F746" s="102"/>
      <c r="G746" s="100"/>
    </row>
    <row r="747" spans="2:7">
      <c r="B747" s="518"/>
      <c r="C747" s="519"/>
      <c r="D747" s="520"/>
      <c r="E747" s="641"/>
      <c r="F747" s="102"/>
      <c r="G747" s="100"/>
    </row>
    <row r="748" spans="2:7">
      <c r="B748" s="518"/>
      <c r="C748" s="519"/>
      <c r="D748" s="520"/>
      <c r="E748" s="641"/>
      <c r="F748" s="102"/>
      <c r="G748" s="100"/>
    </row>
    <row r="749" spans="2:7">
      <c r="B749" s="531"/>
      <c r="C749" s="532"/>
      <c r="D749" s="529"/>
      <c r="E749" s="641"/>
      <c r="F749" s="102"/>
      <c r="G749" s="100"/>
    </row>
    <row r="750" spans="2:7">
      <c r="B750" s="531"/>
      <c r="C750" s="532"/>
      <c r="D750" s="529"/>
      <c r="E750" s="641"/>
      <c r="F750" s="102"/>
      <c r="G750" s="100"/>
    </row>
    <row r="751" spans="2:7">
      <c r="B751" s="531"/>
      <c r="C751" s="532"/>
      <c r="D751" s="529"/>
      <c r="E751" s="651"/>
      <c r="F751" s="102"/>
      <c r="G751" s="100"/>
    </row>
    <row r="752" spans="2:7">
      <c r="B752" s="106"/>
      <c r="C752" s="286"/>
      <c r="D752" s="107"/>
      <c r="E752" s="641"/>
      <c r="F752" s="102"/>
      <c r="G752" s="100"/>
    </row>
    <row r="753" spans="2:7">
      <c r="B753" s="106"/>
      <c r="C753" s="286"/>
      <c r="D753" s="107"/>
      <c r="E753" s="641"/>
      <c r="F753" s="102"/>
      <c r="G753" s="100"/>
    </row>
    <row r="754" spans="2:7">
      <c r="B754" s="106"/>
      <c r="C754" s="286"/>
      <c r="D754" s="107"/>
      <c r="E754" s="641"/>
      <c r="F754" s="102"/>
      <c r="G754" s="100"/>
    </row>
    <row r="755" spans="2:7">
      <c r="B755" s="106"/>
      <c r="C755" s="286"/>
      <c r="D755" s="107"/>
      <c r="E755" s="640"/>
      <c r="F755" s="102"/>
      <c r="G755" s="100"/>
    </row>
    <row r="756" spans="2:7">
      <c r="B756" s="106"/>
      <c r="C756" s="286"/>
      <c r="D756" s="107"/>
      <c r="E756" s="640"/>
      <c r="F756" s="102"/>
      <c r="G756" s="100"/>
    </row>
    <row r="757" spans="2:7">
      <c r="B757" s="106"/>
      <c r="C757" s="286"/>
      <c r="D757" s="107"/>
      <c r="E757" s="640"/>
      <c r="F757" s="102"/>
      <c r="G757" s="100"/>
    </row>
    <row r="758" spans="2:7">
      <c r="B758" s="106"/>
      <c r="C758" s="286"/>
      <c r="D758" s="107"/>
      <c r="E758" s="641"/>
      <c r="F758" s="102"/>
      <c r="G758" s="100"/>
    </row>
    <row r="759" spans="2:7">
      <c r="B759" s="106"/>
      <c r="C759" s="286"/>
      <c r="D759" s="107"/>
      <c r="E759" s="641"/>
      <c r="F759" s="102"/>
      <c r="G759" s="100"/>
    </row>
    <row r="760" spans="2:7">
      <c r="B760" s="106"/>
      <c r="C760" s="286"/>
      <c r="D760" s="107"/>
      <c r="E760" s="641"/>
      <c r="F760" s="102"/>
      <c r="G760" s="100"/>
    </row>
    <row r="761" spans="2:7">
      <c r="B761" s="106"/>
      <c r="C761" s="286"/>
      <c r="D761" s="107"/>
      <c r="E761" s="640"/>
      <c r="F761" s="102"/>
      <c r="G761" s="100"/>
    </row>
    <row r="762" spans="2:7">
      <c r="B762" s="106"/>
      <c r="C762" s="286"/>
      <c r="D762" s="107"/>
      <c r="E762" s="641"/>
      <c r="F762" s="102"/>
      <c r="G762" s="100"/>
    </row>
    <row r="763" spans="2:7">
      <c r="B763" s="106"/>
      <c r="C763" s="286"/>
      <c r="D763" s="107"/>
      <c r="E763" s="641"/>
      <c r="F763" s="102"/>
      <c r="G763" s="100"/>
    </row>
    <row r="764" spans="2:7">
      <c r="B764" s="106"/>
      <c r="C764" s="286"/>
      <c r="D764" s="107"/>
      <c r="E764" s="640"/>
      <c r="F764" s="102"/>
      <c r="G764" s="100"/>
    </row>
    <row r="765" spans="2:7">
      <c r="B765" s="106"/>
      <c r="C765" s="286"/>
      <c r="D765" s="107"/>
      <c r="E765" s="641"/>
      <c r="F765" s="102"/>
      <c r="G765" s="100"/>
    </row>
    <row r="766" spans="2:7">
      <c r="B766" s="106"/>
      <c r="C766" s="286"/>
      <c r="D766" s="107"/>
      <c r="E766" s="641"/>
      <c r="F766" s="102"/>
      <c r="G766" s="100"/>
    </row>
    <row r="767" spans="2:7">
      <c r="B767" s="106"/>
      <c r="C767" s="286"/>
      <c r="D767" s="107"/>
      <c r="E767" s="641"/>
      <c r="F767" s="102"/>
      <c r="G767" s="100"/>
    </row>
    <row r="768" spans="2:7">
      <c r="B768" s="106"/>
      <c r="C768" s="286"/>
      <c r="D768" s="107"/>
      <c r="E768" s="641"/>
      <c r="F768" s="102"/>
      <c r="G768" s="100"/>
    </row>
    <row r="769" spans="2:7">
      <c r="B769" s="106"/>
      <c r="C769" s="286"/>
      <c r="D769" s="107"/>
      <c r="E769" s="640"/>
      <c r="F769" s="102"/>
      <c r="G769" s="100"/>
    </row>
    <row r="770" spans="2:7">
      <c r="B770" s="106"/>
      <c r="C770" s="286"/>
      <c r="D770" s="107"/>
      <c r="E770" s="641"/>
      <c r="F770" s="102"/>
      <c r="G770" s="100"/>
    </row>
    <row r="771" spans="2:7">
      <c r="B771" s="106"/>
      <c r="C771" s="286"/>
      <c r="D771" s="107"/>
      <c r="E771" s="641"/>
      <c r="F771" s="102"/>
      <c r="G771" s="100"/>
    </row>
    <row r="772" spans="2:7">
      <c r="B772" s="106"/>
      <c r="C772" s="286"/>
      <c r="D772" s="107"/>
      <c r="E772" s="641"/>
      <c r="F772" s="102"/>
      <c r="G772" s="100"/>
    </row>
    <row r="773" spans="2:7">
      <c r="B773" s="106"/>
      <c r="C773" s="286"/>
      <c r="D773" s="107"/>
      <c r="E773" s="641"/>
      <c r="F773" s="102"/>
      <c r="G773" s="100"/>
    </row>
    <row r="774" spans="2:7">
      <c r="B774" s="106"/>
      <c r="C774" s="286"/>
      <c r="D774" s="107"/>
      <c r="E774" s="641"/>
      <c r="F774" s="102"/>
      <c r="G774" s="100"/>
    </row>
    <row r="775" spans="2:7">
      <c r="B775" s="106"/>
      <c r="C775" s="286"/>
      <c r="D775" s="107"/>
      <c r="E775" s="641"/>
      <c r="F775" s="102"/>
      <c r="G775" s="100"/>
    </row>
    <row r="776" spans="2:7">
      <c r="B776" s="531"/>
      <c r="C776" s="532"/>
      <c r="D776" s="529"/>
      <c r="E776" s="641"/>
      <c r="F776" s="530"/>
      <c r="G776" s="100"/>
    </row>
    <row r="777" spans="2:7">
      <c r="B777" s="531"/>
      <c r="C777" s="532"/>
      <c r="D777" s="529"/>
      <c r="E777" s="641"/>
      <c r="F777" s="530"/>
      <c r="G777" s="100"/>
    </row>
    <row r="778" spans="2:7">
      <c r="B778" s="531"/>
      <c r="C778" s="532"/>
      <c r="D778" s="529"/>
      <c r="E778" s="641"/>
      <c r="F778" s="331"/>
      <c r="G778" s="136"/>
    </row>
    <row r="779" spans="2:7">
      <c r="B779" s="531"/>
      <c r="C779" s="532"/>
      <c r="D779" s="529"/>
      <c r="E779" s="641"/>
      <c r="F779" s="331"/>
      <c r="G779" s="136"/>
    </row>
    <row r="780" spans="2:7">
      <c r="B780" s="531"/>
      <c r="C780" s="532"/>
      <c r="D780" s="529"/>
      <c r="E780" s="651"/>
      <c r="F780" s="331"/>
      <c r="G780" s="136"/>
    </row>
    <row r="781" spans="2:7">
      <c r="B781" s="106"/>
      <c r="C781" s="286"/>
      <c r="D781" s="107"/>
      <c r="E781" s="641"/>
      <c r="F781" s="102"/>
      <c r="G781" s="100"/>
    </row>
    <row r="782" spans="2:7">
      <c r="B782" s="106"/>
      <c r="C782" s="532"/>
      <c r="D782" s="529"/>
      <c r="E782" s="641"/>
      <c r="F782" s="102"/>
      <c r="G782" s="100"/>
    </row>
    <row r="783" spans="2:7">
      <c r="B783" s="106"/>
      <c r="C783" s="532"/>
      <c r="D783" s="107"/>
      <c r="E783" s="641"/>
      <c r="F783" s="102"/>
      <c r="G783" s="100"/>
    </row>
    <row r="784" spans="2:7">
      <c r="B784" s="531"/>
      <c r="C784" s="532"/>
      <c r="D784" s="529"/>
      <c r="E784" s="641"/>
      <c r="F784" s="530"/>
      <c r="G784" s="100"/>
    </row>
    <row r="785" spans="2:7">
      <c r="B785" s="531"/>
      <c r="C785" s="532"/>
      <c r="D785" s="529"/>
      <c r="E785" s="641"/>
      <c r="F785" s="530"/>
      <c r="G785" s="100"/>
    </row>
    <row r="786" spans="2:7">
      <c r="B786" s="531"/>
      <c r="C786" s="532"/>
      <c r="D786" s="529"/>
      <c r="E786" s="641"/>
      <c r="F786" s="102"/>
      <c r="G786" s="100"/>
    </row>
    <row r="787" spans="2:7">
      <c r="B787" s="531"/>
      <c r="C787" s="532"/>
      <c r="D787" s="529"/>
      <c r="E787" s="641"/>
      <c r="F787" s="102"/>
      <c r="G787" s="100"/>
    </row>
    <row r="788" spans="2:7">
      <c r="B788" s="531"/>
      <c r="C788" s="532"/>
      <c r="D788" s="529"/>
      <c r="E788" s="651"/>
      <c r="F788" s="102"/>
      <c r="G788" s="100"/>
    </row>
    <row r="789" spans="2:7">
      <c r="B789" s="531"/>
      <c r="C789" s="532"/>
      <c r="D789" s="529"/>
      <c r="E789" s="641"/>
      <c r="F789" s="530"/>
      <c r="G789" s="533"/>
    </row>
    <row r="790" spans="2:7">
      <c r="B790" s="531"/>
      <c r="C790" s="532"/>
      <c r="D790" s="529"/>
      <c r="E790" s="641"/>
      <c r="F790" s="530"/>
      <c r="G790" s="533"/>
    </row>
    <row r="791" spans="2:7">
      <c r="B791" s="531"/>
      <c r="C791" s="532"/>
      <c r="D791" s="529"/>
      <c r="E791" s="651"/>
      <c r="F791" s="530"/>
      <c r="G791" s="533"/>
    </row>
    <row r="792" spans="2:7">
      <c r="B792" s="531"/>
      <c r="C792" s="532"/>
      <c r="D792" s="529"/>
      <c r="E792" s="641"/>
      <c r="F792" s="102"/>
      <c r="G792" s="100"/>
    </row>
    <row r="793" spans="2:7">
      <c r="B793" s="531"/>
      <c r="C793" s="532"/>
      <c r="D793" s="529"/>
      <c r="E793" s="641"/>
      <c r="F793" s="102"/>
      <c r="G793" s="100"/>
    </row>
    <row r="794" spans="2:7">
      <c r="B794" s="531"/>
      <c r="C794" s="532"/>
      <c r="D794" s="529"/>
      <c r="E794" s="641"/>
      <c r="F794" s="102"/>
      <c r="G794" s="533"/>
    </row>
    <row r="795" spans="2:7">
      <c r="B795" s="531"/>
      <c r="C795" s="286"/>
      <c r="D795" s="107"/>
      <c r="E795" s="641"/>
      <c r="F795" s="102"/>
      <c r="G795" s="100"/>
    </row>
    <row r="796" spans="2:7">
      <c r="B796" s="106"/>
      <c r="C796" s="286"/>
      <c r="D796" s="529"/>
      <c r="E796" s="641"/>
      <c r="F796" s="102"/>
      <c r="G796" s="100"/>
    </row>
    <row r="797" spans="2:7">
      <c r="B797" s="106"/>
      <c r="C797" s="286"/>
      <c r="D797" s="529"/>
      <c r="E797" s="641"/>
      <c r="F797" s="102"/>
      <c r="G797" s="100"/>
    </row>
    <row r="798" spans="2:7">
      <c r="B798" s="106"/>
      <c r="C798" s="286"/>
      <c r="D798" s="529"/>
      <c r="E798" s="640"/>
      <c r="F798" s="102"/>
      <c r="G798" s="100"/>
    </row>
    <row r="799" spans="2:7">
      <c r="B799" s="106"/>
      <c r="C799" s="286"/>
      <c r="D799" s="107"/>
      <c r="E799" s="641"/>
      <c r="F799" s="102"/>
      <c r="G799" s="100"/>
    </row>
    <row r="800" spans="2:7">
      <c r="B800" s="106"/>
      <c r="C800" s="286"/>
      <c r="D800" s="529"/>
      <c r="E800" s="641"/>
      <c r="F800" s="102"/>
      <c r="G800" s="100"/>
    </row>
    <row r="801" spans="2:7">
      <c r="B801" s="106"/>
      <c r="C801" s="286"/>
      <c r="D801" s="107"/>
      <c r="E801" s="641"/>
      <c r="F801" s="102"/>
      <c r="G801" s="100"/>
    </row>
    <row r="802" spans="2:7">
      <c r="B802" s="106"/>
      <c r="C802" s="286"/>
      <c r="D802" s="107"/>
      <c r="E802" s="641"/>
      <c r="F802" s="102"/>
      <c r="G802" s="100"/>
    </row>
    <row r="803" spans="2:7">
      <c r="B803" s="106"/>
      <c r="C803" s="286"/>
      <c r="D803" s="529"/>
      <c r="E803" s="641"/>
      <c r="F803" s="102"/>
      <c r="G803" s="100"/>
    </row>
    <row r="804" spans="2:7">
      <c r="B804" s="531"/>
      <c r="C804" s="532"/>
      <c r="D804" s="529"/>
      <c r="E804" s="641"/>
      <c r="F804" s="102"/>
      <c r="G804" s="100"/>
    </row>
    <row r="805" spans="2:7">
      <c r="B805" s="531"/>
      <c r="C805" s="532"/>
      <c r="D805" s="529"/>
      <c r="E805" s="641"/>
      <c r="F805" s="102"/>
      <c r="G805" s="100"/>
    </row>
    <row r="806" spans="2:7">
      <c r="B806" s="531"/>
      <c r="C806" s="532"/>
      <c r="D806" s="529"/>
      <c r="E806" s="641"/>
      <c r="F806" s="530"/>
      <c r="G806" s="533"/>
    </row>
    <row r="807" spans="2:7">
      <c r="B807" s="531"/>
      <c r="C807" s="532"/>
      <c r="D807" s="529"/>
      <c r="E807" s="641"/>
      <c r="F807" s="102"/>
      <c r="G807" s="100"/>
    </row>
    <row r="808" spans="2:7">
      <c r="B808" s="531"/>
      <c r="C808" s="532"/>
      <c r="D808" s="529"/>
      <c r="E808" s="641"/>
      <c r="F808" s="530"/>
      <c r="G808" s="100"/>
    </row>
    <row r="809" spans="2:7">
      <c r="B809" s="531"/>
      <c r="C809" s="532"/>
      <c r="D809" s="529"/>
      <c r="E809" s="641"/>
      <c r="F809" s="530"/>
      <c r="G809" s="100"/>
    </row>
    <row r="810" spans="2:7">
      <c r="B810" s="106"/>
      <c r="C810" s="286"/>
      <c r="D810" s="107"/>
      <c r="E810" s="641"/>
      <c r="F810" s="530"/>
      <c r="G810" s="100"/>
    </row>
    <row r="811" spans="2:7">
      <c r="B811" s="106"/>
      <c r="C811" s="286"/>
      <c r="D811" s="107"/>
      <c r="E811" s="641"/>
      <c r="F811" s="530"/>
      <c r="G811" s="100"/>
    </row>
    <row r="812" spans="2:7">
      <c r="B812" s="106"/>
      <c r="C812" s="286"/>
      <c r="D812" s="107"/>
      <c r="E812" s="641"/>
      <c r="F812" s="530"/>
      <c r="G812" s="100"/>
    </row>
    <row r="813" spans="2:7">
      <c r="B813" s="106"/>
      <c r="C813" s="532"/>
      <c r="D813" s="107"/>
      <c r="E813" s="641"/>
      <c r="F813" s="530"/>
      <c r="G813" s="100"/>
    </row>
    <row r="814" spans="2:7">
      <c r="B814" s="106"/>
      <c r="C814" s="532"/>
      <c r="D814" s="107"/>
      <c r="E814" s="641"/>
      <c r="F814" s="102"/>
      <c r="G814" s="100"/>
    </row>
    <row r="815" spans="2:7">
      <c r="B815" s="106"/>
      <c r="C815" s="286"/>
      <c r="D815" s="107"/>
      <c r="E815" s="641"/>
      <c r="F815" s="102"/>
      <c r="G815" s="100"/>
    </row>
    <row r="816" spans="2:7">
      <c r="B816" s="534"/>
      <c r="C816" s="532"/>
      <c r="D816" s="107"/>
      <c r="E816" s="641"/>
      <c r="F816" s="530"/>
      <c r="G816" s="100"/>
    </row>
    <row r="817" spans="2:12">
      <c r="B817" s="534"/>
      <c r="C817" s="535"/>
      <c r="D817" s="536"/>
      <c r="E817" s="641"/>
      <c r="F817" s="537"/>
      <c r="G817" s="100"/>
    </row>
    <row r="818" spans="2:12">
      <c r="B818" s="534"/>
      <c r="C818" s="535"/>
      <c r="D818" s="536"/>
      <c r="E818" s="641"/>
      <c r="F818" s="537"/>
      <c r="G818" s="100"/>
    </row>
    <row r="819" spans="2:12">
      <c r="B819" s="534"/>
      <c r="C819" s="535"/>
      <c r="D819" s="536"/>
      <c r="E819" s="652"/>
      <c r="F819" s="537"/>
      <c r="G819" s="100"/>
    </row>
    <row r="820" spans="2:12">
      <c r="B820" s="534"/>
      <c r="C820" s="535"/>
      <c r="D820" s="536"/>
      <c r="E820" s="641"/>
      <c r="F820" s="102"/>
      <c r="G820" s="100"/>
    </row>
    <row r="821" spans="2:12">
      <c r="B821" s="534"/>
      <c r="C821" s="535"/>
      <c r="D821" s="536"/>
      <c r="E821" s="641"/>
      <c r="F821" s="537"/>
      <c r="G821" s="100"/>
    </row>
    <row r="822" spans="2:12">
      <c r="B822" s="534"/>
      <c r="C822" s="535"/>
      <c r="D822" s="536"/>
      <c r="E822" s="641"/>
      <c r="F822" s="102"/>
      <c r="G822" s="100"/>
    </row>
    <row r="823" spans="2:12">
      <c r="B823" s="534"/>
      <c r="C823" s="535"/>
      <c r="D823" s="536"/>
      <c r="E823" s="641"/>
      <c r="F823" s="537"/>
      <c r="G823" s="100"/>
    </row>
    <row r="824" spans="2:12">
      <c r="B824" s="534"/>
      <c r="C824" s="535"/>
      <c r="D824" s="536"/>
      <c r="E824" s="652"/>
      <c r="F824" s="537"/>
      <c r="G824" s="538"/>
    </row>
    <row r="825" spans="2:12">
      <c r="B825" s="106"/>
      <c r="C825" s="535"/>
      <c r="D825" s="107"/>
      <c r="E825" s="641"/>
      <c r="F825" s="102"/>
      <c r="G825" s="100"/>
    </row>
    <row r="826" spans="2:12">
      <c r="B826" s="106"/>
      <c r="C826" s="286"/>
      <c r="D826" s="107"/>
      <c r="E826" s="641"/>
      <c r="F826" s="537"/>
      <c r="G826" s="100"/>
    </row>
    <row r="827" spans="2:12">
      <c r="B827" s="106"/>
      <c r="C827" s="286"/>
      <c r="D827" s="107"/>
      <c r="E827" s="641"/>
      <c r="F827" s="102"/>
      <c r="G827" s="100"/>
    </row>
    <row r="828" spans="2:12">
      <c r="B828" s="106"/>
      <c r="C828" s="286"/>
      <c r="D828" s="107"/>
      <c r="E828" s="641"/>
      <c r="F828" s="102"/>
      <c r="G828" s="100"/>
    </row>
    <row r="829" spans="2:12">
      <c r="B829" s="534"/>
      <c r="C829" s="535"/>
      <c r="D829" s="536"/>
      <c r="E829" s="641"/>
      <c r="F829" s="102"/>
      <c r="G829" s="100"/>
    </row>
    <row r="830" spans="2:12">
      <c r="B830" s="534"/>
      <c r="C830" s="535"/>
      <c r="D830" s="536"/>
      <c r="E830" s="641"/>
      <c r="F830" s="102"/>
      <c r="G830" s="100"/>
    </row>
    <row r="831" spans="2:12">
      <c r="B831" s="106"/>
      <c r="C831" s="535"/>
      <c r="D831" s="536"/>
      <c r="E831" s="640"/>
      <c r="F831" s="102"/>
      <c r="G831" s="100"/>
      <c r="L831" s="540"/>
    </row>
    <row r="832" spans="2:12">
      <c r="B832" s="534"/>
      <c r="C832" s="535"/>
      <c r="D832" s="536"/>
      <c r="E832" s="641"/>
      <c r="F832" s="102"/>
      <c r="G832" s="538"/>
    </row>
    <row r="833" spans="2:12">
      <c r="B833" s="106"/>
      <c r="C833" s="286"/>
      <c r="D833" s="107"/>
      <c r="E833" s="641"/>
      <c r="F833" s="537"/>
      <c r="G833" s="100"/>
    </row>
    <row r="834" spans="2:12">
      <c r="B834" s="106"/>
      <c r="C834" s="286"/>
      <c r="D834" s="107"/>
      <c r="E834" s="641"/>
      <c r="F834" s="537"/>
      <c r="G834" s="100"/>
    </row>
    <row r="835" spans="2:12">
      <c r="B835" s="106"/>
      <c r="C835" s="286"/>
      <c r="D835" s="107"/>
      <c r="E835" s="641"/>
      <c r="F835" s="537"/>
      <c r="G835" s="100"/>
    </row>
    <row r="836" spans="2:12">
      <c r="B836" s="106"/>
      <c r="C836" s="286"/>
      <c r="D836" s="107"/>
      <c r="E836" s="641"/>
      <c r="F836" s="537"/>
      <c r="G836" s="100"/>
    </row>
    <row r="837" spans="2:12">
      <c r="B837" s="106"/>
      <c r="C837" s="286"/>
      <c r="D837" s="107"/>
      <c r="E837" s="641"/>
      <c r="F837" s="102"/>
      <c r="G837" s="100"/>
    </row>
    <row r="838" spans="2:12">
      <c r="B838" s="106"/>
      <c r="C838" s="286"/>
      <c r="D838" s="107"/>
      <c r="E838" s="641"/>
      <c r="F838" s="102"/>
      <c r="G838" s="100"/>
    </row>
    <row r="839" spans="2:12">
      <c r="B839" s="106"/>
      <c r="C839" s="286"/>
      <c r="D839" s="107"/>
      <c r="E839" s="641"/>
      <c r="F839" s="102"/>
      <c r="G839" s="100"/>
    </row>
    <row r="840" spans="2:12">
      <c r="B840" s="106"/>
      <c r="C840" s="286"/>
      <c r="D840" s="107"/>
      <c r="E840" s="641"/>
      <c r="F840" s="102"/>
      <c r="G840" s="100"/>
    </row>
    <row r="841" spans="2:12">
      <c r="B841" s="106"/>
      <c r="C841" s="286"/>
      <c r="D841" s="107"/>
      <c r="E841" s="640"/>
      <c r="F841" s="102"/>
      <c r="G841" s="100"/>
    </row>
    <row r="842" spans="2:12">
      <c r="B842" s="106"/>
      <c r="C842" s="286"/>
      <c r="D842" s="107"/>
      <c r="E842" s="640"/>
      <c r="F842" s="102"/>
      <c r="G842" s="100"/>
    </row>
    <row r="843" spans="2:12">
      <c r="B843" s="106"/>
      <c r="C843" s="286"/>
      <c r="D843" s="107"/>
      <c r="E843" s="640"/>
      <c r="F843" s="102"/>
      <c r="G843" s="100"/>
      <c r="L843" s="345"/>
    </row>
    <row r="844" spans="2:12">
      <c r="B844" s="106"/>
      <c r="C844" s="286"/>
      <c r="D844" s="107"/>
      <c r="E844" s="641"/>
      <c r="F844" s="537"/>
      <c r="G844" s="100"/>
    </row>
    <row r="845" spans="2:12">
      <c r="B845" s="106"/>
      <c r="C845" s="286"/>
      <c r="D845" s="107"/>
      <c r="E845" s="641"/>
      <c r="F845" s="537"/>
      <c r="G845" s="100"/>
    </row>
    <row r="846" spans="2:12">
      <c r="B846" s="106"/>
      <c r="C846" s="286"/>
      <c r="D846" s="107"/>
      <c r="E846" s="641"/>
      <c r="F846" s="537"/>
      <c r="G846" s="100"/>
    </row>
    <row r="847" spans="2:12">
      <c r="B847" s="106"/>
      <c r="C847" s="286"/>
      <c r="D847" s="107"/>
      <c r="E847" s="641"/>
      <c r="F847" s="537"/>
      <c r="G847" s="100"/>
    </row>
    <row r="848" spans="2:12">
      <c r="B848" s="106"/>
      <c r="C848" s="286"/>
      <c r="D848" s="107"/>
      <c r="E848" s="641"/>
      <c r="F848" s="537"/>
      <c r="G848" s="100"/>
    </row>
    <row r="849" spans="2:12">
      <c r="B849" s="534"/>
      <c r="C849" s="535"/>
      <c r="D849" s="536"/>
      <c r="E849" s="641"/>
      <c r="F849" s="537"/>
      <c r="G849" s="100"/>
      <c r="L849" s="544"/>
    </row>
    <row r="850" spans="2:12">
      <c r="B850" s="534"/>
      <c r="C850" s="535"/>
      <c r="D850" s="536"/>
      <c r="E850" s="641"/>
      <c r="F850" s="537"/>
      <c r="G850" s="100"/>
    </row>
    <row r="851" spans="2:12">
      <c r="B851" s="534"/>
      <c r="C851" s="535"/>
      <c r="D851" s="536"/>
      <c r="E851" s="652"/>
      <c r="F851" s="537"/>
      <c r="G851" s="100"/>
    </row>
    <row r="852" spans="2:12">
      <c r="B852" s="534"/>
      <c r="C852" s="535"/>
      <c r="D852" s="536"/>
      <c r="E852" s="641"/>
      <c r="F852" s="102"/>
      <c r="G852" s="100"/>
      <c r="L852" s="342"/>
    </row>
    <row r="853" spans="2:12">
      <c r="B853" s="106"/>
      <c r="C853" s="286"/>
      <c r="D853" s="107"/>
      <c r="E853" s="641"/>
      <c r="F853" s="102"/>
      <c r="G853" s="100"/>
    </row>
    <row r="854" spans="2:12">
      <c r="B854" s="106"/>
      <c r="C854" s="286"/>
      <c r="D854" s="107"/>
      <c r="E854" s="640"/>
      <c r="F854" s="102"/>
      <c r="G854" s="100"/>
      <c r="L854" s="544"/>
    </row>
    <row r="855" spans="2:12">
      <c r="B855" s="534"/>
      <c r="C855" s="535"/>
      <c r="D855" s="536"/>
      <c r="E855" s="641"/>
      <c r="F855" s="102"/>
      <c r="G855" s="100"/>
      <c r="L855" s="544"/>
    </row>
    <row r="856" spans="2:12">
      <c r="B856" s="534"/>
      <c r="C856" s="535"/>
      <c r="D856" s="536"/>
      <c r="E856" s="652"/>
      <c r="F856" s="537"/>
      <c r="G856" s="100"/>
      <c r="L856" s="342"/>
    </row>
    <row r="857" spans="2:12">
      <c r="B857" s="534"/>
      <c r="C857" s="535"/>
      <c r="D857" s="536"/>
      <c r="E857" s="641"/>
      <c r="F857" s="102"/>
      <c r="G857" s="100"/>
      <c r="L857" s="342"/>
    </row>
    <row r="858" spans="2:12">
      <c r="B858" s="534"/>
      <c r="C858" s="535"/>
      <c r="D858" s="536"/>
      <c r="E858" s="641"/>
      <c r="F858" s="102"/>
      <c r="G858" s="100"/>
      <c r="L858" s="342"/>
    </row>
    <row r="859" spans="2:12">
      <c r="B859" s="534"/>
      <c r="C859" s="535"/>
      <c r="D859" s="536"/>
      <c r="E859" s="641"/>
      <c r="F859" s="102"/>
      <c r="G859" s="100"/>
      <c r="L859" s="342"/>
    </row>
    <row r="860" spans="2:12">
      <c r="B860" s="534"/>
      <c r="C860" s="535"/>
      <c r="D860" s="536"/>
      <c r="E860" s="641"/>
      <c r="F860" s="102"/>
      <c r="G860" s="538"/>
      <c r="L860" s="342"/>
    </row>
    <row r="861" spans="2:12">
      <c r="B861" s="106"/>
      <c r="C861" s="535"/>
      <c r="D861" s="536"/>
      <c r="E861" s="641"/>
      <c r="F861" s="102"/>
      <c r="G861" s="100"/>
    </row>
    <row r="862" spans="2:12">
      <c r="B862" s="534"/>
      <c r="C862" s="535"/>
      <c r="D862" s="536"/>
      <c r="E862" s="641"/>
      <c r="F862" s="102"/>
      <c r="G862" s="538"/>
      <c r="L862" s="345"/>
    </row>
    <row r="863" spans="2:12">
      <c r="B863" s="106"/>
      <c r="C863" s="286"/>
      <c r="D863" s="107"/>
      <c r="E863" s="641"/>
      <c r="F863" s="102"/>
      <c r="G863" s="100"/>
    </row>
    <row r="864" spans="2:12">
      <c r="B864" s="106"/>
      <c r="C864" s="286"/>
      <c r="D864" s="107"/>
      <c r="E864" s="641"/>
      <c r="F864" s="102"/>
      <c r="G864" s="100"/>
    </row>
    <row r="865" spans="2:7">
      <c r="B865" s="106"/>
      <c r="C865" s="286"/>
      <c r="D865" s="107"/>
      <c r="E865" s="641"/>
      <c r="F865" s="102"/>
      <c r="G865" s="100"/>
    </row>
    <row r="866" spans="2:7">
      <c r="B866" s="106"/>
      <c r="C866" s="286"/>
      <c r="D866" s="107"/>
      <c r="E866" s="641"/>
      <c r="F866" s="102"/>
      <c r="G866" s="100"/>
    </row>
    <row r="867" spans="2:7">
      <c r="B867" s="106"/>
      <c r="C867" s="286"/>
      <c r="D867" s="107"/>
      <c r="E867" s="641"/>
      <c r="F867" s="102"/>
      <c r="G867" s="100"/>
    </row>
    <row r="868" spans="2:7">
      <c r="B868" s="106"/>
      <c r="C868" s="286"/>
      <c r="D868" s="107"/>
      <c r="E868" s="641"/>
      <c r="F868" s="102"/>
      <c r="G868" s="100"/>
    </row>
    <row r="869" spans="2:7">
      <c r="B869" s="106"/>
      <c r="C869" s="286"/>
      <c r="D869" s="107"/>
      <c r="E869" s="641"/>
      <c r="F869" s="102"/>
      <c r="G869" s="100"/>
    </row>
    <row r="870" spans="2:7">
      <c r="B870" s="106"/>
      <c r="C870" s="535"/>
      <c r="D870" s="107"/>
      <c r="E870" s="640"/>
      <c r="F870" s="102"/>
      <c r="G870" s="100"/>
    </row>
    <row r="871" spans="2:7">
      <c r="B871" s="106"/>
      <c r="C871" s="286"/>
      <c r="D871" s="107"/>
      <c r="E871" s="640"/>
      <c r="F871" s="102"/>
      <c r="G871" s="100"/>
    </row>
    <row r="872" spans="2:7">
      <c r="B872" s="106"/>
      <c r="C872" s="286"/>
      <c r="D872" s="107"/>
      <c r="E872" s="641"/>
      <c r="F872" s="102"/>
      <c r="G872" s="100"/>
    </row>
    <row r="873" spans="2:7">
      <c r="B873" s="106"/>
      <c r="C873" s="535"/>
      <c r="D873" s="107"/>
      <c r="E873" s="640"/>
      <c r="F873" s="102"/>
      <c r="G873" s="100"/>
    </row>
    <row r="874" spans="2:7">
      <c r="B874" s="106"/>
      <c r="C874" s="286"/>
      <c r="D874" s="107"/>
      <c r="E874" s="640"/>
      <c r="F874" s="102"/>
      <c r="G874" s="100"/>
    </row>
    <row r="875" spans="2:7">
      <c r="B875" s="106"/>
      <c r="C875" s="286"/>
      <c r="D875" s="107"/>
      <c r="E875" s="641"/>
      <c r="F875" s="102"/>
      <c r="G875" s="100"/>
    </row>
    <row r="876" spans="2:7">
      <c r="B876" s="106"/>
      <c r="C876" s="286"/>
      <c r="D876" s="107"/>
      <c r="E876" s="641"/>
      <c r="F876" s="102"/>
      <c r="G876" s="100"/>
    </row>
    <row r="877" spans="2:7">
      <c r="B877" s="106"/>
      <c r="C877" s="286"/>
      <c r="D877" s="107"/>
      <c r="E877" s="641"/>
      <c r="F877" s="102"/>
      <c r="G877" s="100"/>
    </row>
    <row r="878" spans="2:7">
      <c r="B878" s="106"/>
      <c r="C878" s="286"/>
      <c r="D878" s="107"/>
      <c r="E878" s="641"/>
      <c r="F878" s="102"/>
      <c r="G878" s="100"/>
    </row>
    <row r="879" spans="2:7">
      <c r="B879" s="106"/>
      <c r="C879" s="286"/>
      <c r="D879" s="107"/>
      <c r="E879" s="641"/>
      <c r="F879" s="102"/>
      <c r="G879" s="100"/>
    </row>
    <row r="880" spans="2:7">
      <c r="B880" s="106"/>
      <c r="C880" s="535"/>
      <c r="D880" s="107"/>
      <c r="E880" s="640"/>
      <c r="F880" s="102"/>
      <c r="G880" s="100"/>
    </row>
    <row r="881" spans="2:12">
      <c r="B881" s="106"/>
      <c r="C881" s="286"/>
      <c r="D881" s="107"/>
      <c r="E881" s="640"/>
      <c r="F881" s="102"/>
      <c r="G881" s="100"/>
    </row>
    <row r="882" spans="2:12">
      <c r="B882" s="106"/>
      <c r="C882" s="286"/>
      <c r="D882" s="107"/>
      <c r="E882" s="641"/>
      <c r="F882" s="102"/>
      <c r="G882" s="100"/>
    </row>
    <row r="883" spans="2:12">
      <c r="B883" s="106"/>
      <c r="C883" s="286"/>
      <c r="D883" s="107"/>
      <c r="E883" s="641"/>
      <c r="F883" s="102"/>
      <c r="G883" s="100"/>
    </row>
    <row r="884" spans="2:12">
      <c r="B884" s="106"/>
      <c r="C884" s="286"/>
      <c r="D884" s="107"/>
      <c r="E884" s="640"/>
      <c r="F884" s="102"/>
      <c r="G884" s="100"/>
    </row>
    <row r="885" spans="2:12">
      <c r="B885" s="106"/>
      <c r="C885" s="286"/>
      <c r="D885" s="107"/>
      <c r="E885" s="641"/>
      <c r="F885" s="102"/>
      <c r="G885" s="100"/>
    </row>
    <row r="886" spans="2:12">
      <c r="B886" s="106"/>
      <c r="C886" s="286"/>
      <c r="D886" s="107"/>
      <c r="E886" s="641"/>
      <c r="F886" s="102"/>
      <c r="G886" s="100"/>
    </row>
    <row r="887" spans="2:12">
      <c r="B887" s="534"/>
      <c r="C887" s="286"/>
      <c r="D887" s="536"/>
      <c r="E887" s="641"/>
      <c r="F887" s="102"/>
      <c r="G887" s="100"/>
    </row>
    <row r="888" spans="2:12">
      <c r="B888" s="106"/>
      <c r="C888" s="286"/>
      <c r="D888" s="107"/>
      <c r="E888" s="641"/>
      <c r="F888" s="102"/>
      <c r="G888" s="102"/>
    </row>
    <row r="889" spans="2:12">
      <c r="B889" s="106"/>
      <c r="C889" s="286"/>
      <c r="D889" s="107"/>
      <c r="E889" s="641"/>
      <c r="F889" s="102"/>
      <c r="G889" s="102"/>
    </row>
    <row r="890" spans="2:12">
      <c r="B890" s="106"/>
      <c r="C890" s="286"/>
      <c r="D890" s="107"/>
      <c r="E890" s="641"/>
      <c r="F890" s="102"/>
      <c r="G890" s="102"/>
    </row>
    <row r="891" spans="2:12">
      <c r="B891" s="106"/>
      <c r="C891" s="286"/>
      <c r="D891" s="107"/>
      <c r="E891" s="641"/>
      <c r="F891" s="102"/>
      <c r="G891" s="102"/>
      <c r="L891" s="344"/>
    </row>
    <row r="892" spans="2:12">
      <c r="B892" s="106"/>
      <c r="C892" s="286"/>
      <c r="D892" s="107"/>
      <c r="E892" s="641"/>
      <c r="F892" s="102"/>
      <c r="G892" s="102"/>
      <c r="L892" s="544"/>
    </row>
    <row r="893" spans="2:12">
      <c r="B893" s="106"/>
      <c r="C893" s="286"/>
      <c r="D893" s="107"/>
      <c r="E893" s="641"/>
      <c r="F893" s="102"/>
      <c r="G893" s="102"/>
      <c r="L893" s="544"/>
    </row>
    <row r="894" spans="2:12">
      <c r="B894" s="106"/>
      <c r="C894" s="286"/>
      <c r="D894" s="107"/>
      <c r="E894" s="641"/>
      <c r="F894" s="102"/>
      <c r="G894" s="102"/>
      <c r="L894" s="544"/>
    </row>
    <row r="895" spans="2:12">
      <c r="B895" s="106"/>
      <c r="C895" s="286"/>
      <c r="D895" s="107"/>
      <c r="E895" s="641"/>
      <c r="F895" s="102"/>
      <c r="G895" s="100"/>
      <c r="L895" s="544"/>
    </row>
    <row r="896" spans="2:12">
      <c r="B896" s="106"/>
      <c r="C896" s="286"/>
      <c r="D896" s="107"/>
      <c r="E896" s="641"/>
      <c r="F896" s="102"/>
      <c r="G896" s="100"/>
    </row>
    <row r="897" spans="2:12">
      <c r="B897" s="106"/>
      <c r="C897" s="286"/>
      <c r="D897" s="107"/>
      <c r="E897" s="641"/>
      <c r="F897" s="102"/>
      <c r="G897" s="100"/>
    </row>
    <row r="898" spans="2:12">
      <c r="B898" s="106"/>
      <c r="C898" s="286"/>
      <c r="D898" s="107"/>
      <c r="E898" s="641"/>
      <c r="F898" s="102"/>
      <c r="G898" s="100"/>
    </row>
    <row r="899" spans="2:12">
      <c r="B899" s="106"/>
      <c r="C899" s="286"/>
      <c r="D899" s="107"/>
      <c r="E899" s="641"/>
      <c r="F899" s="102"/>
      <c r="G899" s="100"/>
    </row>
    <row r="900" spans="2:12">
      <c r="B900" s="106"/>
      <c r="C900" s="286"/>
      <c r="D900" s="107"/>
      <c r="E900" s="641"/>
      <c r="F900" s="102"/>
      <c r="G900" s="100"/>
    </row>
    <row r="901" spans="2:12">
      <c r="B901" s="106"/>
      <c r="C901" s="286"/>
      <c r="D901" s="107"/>
      <c r="E901" s="641"/>
      <c r="F901" s="102"/>
      <c r="G901" s="100"/>
    </row>
    <row r="902" spans="2:12">
      <c r="B902" s="106"/>
      <c r="C902" s="286"/>
      <c r="D902" s="107"/>
      <c r="E902" s="641"/>
      <c r="F902" s="102"/>
      <c r="G902" s="100"/>
    </row>
    <row r="903" spans="2:12">
      <c r="B903" s="106"/>
      <c r="C903" s="286"/>
      <c r="D903" s="107"/>
      <c r="E903" s="640"/>
      <c r="F903" s="102"/>
      <c r="G903" s="100"/>
      <c r="L903" s="544"/>
    </row>
    <row r="904" spans="2:12">
      <c r="B904" s="106"/>
      <c r="C904" s="286"/>
      <c r="D904" s="107"/>
      <c r="E904" s="641"/>
      <c r="F904" s="102"/>
      <c r="G904" s="100"/>
    </row>
    <row r="905" spans="2:12">
      <c r="B905" s="106"/>
      <c r="C905" s="286"/>
      <c r="D905" s="107"/>
      <c r="E905" s="641"/>
      <c r="F905" s="102"/>
      <c r="G905" s="100"/>
    </row>
    <row r="906" spans="2:12">
      <c r="B906" s="106"/>
      <c r="C906" s="286"/>
      <c r="D906" s="107"/>
      <c r="E906" s="641"/>
      <c r="F906" s="102"/>
      <c r="G906" s="100"/>
    </row>
    <row r="907" spans="2:12">
      <c r="B907" s="106"/>
      <c r="C907" s="286"/>
      <c r="D907" s="107"/>
      <c r="E907" s="641"/>
      <c r="F907" s="102"/>
      <c r="G907" s="100"/>
    </row>
    <row r="908" spans="2:12">
      <c r="B908" s="106"/>
      <c r="C908" s="286"/>
      <c r="D908" s="107"/>
      <c r="E908" s="641"/>
      <c r="F908" s="102"/>
      <c r="G908" s="100"/>
    </row>
    <row r="909" spans="2:12">
      <c r="B909" s="106"/>
      <c r="C909" s="286"/>
      <c r="D909" s="107"/>
      <c r="E909" s="641"/>
      <c r="F909" s="102"/>
      <c r="G909" s="100"/>
    </row>
    <row r="910" spans="2:12">
      <c r="B910" s="106"/>
      <c r="C910" s="286"/>
      <c r="D910" s="107"/>
      <c r="E910" s="641"/>
      <c r="F910" s="102"/>
      <c r="G910" s="100"/>
    </row>
    <row r="911" spans="2:12">
      <c r="B911" s="106"/>
      <c r="C911" s="286"/>
      <c r="D911" s="107"/>
      <c r="E911" s="641"/>
      <c r="F911" s="102"/>
      <c r="G911" s="100"/>
    </row>
    <row r="912" spans="2:12">
      <c r="B912" s="534"/>
      <c r="C912" s="286"/>
      <c r="D912" s="107"/>
      <c r="E912" s="641"/>
      <c r="F912" s="102"/>
      <c r="G912" s="538"/>
    </row>
    <row r="913" spans="2:12">
      <c r="B913" s="534"/>
      <c r="C913" s="535"/>
      <c r="D913" s="536"/>
      <c r="E913" s="641"/>
      <c r="F913" s="102"/>
      <c r="G913" s="100"/>
    </row>
    <row r="914" spans="2:12">
      <c r="B914" s="534"/>
      <c r="C914" s="535"/>
      <c r="D914" s="536"/>
      <c r="E914" s="641"/>
      <c r="F914" s="102"/>
      <c r="G914" s="100"/>
    </row>
    <row r="915" spans="2:12">
      <c r="B915" s="534"/>
      <c r="C915" s="535"/>
      <c r="D915" s="536"/>
      <c r="E915" s="641"/>
      <c r="F915" s="102"/>
      <c r="G915" s="100"/>
    </row>
    <row r="916" spans="2:12">
      <c r="B916" s="534"/>
      <c r="C916" s="535"/>
      <c r="D916" s="536"/>
      <c r="E916" s="641"/>
      <c r="F916" s="102"/>
      <c r="G916" s="100"/>
    </row>
    <row r="917" spans="2:12">
      <c r="B917" s="534"/>
      <c r="C917" s="535"/>
      <c r="D917" s="536"/>
      <c r="E917" s="641"/>
      <c r="F917" s="102"/>
      <c r="G917" s="538"/>
    </row>
    <row r="918" spans="2:12">
      <c r="B918" s="534"/>
      <c r="C918" s="535"/>
      <c r="D918" s="536"/>
      <c r="E918" s="652"/>
      <c r="F918" s="102"/>
      <c r="G918" s="538"/>
    </row>
    <row r="919" spans="2:12">
      <c r="B919" s="534"/>
      <c r="C919" s="535"/>
      <c r="D919" s="536"/>
      <c r="E919" s="652"/>
      <c r="F919" s="102"/>
      <c r="G919" s="538"/>
      <c r="L919" s="345"/>
    </row>
    <row r="920" spans="2:12">
      <c r="B920" s="534"/>
      <c r="C920" s="535"/>
      <c r="D920" s="536"/>
      <c r="E920" s="641"/>
      <c r="F920" s="102"/>
      <c r="G920" s="538"/>
    </row>
    <row r="921" spans="2:12">
      <c r="B921" s="534"/>
      <c r="C921" s="535"/>
      <c r="D921" s="536"/>
      <c r="E921" s="652"/>
      <c r="F921" s="102"/>
      <c r="G921" s="538"/>
    </row>
    <row r="922" spans="2:12">
      <c r="B922" s="534"/>
      <c r="C922" s="535"/>
      <c r="D922" s="536"/>
      <c r="E922" s="641"/>
      <c r="F922" s="102"/>
      <c r="G922" s="100"/>
    </row>
    <row r="923" spans="2:12">
      <c r="B923" s="534"/>
      <c r="C923" s="535"/>
      <c r="D923" s="536"/>
      <c r="E923" s="641"/>
      <c r="F923" s="102"/>
      <c r="G923" s="538"/>
    </row>
    <row r="924" spans="2:12">
      <c r="B924" s="534"/>
      <c r="C924" s="535"/>
      <c r="D924" s="536"/>
      <c r="E924" s="652"/>
      <c r="F924" s="102"/>
      <c r="G924" s="538"/>
    </row>
    <row r="925" spans="2:12">
      <c r="B925" s="534"/>
      <c r="C925" s="535"/>
      <c r="D925" s="536"/>
      <c r="E925" s="641"/>
      <c r="F925" s="102"/>
      <c r="G925" s="100"/>
    </row>
    <row r="926" spans="2:12">
      <c r="B926" s="534"/>
      <c r="C926" s="535"/>
      <c r="D926" s="536"/>
      <c r="E926" s="641"/>
      <c r="F926" s="537"/>
      <c r="G926" s="538"/>
    </row>
    <row r="927" spans="2:12">
      <c r="B927" s="534"/>
      <c r="C927" s="535"/>
      <c r="D927" s="536"/>
      <c r="E927" s="652"/>
      <c r="F927" s="537"/>
      <c r="G927" s="538"/>
    </row>
    <row r="928" spans="2:12">
      <c r="B928" s="534"/>
      <c r="C928" s="535"/>
      <c r="D928" s="536"/>
      <c r="E928" s="652"/>
      <c r="F928" s="537"/>
      <c r="G928" s="538"/>
    </row>
    <row r="929" spans="2:7">
      <c r="B929" s="534"/>
      <c r="C929" s="535"/>
      <c r="D929" s="536"/>
      <c r="E929" s="641"/>
      <c r="F929" s="537"/>
      <c r="G929" s="538"/>
    </row>
    <row r="930" spans="2:7">
      <c r="B930" s="534"/>
      <c r="C930" s="535"/>
      <c r="D930" s="536"/>
      <c r="E930" s="652"/>
      <c r="F930" s="537"/>
      <c r="G930" s="538"/>
    </row>
    <row r="931" spans="2:7">
      <c r="B931" s="534"/>
      <c r="C931" s="535"/>
      <c r="D931" s="536"/>
      <c r="E931" s="652"/>
      <c r="F931" s="537"/>
      <c r="G931" s="538"/>
    </row>
    <row r="932" spans="2:7">
      <c r="B932" s="534"/>
      <c r="C932" s="535"/>
      <c r="D932" s="536"/>
      <c r="E932" s="641"/>
      <c r="F932" s="102"/>
      <c r="G932" s="538"/>
    </row>
    <row r="933" spans="2:7">
      <c r="B933" s="534"/>
      <c r="C933" s="535"/>
      <c r="D933" s="536"/>
      <c r="E933" s="652"/>
      <c r="F933" s="102"/>
      <c r="G933" s="538"/>
    </row>
    <row r="934" spans="2:7">
      <c r="B934" s="106"/>
      <c r="C934" s="286"/>
      <c r="D934" s="107"/>
      <c r="E934" s="641"/>
      <c r="F934" s="102"/>
      <c r="G934" s="100"/>
    </row>
    <row r="935" spans="2:7">
      <c r="B935" s="106"/>
      <c r="C935" s="286"/>
      <c r="D935" s="107"/>
      <c r="E935" s="641"/>
      <c r="F935" s="102"/>
      <c r="G935" s="100"/>
    </row>
    <row r="936" spans="2:7">
      <c r="B936" s="106"/>
      <c r="C936" s="286"/>
      <c r="D936" s="107"/>
      <c r="E936" s="641"/>
      <c r="F936" s="102"/>
      <c r="G936" s="100"/>
    </row>
    <row r="937" spans="2:7">
      <c r="B937" s="106"/>
      <c r="C937" s="535"/>
      <c r="D937" s="107"/>
      <c r="E937" s="640"/>
      <c r="F937" s="102"/>
      <c r="G937" s="100"/>
    </row>
    <row r="938" spans="2:7">
      <c r="B938" s="106"/>
      <c r="C938" s="286"/>
      <c r="D938" s="107"/>
      <c r="E938" s="641"/>
      <c r="F938" s="102"/>
      <c r="G938" s="100"/>
    </row>
    <row r="939" spans="2:7">
      <c r="B939" s="534"/>
      <c r="C939" s="535"/>
      <c r="D939" s="107"/>
      <c r="E939" s="641"/>
      <c r="F939" s="102"/>
      <c r="G939" s="538"/>
    </row>
    <row r="940" spans="2:7">
      <c r="B940" s="534"/>
      <c r="C940" s="535"/>
      <c r="D940" s="107"/>
      <c r="E940" s="652"/>
      <c r="F940" s="102"/>
      <c r="G940" s="538"/>
    </row>
    <row r="941" spans="2:7">
      <c r="B941" s="534"/>
      <c r="C941" s="535"/>
      <c r="D941" s="107"/>
      <c r="E941" s="652"/>
      <c r="F941" s="102"/>
      <c r="G941" s="538"/>
    </row>
    <row r="942" spans="2:7">
      <c r="B942" s="534"/>
      <c r="C942" s="535"/>
      <c r="D942" s="536"/>
      <c r="E942" s="641"/>
      <c r="F942" s="537"/>
      <c r="G942" s="100"/>
    </row>
    <row r="943" spans="2:7">
      <c r="B943" s="534"/>
      <c r="C943" s="535"/>
      <c r="D943" s="536"/>
      <c r="E943" s="641"/>
      <c r="F943" s="102"/>
      <c r="G943" s="538"/>
    </row>
    <row r="944" spans="2:7">
      <c r="B944" s="106"/>
      <c r="C944" s="286"/>
      <c r="D944" s="107"/>
      <c r="E944" s="641"/>
      <c r="F944" s="537"/>
      <c r="G944" s="100"/>
    </row>
    <row r="945" spans="2:7">
      <c r="B945" s="106"/>
      <c r="C945" s="286"/>
      <c r="D945" s="107"/>
      <c r="E945" s="641"/>
      <c r="F945" s="537"/>
      <c r="G945" s="100"/>
    </row>
    <row r="946" spans="2:7">
      <c r="B946" s="534"/>
      <c r="C946" s="535"/>
      <c r="D946" s="107"/>
      <c r="E946" s="641"/>
      <c r="F946" s="102"/>
      <c r="G946" s="538"/>
    </row>
    <row r="947" spans="2:7">
      <c r="B947" s="534"/>
      <c r="C947" s="535"/>
      <c r="D947" s="107"/>
      <c r="E947" s="652"/>
      <c r="F947" s="102"/>
      <c r="G947" s="538"/>
    </row>
    <row r="948" spans="2:7">
      <c r="B948" s="534"/>
      <c r="C948" s="535"/>
      <c r="D948" s="107"/>
      <c r="E948" s="652"/>
      <c r="F948" s="102"/>
      <c r="G948" s="538"/>
    </row>
    <row r="949" spans="2:7">
      <c r="B949" s="534"/>
      <c r="C949" s="535"/>
      <c r="D949" s="536"/>
      <c r="E949" s="641"/>
      <c r="F949" s="102"/>
      <c r="G949" s="100"/>
    </row>
    <row r="950" spans="2:7">
      <c r="B950" s="534"/>
      <c r="C950" s="535"/>
      <c r="D950" s="536"/>
      <c r="E950" s="641"/>
      <c r="F950" s="102"/>
      <c r="G950" s="100"/>
    </row>
    <row r="951" spans="2:7">
      <c r="B951" s="534"/>
      <c r="C951" s="535"/>
      <c r="D951" s="536"/>
      <c r="E951" s="641"/>
      <c r="F951" s="102"/>
      <c r="G951" s="100"/>
    </row>
    <row r="952" spans="2:7">
      <c r="B952" s="534"/>
      <c r="C952" s="535"/>
      <c r="D952" s="536"/>
      <c r="E952" s="652"/>
      <c r="F952" s="537"/>
      <c r="G952" s="538"/>
    </row>
    <row r="953" spans="2:7">
      <c r="B953" s="534"/>
      <c r="C953" s="535"/>
      <c r="D953" s="536"/>
      <c r="E953" s="652"/>
      <c r="F953" s="537"/>
      <c r="G953" s="538"/>
    </row>
    <row r="954" spans="2:7">
      <c r="B954" s="534"/>
      <c r="C954" s="535"/>
      <c r="D954" s="536"/>
      <c r="E954" s="641"/>
      <c r="F954" s="102"/>
      <c r="G954" s="100"/>
    </row>
    <row r="955" spans="2:7">
      <c r="B955" s="534"/>
      <c r="C955" s="535"/>
      <c r="D955" s="536"/>
      <c r="E955" s="641"/>
      <c r="F955" s="102"/>
      <c r="G955" s="100"/>
    </row>
    <row r="956" spans="2:7">
      <c r="B956" s="534"/>
      <c r="C956" s="535"/>
      <c r="D956" s="536"/>
      <c r="E956" s="652"/>
      <c r="F956" s="102"/>
      <c r="G956" s="100"/>
    </row>
    <row r="957" spans="2:7">
      <c r="B957" s="534"/>
      <c r="C957" s="535"/>
      <c r="D957" s="536"/>
      <c r="E957" s="652"/>
      <c r="F957" s="102"/>
      <c r="G957" s="100"/>
    </row>
    <row r="958" spans="2:7">
      <c r="B958" s="534"/>
      <c r="C958" s="535"/>
      <c r="D958" s="536"/>
      <c r="E958" s="652"/>
      <c r="F958" s="102"/>
      <c r="G958" s="100"/>
    </row>
    <row r="959" spans="2:7">
      <c r="B959" s="534"/>
      <c r="C959" s="535"/>
      <c r="D959" s="536"/>
      <c r="E959" s="641"/>
      <c r="F959" s="102"/>
      <c r="G959" s="100"/>
    </row>
    <row r="960" spans="2:7">
      <c r="B960" s="534"/>
      <c r="C960" s="535"/>
      <c r="D960" s="536"/>
      <c r="E960" s="641"/>
      <c r="F960" s="102"/>
      <c r="G960" s="100"/>
    </row>
    <row r="961" spans="2:7">
      <c r="B961" s="534"/>
      <c r="C961" s="535"/>
      <c r="D961" s="536"/>
      <c r="E961" s="652"/>
      <c r="F961" s="102"/>
      <c r="G961" s="100"/>
    </row>
    <row r="962" spans="2:7">
      <c r="B962" s="534"/>
      <c r="C962" s="535"/>
      <c r="D962" s="536"/>
      <c r="E962" s="652"/>
      <c r="F962" s="102"/>
      <c r="G962" s="100"/>
    </row>
    <row r="963" spans="2:7">
      <c r="B963" s="534"/>
      <c r="C963" s="535"/>
      <c r="D963" s="536"/>
      <c r="E963" s="641"/>
      <c r="F963" s="102"/>
      <c r="G963" s="100"/>
    </row>
    <row r="964" spans="2:7">
      <c r="B964" s="534"/>
      <c r="C964" s="535"/>
      <c r="D964" s="536"/>
      <c r="E964" s="652"/>
      <c r="F964" s="102"/>
      <c r="G964" s="100"/>
    </row>
    <row r="965" spans="2:7">
      <c r="B965" s="534"/>
      <c r="C965" s="535"/>
      <c r="D965" s="536"/>
      <c r="E965" s="652"/>
      <c r="F965" s="102"/>
      <c r="G965" s="100"/>
    </row>
    <row r="966" spans="2:7">
      <c r="B966" s="534"/>
      <c r="C966" s="535"/>
      <c r="D966" s="536"/>
      <c r="E966" s="641"/>
      <c r="F966" s="102"/>
      <c r="G966" s="100"/>
    </row>
    <row r="967" spans="2:7">
      <c r="B967" s="534"/>
      <c r="C967" s="535"/>
      <c r="D967" s="536"/>
      <c r="E967" s="641"/>
      <c r="F967" s="102"/>
      <c r="G967" s="100"/>
    </row>
    <row r="968" spans="2:7">
      <c r="B968" s="534"/>
      <c r="C968" s="535"/>
      <c r="D968" s="536"/>
      <c r="E968" s="641"/>
      <c r="F968" s="102"/>
      <c r="G968" s="100"/>
    </row>
    <row r="969" spans="2:7">
      <c r="B969" s="534"/>
      <c r="C969" s="535"/>
      <c r="D969" s="536"/>
      <c r="E969" s="641"/>
      <c r="F969" s="102"/>
      <c r="G969" s="100"/>
    </row>
    <row r="970" spans="2:7">
      <c r="B970" s="534"/>
      <c r="C970" s="535"/>
      <c r="D970" s="536"/>
      <c r="E970" s="641"/>
      <c r="F970" s="102"/>
      <c r="G970" s="538"/>
    </row>
    <row r="971" spans="2:7">
      <c r="B971" s="534"/>
      <c r="C971" s="535"/>
      <c r="D971" s="536"/>
      <c r="E971" s="652"/>
      <c r="F971" s="102"/>
      <c r="G971" s="538"/>
    </row>
    <row r="972" spans="2:7">
      <c r="B972" s="534"/>
      <c r="C972" s="535"/>
      <c r="D972" s="536"/>
      <c r="E972" s="652"/>
      <c r="F972" s="102"/>
      <c r="G972" s="538"/>
    </row>
    <row r="973" spans="2:7">
      <c r="B973" s="534"/>
      <c r="C973" s="535"/>
      <c r="D973" s="536"/>
      <c r="E973" s="641"/>
      <c r="F973" s="102"/>
      <c r="G973" s="100"/>
    </row>
    <row r="974" spans="2:7">
      <c r="B974" s="534"/>
      <c r="C974" s="535"/>
      <c r="D974" s="536"/>
      <c r="E974" s="641"/>
      <c r="F974" s="102"/>
      <c r="G974" s="100"/>
    </row>
    <row r="975" spans="2:7">
      <c r="B975" s="534"/>
      <c r="C975" s="535"/>
      <c r="D975" s="536"/>
      <c r="E975" s="641"/>
      <c r="F975" s="102"/>
      <c r="G975" s="538"/>
    </row>
    <row r="976" spans="2:7">
      <c r="B976" s="534"/>
      <c r="C976" s="535"/>
      <c r="D976" s="536"/>
      <c r="E976" s="652"/>
      <c r="F976" s="102"/>
      <c r="G976" s="538"/>
    </row>
    <row r="977" spans="2:7">
      <c r="B977" s="534"/>
      <c r="C977" s="535"/>
      <c r="D977" s="536"/>
      <c r="E977" s="652"/>
      <c r="F977" s="102"/>
      <c r="G977" s="538"/>
    </row>
    <row r="978" spans="2:7">
      <c r="B978" s="106"/>
      <c r="C978" s="535"/>
      <c r="D978" s="536"/>
      <c r="E978" s="641"/>
      <c r="F978" s="102"/>
      <c r="G978" s="100"/>
    </row>
    <row r="979" spans="2:7">
      <c r="B979" s="534"/>
      <c r="C979" s="535"/>
      <c r="D979" s="536"/>
      <c r="E979" s="641"/>
      <c r="F979" s="102"/>
      <c r="G979" s="100"/>
    </row>
    <row r="980" spans="2:7">
      <c r="B980" s="534"/>
      <c r="C980" s="535"/>
      <c r="D980" s="536"/>
      <c r="E980" s="641"/>
      <c r="F980" s="102"/>
      <c r="G980" s="100"/>
    </row>
    <row r="981" spans="2:7">
      <c r="B981" s="534"/>
      <c r="C981" s="535"/>
      <c r="D981" s="536"/>
      <c r="E981" s="641"/>
      <c r="F981" s="102"/>
      <c r="G981" s="538"/>
    </row>
    <row r="982" spans="2:7">
      <c r="B982" s="106"/>
      <c r="C982" s="286"/>
      <c r="D982" s="107"/>
      <c r="E982" s="641"/>
      <c r="F982" s="102"/>
      <c r="G982" s="100"/>
    </row>
    <row r="983" spans="2:7">
      <c r="B983" s="106"/>
      <c r="C983" s="286"/>
      <c r="D983" s="107"/>
      <c r="E983" s="641"/>
      <c r="F983" s="102"/>
      <c r="G983" s="100"/>
    </row>
    <row r="984" spans="2:7">
      <c r="B984" s="106"/>
      <c r="C984" s="286"/>
      <c r="D984" s="107"/>
      <c r="E984" s="641"/>
      <c r="F984" s="102"/>
      <c r="G984" s="100"/>
    </row>
    <row r="985" spans="2:7">
      <c r="B985" s="106"/>
      <c r="C985" s="535"/>
      <c r="D985" s="107"/>
      <c r="E985" s="640"/>
      <c r="F985" s="102"/>
      <c r="G985" s="100"/>
    </row>
    <row r="986" spans="2:7">
      <c r="B986" s="106"/>
      <c r="C986" s="535"/>
      <c r="D986" s="107"/>
      <c r="E986" s="640"/>
      <c r="F986" s="102"/>
      <c r="G986" s="100"/>
    </row>
    <row r="987" spans="2:7">
      <c r="B987" s="106"/>
      <c r="C987" s="286"/>
      <c r="D987" s="107"/>
      <c r="E987" s="640"/>
      <c r="F987" s="102"/>
      <c r="G987" s="100"/>
    </row>
    <row r="988" spans="2:7">
      <c r="B988" s="106"/>
      <c r="C988" s="535"/>
      <c r="D988" s="107"/>
      <c r="E988" s="640"/>
      <c r="F988" s="102"/>
      <c r="G988" s="100"/>
    </row>
    <row r="989" spans="2:7">
      <c r="B989" s="106"/>
      <c r="C989" s="535"/>
      <c r="D989" s="107"/>
      <c r="E989" s="640"/>
      <c r="F989" s="102"/>
      <c r="G989" s="100"/>
    </row>
    <row r="990" spans="2:7">
      <c r="B990" s="106"/>
      <c r="C990" s="286"/>
      <c r="D990" s="107"/>
      <c r="E990" s="641"/>
      <c r="F990" s="102"/>
      <c r="G990" s="100"/>
    </row>
    <row r="991" spans="2:7">
      <c r="B991" s="106"/>
      <c r="C991" s="286"/>
      <c r="D991" s="107"/>
      <c r="E991" s="641"/>
      <c r="F991" s="102"/>
      <c r="G991" s="100"/>
    </row>
    <row r="992" spans="2:7">
      <c r="B992" s="106"/>
      <c r="C992" s="286"/>
      <c r="D992" s="107"/>
      <c r="E992" s="641"/>
      <c r="F992" s="102"/>
      <c r="G992" s="100"/>
    </row>
    <row r="993" spans="2:7">
      <c r="B993" s="106"/>
      <c r="C993" s="286"/>
      <c r="D993" s="107"/>
      <c r="E993" s="641"/>
      <c r="F993" s="102"/>
      <c r="G993" s="100"/>
    </row>
    <row r="994" spans="2:7">
      <c r="B994" s="106"/>
      <c r="C994" s="286"/>
      <c r="D994" s="107"/>
      <c r="E994" s="641"/>
      <c r="F994" s="102"/>
      <c r="G994" s="100"/>
    </row>
    <row r="995" spans="2:7">
      <c r="B995" s="106"/>
      <c r="C995" s="535"/>
      <c r="D995" s="107"/>
      <c r="E995" s="640"/>
      <c r="F995" s="102"/>
      <c r="G995" s="100"/>
    </row>
    <row r="996" spans="2:7">
      <c r="B996" s="106"/>
      <c r="C996" s="286"/>
      <c r="D996" s="107"/>
      <c r="E996" s="641"/>
      <c r="F996" s="102"/>
      <c r="G996" s="100"/>
    </row>
    <row r="997" spans="2:7">
      <c r="B997" s="106"/>
      <c r="C997" s="286"/>
      <c r="D997" s="107"/>
      <c r="E997" s="640"/>
      <c r="F997" s="102"/>
      <c r="G997" s="100"/>
    </row>
    <row r="998" spans="2:7">
      <c r="B998" s="534"/>
      <c r="C998" s="535"/>
      <c r="D998" s="536"/>
      <c r="E998" s="641"/>
      <c r="F998" s="102"/>
      <c r="G998" s="538"/>
    </row>
    <row r="999" spans="2:7">
      <c r="B999" s="534"/>
      <c r="C999" s="535"/>
      <c r="D999" s="107"/>
      <c r="E999" s="641"/>
      <c r="F999" s="102"/>
      <c r="G999" s="100"/>
    </row>
    <row r="1000" spans="2:7">
      <c r="B1000" s="534"/>
      <c r="C1000" s="535"/>
      <c r="D1000" s="536"/>
      <c r="E1000" s="641"/>
      <c r="F1000" s="102"/>
      <c r="G1000" s="100"/>
    </row>
    <row r="1001" spans="2:7">
      <c r="B1001" s="534"/>
      <c r="C1001" s="535"/>
      <c r="D1001" s="536"/>
      <c r="E1001" s="641"/>
      <c r="F1001" s="102"/>
      <c r="G1001" s="100"/>
    </row>
    <row r="1002" spans="2:7">
      <c r="B1002" s="534"/>
      <c r="C1002" s="535"/>
      <c r="D1002" s="536"/>
      <c r="E1002" s="652"/>
      <c r="F1002" s="102"/>
      <c r="G1002" s="538"/>
    </row>
    <row r="1003" spans="2:7">
      <c r="B1003" s="534"/>
      <c r="C1003" s="535"/>
      <c r="D1003" s="536"/>
      <c r="E1003" s="652"/>
      <c r="F1003" s="102"/>
      <c r="G1003" s="100"/>
    </row>
    <row r="1004" spans="2:7">
      <c r="B1004" s="534"/>
      <c r="C1004" s="535"/>
      <c r="D1004" s="536"/>
      <c r="E1004" s="652"/>
      <c r="F1004" s="102"/>
      <c r="G1004" s="100"/>
    </row>
    <row r="1005" spans="2:7">
      <c r="B1005" s="534"/>
      <c r="C1005" s="535"/>
      <c r="D1005" s="536"/>
      <c r="E1005" s="652"/>
      <c r="F1005" s="102"/>
      <c r="G1005" s="100"/>
    </row>
    <row r="1006" spans="2:7">
      <c r="B1006" s="534"/>
      <c r="C1006" s="535"/>
      <c r="D1006" s="536"/>
      <c r="E1006" s="652"/>
      <c r="F1006" s="102"/>
      <c r="G1006" s="538"/>
    </row>
    <row r="1007" spans="2:7">
      <c r="B1007" s="534"/>
      <c r="C1007" s="535"/>
      <c r="D1007" s="536"/>
      <c r="E1007" s="652"/>
      <c r="F1007" s="102"/>
      <c r="G1007" s="100"/>
    </row>
    <row r="1008" spans="2:7">
      <c r="B1008" s="534"/>
      <c r="C1008" s="535"/>
      <c r="D1008" s="536"/>
      <c r="E1008" s="652"/>
      <c r="F1008" s="102"/>
      <c r="G1008" s="538"/>
    </row>
    <row r="1009" spans="2:7">
      <c r="B1009" s="534"/>
      <c r="C1009" s="535"/>
      <c r="D1009" s="536"/>
      <c r="E1009" s="652"/>
      <c r="F1009" s="102"/>
      <c r="G1009" s="538"/>
    </row>
    <row r="1010" spans="2:7">
      <c r="B1010" s="534"/>
      <c r="C1010" s="535"/>
      <c r="D1010" s="536"/>
      <c r="E1010" s="652"/>
      <c r="F1010" s="537"/>
      <c r="G1010" s="538"/>
    </row>
    <row r="1011" spans="2:7">
      <c r="B1011" s="534"/>
      <c r="C1011" s="535"/>
      <c r="D1011" s="536"/>
      <c r="E1011" s="652"/>
      <c r="F1011" s="537"/>
      <c r="G1011" s="538"/>
    </row>
    <row r="1012" spans="2:7">
      <c r="B1012" s="534"/>
      <c r="C1012" s="535"/>
      <c r="D1012" s="536"/>
      <c r="E1012" s="652"/>
      <c r="F1012" s="102"/>
      <c r="G1012" s="100"/>
    </row>
    <row r="1013" spans="2:7">
      <c r="B1013" s="534"/>
      <c r="C1013" s="535"/>
      <c r="D1013" s="536"/>
      <c r="E1013" s="652"/>
      <c r="F1013" s="537"/>
      <c r="G1013" s="100"/>
    </row>
    <row r="1014" spans="2:7">
      <c r="B1014" s="534"/>
      <c r="C1014" s="535"/>
      <c r="D1014" s="536"/>
      <c r="E1014" s="652"/>
      <c r="F1014" s="102"/>
      <c r="G1014" s="538"/>
    </row>
    <row r="1015" spans="2:7">
      <c r="B1015" s="106"/>
      <c r="C1015" s="535"/>
      <c r="D1015" s="536"/>
      <c r="E1015" s="640"/>
      <c r="F1015" s="102"/>
      <c r="G1015" s="100"/>
    </row>
    <row r="1016" spans="2:7">
      <c r="B1016" s="106"/>
      <c r="C1016" s="286"/>
      <c r="D1016" s="536"/>
      <c r="E1016" s="640"/>
      <c r="F1016" s="102"/>
      <c r="G1016" s="100"/>
    </row>
    <row r="1017" spans="2:7">
      <c r="B1017" s="534"/>
      <c r="C1017" s="286"/>
      <c r="D1017" s="536"/>
      <c r="E1017" s="652"/>
      <c r="F1017" s="102"/>
      <c r="G1017" s="538"/>
    </row>
    <row r="1018" spans="2:7">
      <c r="B1018" s="534"/>
      <c r="C1018" s="535"/>
      <c r="D1018" s="536"/>
      <c r="E1018" s="652"/>
      <c r="F1018" s="537"/>
      <c r="G1018" s="538"/>
    </row>
    <row r="1019" spans="2:7">
      <c r="B1019" s="534"/>
      <c r="C1019" s="535"/>
      <c r="D1019" s="536"/>
      <c r="E1019" s="652"/>
      <c r="F1019" s="537"/>
      <c r="G1019" s="538"/>
    </row>
    <row r="1020" spans="2:7">
      <c r="B1020" s="534"/>
      <c r="C1020" s="535"/>
      <c r="D1020" s="536"/>
      <c r="E1020" s="652"/>
      <c r="F1020" s="537"/>
      <c r="G1020" s="538"/>
    </row>
    <row r="1021" spans="2:7">
      <c r="B1021" s="534"/>
      <c r="C1021" s="535"/>
      <c r="D1021" s="536"/>
      <c r="E1021" s="652"/>
      <c r="F1021" s="537"/>
      <c r="G1021" s="538"/>
    </row>
    <row r="1022" spans="2:7">
      <c r="B1022" s="534"/>
      <c r="C1022" s="535"/>
      <c r="D1022" s="536"/>
      <c r="E1022" s="652"/>
      <c r="F1022" s="537"/>
      <c r="G1022" s="538"/>
    </row>
    <row r="1023" spans="2:7">
      <c r="B1023" s="534"/>
      <c r="C1023" s="535"/>
      <c r="D1023" s="536"/>
      <c r="E1023" s="652"/>
      <c r="F1023" s="537"/>
      <c r="G1023" s="538"/>
    </row>
    <row r="1024" spans="2:7">
      <c r="B1024" s="534"/>
      <c r="C1024" s="535"/>
      <c r="D1024" s="536"/>
      <c r="E1024" s="652"/>
      <c r="F1024" s="537"/>
      <c r="G1024" s="538"/>
    </row>
    <row r="1025" spans="2:7">
      <c r="B1025" s="534"/>
      <c r="C1025" s="535"/>
      <c r="D1025" s="536"/>
      <c r="E1025" s="652"/>
      <c r="F1025" s="537"/>
      <c r="G1025" s="538"/>
    </row>
    <row r="1026" spans="2:7">
      <c r="B1026" s="534"/>
      <c r="C1026" s="535"/>
      <c r="D1026" s="536"/>
      <c r="E1026" s="652"/>
      <c r="F1026" s="537"/>
      <c r="G1026" s="538"/>
    </row>
    <row r="1027" spans="2:7">
      <c r="B1027" s="534"/>
      <c r="C1027" s="535"/>
      <c r="D1027" s="536"/>
      <c r="E1027" s="652"/>
      <c r="F1027" s="537"/>
      <c r="G1027" s="538"/>
    </row>
    <row r="1028" spans="2:7">
      <c r="B1028" s="534"/>
      <c r="C1028" s="535"/>
      <c r="D1028" s="536"/>
      <c r="E1028" s="652"/>
      <c r="F1028" s="537"/>
      <c r="G1028" s="538"/>
    </row>
    <row r="1029" spans="2:7">
      <c r="B1029" s="106"/>
      <c r="C1029" s="286"/>
      <c r="D1029" s="107"/>
      <c r="E1029" s="640"/>
      <c r="F1029" s="537"/>
      <c r="G1029" s="100"/>
    </row>
    <row r="1030" spans="2:7">
      <c r="B1030" s="106"/>
      <c r="C1030" s="286"/>
      <c r="D1030" s="107"/>
      <c r="E1030" s="640"/>
      <c r="F1030" s="102"/>
      <c r="G1030" s="100"/>
    </row>
    <row r="1031" spans="2:7">
      <c r="B1031" s="106"/>
      <c r="C1031" s="286"/>
      <c r="D1031" s="107"/>
      <c r="E1031" s="640"/>
      <c r="F1031" s="102"/>
      <c r="G1031" s="100"/>
    </row>
    <row r="1032" spans="2:7">
      <c r="B1032" s="106"/>
      <c r="C1032" s="286"/>
      <c r="D1032" s="107"/>
      <c r="E1032" s="640"/>
      <c r="F1032" s="102"/>
      <c r="G1032" s="100"/>
    </row>
    <row r="1033" spans="2:7">
      <c r="B1033" s="106"/>
      <c r="C1033" s="286"/>
      <c r="D1033" s="107"/>
      <c r="E1033" s="640"/>
      <c r="F1033" s="102"/>
      <c r="G1033" s="100"/>
    </row>
    <row r="1034" spans="2:7">
      <c r="B1034" s="106"/>
      <c r="C1034" s="286"/>
      <c r="D1034" s="107"/>
      <c r="E1034" s="640"/>
      <c r="F1034" s="102"/>
      <c r="G1034" s="100"/>
    </row>
    <row r="1035" spans="2:7">
      <c r="B1035" s="106"/>
      <c r="C1035" s="286"/>
      <c r="D1035" s="107"/>
      <c r="E1035" s="640"/>
      <c r="F1035" s="102"/>
      <c r="G1035" s="100"/>
    </row>
    <row r="1036" spans="2:7">
      <c r="B1036" s="106"/>
      <c r="C1036" s="286"/>
      <c r="D1036" s="107"/>
      <c r="E1036" s="640"/>
      <c r="F1036" s="102"/>
      <c r="G1036" s="100"/>
    </row>
    <row r="1037" spans="2:7">
      <c r="B1037" s="106"/>
      <c r="C1037" s="286"/>
      <c r="D1037" s="107"/>
      <c r="E1037" s="640"/>
      <c r="F1037" s="102"/>
      <c r="G1037" s="100"/>
    </row>
    <row r="1038" spans="2:7">
      <c r="B1038" s="106"/>
      <c r="C1038" s="286"/>
      <c r="D1038" s="107"/>
      <c r="E1038" s="640"/>
      <c r="F1038" s="102"/>
      <c r="G1038" s="100"/>
    </row>
    <row r="1039" spans="2:7">
      <c r="B1039" s="106"/>
      <c r="C1039" s="286"/>
      <c r="D1039" s="107"/>
      <c r="E1039" s="640"/>
      <c r="F1039" s="102"/>
      <c r="G1039" s="100"/>
    </row>
    <row r="1040" spans="2:7">
      <c r="B1040" s="106"/>
      <c r="C1040" s="286"/>
      <c r="D1040" s="107"/>
      <c r="E1040" s="640"/>
      <c r="F1040" s="102"/>
      <c r="G1040" s="100"/>
    </row>
    <row r="1041" spans="2:7">
      <c r="B1041" s="106"/>
      <c r="C1041" s="286"/>
      <c r="D1041" s="107"/>
      <c r="E1041" s="640"/>
      <c r="F1041" s="102"/>
      <c r="G1041" s="100"/>
    </row>
    <row r="1042" spans="2:7">
      <c r="B1042" s="106"/>
      <c r="C1042" s="286"/>
      <c r="D1042" s="107"/>
      <c r="E1042" s="640"/>
      <c r="F1042" s="102"/>
      <c r="G1042" s="100"/>
    </row>
    <row r="1043" spans="2:7">
      <c r="B1043" s="106"/>
      <c r="C1043" s="286"/>
      <c r="D1043" s="107"/>
      <c r="E1043" s="640"/>
      <c r="F1043" s="102"/>
      <c r="G1043" s="100"/>
    </row>
    <row r="1044" spans="2:7">
      <c r="B1044" s="106"/>
      <c r="C1044" s="286"/>
      <c r="D1044" s="107"/>
      <c r="E1044" s="640"/>
      <c r="F1044" s="102"/>
      <c r="G1044" s="100"/>
    </row>
    <row r="1045" spans="2:7">
      <c r="B1045" s="106"/>
      <c r="C1045" s="286"/>
      <c r="D1045" s="107"/>
      <c r="E1045" s="640"/>
      <c r="F1045" s="102"/>
      <c r="G1045" s="100"/>
    </row>
    <row r="1046" spans="2:7">
      <c r="B1046" s="106"/>
      <c r="C1046" s="286"/>
      <c r="D1046" s="107"/>
      <c r="E1046" s="640"/>
      <c r="F1046" s="102"/>
      <c r="G1046" s="100"/>
    </row>
    <row r="1047" spans="2:7">
      <c r="B1047" s="106"/>
      <c r="C1047" s="286"/>
      <c r="D1047" s="107"/>
      <c r="E1047" s="640"/>
      <c r="F1047" s="102"/>
      <c r="G1047" s="100"/>
    </row>
    <row r="1048" spans="2:7">
      <c r="B1048" s="106"/>
      <c r="C1048" s="286"/>
      <c r="D1048" s="107"/>
      <c r="E1048" s="640"/>
      <c r="F1048" s="102"/>
      <c r="G1048" s="100"/>
    </row>
    <row r="1049" spans="2:7">
      <c r="B1049" s="106"/>
      <c r="C1049" s="286"/>
      <c r="D1049" s="107"/>
      <c r="E1049" s="640"/>
      <c r="F1049" s="102"/>
      <c r="G1049" s="100"/>
    </row>
    <row r="1050" spans="2:7">
      <c r="B1050" s="106"/>
      <c r="C1050" s="286"/>
      <c r="D1050" s="107"/>
      <c r="E1050" s="640"/>
      <c r="F1050" s="102"/>
      <c r="G1050" s="100"/>
    </row>
    <row r="1051" spans="2:7">
      <c r="B1051" s="106"/>
      <c r="C1051" s="286"/>
      <c r="D1051" s="107"/>
      <c r="E1051" s="640"/>
      <c r="F1051" s="102"/>
      <c r="G1051" s="100"/>
    </row>
    <row r="1052" spans="2:7">
      <c r="B1052" s="106"/>
      <c r="C1052" s="286"/>
      <c r="D1052" s="107"/>
      <c r="E1052" s="640"/>
      <c r="F1052" s="102"/>
      <c r="G1052" s="100"/>
    </row>
    <row r="1053" spans="2:7">
      <c r="B1053" s="106"/>
      <c r="C1053" s="286"/>
      <c r="D1053" s="107"/>
      <c r="E1053" s="640"/>
      <c r="F1053" s="102"/>
      <c r="G1053" s="100"/>
    </row>
    <row r="1054" spans="2:7">
      <c r="B1054" s="106"/>
      <c r="C1054" s="286"/>
      <c r="D1054" s="107"/>
      <c r="E1054" s="640"/>
      <c r="F1054" s="102"/>
      <c r="G1054" s="100"/>
    </row>
    <row r="1055" spans="2:7">
      <c r="B1055" s="106"/>
      <c r="C1055" s="286"/>
      <c r="D1055" s="107"/>
      <c r="E1055" s="640"/>
      <c r="F1055" s="102"/>
      <c r="G1055" s="100"/>
    </row>
    <row r="1056" spans="2:7">
      <c r="B1056" s="106"/>
      <c r="C1056" s="286"/>
      <c r="D1056" s="107"/>
      <c r="E1056" s="640"/>
      <c r="F1056" s="100"/>
      <c r="G1056" s="100"/>
    </row>
    <row r="1057" spans="2:12">
      <c r="B1057" s="106"/>
      <c r="C1057" s="286"/>
      <c r="D1057" s="107"/>
      <c r="E1057" s="640"/>
      <c r="F1057" s="102"/>
      <c r="G1057" s="100"/>
    </row>
    <row r="1058" spans="2:12">
      <c r="B1058" s="106"/>
      <c r="C1058" s="286"/>
      <c r="D1058" s="107"/>
      <c r="E1058" s="640"/>
      <c r="F1058" s="102"/>
      <c r="G1058" s="100"/>
    </row>
    <row r="1059" spans="2:12">
      <c r="B1059" s="106"/>
      <c r="C1059" s="286"/>
      <c r="D1059" s="107"/>
      <c r="E1059" s="640"/>
      <c r="F1059" s="102"/>
      <c r="G1059" s="100"/>
    </row>
    <row r="1060" spans="2:12">
      <c r="B1060" s="106"/>
      <c r="C1060" s="286"/>
      <c r="D1060" s="107"/>
      <c r="E1060" s="640"/>
      <c r="F1060" s="102"/>
      <c r="G1060" s="100"/>
    </row>
    <row r="1061" spans="2:12">
      <c r="B1061" s="106"/>
      <c r="C1061" s="286"/>
      <c r="D1061" s="107"/>
      <c r="E1061" s="640"/>
      <c r="F1061" s="102"/>
      <c r="G1061" s="100"/>
    </row>
    <row r="1062" spans="2:12">
      <c r="B1062" s="106"/>
      <c r="C1062" s="286"/>
      <c r="D1062" s="107"/>
      <c r="E1062" s="640"/>
      <c r="F1062" s="102"/>
      <c r="G1062" s="100"/>
    </row>
    <row r="1063" spans="2:12">
      <c r="B1063" s="106"/>
      <c r="C1063" s="286"/>
      <c r="D1063" s="107"/>
      <c r="E1063" s="640"/>
      <c r="F1063" s="102"/>
      <c r="G1063" s="100"/>
    </row>
    <row r="1064" spans="2:12">
      <c r="B1064" s="106"/>
      <c r="C1064" s="286"/>
      <c r="D1064" s="107"/>
      <c r="E1064" s="640"/>
      <c r="F1064" s="102"/>
      <c r="G1064" s="100"/>
    </row>
    <row r="1065" spans="2:12">
      <c r="B1065" s="106"/>
      <c r="C1065" s="548"/>
      <c r="D1065" s="549"/>
      <c r="E1065" s="653"/>
      <c r="F1065" s="102"/>
      <c r="G1065" s="100"/>
    </row>
    <row r="1066" spans="2:12">
      <c r="B1066" s="106"/>
      <c r="C1066" s="548"/>
      <c r="D1066" s="549"/>
      <c r="E1066" s="653"/>
      <c r="F1066" s="102"/>
      <c r="G1066" s="100"/>
    </row>
    <row r="1067" spans="2:12">
      <c r="B1067" s="106"/>
      <c r="C1067" s="548"/>
      <c r="D1067" s="549"/>
      <c r="E1067" s="653"/>
      <c r="F1067" s="102"/>
      <c r="G1067" s="100"/>
    </row>
    <row r="1068" spans="2:12">
      <c r="B1068" s="106"/>
      <c r="C1068" s="548"/>
      <c r="D1068" s="107"/>
      <c r="E1068" s="640"/>
      <c r="F1068" s="102"/>
      <c r="G1068" s="100"/>
      <c r="L1068" s="550"/>
    </row>
    <row r="1069" spans="2:12">
      <c r="B1069" s="106"/>
      <c r="C1069" s="286"/>
      <c r="D1069" s="107"/>
      <c r="E1069" s="640"/>
      <c r="F1069" s="102"/>
      <c r="G1069" s="100"/>
    </row>
    <row r="1070" spans="2:12">
      <c r="B1070" s="106"/>
      <c r="C1070" s="286"/>
      <c r="D1070" s="107"/>
      <c r="E1070" s="640"/>
      <c r="F1070" s="102"/>
      <c r="G1070" s="100"/>
    </row>
    <row r="1071" spans="2:12">
      <c r="B1071" s="106"/>
      <c r="C1071" s="286"/>
      <c r="D1071" s="549"/>
      <c r="E1071" s="640"/>
      <c r="F1071" s="102"/>
      <c r="G1071" s="100"/>
    </row>
    <row r="1072" spans="2:12">
      <c r="B1072" s="106"/>
      <c r="C1072" s="286"/>
      <c r="D1072" s="107"/>
      <c r="E1072" s="640"/>
      <c r="F1072" s="102"/>
      <c r="G1072" s="100"/>
    </row>
    <row r="1073" spans="2:7">
      <c r="B1073" s="106"/>
      <c r="C1073" s="286"/>
      <c r="D1073" s="107"/>
      <c r="E1073" s="640"/>
      <c r="F1073" s="102"/>
      <c r="G1073" s="100"/>
    </row>
    <row r="1074" spans="2:7">
      <c r="B1074" s="106"/>
      <c r="C1074" s="286"/>
      <c r="D1074" s="107"/>
      <c r="E1074" s="640"/>
      <c r="F1074" s="102"/>
      <c r="G1074" s="100"/>
    </row>
    <row r="1075" spans="2:7">
      <c r="B1075" s="106"/>
      <c r="C1075" s="286"/>
      <c r="D1075" s="107"/>
      <c r="E1075" s="640"/>
      <c r="F1075" s="102"/>
      <c r="G1075" s="100"/>
    </row>
    <row r="1076" spans="2:7">
      <c r="B1076" s="106"/>
      <c r="C1076" s="286"/>
      <c r="D1076" s="107"/>
      <c r="E1076" s="640"/>
      <c r="F1076" s="102"/>
      <c r="G1076" s="100"/>
    </row>
    <row r="1077" spans="2:7">
      <c r="B1077" s="106"/>
      <c r="C1077" s="286"/>
      <c r="D1077" s="107"/>
      <c r="E1077" s="640"/>
      <c r="F1077" s="102"/>
      <c r="G1077" s="100"/>
    </row>
    <row r="1078" spans="2:7">
      <c r="B1078" s="106"/>
      <c r="C1078" s="286"/>
      <c r="D1078" s="107"/>
      <c r="E1078" s="640"/>
      <c r="F1078" s="102"/>
      <c r="G1078" s="100"/>
    </row>
    <row r="1079" spans="2:7">
      <c r="B1079" s="106"/>
      <c r="C1079" s="286"/>
      <c r="D1079" s="107"/>
      <c r="E1079" s="640"/>
      <c r="F1079" s="102"/>
      <c r="G1079" s="100"/>
    </row>
    <row r="1080" spans="2:7">
      <c r="B1080" s="106"/>
      <c r="C1080" s="286"/>
      <c r="D1080" s="107"/>
      <c r="E1080" s="640"/>
      <c r="F1080" s="102"/>
      <c r="G1080" s="100"/>
    </row>
    <row r="1081" spans="2:7">
      <c r="B1081" s="106"/>
      <c r="C1081" s="286"/>
      <c r="D1081" s="107"/>
      <c r="E1081" s="640"/>
      <c r="F1081" s="102"/>
      <c r="G1081" s="100"/>
    </row>
    <row r="1082" spans="2:7">
      <c r="B1082" s="106"/>
      <c r="C1082" s="286"/>
      <c r="D1082" s="107"/>
      <c r="E1082" s="640"/>
      <c r="F1082" s="102"/>
      <c r="G1082" s="100"/>
    </row>
    <row r="1083" spans="2:7">
      <c r="B1083" s="106"/>
      <c r="C1083" s="286"/>
      <c r="D1083" s="107"/>
      <c r="E1083" s="640"/>
      <c r="F1083" s="102"/>
      <c r="G1083" s="100"/>
    </row>
    <row r="1084" spans="2:7">
      <c r="B1084" s="106"/>
      <c r="C1084" s="286"/>
      <c r="D1084" s="107"/>
      <c r="E1084" s="640"/>
      <c r="F1084" s="102"/>
      <c r="G1084" s="100"/>
    </row>
    <row r="1085" spans="2:7">
      <c r="B1085" s="106"/>
      <c r="C1085" s="286"/>
      <c r="D1085" s="107"/>
      <c r="E1085" s="640"/>
      <c r="F1085" s="102"/>
      <c r="G1085" s="100"/>
    </row>
    <row r="1086" spans="2:7">
      <c r="B1086" s="106"/>
      <c r="C1086" s="286"/>
      <c r="D1086" s="107"/>
      <c r="E1086" s="640"/>
      <c r="F1086" s="102"/>
      <c r="G1086" s="100"/>
    </row>
    <row r="1087" spans="2:7">
      <c r="B1087" s="106"/>
      <c r="C1087" s="286"/>
      <c r="D1087" s="107"/>
      <c r="E1087" s="640"/>
      <c r="F1087" s="102"/>
      <c r="G1087" s="100"/>
    </row>
    <row r="1088" spans="2:7">
      <c r="B1088" s="106"/>
      <c r="C1088" s="286"/>
      <c r="D1088" s="107"/>
      <c r="E1088" s="640"/>
      <c r="F1088" s="102"/>
      <c r="G1088" s="100"/>
    </row>
    <row r="1089" spans="2:7">
      <c r="B1089" s="106"/>
      <c r="C1089" s="286"/>
      <c r="D1089" s="107"/>
      <c r="E1089" s="640"/>
      <c r="F1089" s="102"/>
      <c r="G1089" s="100"/>
    </row>
    <row r="1090" spans="2:7">
      <c r="B1090" s="106"/>
      <c r="C1090" s="286"/>
      <c r="D1090" s="107"/>
      <c r="E1090" s="640"/>
      <c r="F1090" s="102"/>
      <c r="G1090" s="100"/>
    </row>
    <row r="1091" spans="2:7">
      <c r="B1091" s="106"/>
      <c r="C1091" s="286"/>
      <c r="D1091" s="107"/>
      <c r="E1091" s="640"/>
      <c r="F1091" s="102"/>
      <c r="G1091" s="100"/>
    </row>
    <row r="1092" spans="2:7">
      <c r="B1092" s="106"/>
      <c r="C1092" s="286"/>
      <c r="D1092" s="107"/>
      <c r="E1092" s="640"/>
      <c r="F1092" s="102"/>
      <c r="G1092" s="100"/>
    </row>
    <row r="1093" spans="2:7">
      <c r="B1093" s="106"/>
      <c r="C1093" s="286"/>
      <c r="D1093" s="107"/>
      <c r="E1093" s="640"/>
      <c r="F1093" s="102"/>
      <c r="G1093" s="100"/>
    </row>
    <row r="1094" spans="2:7">
      <c r="B1094" s="106"/>
      <c r="C1094" s="286"/>
      <c r="D1094" s="107"/>
      <c r="E1094" s="640"/>
      <c r="F1094" s="102"/>
      <c r="G1094" s="100"/>
    </row>
    <row r="1095" spans="2:7">
      <c r="B1095" s="106"/>
      <c r="C1095" s="286"/>
      <c r="D1095" s="107"/>
      <c r="E1095" s="640"/>
      <c r="F1095" s="102"/>
      <c r="G1095" s="100"/>
    </row>
    <row r="1096" spans="2:7">
      <c r="B1096" s="106"/>
      <c r="C1096" s="286"/>
      <c r="D1096" s="107"/>
      <c r="E1096" s="640"/>
      <c r="F1096" s="102"/>
      <c r="G1096" s="100"/>
    </row>
    <row r="1097" spans="2:7">
      <c r="B1097" s="106"/>
      <c r="C1097" s="286"/>
      <c r="D1097" s="107"/>
      <c r="E1097" s="640"/>
      <c r="F1097" s="102"/>
      <c r="G1097" s="100"/>
    </row>
    <row r="1098" spans="2:7">
      <c r="B1098" s="106"/>
      <c r="C1098" s="286"/>
      <c r="D1098" s="107"/>
      <c r="E1098" s="640"/>
      <c r="F1098" s="102"/>
      <c r="G1098" s="100"/>
    </row>
    <row r="1099" spans="2:7">
      <c r="B1099" s="106"/>
      <c r="C1099" s="286"/>
      <c r="D1099" s="107"/>
      <c r="E1099" s="640"/>
      <c r="F1099" s="102"/>
      <c r="G1099" s="100"/>
    </row>
    <row r="1100" spans="2:7">
      <c r="B1100" s="106"/>
      <c r="C1100" s="286"/>
      <c r="D1100" s="107"/>
      <c r="E1100" s="640"/>
      <c r="F1100" s="102"/>
      <c r="G1100" s="100"/>
    </row>
    <row r="1101" spans="2:7">
      <c r="B1101" s="106"/>
      <c r="C1101" s="286"/>
      <c r="D1101" s="107"/>
      <c r="E1101" s="640"/>
      <c r="F1101" s="102"/>
      <c r="G1101" s="100"/>
    </row>
    <row r="1102" spans="2:7">
      <c r="B1102" s="106"/>
      <c r="C1102" s="286"/>
      <c r="D1102" s="107"/>
      <c r="E1102" s="640"/>
      <c r="F1102" s="102"/>
      <c r="G1102" s="100"/>
    </row>
    <row r="1103" spans="2:7">
      <c r="B1103" s="106"/>
      <c r="C1103" s="286"/>
      <c r="D1103" s="107"/>
      <c r="E1103" s="640"/>
      <c r="F1103" s="102"/>
      <c r="G1103" s="100"/>
    </row>
    <row r="1104" spans="2:7">
      <c r="B1104" s="106"/>
      <c r="C1104" s="286"/>
      <c r="D1104" s="107"/>
      <c r="E1104" s="640"/>
      <c r="F1104" s="102"/>
      <c r="G1104" s="100"/>
    </row>
    <row r="1105" spans="2:7">
      <c r="B1105" s="106"/>
      <c r="C1105" s="286"/>
      <c r="D1105" s="107"/>
      <c r="E1105" s="640"/>
      <c r="F1105" s="102"/>
      <c r="G1105" s="100"/>
    </row>
    <row r="1106" spans="2:7">
      <c r="B1106" s="106"/>
      <c r="C1106" s="286"/>
      <c r="D1106" s="107"/>
      <c r="E1106" s="640"/>
      <c r="F1106" s="102"/>
      <c r="G1106" s="100"/>
    </row>
    <row r="1107" spans="2:7">
      <c r="B1107" s="106"/>
      <c r="C1107" s="286"/>
      <c r="D1107" s="107"/>
      <c r="E1107" s="640"/>
      <c r="F1107" s="102"/>
      <c r="G1107" s="100"/>
    </row>
    <row r="1108" spans="2:7">
      <c r="B1108" s="106"/>
      <c r="C1108" s="286"/>
      <c r="D1108" s="107"/>
      <c r="E1108" s="640"/>
      <c r="F1108" s="102"/>
      <c r="G1108" s="100"/>
    </row>
    <row r="1109" spans="2:7">
      <c r="B1109" s="106"/>
      <c r="C1109" s="286"/>
      <c r="D1109" s="107"/>
      <c r="E1109" s="640"/>
      <c r="F1109" s="102"/>
      <c r="G1109" s="100"/>
    </row>
    <row r="1110" spans="2:7">
      <c r="B1110" s="106"/>
      <c r="C1110" s="286"/>
      <c r="D1110" s="107"/>
      <c r="E1110" s="640"/>
      <c r="F1110" s="102"/>
      <c r="G1110" s="100"/>
    </row>
    <row r="1111" spans="2:7">
      <c r="B1111" s="106"/>
      <c r="C1111" s="286"/>
      <c r="D1111" s="107"/>
      <c r="E1111" s="640"/>
      <c r="F1111" s="102"/>
      <c r="G1111" s="100"/>
    </row>
    <row r="1112" spans="2:7">
      <c r="B1112" s="106"/>
      <c r="C1112" s="286"/>
      <c r="D1112" s="107"/>
      <c r="E1112" s="640"/>
      <c r="F1112" s="102"/>
      <c r="G1112" s="100"/>
    </row>
    <row r="1113" spans="2:7">
      <c r="B1113" s="106"/>
      <c r="C1113" s="286"/>
      <c r="D1113" s="107"/>
      <c r="E1113" s="640"/>
      <c r="F1113" s="102"/>
      <c r="G1113" s="100"/>
    </row>
    <row r="1114" spans="2:7">
      <c r="B1114" s="106"/>
      <c r="C1114" s="286"/>
      <c r="D1114" s="107"/>
      <c r="E1114" s="640"/>
      <c r="F1114" s="102"/>
      <c r="G1114" s="100"/>
    </row>
    <row r="1115" spans="2:7">
      <c r="B1115" s="106"/>
      <c r="C1115" s="286"/>
      <c r="D1115" s="107"/>
      <c r="E1115" s="640"/>
      <c r="F1115" s="102"/>
      <c r="G1115" s="100"/>
    </row>
    <row r="1116" spans="2:7">
      <c r="B1116" s="106"/>
      <c r="C1116" s="286"/>
      <c r="D1116" s="107"/>
      <c r="E1116" s="640"/>
      <c r="F1116" s="102"/>
      <c r="G1116" s="100"/>
    </row>
    <row r="1117" spans="2:7">
      <c r="B1117" s="106"/>
      <c r="C1117" s="286"/>
      <c r="D1117" s="107"/>
      <c r="E1117" s="640"/>
      <c r="F1117" s="102"/>
      <c r="G1117" s="100"/>
    </row>
    <row r="1118" spans="2:7">
      <c r="B1118" s="556"/>
      <c r="C1118" s="557"/>
      <c r="D1118" s="558"/>
      <c r="E1118" s="654"/>
      <c r="F1118" s="559"/>
      <c r="G1118" s="100"/>
    </row>
    <row r="1119" spans="2:7">
      <c r="B1119" s="106"/>
      <c r="C1119" s="286"/>
      <c r="D1119" s="107"/>
      <c r="E1119" s="640"/>
      <c r="F1119" s="559"/>
      <c r="G1119" s="100"/>
    </row>
    <row r="1120" spans="2:7">
      <c r="B1120" s="106"/>
      <c r="C1120" s="286"/>
      <c r="D1120" s="107"/>
      <c r="E1120" s="640"/>
      <c r="F1120" s="102"/>
      <c r="G1120" s="100"/>
    </row>
    <row r="1121" spans="2:7">
      <c r="B1121" s="106"/>
      <c r="C1121" s="286"/>
      <c r="D1121" s="107"/>
      <c r="E1121" s="640"/>
      <c r="F1121" s="102"/>
      <c r="G1121" s="100"/>
    </row>
    <row r="1122" spans="2:7">
      <c r="B1122" s="106"/>
      <c r="C1122" s="286"/>
      <c r="D1122" s="107"/>
      <c r="E1122" s="640"/>
      <c r="F1122" s="102"/>
      <c r="G1122" s="100"/>
    </row>
    <row r="1123" spans="2:7">
      <c r="B1123" s="106"/>
      <c r="C1123" s="286"/>
      <c r="D1123" s="107"/>
      <c r="E1123" s="640"/>
      <c r="F1123" s="102"/>
      <c r="G1123" s="100"/>
    </row>
    <row r="1124" spans="2:7">
      <c r="B1124" s="106"/>
      <c r="C1124" s="286"/>
      <c r="D1124" s="107"/>
      <c r="E1124" s="640"/>
      <c r="F1124" s="102"/>
      <c r="G1124" s="100"/>
    </row>
    <row r="1125" spans="2:7">
      <c r="B1125" s="106"/>
      <c r="C1125" s="286"/>
      <c r="D1125" s="107"/>
      <c r="E1125" s="640"/>
      <c r="F1125" s="102"/>
      <c r="G1125" s="100"/>
    </row>
    <row r="1126" spans="2:7">
      <c r="B1126" s="106"/>
      <c r="C1126" s="286"/>
      <c r="D1126" s="107"/>
      <c r="E1126" s="640"/>
      <c r="F1126" s="102"/>
      <c r="G1126" s="100"/>
    </row>
    <row r="1127" spans="2:7">
      <c r="B1127" s="106"/>
      <c r="C1127" s="286"/>
      <c r="D1127" s="107"/>
      <c r="E1127" s="640"/>
      <c r="F1127" s="102"/>
      <c r="G1127" s="100"/>
    </row>
    <row r="1128" spans="2:7">
      <c r="B1128" s="106"/>
      <c r="C1128" s="286"/>
      <c r="D1128" s="107"/>
      <c r="E1128" s="640"/>
      <c r="F1128" s="102"/>
      <c r="G1128" s="100"/>
    </row>
    <row r="1129" spans="2:7">
      <c r="B1129" s="106"/>
      <c r="C1129" s="286"/>
      <c r="D1129" s="107"/>
      <c r="E1129" s="640"/>
      <c r="F1129" s="102"/>
      <c r="G1129" s="100"/>
    </row>
    <row r="1130" spans="2:7">
      <c r="B1130" s="106"/>
      <c r="C1130" s="286"/>
      <c r="D1130" s="107"/>
      <c r="E1130" s="640"/>
      <c r="F1130" s="102"/>
      <c r="G1130" s="100"/>
    </row>
    <row r="1131" spans="2:7">
      <c r="B1131" s="106"/>
      <c r="C1131" s="286"/>
      <c r="D1131" s="107"/>
      <c r="E1131" s="640"/>
      <c r="F1131" s="102"/>
      <c r="G1131" s="100"/>
    </row>
    <row r="1132" spans="2:7">
      <c r="B1132" s="106"/>
      <c r="C1132" s="286"/>
      <c r="D1132" s="107"/>
      <c r="E1132" s="640"/>
      <c r="F1132" s="102"/>
      <c r="G1132" s="100"/>
    </row>
    <row r="1133" spans="2:7">
      <c r="B1133" s="106"/>
      <c r="C1133" s="286"/>
      <c r="D1133" s="107"/>
      <c r="E1133" s="640"/>
      <c r="F1133" s="102"/>
      <c r="G1133" s="100"/>
    </row>
    <row r="1134" spans="2:7">
      <c r="B1134" s="106"/>
      <c r="C1134" s="286"/>
      <c r="D1134" s="107"/>
      <c r="E1134" s="640"/>
      <c r="F1134" s="102"/>
      <c r="G1134" s="100"/>
    </row>
    <row r="1135" spans="2:7">
      <c r="B1135" s="106"/>
      <c r="C1135" s="286"/>
      <c r="D1135" s="107"/>
      <c r="E1135" s="640"/>
      <c r="F1135" s="102"/>
      <c r="G1135" s="100"/>
    </row>
    <row r="1136" spans="2:7">
      <c r="B1136" s="106"/>
      <c r="C1136" s="286"/>
      <c r="D1136" s="107"/>
      <c r="E1136" s="640"/>
      <c r="F1136" s="102"/>
      <c r="G1136" s="100"/>
    </row>
    <row r="1137" spans="2:7">
      <c r="B1137" s="106"/>
      <c r="C1137" s="286"/>
      <c r="D1137" s="107"/>
      <c r="E1137" s="640"/>
      <c r="F1137" s="102"/>
      <c r="G1137" s="100"/>
    </row>
    <row r="1138" spans="2:7">
      <c r="B1138" s="106"/>
      <c r="C1138" s="286"/>
      <c r="D1138" s="107"/>
      <c r="E1138" s="640"/>
      <c r="F1138" s="102"/>
      <c r="G1138" s="100"/>
    </row>
    <row r="1139" spans="2:7">
      <c r="B1139" s="106"/>
      <c r="C1139" s="286"/>
      <c r="D1139" s="107"/>
      <c r="E1139" s="640"/>
      <c r="F1139" s="102"/>
      <c r="G1139" s="102"/>
    </row>
    <row r="1140" spans="2:7">
      <c r="B1140" s="106"/>
      <c r="C1140" s="286"/>
      <c r="D1140" s="107"/>
      <c r="E1140" s="640"/>
      <c r="F1140" s="102"/>
      <c r="G1140" s="102"/>
    </row>
    <row r="1141" spans="2:7">
      <c r="B1141" s="106"/>
      <c r="C1141" s="286"/>
      <c r="D1141" s="107"/>
      <c r="E1141" s="640"/>
      <c r="F1141" s="102"/>
      <c r="G1141" s="102"/>
    </row>
    <row r="1142" spans="2:7">
      <c r="B1142" s="106"/>
      <c r="C1142" s="286"/>
      <c r="D1142" s="107"/>
      <c r="E1142" s="640"/>
      <c r="F1142" s="102"/>
      <c r="G1142" s="102"/>
    </row>
    <row r="1143" spans="2:7">
      <c r="B1143" s="106"/>
      <c r="C1143" s="286"/>
      <c r="D1143" s="107"/>
      <c r="E1143" s="640"/>
      <c r="F1143" s="102"/>
      <c r="G1143" s="102"/>
    </row>
    <row r="1144" spans="2:7">
      <c r="B1144" s="106"/>
      <c r="C1144" s="286"/>
      <c r="D1144" s="107"/>
      <c r="E1144" s="640"/>
      <c r="F1144" s="102"/>
      <c r="G1144" s="102"/>
    </row>
    <row r="1145" spans="2:7">
      <c r="B1145" s="106"/>
      <c r="C1145" s="286"/>
      <c r="D1145" s="107"/>
      <c r="E1145" s="640"/>
      <c r="F1145" s="102"/>
      <c r="G1145" s="102"/>
    </row>
    <row r="1146" spans="2:7">
      <c r="B1146" s="106"/>
      <c r="C1146" s="286"/>
      <c r="D1146" s="107"/>
      <c r="E1146" s="640"/>
      <c r="F1146" s="102"/>
      <c r="G1146" s="102"/>
    </row>
    <row r="1147" spans="2:7">
      <c r="B1147" s="106"/>
      <c r="C1147" s="286"/>
      <c r="D1147" s="107"/>
      <c r="E1147" s="640"/>
      <c r="F1147" s="102"/>
      <c r="G1147" s="102"/>
    </row>
    <row r="1148" spans="2:7">
      <c r="B1148" s="106"/>
      <c r="C1148" s="286"/>
      <c r="D1148" s="107"/>
      <c r="E1148" s="640"/>
      <c r="F1148" s="102"/>
      <c r="G1148" s="102"/>
    </row>
    <row r="1149" spans="2:7">
      <c r="B1149" s="106"/>
      <c r="C1149" s="286"/>
      <c r="D1149" s="107"/>
      <c r="E1149" s="640"/>
      <c r="F1149" s="102"/>
      <c r="G1149" s="100"/>
    </row>
    <row r="1150" spans="2:7">
      <c r="B1150" s="106"/>
      <c r="C1150" s="286"/>
      <c r="D1150" s="107"/>
      <c r="E1150" s="640"/>
      <c r="F1150" s="102"/>
      <c r="G1150" s="100"/>
    </row>
    <row r="1151" spans="2:7">
      <c r="B1151" s="106"/>
      <c r="C1151" s="286"/>
      <c r="D1151" s="107"/>
      <c r="E1151" s="640"/>
      <c r="F1151" s="102"/>
      <c r="G1151" s="100"/>
    </row>
    <row r="1152" spans="2:7">
      <c r="B1152" s="106"/>
      <c r="C1152" s="286"/>
      <c r="D1152" s="107"/>
      <c r="E1152" s="640"/>
      <c r="F1152" s="102"/>
      <c r="G1152" s="100"/>
    </row>
    <row r="1153" spans="2:7">
      <c r="B1153" s="106"/>
      <c r="C1153" s="286"/>
      <c r="D1153" s="107"/>
      <c r="E1153" s="640"/>
      <c r="F1153" s="102"/>
      <c r="G1153" s="100"/>
    </row>
    <row r="1154" spans="2:7">
      <c r="B1154" s="106"/>
      <c r="C1154" s="286"/>
      <c r="D1154" s="107"/>
      <c r="E1154" s="640"/>
      <c r="F1154" s="102"/>
      <c r="G1154" s="100"/>
    </row>
    <row r="1155" spans="2:7">
      <c r="B1155" s="106"/>
      <c r="C1155" s="286"/>
      <c r="D1155" s="107"/>
      <c r="E1155" s="640"/>
      <c r="F1155" s="102"/>
      <c r="G1155" s="100"/>
    </row>
    <row r="1156" spans="2:7">
      <c r="B1156" s="106"/>
      <c r="C1156" s="286"/>
      <c r="D1156" s="107"/>
      <c r="E1156" s="640"/>
      <c r="F1156" s="102"/>
      <c r="G1156" s="100"/>
    </row>
    <row r="1157" spans="2:7">
      <c r="B1157" s="106"/>
      <c r="C1157" s="286"/>
      <c r="D1157" s="107"/>
      <c r="E1157" s="640"/>
      <c r="F1157" s="102"/>
      <c r="G1157" s="100"/>
    </row>
    <row r="1158" spans="2:7">
      <c r="B1158" s="106"/>
      <c r="C1158" s="286"/>
      <c r="D1158" s="107"/>
      <c r="E1158" s="640"/>
      <c r="F1158" s="102"/>
      <c r="G1158" s="100"/>
    </row>
    <row r="1159" spans="2:7">
      <c r="B1159" s="106"/>
      <c r="C1159" s="286"/>
      <c r="D1159" s="107"/>
      <c r="E1159" s="640"/>
      <c r="F1159" s="102"/>
      <c r="G1159" s="100"/>
    </row>
    <row r="1160" spans="2:7">
      <c r="B1160" s="106"/>
      <c r="C1160" s="286"/>
      <c r="D1160" s="107"/>
      <c r="E1160" s="640"/>
      <c r="F1160" s="102"/>
      <c r="G1160" s="100"/>
    </row>
    <row r="1161" spans="2:7">
      <c r="B1161" s="106"/>
      <c r="C1161" s="286"/>
      <c r="D1161" s="107"/>
      <c r="E1161" s="640"/>
      <c r="F1161" s="102"/>
      <c r="G1161" s="100"/>
    </row>
    <row r="1162" spans="2:7">
      <c r="B1162" s="106"/>
      <c r="C1162" s="286"/>
      <c r="D1162" s="107"/>
      <c r="E1162" s="640"/>
      <c r="F1162" s="102"/>
      <c r="G1162" s="100"/>
    </row>
    <row r="1163" spans="2:7">
      <c r="B1163" s="106"/>
      <c r="C1163" s="286"/>
      <c r="D1163" s="107"/>
      <c r="E1163" s="640"/>
      <c r="F1163" s="102"/>
      <c r="G1163" s="100"/>
    </row>
    <row r="1164" spans="2:7">
      <c r="B1164" s="106"/>
      <c r="C1164" s="286"/>
      <c r="D1164" s="107"/>
      <c r="E1164" s="640"/>
      <c r="F1164" s="102"/>
      <c r="G1164" s="100"/>
    </row>
    <row r="1165" spans="2:7">
      <c r="B1165" s="106"/>
      <c r="C1165" s="286"/>
      <c r="D1165" s="107"/>
      <c r="E1165" s="640"/>
      <c r="F1165" s="102"/>
      <c r="G1165" s="100"/>
    </row>
    <row r="1166" spans="2:7">
      <c r="B1166" s="106"/>
      <c r="C1166" s="286"/>
      <c r="D1166" s="107"/>
      <c r="E1166" s="640"/>
      <c r="F1166" s="102"/>
      <c r="G1166" s="100"/>
    </row>
    <row r="1167" spans="2:7">
      <c r="B1167" s="106"/>
      <c r="C1167" s="286"/>
      <c r="D1167" s="107"/>
      <c r="E1167" s="640"/>
      <c r="F1167" s="102"/>
      <c r="G1167" s="100"/>
    </row>
    <row r="1168" spans="2:7">
      <c r="B1168" s="106"/>
      <c r="C1168" s="286"/>
      <c r="D1168" s="107"/>
      <c r="E1168" s="640"/>
      <c r="F1168" s="102"/>
      <c r="G1168" s="100"/>
    </row>
    <row r="1169" spans="2:12">
      <c r="B1169" s="106"/>
      <c r="C1169" s="286"/>
      <c r="D1169" s="107"/>
      <c r="E1169" s="640"/>
      <c r="F1169" s="102"/>
      <c r="G1169" s="100"/>
      <c r="L1169" s="564"/>
    </row>
    <row r="1170" spans="2:12">
      <c r="B1170" s="106"/>
      <c r="C1170" s="286"/>
      <c r="D1170" s="107"/>
      <c r="E1170" s="640"/>
      <c r="F1170" s="102"/>
      <c r="G1170" s="100"/>
      <c r="L1170" s="564"/>
    </row>
    <row r="1171" spans="2:12">
      <c r="B1171" s="106"/>
      <c r="C1171" s="286"/>
      <c r="D1171" s="107"/>
      <c r="E1171" s="640"/>
      <c r="F1171" s="102"/>
      <c r="G1171" s="100"/>
    </row>
    <row r="1172" spans="2:12">
      <c r="B1172" s="106"/>
      <c r="C1172" s="286"/>
      <c r="D1172" s="107"/>
      <c r="E1172" s="640"/>
      <c r="F1172" s="102"/>
      <c r="G1172" s="100"/>
    </row>
    <row r="1173" spans="2:12">
      <c r="B1173" s="106"/>
      <c r="C1173" s="286"/>
      <c r="D1173" s="107"/>
      <c r="E1173" s="640"/>
      <c r="F1173" s="102"/>
      <c r="G1173" s="100"/>
    </row>
    <row r="1174" spans="2:12">
      <c r="B1174" s="106"/>
      <c r="C1174" s="286"/>
      <c r="D1174" s="107"/>
      <c r="E1174" s="640"/>
      <c r="F1174" s="102"/>
      <c r="G1174" s="100"/>
    </row>
    <row r="1175" spans="2:12">
      <c r="B1175" s="106"/>
      <c r="C1175" s="286"/>
      <c r="D1175" s="107"/>
      <c r="E1175" s="640"/>
      <c r="F1175" s="102"/>
      <c r="G1175" s="100"/>
    </row>
    <row r="1176" spans="2:12">
      <c r="B1176" s="106"/>
      <c r="C1176" s="286"/>
      <c r="D1176" s="107"/>
      <c r="E1176" s="640"/>
      <c r="F1176" s="102"/>
      <c r="G1176" s="100"/>
    </row>
    <row r="1177" spans="2:12">
      <c r="B1177" s="106"/>
      <c r="C1177" s="286"/>
      <c r="D1177" s="107"/>
      <c r="E1177" s="640"/>
      <c r="F1177" s="102"/>
      <c r="G1177" s="100"/>
    </row>
    <row r="1178" spans="2:12">
      <c r="B1178" s="106"/>
      <c r="C1178" s="286"/>
      <c r="D1178" s="107"/>
      <c r="E1178" s="640"/>
      <c r="F1178" s="102"/>
      <c r="G1178" s="100"/>
    </row>
    <row r="1179" spans="2:12">
      <c r="B1179" s="106"/>
      <c r="C1179" s="286"/>
      <c r="D1179" s="107"/>
      <c r="E1179" s="640"/>
      <c r="F1179" s="102"/>
      <c r="G1179" s="100"/>
    </row>
    <row r="1180" spans="2:12">
      <c r="B1180" s="106"/>
      <c r="C1180" s="286"/>
      <c r="D1180" s="107"/>
      <c r="E1180" s="640"/>
      <c r="F1180" s="102"/>
      <c r="G1180" s="100"/>
    </row>
    <row r="1181" spans="2:12">
      <c r="B1181" s="106"/>
      <c r="C1181" s="286"/>
      <c r="D1181" s="107"/>
      <c r="E1181" s="640"/>
      <c r="F1181" s="102"/>
      <c r="G1181" s="100"/>
    </row>
    <row r="1182" spans="2:12">
      <c r="B1182" s="106"/>
      <c r="C1182" s="286"/>
      <c r="D1182" s="107"/>
      <c r="E1182" s="640"/>
      <c r="F1182" s="102"/>
      <c r="G1182" s="100"/>
    </row>
    <row r="1183" spans="2:12">
      <c r="B1183" s="106"/>
      <c r="C1183" s="286"/>
      <c r="D1183" s="107"/>
      <c r="E1183" s="640"/>
      <c r="F1183" s="102"/>
      <c r="G1183" s="100"/>
    </row>
    <row r="1184" spans="2:12">
      <c r="B1184" s="106"/>
      <c r="C1184" s="286"/>
      <c r="D1184" s="107"/>
      <c r="E1184" s="640"/>
      <c r="F1184" s="102"/>
      <c r="G1184" s="100"/>
    </row>
    <row r="1185" spans="2:7">
      <c r="B1185" s="106"/>
      <c r="C1185" s="286"/>
      <c r="D1185" s="107"/>
      <c r="E1185" s="640"/>
      <c r="F1185" s="102"/>
      <c r="G1185" s="100"/>
    </row>
    <row r="1186" spans="2:7">
      <c r="B1186" s="106"/>
      <c r="C1186" s="286"/>
      <c r="D1186" s="107"/>
      <c r="E1186" s="640"/>
      <c r="F1186" s="102"/>
      <c r="G1186" s="100"/>
    </row>
    <row r="1187" spans="2:7">
      <c r="B1187" s="106"/>
      <c r="C1187" s="286"/>
      <c r="D1187" s="107"/>
      <c r="E1187" s="640"/>
      <c r="F1187" s="102"/>
      <c r="G1187" s="100"/>
    </row>
    <row r="1188" spans="2:7">
      <c r="B1188" s="106"/>
      <c r="C1188" s="286"/>
      <c r="D1188" s="107"/>
      <c r="E1188" s="640"/>
      <c r="F1188" s="102"/>
      <c r="G1188" s="100"/>
    </row>
    <row r="1189" spans="2:7">
      <c r="B1189" s="106"/>
      <c r="C1189" s="286"/>
      <c r="D1189" s="107"/>
      <c r="E1189" s="640"/>
      <c r="F1189" s="102"/>
      <c r="G1189" s="100"/>
    </row>
    <row r="1190" spans="2:7">
      <c r="B1190" s="106"/>
      <c r="C1190" s="286"/>
      <c r="D1190" s="107"/>
      <c r="E1190" s="640"/>
      <c r="F1190" s="102"/>
      <c r="G1190" s="100"/>
    </row>
    <row r="1191" spans="2:7">
      <c r="B1191" s="106"/>
      <c r="C1191" s="286"/>
      <c r="D1191" s="107"/>
      <c r="E1191" s="640"/>
      <c r="F1191" s="102"/>
      <c r="G1191" s="100"/>
    </row>
    <row r="1192" spans="2:7">
      <c r="B1192" s="106"/>
      <c r="C1192" s="286"/>
      <c r="D1192" s="107"/>
      <c r="E1192" s="640"/>
      <c r="F1192" s="102"/>
      <c r="G1192" s="100"/>
    </row>
    <row r="1193" spans="2:7">
      <c r="B1193" s="106"/>
      <c r="C1193" s="286"/>
      <c r="D1193" s="107"/>
      <c r="E1193" s="640"/>
      <c r="F1193" s="102"/>
      <c r="G1193" s="100"/>
    </row>
    <row r="1194" spans="2:7">
      <c r="B1194" s="106"/>
      <c r="C1194" s="286"/>
      <c r="D1194" s="107"/>
      <c r="E1194" s="640"/>
      <c r="F1194" s="102"/>
      <c r="G1194" s="100"/>
    </row>
    <row r="1195" spans="2:7">
      <c r="B1195" s="556"/>
      <c r="C1195" s="557"/>
      <c r="D1195" s="558"/>
      <c r="E1195" s="654"/>
      <c r="F1195" s="102"/>
      <c r="G1195" s="100"/>
    </row>
    <row r="1196" spans="2:7">
      <c r="B1196" s="556"/>
      <c r="C1196" s="557"/>
      <c r="D1196" s="558"/>
      <c r="E1196" s="654"/>
      <c r="F1196" s="102"/>
      <c r="G1196" s="100"/>
    </row>
    <row r="1197" spans="2:7">
      <c r="B1197" s="556"/>
      <c r="C1197" s="557"/>
      <c r="D1197" s="558"/>
      <c r="E1197" s="654"/>
      <c r="F1197" s="102"/>
      <c r="G1197" s="100"/>
    </row>
    <row r="1198" spans="2:7">
      <c r="B1198" s="556"/>
      <c r="C1198" s="557"/>
      <c r="D1198" s="558"/>
      <c r="E1198" s="654"/>
      <c r="F1198" s="102"/>
      <c r="G1198" s="100"/>
    </row>
    <row r="1199" spans="2:7">
      <c r="B1199" s="556"/>
      <c r="C1199" s="557"/>
      <c r="D1199" s="558"/>
      <c r="E1199" s="654"/>
      <c r="F1199" s="102"/>
      <c r="G1199" s="100"/>
    </row>
    <row r="1200" spans="2:7">
      <c r="B1200" s="556"/>
      <c r="C1200" s="557"/>
      <c r="D1200" s="558"/>
      <c r="E1200" s="654"/>
      <c r="F1200" s="102"/>
      <c r="G1200" s="100"/>
    </row>
    <row r="1201" spans="2:12">
      <c r="B1201" s="556"/>
      <c r="C1201" s="557"/>
      <c r="D1201" s="558"/>
      <c r="E1201" s="654"/>
      <c r="F1201" s="102"/>
      <c r="G1201" s="100"/>
    </row>
    <row r="1202" spans="2:12">
      <c r="B1202" s="556"/>
      <c r="C1202" s="557"/>
      <c r="D1202" s="558"/>
      <c r="E1202" s="654"/>
      <c r="F1202" s="102"/>
      <c r="G1202" s="100"/>
    </row>
    <row r="1203" spans="2:12">
      <c r="B1203" s="556"/>
      <c r="C1203" s="557"/>
      <c r="D1203" s="558"/>
      <c r="E1203" s="654"/>
      <c r="F1203" s="102"/>
      <c r="G1203" s="100"/>
    </row>
    <row r="1204" spans="2:12">
      <c r="B1204" s="556"/>
      <c r="C1204" s="557"/>
      <c r="D1204" s="558"/>
      <c r="E1204" s="654"/>
      <c r="F1204" s="559"/>
      <c r="G1204" s="560"/>
    </row>
    <row r="1205" spans="2:12">
      <c r="B1205" s="556"/>
      <c r="C1205" s="557"/>
      <c r="D1205" s="558"/>
      <c r="E1205" s="654"/>
      <c r="F1205" s="102"/>
      <c r="G1205" s="100"/>
    </row>
    <row r="1206" spans="2:12">
      <c r="B1206" s="556"/>
      <c r="C1206" s="557"/>
      <c r="D1206" s="558"/>
      <c r="E1206" s="654"/>
      <c r="F1206" s="102"/>
      <c r="G1206" s="100"/>
    </row>
    <row r="1207" spans="2:12">
      <c r="B1207" s="556"/>
      <c r="C1207" s="557"/>
      <c r="D1207" s="558"/>
      <c r="E1207" s="654"/>
      <c r="F1207" s="102"/>
      <c r="G1207" s="100"/>
    </row>
    <row r="1208" spans="2:12">
      <c r="B1208" s="556"/>
      <c r="C1208" s="557"/>
      <c r="D1208" s="558"/>
      <c r="E1208" s="654"/>
      <c r="F1208" s="102"/>
      <c r="G1208" s="100"/>
    </row>
    <row r="1209" spans="2:12">
      <c r="B1209" s="556"/>
      <c r="C1209" s="557"/>
      <c r="D1209" s="558"/>
      <c r="E1209" s="654"/>
      <c r="F1209" s="102"/>
      <c r="G1209" s="100"/>
      <c r="L1209" s="564"/>
    </row>
    <row r="1210" spans="2:12">
      <c r="B1210" s="556"/>
      <c r="C1210" s="557"/>
      <c r="D1210" s="558"/>
      <c r="E1210" s="654"/>
      <c r="F1210" s="102"/>
      <c r="G1210" s="100"/>
      <c r="L1210" s="564"/>
    </row>
    <row r="1211" spans="2:12">
      <c r="B1211" s="556"/>
      <c r="C1211" s="557"/>
      <c r="D1211" s="558"/>
      <c r="E1211" s="654"/>
      <c r="F1211" s="102"/>
      <c r="G1211" s="100"/>
    </row>
    <row r="1212" spans="2:12">
      <c r="B1212" s="556"/>
      <c r="C1212" s="557"/>
      <c r="D1212" s="558"/>
      <c r="E1212" s="654"/>
      <c r="F1212" s="102"/>
      <c r="G1212" s="100"/>
    </row>
    <row r="1213" spans="2:12">
      <c r="B1213" s="556"/>
      <c r="C1213" s="557"/>
      <c r="D1213" s="558"/>
      <c r="E1213" s="654"/>
      <c r="F1213" s="102"/>
      <c r="G1213" s="100"/>
    </row>
    <row r="1214" spans="2:12">
      <c r="B1214" s="556"/>
      <c r="C1214" s="557"/>
      <c r="D1214" s="558"/>
      <c r="E1214" s="654"/>
      <c r="F1214" s="102"/>
      <c r="G1214" s="100"/>
    </row>
    <row r="1215" spans="2:12">
      <c r="B1215" s="556"/>
      <c r="C1215" s="557"/>
      <c r="D1215" s="558"/>
      <c r="E1215" s="654"/>
      <c r="F1215" s="102"/>
      <c r="G1215" s="100"/>
    </row>
    <row r="1216" spans="2:12">
      <c r="B1216" s="556"/>
      <c r="C1216" s="557"/>
      <c r="D1216" s="558"/>
      <c r="E1216" s="654"/>
      <c r="F1216" s="102"/>
      <c r="G1216" s="100"/>
    </row>
    <row r="1217" spans="2:12">
      <c r="B1217" s="556"/>
      <c r="C1217" s="557"/>
      <c r="D1217" s="558"/>
      <c r="E1217" s="654"/>
      <c r="F1217" s="102"/>
      <c r="G1217" s="100"/>
    </row>
    <row r="1218" spans="2:12">
      <c r="B1218" s="556"/>
      <c r="C1218" s="557"/>
      <c r="D1218" s="558"/>
      <c r="E1218" s="654"/>
      <c r="F1218" s="102"/>
      <c r="G1218" s="100"/>
    </row>
    <row r="1219" spans="2:12">
      <c r="B1219" s="556"/>
      <c r="C1219" s="557"/>
      <c r="D1219" s="558"/>
      <c r="E1219" s="654"/>
      <c r="F1219" s="102"/>
      <c r="G1219" s="100"/>
    </row>
    <row r="1220" spans="2:12">
      <c r="B1220" s="556"/>
      <c r="C1220" s="557"/>
      <c r="D1220" s="558"/>
      <c r="E1220" s="654"/>
      <c r="F1220" s="102"/>
      <c r="G1220" s="100"/>
    </row>
    <row r="1221" spans="2:12">
      <c r="B1221" s="556"/>
      <c r="C1221" s="557"/>
      <c r="D1221" s="558"/>
      <c r="E1221" s="654"/>
      <c r="F1221" s="102"/>
      <c r="G1221" s="100"/>
    </row>
    <row r="1222" spans="2:12">
      <c r="B1222" s="556"/>
      <c r="C1222" s="557"/>
      <c r="D1222" s="558"/>
      <c r="E1222" s="654"/>
      <c r="F1222" s="102"/>
      <c r="G1222" s="100"/>
    </row>
    <row r="1223" spans="2:12">
      <c r="B1223" s="556"/>
      <c r="C1223" s="557"/>
      <c r="D1223" s="558"/>
      <c r="E1223" s="654"/>
      <c r="F1223" s="102"/>
      <c r="G1223" s="100"/>
    </row>
    <row r="1224" spans="2:12">
      <c r="B1224" s="556"/>
      <c r="C1224" s="557"/>
      <c r="D1224" s="558"/>
      <c r="E1224" s="654"/>
      <c r="F1224" s="102"/>
      <c r="G1224" s="100"/>
    </row>
    <row r="1225" spans="2:12">
      <c r="B1225" s="556"/>
      <c r="C1225" s="557"/>
      <c r="D1225" s="558"/>
      <c r="E1225" s="654"/>
      <c r="F1225" s="102"/>
      <c r="G1225" s="100"/>
    </row>
    <row r="1226" spans="2:12">
      <c r="B1226" s="556"/>
      <c r="C1226" s="557"/>
      <c r="D1226" s="558"/>
      <c r="E1226" s="654"/>
      <c r="F1226" s="102"/>
      <c r="G1226" s="100"/>
    </row>
    <row r="1227" spans="2:12">
      <c r="B1227" s="556"/>
      <c r="C1227" s="557"/>
      <c r="D1227" s="558"/>
      <c r="E1227" s="654"/>
      <c r="F1227" s="102"/>
      <c r="G1227" s="100"/>
    </row>
    <row r="1228" spans="2:12">
      <c r="B1228" s="556"/>
      <c r="C1228" s="557"/>
      <c r="D1228" s="558"/>
      <c r="E1228" s="654"/>
      <c r="F1228" s="102"/>
      <c r="G1228" s="100"/>
      <c r="L1228" s="564"/>
    </row>
    <row r="1229" spans="2:12">
      <c r="B1229" s="556"/>
      <c r="C1229" s="557"/>
      <c r="D1229" s="558"/>
      <c r="E1229" s="654"/>
      <c r="F1229" s="102"/>
      <c r="G1229" s="100"/>
    </row>
    <row r="1230" spans="2:12">
      <c r="B1230" s="556"/>
      <c r="C1230" s="557"/>
      <c r="D1230" s="558"/>
      <c r="E1230" s="654"/>
      <c r="F1230" s="559"/>
      <c r="G1230" s="100"/>
    </row>
    <row r="1231" spans="2:12">
      <c r="B1231" s="556"/>
      <c r="C1231" s="557"/>
      <c r="D1231" s="558"/>
      <c r="E1231" s="654"/>
      <c r="F1231" s="102"/>
      <c r="G1231" s="100"/>
    </row>
    <row r="1232" spans="2:12">
      <c r="B1232" s="556"/>
      <c r="C1232" s="557"/>
      <c r="D1232" s="558"/>
      <c r="E1232" s="654"/>
      <c r="F1232" s="102"/>
      <c r="G1232" s="100"/>
    </row>
    <row r="1233" spans="2:7">
      <c r="B1233" s="556"/>
      <c r="C1233" s="557"/>
      <c r="D1233" s="558"/>
      <c r="E1233" s="654"/>
      <c r="F1233" s="559"/>
      <c r="G1233" s="100"/>
    </row>
    <row r="1234" spans="2:7">
      <c r="B1234" s="556"/>
      <c r="C1234" s="557"/>
      <c r="D1234" s="558"/>
      <c r="E1234" s="654"/>
      <c r="F1234" s="559"/>
      <c r="G1234" s="100"/>
    </row>
    <row r="1235" spans="2:7">
      <c r="B1235" s="556"/>
      <c r="C1235" s="557"/>
      <c r="D1235" s="558"/>
      <c r="E1235" s="654"/>
      <c r="F1235" s="559"/>
      <c r="G1235" s="100"/>
    </row>
    <row r="1236" spans="2:7">
      <c r="B1236" s="556"/>
      <c r="C1236" s="557"/>
      <c r="D1236" s="558"/>
      <c r="E1236" s="654"/>
      <c r="F1236" s="559"/>
      <c r="G1236" s="560"/>
    </row>
    <row r="1237" spans="2:7">
      <c r="B1237" s="106"/>
      <c r="C1237" s="286"/>
      <c r="D1237" s="107"/>
      <c r="E1237" s="640"/>
      <c r="F1237" s="102"/>
      <c r="G1237" s="100"/>
    </row>
    <row r="1238" spans="2:7">
      <c r="B1238" s="556"/>
      <c r="C1238" s="557"/>
      <c r="D1238" s="558"/>
      <c r="E1238" s="654"/>
      <c r="F1238" s="559"/>
      <c r="G1238" s="100"/>
    </row>
    <row r="1239" spans="2:7">
      <c r="B1239" s="556"/>
      <c r="C1239" s="557"/>
      <c r="D1239" s="558"/>
      <c r="E1239" s="654"/>
      <c r="F1239" s="559"/>
      <c r="G1239" s="100"/>
    </row>
    <row r="1240" spans="2:7">
      <c r="B1240" s="556"/>
      <c r="C1240" s="557"/>
      <c r="D1240" s="558"/>
      <c r="E1240" s="654"/>
      <c r="F1240" s="559"/>
      <c r="G1240" s="100"/>
    </row>
    <row r="1241" spans="2:7">
      <c r="B1241" s="556"/>
      <c r="C1241" s="557"/>
      <c r="D1241" s="558"/>
      <c r="E1241" s="654"/>
      <c r="F1241" s="102"/>
      <c r="G1241" s="560"/>
    </row>
  </sheetData>
  <mergeCells count="10">
    <mergeCell ref="T4:W4"/>
    <mergeCell ref="Y4:Z4"/>
    <mergeCell ref="T1:Z1"/>
    <mergeCell ref="A1:A3"/>
    <mergeCell ref="B1:I1"/>
    <mergeCell ref="K1:R1"/>
    <mergeCell ref="B4:G4"/>
    <mergeCell ref="H4:I4"/>
    <mergeCell ref="K4:O4"/>
    <mergeCell ref="Q4:R4"/>
  </mergeCells>
  <conditionalFormatting sqref="L93 L84:L85 L66 L61:L64 L81 L87:L89 L45 L42 L71:L72 L97:L1048576 L24">
    <cfRule type="cellIs" dxfId="234" priority="1562" operator="equal">
      <formula>"Previsão"</formula>
    </cfRule>
  </conditionalFormatting>
  <conditionalFormatting sqref="L1:L5">
    <cfRule type="cellIs" dxfId="233" priority="1560" operator="equal">
      <formula>"Previsão"</formula>
    </cfRule>
  </conditionalFormatting>
  <conditionalFormatting sqref="L58">
    <cfRule type="cellIs" dxfId="232" priority="1559" operator="equal">
      <formula>"Previsão"</formula>
    </cfRule>
  </conditionalFormatting>
  <conditionalFormatting sqref="L60 L62">
    <cfRule type="cellIs" dxfId="231" priority="1557" operator="equal">
      <formula>"Previsão"</formula>
    </cfRule>
  </conditionalFormatting>
  <conditionalFormatting sqref="L67">
    <cfRule type="cellIs" dxfId="230" priority="1555" operator="equal">
      <formula>"Previsão"</formula>
    </cfRule>
  </conditionalFormatting>
  <conditionalFormatting sqref="L68">
    <cfRule type="cellIs" dxfId="229" priority="1554" operator="equal">
      <formula>"Previsão"</formula>
    </cfRule>
  </conditionalFormatting>
  <conditionalFormatting sqref="L66:L70">
    <cfRule type="cellIs" dxfId="228" priority="1553" operator="equal">
      <formula>"Previsão"</formula>
    </cfRule>
  </conditionalFormatting>
  <conditionalFormatting sqref="U1">
    <cfRule type="cellIs" dxfId="227" priority="1548" operator="equal">
      <formula>"Previsão"</formula>
    </cfRule>
  </conditionalFormatting>
  <conditionalFormatting sqref="L75:L79">
    <cfRule type="cellIs" dxfId="226" priority="1545" operator="equal">
      <formula>"Previsão"</formula>
    </cfRule>
  </conditionalFormatting>
  <conditionalFormatting sqref="L76">
    <cfRule type="cellIs" dxfId="225" priority="1544" operator="equal">
      <formula>"Previsão"</formula>
    </cfRule>
  </conditionalFormatting>
  <conditionalFormatting sqref="L58">
    <cfRule type="cellIs" dxfId="224" priority="1542" operator="equal">
      <formula>"Previsão"</formula>
    </cfRule>
  </conditionalFormatting>
  <conditionalFormatting sqref="L66">
    <cfRule type="cellIs" dxfId="223" priority="1541" operator="equal">
      <formula>"Previsão"</formula>
    </cfRule>
  </conditionalFormatting>
  <conditionalFormatting sqref="L67">
    <cfRule type="cellIs" dxfId="222" priority="1540" operator="equal">
      <formula>"Previsão"</formula>
    </cfRule>
  </conditionalFormatting>
  <conditionalFormatting sqref="L75">
    <cfRule type="cellIs" dxfId="221" priority="1535" operator="equal">
      <formula>"Previsão"</formula>
    </cfRule>
  </conditionalFormatting>
  <conditionalFormatting sqref="L80">
    <cfRule type="cellIs" dxfId="220" priority="1533" operator="equal">
      <formula>"Previsão"</formula>
    </cfRule>
  </conditionalFormatting>
  <conditionalFormatting sqref="L79">
    <cfRule type="cellIs" dxfId="219" priority="1531" operator="equal">
      <formula>"Previsão"</formula>
    </cfRule>
  </conditionalFormatting>
  <conditionalFormatting sqref="L80">
    <cfRule type="cellIs" dxfId="218" priority="1530" operator="equal">
      <formula>"Previsão"</formula>
    </cfRule>
  </conditionalFormatting>
  <conditionalFormatting sqref="L83">
    <cfRule type="cellIs" dxfId="217" priority="1529" operator="equal">
      <formula>"Previsão"</formula>
    </cfRule>
  </conditionalFormatting>
  <conditionalFormatting sqref="L83">
    <cfRule type="cellIs" dxfId="216" priority="1528" operator="equal">
      <formula>"Previsão"</formula>
    </cfRule>
  </conditionalFormatting>
  <conditionalFormatting sqref="L92">
    <cfRule type="cellIs" dxfId="215" priority="1526" operator="equal">
      <formula>"Previsão"</formula>
    </cfRule>
  </conditionalFormatting>
  <conditionalFormatting sqref="L94">
    <cfRule type="cellIs" dxfId="214" priority="1525" operator="equal">
      <formula>"Previsão"</formula>
    </cfRule>
  </conditionalFormatting>
  <conditionalFormatting sqref="L10">
    <cfRule type="cellIs" dxfId="213" priority="1484" operator="equal">
      <formula>"Previsão"</formula>
    </cfRule>
  </conditionalFormatting>
  <conditionalFormatting sqref="L15">
    <cfRule type="cellIs" dxfId="212" priority="1476" operator="equal">
      <formula>"Previsão"</formula>
    </cfRule>
  </conditionalFormatting>
  <conditionalFormatting sqref="L15">
    <cfRule type="cellIs" dxfId="211" priority="1481" operator="equal">
      <formula>"Previsão"</formula>
    </cfRule>
  </conditionalFormatting>
  <conditionalFormatting sqref="L16">
    <cfRule type="cellIs" dxfId="210" priority="1480" operator="equal">
      <formula>"Previsão"</formula>
    </cfRule>
  </conditionalFormatting>
  <conditionalFormatting sqref="L10">
    <cfRule type="cellIs" dxfId="209" priority="1478" operator="equal">
      <formula>"Previsão"</formula>
    </cfRule>
  </conditionalFormatting>
  <conditionalFormatting sqref="L16">
    <cfRule type="cellIs" dxfId="208" priority="1475" operator="equal">
      <formula>"Previsão"</formula>
    </cfRule>
  </conditionalFormatting>
  <conditionalFormatting sqref="L35">
    <cfRule type="cellIs" dxfId="207" priority="1265" operator="equal">
      <formula>"Previsão"</formula>
    </cfRule>
  </conditionalFormatting>
  <conditionalFormatting sqref="L37">
    <cfRule type="cellIs" dxfId="206" priority="1264" operator="equal">
      <formula>"Previsão"</formula>
    </cfRule>
  </conditionalFormatting>
  <conditionalFormatting sqref="L50">
    <cfRule type="cellIs" dxfId="205" priority="1252" operator="equal">
      <formula>"Previsão"</formula>
    </cfRule>
  </conditionalFormatting>
  <conditionalFormatting sqref="L51">
    <cfRule type="cellIs" dxfId="204" priority="1251" operator="equal">
      <formula>"Previsão"</formula>
    </cfRule>
  </conditionalFormatting>
  <conditionalFormatting sqref="L54">
    <cfRule type="cellIs" dxfId="203" priority="1243" operator="equal">
      <formula>"Previsão"</formula>
    </cfRule>
  </conditionalFormatting>
  <conditionalFormatting sqref="L50">
    <cfRule type="cellIs" dxfId="202" priority="1089" operator="equal">
      <formula>"Previsão"</formula>
    </cfRule>
  </conditionalFormatting>
  <conditionalFormatting sqref="L51">
    <cfRule type="cellIs" dxfId="201" priority="1085" operator="equal">
      <formula>"Previsão"</formula>
    </cfRule>
  </conditionalFormatting>
  <conditionalFormatting sqref="L59">
    <cfRule type="cellIs" dxfId="200" priority="1028" operator="equal">
      <formula>"Previsão"</formula>
    </cfRule>
  </conditionalFormatting>
  <conditionalFormatting sqref="L59">
    <cfRule type="cellIs" dxfId="199" priority="1027" operator="equal">
      <formula>"Previsão"</formula>
    </cfRule>
  </conditionalFormatting>
  <conditionalFormatting sqref="L61">
    <cfRule type="cellIs" dxfId="198" priority="1013" operator="equal">
      <formula>"Previsão"</formula>
    </cfRule>
  </conditionalFormatting>
  <conditionalFormatting sqref="L65">
    <cfRule type="cellIs" dxfId="197" priority="999" operator="equal">
      <formula>"Previsão"</formula>
    </cfRule>
  </conditionalFormatting>
  <conditionalFormatting sqref="L64">
    <cfRule type="cellIs" dxfId="196" priority="998" operator="equal">
      <formula>"Previsão"</formula>
    </cfRule>
  </conditionalFormatting>
  <conditionalFormatting sqref="L61">
    <cfRule type="cellIs" dxfId="195" priority="993" operator="equal">
      <formula>"Previsão"</formula>
    </cfRule>
  </conditionalFormatting>
  <conditionalFormatting sqref="L60">
    <cfRule type="cellIs" dxfId="194" priority="992" operator="equal">
      <formula>"Previsão"</formula>
    </cfRule>
  </conditionalFormatting>
  <conditionalFormatting sqref="L70">
    <cfRule type="cellIs" dxfId="193" priority="989" operator="equal">
      <formula>"Previsão"</formula>
    </cfRule>
  </conditionalFormatting>
  <conditionalFormatting sqref="L65">
    <cfRule type="cellIs" dxfId="192" priority="991" operator="equal">
      <formula>"Previsão"</formula>
    </cfRule>
  </conditionalFormatting>
  <conditionalFormatting sqref="L66">
    <cfRule type="cellIs" dxfId="191" priority="990" operator="equal">
      <formula>"Previsão"</formula>
    </cfRule>
  </conditionalFormatting>
  <conditionalFormatting sqref="L64">
    <cfRule type="cellIs" dxfId="190" priority="985" operator="equal">
      <formula>"Previsão"</formula>
    </cfRule>
  </conditionalFormatting>
  <conditionalFormatting sqref="L65">
    <cfRule type="cellIs" dxfId="189" priority="984" operator="equal">
      <formula>"Previsão"</formula>
    </cfRule>
  </conditionalFormatting>
  <conditionalFormatting sqref="L70">
    <cfRule type="cellIs" dxfId="188" priority="983" operator="equal">
      <formula>"Previsão"</formula>
    </cfRule>
  </conditionalFormatting>
  <conditionalFormatting sqref="L63">
    <cfRule type="cellIs" dxfId="187" priority="980" operator="equal">
      <formula>"Previsão"</formula>
    </cfRule>
  </conditionalFormatting>
  <conditionalFormatting sqref="L69">
    <cfRule type="cellIs" dxfId="186" priority="979" operator="equal">
      <formula>"Previsão"</formula>
    </cfRule>
  </conditionalFormatting>
  <conditionalFormatting sqref="L74">
    <cfRule type="cellIs" dxfId="185" priority="973" operator="equal">
      <formula>"Previsão"</formula>
    </cfRule>
  </conditionalFormatting>
  <conditionalFormatting sqref="L73">
    <cfRule type="cellIs" dxfId="184" priority="974" operator="equal">
      <formula>"Previsão"</formula>
    </cfRule>
  </conditionalFormatting>
  <conditionalFormatting sqref="L82">
    <cfRule type="cellIs" dxfId="183" priority="972" operator="equal">
      <formula>"Previsão"</formula>
    </cfRule>
  </conditionalFormatting>
  <conditionalFormatting sqref="L86">
    <cfRule type="cellIs" dxfId="182" priority="971" operator="equal">
      <formula>"Previsão"</formula>
    </cfRule>
  </conditionalFormatting>
  <conditionalFormatting sqref="L90">
    <cfRule type="cellIs" dxfId="181" priority="970" operator="equal">
      <formula>"Previsão"</formula>
    </cfRule>
  </conditionalFormatting>
  <conditionalFormatting sqref="L91">
    <cfRule type="cellIs" dxfId="180" priority="969" operator="equal">
      <formula>"Previsão"</formula>
    </cfRule>
  </conditionalFormatting>
  <conditionalFormatting sqref="L95">
    <cfRule type="cellIs" dxfId="179" priority="967" operator="equal">
      <formula>"Previsão"</formula>
    </cfRule>
  </conditionalFormatting>
  <conditionalFormatting sqref="L96">
    <cfRule type="cellIs" dxfId="178" priority="966" operator="equal">
      <formula>"Previsão"</formula>
    </cfRule>
  </conditionalFormatting>
  <conditionalFormatting sqref="L8">
    <cfRule type="cellIs" dxfId="177" priority="917" operator="equal">
      <formula>"Previsão"</formula>
    </cfRule>
  </conditionalFormatting>
  <conditionalFormatting sqref="L9">
    <cfRule type="cellIs" dxfId="176" priority="916" operator="equal">
      <formula>"Previsão"</formula>
    </cfRule>
  </conditionalFormatting>
  <conditionalFormatting sqref="L11">
    <cfRule type="cellIs" dxfId="175" priority="847" operator="equal">
      <formula>"Previsão"</formula>
    </cfRule>
  </conditionalFormatting>
  <conditionalFormatting sqref="L11">
    <cfRule type="cellIs" dxfId="174" priority="846" operator="equal">
      <formula>"Previsão"</formula>
    </cfRule>
  </conditionalFormatting>
  <conditionalFormatting sqref="L9">
    <cfRule type="cellIs" dxfId="173" priority="831" operator="equal">
      <formula>"Previsão"</formula>
    </cfRule>
  </conditionalFormatting>
  <conditionalFormatting sqref="L11">
    <cfRule type="cellIs" dxfId="172" priority="830" operator="equal">
      <formula>"Previsão"</formula>
    </cfRule>
  </conditionalFormatting>
  <conditionalFormatting sqref="L11">
    <cfRule type="cellIs" dxfId="171" priority="829" operator="equal">
      <formula>"Previsão"</formula>
    </cfRule>
  </conditionalFormatting>
  <conditionalFormatting sqref="L9">
    <cfRule type="cellIs" dxfId="170" priority="828" operator="equal">
      <formula>"Previsão"</formula>
    </cfRule>
  </conditionalFormatting>
  <conditionalFormatting sqref="L8">
    <cfRule type="cellIs" dxfId="169" priority="825" operator="equal">
      <formula>"Previsão"</formula>
    </cfRule>
  </conditionalFormatting>
  <conditionalFormatting sqref="L10">
    <cfRule type="cellIs" dxfId="168" priority="824" operator="equal">
      <formula>"Previsão"</formula>
    </cfRule>
  </conditionalFormatting>
  <conditionalFormatting sqref="L10">
    <cfRule type="cellIs" dxfId="167" priority="823" operator="equal">
      <formula>"Previsão"</formula>
    </cfRule>
  </conditionalFormatting>
  <conditionalFormatting sqref="L12">
    <cfRule type="cellIs" dxfId="166" priority="822" operator="equal">
      <formula>"Previsão"</formula>
    </cfRule>
  </conditionalFormatting>
  <conditionalFormatting sqref="L12">
    <cfRule type="cellIs" dxfId="165" priority="821" operator="equal">
      <formula>"Previsão"</formula>
    </cfRule>
  </conditionalFormatting>
  <conditionalFormatting sqref="L13">
    <cfRule type="cellIs" dxfId="164" priority="789" operator="equal">
      <formula>"Previsão"</formula>
    </cfRule>
  </conditionalFormatting>
  <conditionalFormatting sqref="L13">
    <cfRule type="cellIs" dxfId="163" priority="788" operator="equal">
      <formula>"Previsão"</formula>
    </cfRule>
  </conditionalFormatting>
  <conditionalFormatting sqref="L13">
    <cfRule type="cellIs" dxfId="162" priority="787" operator="equal">
      <formula>"Previsão"</formula>
    </cfRule>
  </conditionalFormatting>
  <conditionalFormatting sqref="L13">
    <cfRule type="cellIs" dxfId="161" priority="786" operator="equal">
      <formula>"Previsão"</formula>
    </cfRule>
  </conditionalFormatting>
  <conditionalFormatting sqref="L17">
    <cfRule type="cellIs" dxfId="160" priority="665" operator="equal">
      <formula>"Previsão"</formula>
    </cfRule>
  </conditionalFormatting>
  <conditionalFormatting sqref="L17">
    <cfRule type="cellIs" dxfId="159" priority="664" operator="equal">
      <formula>"Previsão"</formula>
    </cfRule>
  </conditionalFormatting>
  <conditionalFormatting sqref="L18">
    <cfRule type="cellIs" dxfId="158" priority="655" operator="equal">
      <formula>"Previsão"</formula>
    </cfRule>
  </conditionalFormatting>
  <conditionalFormatting sqref="L18">
    <cfRule type="cellIs" dxfId="157" priority="654" operator="equal">
      <formula>"Previsão"</formula>
    </cfRule>
  </conditionalFormatting>
  <conditionalFormatting sqref="L18">
    <cfRule type="cellIs" dxfId="156" priority="653" operator="equal">
      <formula>"Previsão"</formula>
    </cfRule>
  </conditionalFormatting>
  <conditionalFormatting sqref="L18">
    <cfRule type="cellIs" dxfId="155" priority="652" operator="equal">
      <formula>"Previsão"</formula>
    </cfRule>
  </conditionalFormatting>
  <conditionalFormatting sqref="L26">
    <cfRule type="cellIs" dxfId="154" priority="178" operator="equal">
      <formula>"Previsão"</formula>
    </cfRule>
  </conditionalFormatting>
  <conditionalFormatting sqref="L27">
    <cfRule type="cellIs" dxfId="153" priority="177" operator="equal">
      <formula>"Previsão"</formula>
    </cfRule>
  </conditionalFormatting>
  <conditionalFormatting sqref="L29">
    <cfRule type="cellIs" dxfId="152" priority="131" operator="equal">
      <formula>"Previsão"</formula>
    </cfRule>
  </conditionalFormatting>
  <conditionalFormatting sqref="L31">
    <cfRule type="cellIs" dxfId="151" priority="121" operator="equal">
      <formula>"Previsão"</formula>
    </cfRule>
  </conditionalFormatting>
  <conditionalFormatting sqref="L36">
    <cfRule type="cellIs" dxfId="150" priority="89" operator="equal">
      <formula>"Previsão"</formula>
    </cfRule>
  </conditionalFormatting>
  <conditionalFormatting sqref="L38">
    <cfRule type="cellIs" dxfId="149" priority="73" operator="equal">
      <formula>"Previsão"</formula>
    </cfRule>
  </conditionalFormatting>
  <conditionalFormatting sqref="L39">
    <cfRule type="cellIs" dxfId="148" priority="65" operator="equal">
      <formula>"Previsão"</formula>
    </cfRule>
  </conditionalFormatting>
  <conditionalFormatting sqref="L40">
    <cfRule type="cellIs" dxfId="147" priority="64" operator="equal">
      <formula>"Previsão"</formula>
    </cfRule>
  </conditionalFormatting>
  <conditionalFormatting sqref="L49">
    <cfRule type="cellIs" dxfId="146" priority="56" operator="equal">
      <formula>"Previsão"</formula>
    </cfRule>
  </conditionalFormatting>
  <conditionalFormatting sqref="L55">
    <cfRule type="cellIs" dxfId="145" priority="55" operator="equal">
      <formula>"Previsão"</formula>
    </cfRule>
  </conditionalFormatting>
  <conditionalFormatting sqref="L56">
    <cfRule type="cellIs" dxfId="144" priority="54" operator="equal">
      <formula>"Previsão"</formula>
    </cfRule>
  </conditionalFormatting>
  <conditionalFormatting sqref="L57">
    <cfRule type="cellIs" dxfId="143" priority="53" operator="equal">
      <formula>"Previsão"</formula>
    </cfRule>
  </conditionalFormatting>
  <conditionalFormatting sqref="L19">
    <cfRule type="cellIs" dxfId="142" priority="27" operator="equal">
      <formula>"Previsão"</formula>
    </cfRule>
  </conditionalFormatting>
  <conditionalFormatting sqref="L19">
    <cfRule type="cellIs" dxfId="141" priority="26" operator="equal">
      <formula>"Previsão"</formula>
    </cfRule>
  </conditionalFormatting>
  <conditionalFormatting sqref="L19">
    <cfRule type="cellIs" dxfId="140" priority="25" operator="equal">
      <formula>"Previsão"</formula>
    </cfRule>
  </conditionalFormatting>
  <conditionalFormatting sqref="L19">
    <cfRule type="cellIs" dxfId="139" priority="24" operator="equal">
      <formula>"Previsão"</formula>
    </cfRule>
  </conditionalFormatting>
  <conditionalFormatting sqref="L20:L23">
    <cfRule type="cellIs" dxfId="138" priority="23" operator="equal">
      <formula>"Previsão"</formula>
    </cfRule>
  </conditionalFormatting>
  <conditionalFormatting sqref="L20:L23">
    <cfRule type="cellIs" dxfId="137" priority="22" operator="equal">
      <formula>"Previsão"</formula>
    </cfRule>
  </conditionalFormatting>
  <conditionalFormatting sqref="L25">
    <cfRule type="cellIs" dxfId="136" priority="18" operator="equal">
      <formula>"Previsão"</formula>
    </cfRule>
  </conditionalFormatting>
  <conditionalFormatting sqref="L25">
    <cfRule type="cellIs" dxfId="135" priority="16" operator="equal">
      <formula>"Previsão"</formula>
    </cfRule>
  </conditionalFormatting>
  <conditionalFormatting sqref="L28">
    <cfRule type="cellIs" dxfId="134" priority="14" operator="equal">
      <formula>"Previsão"</formula>
    </cfRule>
  </conditionalFormatting>
  <conditionalFormatting sqref="L30">
    <cfRule type="cellIs" dxfId="133" priority="13" operator="equal">
      <formula>"Previsão"</formula>
    </cfRule>
  </conditionalFormatting>
  <conditionalFormatting sqref="L32">
    <cfRule type="cellIs" dxfId="132" priority="12" operator="equal">
      <formula>"Previsão"</formula>
    </cfRule>
  </conditionalFormatting>
  <conditionalFormatting sqref="L33">
    <cfRule type="cellIs" dxfId="131" priority="11" operator="equal">
      <formula>"Previsão"</formula>
    </cfRule>
  </conditionalFormatting>
  <conditionalFormatting sqref="L34">
    <cfRule type="cellIs" dxfId="130" priority="10" operator="equal">
      <formula>"Previsão"</formula>
    </cfRule>
  </conditionalFormatting>
  <conditionalFormatting sqref="L41">
    <cfRule type="cellIs" dxfId="129" priority="9" operator="equal">
      <formula>"Previsão"</formula>
    </cfRule>
  </conditionalFormatting>
  <conditionalFormatting sqref="L6">
    <cfRule type="cellIs" dxfId="128" priority="8" operator="equal">
      <formula>"Previsão"</formula>
    </cfRule>
  </conditionalFormatting>
  <conditionalFormatting sqref="L6">
    <cfRule type="cellIs" dxfId="127" priority="7" operator="equal">
      <formula>"Previsão"</formula>
    </cfRule>
  </conditionalFormatting>
  <conditionalFormatting sqref="L7">
    <cfRule type="cellIs" dxfId="126" priority="6" operator="equal">
      <formula>"Previsão"</formula>
    </cfRule>
  </conditionalFormatting>
  <conditionalFormatting sqref="L7">
    <cfRule type="cellIs" dxfId="125" priority="5" operator="equal">
      <formula>"Previsão"</formula>
    </cfRule>
  </conditionalFormatting>
  <conditionalFormatting sqref="L14">
    <cfRule type="cellIs" dxfId="124" priority="4" operator="equal">
      <formula>"Previsão"</formula>
    </cfRule>
  </conditionalFormatting>
  <conditionalFormatting sqref="L14">
    <cfRule type="cellIs" dxfId="123" priority="3" operator="equal">
      <formula>"Previsão"</formula>
    </cfRule>
  </conditionalFormatting>
  <conditionalFormatting sqref="L14">
    <cfRule type="cellIs" dxfId="122" priority="2" operator="equal">
      <formula>"Previsão"</formula>
    </cfRule>
  </conditionalFormatting>
  <conditionalFormatting sqref="L14">
    <cfRule type="cellIs" dxfId="121" priority="1" operator="equal">
      <formula>"Previsão"</formula>
    </cfRule>
  </conditionalFormatting>
  <pageMargins left="0.511811024" right="0.511811024" top="0.78740157499999996" bottom="0.78740157499999996" header="0.31496062000000002" footer="0.31496062000000002"/>
  <pageSetup paperSize="9" orientation="portrait" r:id="rId1"/>
  <drawing r:id="rId2"/>
  <legacyDrawing r:id="rId3"/>
  <tableParts count="3">
    <tablePart r:id="rId4"/>
    <tablePart r:id="rId5"/>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ilha7"/>
  <dimension ref="A1:IV26"/>
  <sheetViews>
    <sheetView workbookViewId="0">
      <selection activeCell="G21" sqref="G21"/>
    </sheetView>
  </sheetViews>
  <sheetFormatPr defaultColWidth="8.81640625" defaultRowHeight="14.5"/>
  <cols>
    <col min="1" max="1" width="17.26953125" style="3" bestFit="1" customWidth="1"/>
    <col min="2" max="2" width="10.81640625" style="3" customWidth="1"/>
    <col min="3" max="3" width="12.1796875" style="3" bestFit="1" customWidth="1"/>
    <col min="4" max="4" width="16.54296875" style="3" customWidth="1"/>
    <col min="5" max="5" width="10.1796875" style="3" bestFit="1" customWidth="1"/>
    <col min="6" max="7" width="13.7265625" style="3" bestFit="1" customWidth="1"/>
    <col min="8" max="8" width="15.1796875" style="3" customWidth="1"/>
    <col min="9" max="11" width="13.7265625" style="3" bestFit="1" customWidth="1"/>
    <col min="12" max="12" width="20.54296875" style="3" bestFit="1" customWidth="1"/>
    <col min="13" max="13" width="16.26953125" style="3" bestFit="1" customWidth="1"/>
    <col min="14" max="14" width="13.7265625" style="3" bestFit="1" customWidth="1"/>
    <col min="15" max="15" width="13.81640625" style="3" bestFit="1" customWidth="1"/>
    <col min="16" max="16" width="13.26953125" style="3" bestFit="1" customWidth="1"/>
    <col min="17" max="17" width="12.1796875" style="3" bestFit="1" customWidth="1"/>
    <col min="18" max="18" width="16" style="3" customWidth="1"/>
    <col min="19" max="20" width="13.26953125" style="3" bestFit="1" customWidth="1"/>
    <col min="21" max="21" width="12.1796875" style="3" bestFit="1" customWidth="1"/>
    <col min="22" max="23" width="13.26953125" style="3" bestFit="1" customWidth="1"/>
    <col min="24" max="24" width="10.7265625" style="3" bestFit="1" customWidth="1"/>
    <col min="25" max="25" width="13.26953125" style="3" bestFit="1" customWidth="1"/>
    <col min="26" max="38" width="9.1796875" style="3" customWidth="1"/>
    <col min="39" max="40" width="10.26953125" style="3" customWidth="1"/>
    <col min="41" max="62" width="9.1796875" style="3" customWidth="1"/>
    <col min="63" max="63" width="11.26953125" style="3" bestFit="1" customWidth="1"/>
    <col min="64" max="64" width="10.26953125" style="3" customWidth="1"/>
    <col min="65" max="65" width="9.1796875" style="3" customWidth="1"/>
    <col min="66" max="66" width="13.7265625" style="3" bestFit="1" customWidth="1"/>
    <col min="67" max="69" width="8.81640625" style="3"/>
    <col min="70" max="70" width="16.453125" style="3" bestFit="1" customWidth="1"/>
    <col min="71" max="71" width="19.08984375" style="3" bestFit="1" customWidth="1"/>
    <col min="72" max="72" width="12.6328125" style="3" bestFit="1" customWidth="1"/>
    <col min="73" max="73" width="14.1796875" style="3" bestFit="1" customWidth="1"/>
    <col min="74" max="256" width="8.81640625" style="3"/>
    <col min="257" max="16384" width="8.81640625" style="4"/>
  </cols>
  <sheetData>
    <row r="1" spans="1:73" ht="13.75" customHeight="1">
      <c r="A1" s="1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2"/>
    </row>
    <row r="2" spans="1:73" ht="14.15" customHeight="1" thickBot="1">
      <c r="A2" s="14"/>
      <c r="B2" s="15" t="s">
        <v>53</v>
      </c>
      <c r="C2" s="32">
        <v>39052</v>
      </c>
      <c r="D2" s="32">
        <v>39083</v>
      </c>
      <c r="E2" s="32">
        <v>39114</v>
      </c>
      <c r="F2" s="32">
        <v>39142</v>
      </c>
      <c r="G2" s="32">
        <v>39173</v>
      </c>
      <c r="H2" s="32">
        <v>39203</v>
      </c>
      <c r="I2" s="32">
        <v>39234</v>
      </c>
      <c r="J2" s="32">
        <v>39264</v>
      </c>
      <c r="K2" s="32">
        <v>39295</v>
      </c>
      <c r="L2" s="32">
        <v>39326</v>
      </c>
      <c r="M2" s="32">
        <v>39356</v>
      </c>
      <c r="N2" s="32">
        <v>39387</v>
      </c>
      <c r="O2" s="32">
        <v>39417</v>
      </c>
      <c r="P2" s="32">
        <v>39448</v>
      </c>
      <c r="Q2" s="32">
        <v>39479</v>
      </c>
      <c r="R2" s="32">
        <v>39508</v>
      </c>
      <c r="S2" s="32">
        <v>39539</v>
      </c>
      <c r="T2" s="32">
        <v>39569</v>
      </c>
      <c r="U2" s="32">
        <v>39600</v>
      </c>
      <c r="V2" s="32">
        <v>39630</v>
      </c>
      <c r="W2" s="32">
        <v>39661</v>
      </c>
      <c r="X2" s="32">
        <v>39692</v>
      </c>
      <c r="Y2" s="32">
        <v>39722</v>
      </c>
      <c r="Z2" s="32">
        <v>39753</v>
      </c>
      <c r="AA2" s="32">
        <v>39783</v>
      </c>
      <c r="AB2" s="32">
        <v>39814</v>
      </c>
      <c r="AC2" s="32">
        <v>39845</v>
      </c>
      <c r="AD2" s="32">
        <v>39873</v>
      </c>
      <c r="AE2" s="32">
        <v>39904</v>
      </c>
      <c r="AF2" s="32">
        <v>39934</v>
      </c>
      <c r="AG2" s="32">
        <v>39965</v>
      </c>
      <c r="AH2" s="32">
        <v>39995</v>
      </c>
      <c r="AI2" s="32">
        <v>40026</v>
      </c>
      <c r="AJ2" s="32">
        <v>40057</v>
      </c>
      <c r="AK2" s="32">
        <v>40087</v>
      </c>
      <c r="AL2" s="32">
        <v>40118</v>
      </c>
      <c r="AM2" s="32">
        <v>40148</v>
      </c>
      <c r="AN2" s="32">
        <v>40179</v>
      </c>
      <c r="AO2" s="32">
        <v>40210</v>
      </c>
      <c r="AP2" s="32">
        <v>40238</v>
      </c>
      <c r="AQ2" s="32">
        <v>40269</v>
      </c>
      <c r="AR2" s="32">
        <v>40299</v>
      </c>
      <c r="AS2" s="32">
        <v>40330</v>
      </c>
      <c r="AT2" s="32">
        <v>40360</v>
      </c>
      <c r="AU2" s="32">
        <v>40391</v>
      </c>
      <c r="AV2" s="32">
        <v>40422</v>
      </c>
      <c r="AW2" s="32">
        <v>40452</v>
      </c>
      <c r="AX2" s="32">
        <v>40483</v>
      </c>
      <c r="AY2" s="32">
        <v>40513</v>
      </c>
      <c r="AZ2" s="32">
        <v>40544</v>
      </c>
      <c r="BA2" s="32">
        <v>40575</v>
      </c>
      <c r="BB2" s="32">
        <v>40603</v>
      </c>
      <c r="BC2" s="32">
        <v>40634</v>
      </c>
      <c r="BD2" s="32">
        <v>40664</v>
      </c>
      <c r="BE2" s="32">
        <v>40695</v>
      </c>
      <c r="BF2" s="32">
        <v>40725</v>
      </c>
      <c r="BG2" s="32">
        <v>40756</v>
      </c>
      <c r="BH2" s="32">
        <v>40787</v>
      </c>
      <c r="BI2" s="32">
        <v>40817</v>
      </c>
      <c r="BJ2" s="32">
        <v>40848</v>
      </c>
      <c r="BK2" s="32">
        <v>40878</v>
      </c>
      <c r="BL2" s="16" t="s">
        <v>12</v>
      </c>
      <c r="BM2" s="6"/>
      <c r="BN2" s="17" t="s">
        <v>53</v>
      </c>
    </row>
    <row r="3" spans="1:73" ht="14.15" customHeight="1">
      <c r="A3" s="18"/>
      <c r="B3" s="31"/>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20"/>
      <c r="AQ3" s="20"/>
      <c r="AR3" s="20"/>
      <c r="AS3" s="20"/>
      <c r="AT3" s="20"/>
      <c r="AU3" s="20"/>
      <c r="AV3" s="20"/>
      <c r="AW3" s="20"/>
      <c r="AX3" s="20"/>
      <c r="AY3" s="20"/>
      <c r="AZ3" s="20"/>
      <c r="BA3" s="20"/>
      <c r="BB3" s="20"/>
      <c r="BC3" s="20"/>
      <c r="BD3" s="20"/>
      <c r="BE3" s="20"/>
      <c r="BF3" s="20"/>
      <c r="BG3" s="20"/>
      <c r="BH3" s="20"/>
      <c r="BI3" s="20"/>
      <c r="BJ3" s="20"/>
      <c r="BK3" s="20"/>
      <c r="BL3" s="19">
        <f>SUM(C3:BK3)*2</f>
        <v>0</v>
      </c>
      <c r="BM3" s="21"/>
      <c r="BN3" s="22">
        <f>BL3+BK7+BK11+BK15</f>
        <v>0</v>
      </c>
    </row>
    <row r="4" spans="1:73" ht="13.75" customHeight="1">
      <c r="A4" s="5"/>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6"/>
      <c r="BN4" s="208">
        <v>0</v>
      </c>
      <c r="BO4" s="3" t="s">
        <v>173</v>
      </c>
      <c r="BS4" s="3" t="s">
        <v>175</v>
      </c>
    </row>
    <row r="5" spans="1:73" ht="13.7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208"/>
      <c r="BS5" s="209" t="s">
        <v>139</v>
      </c>
      <c r="BT5" s="210">
        <v>0</v>
      </c>
      <c r="BU5" s="3" t="s">
        <v>174</v>
      </c>
    </row>
    <row r="6" spans="1:73" ht="14.15" customHeight="1" thickBot="1">
      <c r="A6" s="5"/>
      <c r="B6" s="6"/>
      <c r="C6" s="32">
        <v>40909</v>
      </c>
      <c r="D6" s="32">
        <v>40940</v>
      </c>
      <c r="E6" s="32">
        <v>40969</v>
      </c>
      <c r="F6" s="32">
        <v>41000</v>
      </c>
      <c r="G6" s="32">
        <v>41030</v>
      </c>
      <c r="H6" s="32">
        <v>41061</v>
      </c>
      <c r="I6" s="32">
        <v>41091</v>
      </c>
      <c r="J6" s="32">
        <v>41122</v>
      </c>
      <c r="K6" s="32">
        <v>41153</v>
      </c>
      <c r="L6" s="32">
        <v>41183</v>
      </c>
      <c r="M6" s="32">
        <v>41214</v>
      </c>
      <c r="N6" s="32">
        <v>41244</v>
      </c>
      <c r="O6" s="32">
        <v>41275</v>
      </c>
      <c r="P6" s="32">
        <v>41306</v>
      </c>
      <c r="Q6" s="32">
        <v>41334</v>
      </c>
      <c r="R6" s="32">
        <v>41365</v>
      </c>
      <c r="S6" s="32">
        <v>41395</v>
      </c>
      <c r="T6" s="32">
        <v>41426</v>
      </c>
      <c r="U6" s="32">
        <v>41456</v>
      </c>
      <c r="V6" s="32">
        <v>41487</v>
      </c>
      <c r="W6" s="32">
        <v>41518</v>
      </c>
      <c r="X6" s="32">
        <v>41548</v>
      </c>
      <c r="Y6" s="32">
        <v>41579</v>
      </c>
      <c r="Z6" s="32">
        <v>41609</v>
      </c>
      <c r="AA6" s="32">
        <v>41640</v>
      </c>
      <c r="AB6" s="32">
        <v>41671</v>
      </c>
      <c r="AC6" s="32">
        <v>41699</v>
      </c>
      <c r="AD6" s="32">
        <v>41730</v>
      </c>
      <c r="AE6" s="32">
        <v>41760</v>
      </c>
      <c r="AF6" s="32">
        <v>41791</v>
      </c>
      <c r="AG6" s="32">
        <v>41821</v>
      </c>
      <c r="AH6" s="32">
        <v>41852</v>
      </c>
      <c r="AI6" s="32">
        <v>41883</v>
      </c>
      <c r="AJ6" s="32">
        <v>41913</v>
      </c>
      <c r="AK6" s="32">
        <v>41944</v>
      </c>
      <c r="AL6" s="32">
        <v>41974</v>
      </c>
      <c r="AM6" s="32">
        <v>44197</v>
      </c>
      <c r="AN6" s="32">
        <v>44228</v>
      </c>
      <c r="AO6" s="32">
        <v>44256</v>
      </c>
      <c r="AP6" s="32">
        <v>44287</v>
      </c>
      <c r="AQ6" s="32">
        <v>44317</v>
      </c>
      <c r="AR6" s="32">
        <v>44348</v>
      </c>
      <c r="AS6" s="32">
        <v>44378</v>
      </c>
      <c r="AT6" s="32">
        <v>44409</v>
      </c>
      <c r="AU6" s="32">
        <v>44440</v>
      </c>
      <c r="AV6" s="32">
        <v>44470</v>
      </c>
      <c r="AW6" s="32">
        <v>44501</v>
      </c>
      <c r="AX6" s="32">
        <v>44531</v>
      </c>
      <c r="AY6" s="32">
        <v>42370</v>
      </c>
      <c r="AZ6" s="32">
        <v>42401</v>
      </c>
      <c r="BA6" s="32">
        <v>42430</v>
      </c>
      <c r="BB6" s="32">
        <v>42461</v>
      </c>
      <c r="BC6" s="32">
        <v>42491</v>
      </c>
      <c r="BD6" s="32">
        <v>42522</v>
      </c>
      <c r="BE6" s="32">
        <v>42552</v>
      </c>
      <c r="BF6" s="32">
        <v>42583</v>
      </c>
      <c r="BG6" s="32">
        <v>42614</v>
      </c>
      <c r="BH6" s="32">
        <v>42644</v>
      </c>
      <c r="BI6" s="32">
        <v>42675</v>
      </c>
      <c r="BJ6" s="32">
        <v>42705</v>
      </c>
      <c r="BK6" s="16" t="s">
        <v>12</v>
      </c>
      <c r="BL6" s="6"/>
      <c r="BM6" s="6"/>
      <c r="BN6" s="208"/>
      <c r="BT6" s="210"/>
    </row>
    <row r="7" spans="1:73" ht="14.15" customHeight="1">
      <c r="A7" s="5"/>
      <c r="B7" s="24"/>
      <c r="C7" s="19"/>
      <c r="D7" s="19"/>
      <c r="E7" s="19"/>
      <c r="F7" s="19"/>
      <c r="G7" s="19"/>
      <c r="H7" s="19"/>
      <c r="I7" s="19"/>
      <c r="J7" s="19"/>
      <c r="K7" s="19"/>
      <c r="L7" s="19"/>
      <c r="M7" s="19"/>
      <c r="N7" s="19"/>
      <c r="O7" s="19"/>
      <c r="P7" s="20"/>
      <c r="Q7" s="20"/>
      <c r="R7" s="20"/>
      <c r="S7" s="20"/>
      <c r="T7" s="20"/>
      <c r="U7" s="25"/>
      <c r="V7" s="25"/>
      <c r="W7" s="25"/>
      <c r="X7" s="25"/>
      <c r="Y7" s="25"/>
      <c r="Z7" s="25"/>
      <c r="AA7" s="19"/>
      <c r="AB7" s="19"/>
      <c r="AC7" s="20"/>
      <c r="AD7" s="20"/>
      <c r="AE7" s="20"/>
      <c r="AF7" s="20"/>
      <c r="AG7" s="20"/>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19">
        <f>SUM(C7:BJ7)*2</f>
        <v>0</v>
      </c>
      <c r="BL7" s="21"/>
      <c r="BM7" s="6"/>
      <c r="BN7" s="208"/>
      <c r="BT7" s="210"/>
    </row>
    <row r="8" spans="1:73" ht="13.75" customHeight="1">
      <c r="A8" s="5"/>
      <c r="B8" s="6"/>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6"/>
      <c r="BM8" s="6"/>
      <c r="BN8" s="7"/>
    </row>
    <row r="9" spans="1:73" ht="13.75" customHeight="1">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207" t="s">
        <v>18</v>
      </c>
      <c r="BT9" s="608"/>
      <c r="BU9" s="608"/>
    </row>
    <row r="10" spans="1:73" ht="14.15" customHeight="1" thickBot="1">
      <c r="A10" s="5"/>
      <c r="B10" s="6"/>
      <c r="C10" s="32">
        <v>42736</v>
      </c>
      <c r="D10" s="32">
        <v>42767</v>
      </c>
      <c r="E10" s="32">
        <v>42795</v>
      </c>
      <c r="F10" s="32">
        <v>42826</v>
      </c>
      <c r="G10" s="32">
        <v>42856</v>
      </c>
      <c r="H10" s="32">
        <v>42887</v>
      </c>
      <c r="I10" s="32">
        <v>42917</v>
      </c>
      <c r="J10" s="32">
        <v>42948</v>
      </c>
      <c r="K10" s="32">
        <v>42979</v>
      </c>
      <c r="L10" s="32">
        <v>43009</v>
      </c>
      <c r="M10" s="32">
        <v>43040</v>
      </c>
      <c r="N10" s="32">
        <v>43070</v>
      </c>
      <c r="O10" s="32">
        <v>43101</v>
      </c>
      <c r="P10" s="32">
        <v>43132</v>
      </c>
      <c r="Q10" s="32">
        <v>43160</v>
      </c>
      <c r="R10" s="32">
        <v>43191</v>
      </c>
      <c r="S10" s="32">
        <v>43221</v>
      </c>
      <c r="T10" s="32">
        <v>43252</v>
      </c>
      <c r="U10" s="32">
        <v>43282</v>
      </c>
      <c r="V10" s="32">
        <v>43313</v>
      </c>
      <c r="W10" s="32">
        <v>43344</v>
      </c>
      <c r="X10" s="32">
        <v>43374</v>
      </c>
      <c r="Y10" s="32">
        <v>43405</v>
      </c>
      <c r="Z10" s="32">
        <v>43435</v>
      </c>
      <c r="AA10" s="32">
        <v>43466</v>
      </c>
      <c r="AB10" s="32">
        <v>43497</v>
      </c>
      <c r="AC10" s="32">
        <v>43525</v>
      </c>
      <c r="AD10" s="32">
        <v>43556</v>
      </c>
      <c r="AE10" s="32">
        <v>43586</v>
      </c>
      <c r="AF10" s="32">
        <v>43617</v>
      </c>
      <c r="AG10" s="32">
        <v>43647</v>
      </c>
      <c r="AH10" s="32">
        <v>43678</v>
      </c>
      <c r="AI10" s="32">
        <v>43709</v>
      </c>
      <c r="AJ10" s="32">
        <v>43739</v>
      </c>
      <c r="AK10" s="32">
        <v>43770</v>
      </c>
      <c r="AL10" s="32">
        <v>43800</v>
      </c>
      <c r="AM10" s="32">
        <v>43831</v>
      </c>
      <c r="AN10" s="32">
        <v>43862</v>
      </c>
      <c r="AO10" s="32">
        <v>43891</v>
      </c>
      <c r="AP10" s="32">
        <v>43922</v>
      </c>
      <c r="AQ10" s="32">
        <v>43952</v>
      </c>
      <c r="AR10" s="32">
        <v>43983</v>
      </c>
      <c r="AS10" s="32">
        <v>44013</v>
      </c>
      <c r="AT10" s="32">
        <v>44044</v>
      </c>
      <c r="AU10" s="32">
        <v>44075</v>
      </c>
      <c r="AV10" s="32">
        <v>44105</v>
      </c>
      <c r="AW10" s="32">
        <v>44136</v>
      </c>
      <c r="AX10" s="32">
        <v>44166</v>
      </c>
      <c r="AY10" s="32">
        <v>44197</v>
      </c>
      <c r="AZ10" s="32">
        <v>44228</v>
      </c>
      <c r="BA10" s="32">
        <v>44256</v>
      </c>
      <c r="BB10" s="32">
        <v>44287</v>
      </c>
      <c r="BC10" s="32">
        <v>44317</v>
      </c>
      <c r="BD10" s="32">
        <v>44348</v>
      </c>
      <c r="BE10" s="32">
        <v>44378</v>
      </c>
      <c r="BF10" s="32">
        <v>44409</v>
      </c>
      <c r="BG10" s="32">
        <v>44440</v>
      </c>
      <c r="BH10" s="32">
        <v>44470</v>
      </c>
      <c r="BI10" s="32">
        <v>44501</v>
      </c>
      <c r="BJ10" s="32">
        <v>44531</v>
      </c>
      <c r="BK10" s="16" t="s">
        <v>12</v>
      </c>
      <c r="BL10" s="6"/>
      <c r="BM10" s="6"/>
      <c r="BN10" s="208">
        <v>0</v>
      </c>
      <c r="BO10" s="3" t="s">
        <v>172</v>
      </c>
      <c r="BU10" s="514"/>
    </row>
    <row r="11" spans="1:73" ht="15.65" customHeight="1">
      <c r="A11" s="5"/>
      <c r="B11" s="24"/>
      <c r="C11" s="19"/>
      <c r="D11" s="19"/>
      <c r="E11" s="19"/>
      <c r="F11" s="19"/>
      <c r="G11" s="19"/>
      <c r="H11" s="19"/>
      <c r="I11" s="19"/>
      <c r="J11" s="19"/>
      <c r="K11" s="19"/>
      <c r="L11" s="19"/>
      <c r="M11" s="19"/>
      <c r="N11" s="19"/>
      <c r="O11" s="19"/>
      <c r="P11" s="26"/>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19">
        <f>SUM(C11:BJ11)*2</f>
        <v>0</v>
      </c>
      <c r="BL11" s="21"/>
      <c r="BM11" s="6"/>
      <c r="BN11" s="208"/>
      <c r="BU11" s="327"/>
    </row>
    <row r="12" spans="1:73" ht="15.65" customHeight="1">
      <c r="A12" s="5"/>
      <c r="B12" s="6"/>
      <c r="C12" s="244"/>
      <c r="D12" s="244"/>
      <c r="E12" s="244"/>
      <c r="F12" s="244"/>
      <c r="G12" s="244"/>
      <c r="H12" s="244"/>
      <c r="I12" s="244"/>
      <c r="J12" s="244"/>
      <c r="K12" s="244"/>
      <c r="L12" s="244"/>
      <c r="M12" s="244"/>
      <c r="N12" s="244"/>
      <c r="O12" s="244"/>
      <c r="P12" s="245"/>
      <c r="Q12" s="246"/>
      <c r="R12" s="246"/>
      <c r="S12" s="246"/>
      <c r="T12" s="246"/>
      <c r="U12" s="246"/>
      <c r="V12" s="246"/>
      <c r="W12" s="246"/>
      <c r="X12" s="246"/>
      <c r="Y12" s="246"/>
      <c r="Z12" s="246"/>
      <c r="AA12" s="246"/>
      <c r="AB12" s="246"/>
      <c r="AC12" s="246"/>
      <c r="AD12" s="246"/>
      <c r="AE12" s="246"/>
      <c r="AF12" s="246"/>
      <c r="AG12" s="246"/>
      <c r="AH12" s="246"/>
      <c r="AI12" s="246"/>
      <c r="AJ12" s="246"/>
      <c r="AK12" s="246"/>
      <c r="AL12" s="246"/>
      <c r="AM12" s="246"/>
      <c r="AN12" s="246"/>
      <c r="AO12" s="246"/>
      <c r="AP12" s="246"/>
      <c r="AQ12" s="246"/>
      <c r="AR12" s="246"/>
      <c r="AS12" s="246"/>
      <c r="AT12" s="246"/>
      <c r="AU12" s="246"/>
      <c r="AV12" s="246"/>
      <c r="AW12" s="246"/>
      <c r="AX12" s="246"/>
      <c r="AY12" s="246"/>
      <c r="AZ12" s="246"/>
      <c r="BA12" s="246"/>
      <c r="BB12" s="246"/>
      <c r="BC12" s="246"/>
      <c r="BD12" s="246"/>
      <c r="BE12" s="246"/>
      <c r="BF12" s="246"/>
      <c r="BG12" s="246"/>
      <c r="BH12" s="246"/>
      <c r="BI12" s="246"/>
      <c r="BJ12" s="246"/>
      <c r="BK12" s="244"/>
      <c r="BL12" s="6"/>
      <c r="BM12" s="6"/>
      <c r="BN12" s="208"/>
      <c r="BU12" s="327"/>
    </row>
    <row r="13" spans="1:73" ht="15.65" customHeight="1">
      <c r="A13" s="5"/>
      <c r="B13" s="6"/>
      <c r="C13" s="244"/>
      <c r="D13" s="244"/>
      <c r="E13" s="244"/>
      <c r="F13" s="244"/>
      <c r="G13" s="244"/>
      <c r="H13" s="244"/>
      <c r="I13" s="244"/>
      <c r="J13" s="244"/>
      <c r="K13" s="244"/>
      <c r="L13" s="244"/>
      <c r="M13" s="244"/>
      <c r="N13" s="244"/>
      <c r="O13" s="244"/>
      <c r="P13" s="245"/>
      <c r="Q13" s="246"/>
      <c r="R13" s="246"/>
      <c r="S13" s="246"/>
      <c r="T13" s="246"/>
      <c r="U13" s="246"/>
      <c r="V13" s="246"/>
      <c r="W13" s="246"/>
      <c r="X13" s="246"/>
      <c r="Y13" s="246"/>
      <c r="Z13" s="246"/>
      <c r="AA13" s="246"/>
      <c r="AB13" s="246"/>
      <c r="AC13" s="246"/>
      <c r="AD13" s="246"/>
      <c r="AE13" s="246"/>
      <c r="AF13" s="246"/>
      <c r="AG13" s="246"/>
      <c r="AH13" s="246"/>
      <c r="AI13" s="246"/>
      <c r="AJ13" s="246"/>
      <c r="AK13" s="246"/>
      <c r="AL13" s="246"/>
      <c r="AM13" s="246"/>
      <c r="AN13" s="246"/>
      <c r="AO13" s="246"/>
      <c r="AP13" s="246"/>
      <c r="AQ13" s="246"/>
      <c r="AR13" s="246"/>
      <c r="AS13" s="246"/>
      <c r="AT13" s="246"/>
      <c r="AU13" s="246"/>
      <c r="AV13" s="246"/>
      <c r="AW13" s="246"/>
      <c r="AX13" s="246"/>
      <c r="AY13" s="246"/>
      <c r="AZ13" s="246"/>
      <c r="BA13" s="246"/>
      <c r="BB13" s="246"/>
      <c r="BC13" s="246"/>
      <c r="BD13" s="246"/>
      <c r="BE13" s="246"/>
      <c r="BF13" s="246"/>
      <c r="BG13" s="246"/>
      <c r="BH13" s="246"/>
      <c r="BI13" s="246"/>
      <c r="BJ13" s="246"/>
      <c r="BK13" s="244"/>
      <c r="BL13" s="6"/>
      <c r="BM13" s="6"/>
      <c r="BN13" s="7"/>
      <c r="BU13" s="327"/>
    </row>
    <row r="14" spans="1:73" ht="15.65" customHeight="1" thickBot="1">
      <c r="A14" s="5"/>
      <c r="B14" s="6"/>
      <c r="C14" s="32">
        <v>44562</v>
      </c>
      <c r="D14" s="32">
        <v>44593</v>
      </c>
      <c r="E14" s="32">
        <v>44621</v>
      </c>
      <c r="F14" s="32">
        <v>44652</v>
      </c>
      <c r="G14" s="32">
        <v>44682</v>
      </c>
      <c r="H14" s="32">
        <v>44713</v>
      </c>
      <c r="I14" s="32">
        <v>44743</v>
      </c>
      <c r="J14" s="32">
        <v>44774</v>
      </c>
      <c r="K14" s="32">
        <v>44805</v>
      </c>
      <c r="L14" s="32">
        <v>44835</v>
      </c>
      <c r="M14" s="32">
        <v>44866</v>
      </c>
      <c r="N14" s="32">
        <v>44896</v>
      </c>
      <c r="O14" s="32">
        <v>44927</v>
      </c>
      <c r="P14" s="32">
        <v>44958</v>
      </c>
      <c r="Q14" s="32">
        <v>44986</v>
      </c>
      <c r="R14" s="32">
        <v>45017</v>
      </c>
      <c r="S14" s="32">
        <v>45047</v>
      </c>
      <c r="T14" s="443">
        <v>45078</v>
      </c>
      <c r="U14" s="443">
        <v>45108</v>
      </c>
      <c r="V14" s="443">
        <v>45139</v>
      </c>
      <c r="W14" s="443">
        <v>45170</v>
      </c>
      <c r="X14" s="443">
        <v>45200</v>
      </c>
      <c r="Y14" s="443">
        <v>45231</v>
      </c>
      <c r="Z14" s="32">
        <v>45261</v>
      </c>
      <c r="AA14" s="32">
        <v>45292</v>
      </c>
      <c r="AB14" s="32">
        <v>45323</v>
      </c>
      <c r="AC14" s="32">
        <v>45352</v>
      </c>
      <c r="AD14" s="32">
        <v>45383</v>
      </c>
      <c r="AE14" s="32">
        <v>45413</v>
      </c>
      <c r="AF14" s="32">
        <v>45444</v>
      </c>
      <c r="AG14" s="32">
        <v>45474</v>
      </c>
      <c r="AH14" s="32">
        <v>45505</v>
      </c>
      <c r="AI14" s="32">
        <v>45536</v>
      </c>
      <c r="AJ14" s="32">
        <v>45566</v>
      </c>
      <c r="AK14" s="32">
        <v>45597</v>
      </c>
      <c r="AL14" s="32">
        <v>45627</v>
      </c>
      <c r="AM14" s="32">
        <v>45658</v>
      </c>
      <c r="AN14" s="32">
        <v>45689</v>
      </c>
      <c r="AO14" s="32">
        <v>45717</v>
      </c>
      <c r="AP14" s="32">
        <v>45748</v>
      </c>
      <c r="AQ14" s="32">
        <v>45778</v>
      </c>
      <c r="AR14" s="32">
        <v>45809</v>
      </c>
      <c r="AS14" s="32">
        <v>45839</v>
      </c>
      <c r="AT14" s="32">
        <v>45870</v>
      </c>
      <c r="AU14" s="32">
        <v>45901</v>
      </c>
      <c r="AV14" s="32">
        <v>45931</v>
      </c>
      <c r="AW14" s="32">
        <v>45962</v>
      </c>
      <c r="AX14" s="32">
        <v>45992</v>
      </c>
      <c r="AY14" s="32">
        <v>46023</v>
      </c>
      <c r="AZ14" s="32">
        <v>46054</v>
      </c>
      <c r="BA14" s="32">
        <v>46082</v>
      </c>
      <c r="BB14" s="32">
        <v>46113</v>
      </c>
      <c r="BC14" s="32">
        <v>46143</v>
      </c>
      <c r="BD14" s="32">
        <v>46174</v>
      </c>
      <c r="BE14" s="32">
        <v>46204</v>
      </c>
      <c r="BF14" s="32">
        <v>46235</v>
      </c>
      <c r="BG14" s="32">
        <v>46266</v>
      </c>
      <c r="BH14" s="32">
        <v>46296</v>
      </c>
      <c r="BI14" s="32">
        <v>46327</v>
      </c>
      <c r="BJ14" s="32">
        <v>46357</v>
      </c>
      <c r="BK14" s="16" t="s">
        <v>12</v>
      </c>
      <c r="BL14" s="6"/>
      <c r="BM14" s="6"/>
      <c r="BN14" s="7"/>
      <c r="BU14" s="327"/>
    </row>
    <row r="15" spans="1:73" ht="15.65" customHeight="1">
      <c r="A15" s="5"/>
      <c r="B15" s="6"/>
      <c r="C15" s="19"/>
      <c r="D15" s="19"/>
      <c r="E15" s="19"/>
      <c r="F15" s="19"/>
      <c r="G15" s="19"/>
      <c r="H15" s="19"/>
      <c r="I15" s="19"/>
      <c r="J15" s="19"/>
      <c r="K15" s="19"/>
      <c r="L15" s="19"/>
      <c r="M15" s="19"/>
      <c r="N15" s="19"/>
      <c r="O15" s="19"/>
      <c r="P15" s="26"/>
      <c r="Q15" s="25"/>
      <c r="R15" s="25"/>
      <c r="S15" s="25"/>
      <c r="T15" s="444"/>
      <c r="U15" s="444"/>
      <c r="V15" s="444"/>
      <c r="W15" s="444"/>
      <c r="X15" s="444"/>
      <c r="Y15" s="444"/>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19">
        <f>SUM(C15:BJ15)*2</f>
        <v>0</v>
      </c>
      <c r="BL15" s="6"/>
      <c r="BM15" s="6"/>
      <c r="BN15" s="7"/>
      <c r="BU15" s="327"/>
    </row>
    <row r="16" spans="1:73" ht="13.75" customHeight="1">
      <c r="A16" s="5"/>
      <c r="B16" s="6"/>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6"/>
      <c r="BM16" s="6"/>
      <c r="BN16" s="207"/>
      <c r="BR16" s="326"/>
      <c r="BU16" s="327"/>
    </row>
    <row r="17" spans="1:72" ht="13.75" customHeight="1">
      <c r="A17" s="5"/>
      <c r="B17" s="6"/>
      <c r="C17" s="6"/>
      <c r="D17" s="28"/>
      <c r="E17" s="6"/>
      <c r="F17" s="27"/>
      <c r="G17" s="6"/>
      <c r="H17" s="658"/>
      <c r="I17" s="663"/>
      <c r="J17" s="186"/>
      <c r="K17" s="6"/>
      <c r="L17" s="6"/>
      <c r="M17" s="659"/>
      <c r="N17" s="660"/>
      <c r="O17" s="661"/>
      <c r="P17" s="662"/>
      <c r="Q17" s="6"/>
      <c r="R17" s="659"/>
      <c r="S17" s="660"/>
      <c r="T17" s="661"/>
      <c r="U17" s="661"/>
      <c r="V17" s="6"/>
      <c r="W17" s="659"/>
      <c r="X17" s="660"/>
      <c r="Y17" s="661"/>
      <c r="Z17" s="661"/>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206"/>
      <c r="BO17" s="186"/>
      <c r="BP17" s="186"/>
      <c r="BQ17" s="186"/>
      <c r="BR17" s="665"/>
      <c r="BS17" s="206"/>
      <c r="BT17" s="327"/>
    </row>
    <row r="18" spans="1:72" ht="13.75" customHeight="1">
      <c r="A18" s="440"/>
      <c r="B18" s="604" t="s">
        <v>177</v>
      </c>
      <c r="C18" s="666"/>
      <c r="D18" s="666"/>
      <c r="E18" s="606"/>
      <c r="F18" s="475"/>
      <c r="G18" s="6"/>
      <c r="H18" s="658"/>
      <c r="I18" s="663"/>
      <c r="J18" s="8"/>
      <c r="K18" s="6"/>
      <c r="L18" s="6"/>
      <c r="M18" s="658"/>
      <c r="N18" s="663"/>
      <c r="O18" s="664"/>
      <c r="P18" s="662"/>
      <c r="Q18" s="6"/>
      <c r="R18" s="658"/>
      <c r="S18" s="663"/>
      <c r="T18" s="661"/>
      <c r="U18" s="661"/>
      <c r="V18" s="6"/>
      <c r="W18" s="658"/>
      <c r="X18" s="663"/>
      <c r="Y18" s="661"/>
      <c r="Z18" s="661"/>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186"/>
      <c r="BP18" s="186"/>
      <c r="BQ18" s="186"/>
      <c r="BR18" s="186"/>
      <c r="BS18" s="186"/>
    </row>
    <row r="19" spans="1:72" ht="13.75" customHeight="1">
      <c r="A19" s="440"/>
      <c r="B19" s="604" t="s">
        <v>92</v>
      </c>
      <c r="C19" s="606"/>
      <c r="D19" s="436">
        <v>0</v>
      </c>
      <c r="E19" s="437">
        <v>45345</v>
      </c>
      <c r="F19" s="475"/>
      <c r="G19" s="6"/>
      <c r="H19" s="658"/>
      <c r="I19" s="663"/>
      <c r="J19" s="8"/>
      <c r="K19" s="6"/>
      <c r="L19" s="6"/>
      <c r="M19" s="658"/>
      <c r="N19" s="663"/>
      <c r="O19" s="667"/>
      <c r="P19" s="668"/>
      <c r="Q19" s="6"/>
      <c r="R19" s="658"/>
      <c r="S19" s="663"/>
      <c r="T19" s="669"/>
      <c r="U19" s="669"/>
      <c r="V19" s="6"/>
      <c r="W19" s="658"/>
      <c r="X19" s="663"/>
      <c r="Y19" s="669"/>
      <c r="Z19" s="669"/>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186"/>
      <c r="BP19" s="186"/>
      <c r="BQ19" s="186"/>
      <c r="BR19" s="186"/>
      <c r="BS19" s="186"/>
    </row>
    <row r="20" spans="1:72" ht="13.75" customHeight="1">
      <c r="A20" s="435"/>
      <c r="B20" s="604" t="s">
        <v>97</v>
      </c>
      <c r="C20" s="606"/>
      <c r="D20" s="436">
        <v>0</v>
      </c>
      <c r="E20" s="437">
        <v>45345</v>
      </c>
      <c r="F20" s="438"/>
      <c r="G20" s="6"/>
      <c r="H20" s="6"/>
      <c r="I20" s="243"/>
      <c r="J20" s="243"/>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186"/>
      <c r="BP20" s="186"/>
      <c r="BQ20" s="186"/>
      <c r="BR20" s="186"/>
      <c r="BS20" s="186"/>
    </row>
    <row r="21" spans="1:72" ht="13.75" customHeight="1">
      <c r="A21" s="435"/>
      <c r="B21" s="604" t="s">
        <v>127</v>
      </c>
      <c r="C21" s="606"/>
      <c r="D21" s="436">
        <v>0</v>
      </c>
      <c r="E21" s="437">
        <v>45345</v>
      </c>
      <c r="F21" s="438"/>
      <c r="G21" s="6"/>
      <c r="H21" s="6"/>
      <c r="I21" s="243"/>
      <c r="J21" s="253"/>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186"/>
      <c r="BP21" s="186"/>
      <c r="BQ21" s="186"/>
      <c r="BR21" s="186"/>
      <c r="BS21" s="186"/>
    </row>
    <row r="22" spans="1:72" ht="13.75" customHeight="1">
      <c r="A22" s="435"/>
      <c r="B22" s="604" t="s">
        <v>55</v>
      </c>
      <c r="C22" s="607"/>
      <c r="D22" s="436">
        <v>0</v>
      </c>
      <c r="E22" s="437">
        <v>45345</v>
      </c>
      <c r="F22" s="438"/>
      <c r="G22" s="28"/>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7"/>
    </row>
    <row r="23" spans="1:72" ht="13.75" customHeight="1">
      <c r="A23" s="435"/>
      <c r="B23" s="604" t="s">
        <v>56</v>
      </c>
      <c r="C23" s="605"/>
      <c r="D23" s="436">
        <v>0</v>
      </c>
      <c r="E23" s="437">
        <v>45345</v>
      </c>
      <c r="F23" s="439"/>
      <c r="G23" s="28"/>
      <c r="H23" s="6"/>
      <c r="I23" s="28"/>
      <c r="J23" s="253"/>
      <c r="K23" s="202"/>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7"/>
    </row>
    <row r="24" spans="1:72" ht="13.75" customHeight="1">
      <c r="A24" s="435"/>
      <c r="B24" s="604" t="s">
        <v>57</v>
      </c>
      <c r="C24" s="605"/>
      <c r="D24" s="436">
        <v>0</v>
      </c>
      <c r="E24" s="437">
        <v>45345</v>
      </c>
      <c r="F24" s="438"/>
      <c r="G24" s="28"/>
      <c r="H24" s="201"/>
      <c r="I24" s="6"/>
      <c r="J24" s="20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7"/>
    </row>
    <row r="25" spans="1:72" ht="13.75" customHeight="1">
      <c r="A25" s="440"/>
      <c r="B25" s="604" t="s">
        <v>106</v>
      </c>
      <c r="C25" s="605"/>
      <c r="D25" s="436">
        <v>0</v>
      </c>
      <c r="E25" s="437">
        <v>45345</v>
      </c>
      <c r="F25" s="441"/>
      <c r="G25" s="28"/>
      <c r="H25" s="515"/>
      <c r="I25" s="539"/>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7"/>
    </row>
    <row r="26" spans="1:72" ht="13.75" customHeight="1">
      <c r="A26" s="13"/>
      <c r="B26" s="29"/>
      <c r="C26" s="29"/>
      <c r="D26" s="12"/>
      <c r="E26" s="12"/>
      <c r="F26" s="6"/>
      <c r="G26" s="28"/>
      <c r="H26" s="30"/>
      <c r="I26" s="6"/>
      <c r="J26" s="6"/>
      <c r="K26" s="6"/>
      <c r="L26" s="6"/>
      <c r="M26" s="6"/>
      <c r="N26" s="6"/>
      <c r="O26" s="6"/>
      <c r="P26" s="6"/>
      <c r="Q26" s="6"/>
      <c r="R26" s="6"/>
      <c r="S26" s="6"/>
      <c r="T26" s="6"/>
      <c r="U26" s="6"/>
      <c r="V26" s="6"/>
      <c r="W26" s="6"/>
      <c r="X26" s="6"/>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10"/>
    </row>
  </sheetData>
  <mergeCells count="18">
    <mergeCell ref="BT9:BU9"/>
    <mergeCell ref="M17:N17"/>
    <mergeCell ref="W17:X17"/>
    <mergeCell ref="Y17:Z17"/>
    <mergeCell ref="Y18:Z18"/>
    <mergeCell ref="O17:P17"/>
    <mergeCell ref="T18:U18"/>
    <mergeCell ref="T17:U17"/>
    <mergeCell ref="O18:P18"/>
    <mergeCell ref="R17:S17"/>
    <mergeCell ref="B24:C24"/>
    <mergeCell ref="B25:C25"/>
    <mergeCell ref="B23:C23"/>
    <mergeCell ref="B20:C20"/>
    <mergeCell ref="B22:C22"/>
    <mergeCell ref="B21:C21"/>
    <mergeCell ref="B18:E18"/>
    <mergeCell ref="B19:C19"/>
  </mergeCells>
  <conditionalFormatting sqref="C3:AO3 BL3 C7:O7 AA7:AB7 BK7 C11:O13 BK11:BK13">
    <cfRule type="cellIs" dxfId="120" priority="3" stopIfTrue="1" operator="lessThan">
      <formula>0</formula>
    </cfRule>
  </conditionalFormatting>
  <conditionalFormatting sqref="C15:K15 BK15 O15">
    <cfRule type="cellIs" dxfId="119" priority="2" stopIfTrue="1" operator="lessThan">
      <formula>0</formula>
    </cfRule>
  </conditionalFormatting>
  <conditionalFormatting sqref="L15:N15">
    <cfRule type="cellIs" dxfId="118" priority="1" stopIfTrue="1" operator="lessThan">
      <formula>0</formula>
    </cfRule>
  </conditionalFormatting>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ilha5"/>
  <dimension ref="A1:BS610"/>
  <sheetViews>
    <sheetView zoomScaleNormal="100" workbookViewId="0">
      <pane xSplit="1" ySplit="2" topLeftCell="B3" activePane="bottomRight" state="frozen"/>
      <selection pane="topRight" activeCell="B1" sqref="B1"/>
      <selection pane="bottomLeft" activeCell="A4" sqref="A4"/>
      <selection pane="bottomRight" activeCell="A4" sqref="A4"/>
    </sheetView>
  </sheetViews>
  <sheetFormatPr defaultRowHeight="14.5"/>
  <cols>
    <col min="1" max="1" width="10.7265625" bestFit="1" customWidth="1"/>
    <col min="2" max="2" width="14.26953125" style="98" bestFit="1" customWidth="1"/>
    <col min="3" max="3" width="10.7265625" style="98" bestFit="1" customWidth="1"/>
    <col min="4" max="4" width="14.26953125" style="98" bestFit="1" customWidth="1"/>
    <col min="5" max="5" width="10.7265625" style="98" bestFit="1" customWidth="1"/>
    <col min="6" max="6" width="14.26953125" style="98" bestFit="1" customWidth="1"/>
    <col min="7" max="7" width="10.7265625" style="98" bestFit="1" customWidth="1"/>
    <col min="8" max="8" width="12.1796875" style="98" bestFit="1" customWidth="1"/>
    <col min="9" max="9" width="9.1796875" style="98" bestFit="1" customWidth="1"/>
    <col min="10" max="10" width="13.7265625" style="98" bestFit="1" customWidth="1"/>
    <col min="11" max="11" width="8.453125" style="98" bestFit="1" customWidth="1"/>
    <col min="12" max="12" width="11.7265625" style="98" bestFit="1" customWidth="1"/>
    <col min="13" max="13" width="9.7265625" style="98" bestFit="1" customWidth="1"/>
    <col min="14" max="14" width="14.26953125" style="98" bestFit="1" customWidth="1"/>
    <col min="15" max="15" width="10.453125" style="98" bestFit="1" customWidth="1"/>
    <col min="16" max="16" width="12.1796875" style="98" bestFit="1" customWidth="1"/>
    <col min="17" max="17" width="10.7265625" style="98" bestFit="1" customWidth="1"/>
    <col min="18" max="18" width="15.7265625" style="98" customWidth="1"/>
    <col min="19" max="19" width="7.81640625" bestFit="1" customWidth="1"/>
    <col min="20" max="20" width="13.26953125" style="98" bestFit="1" customWidth="1"/>
    <col min="21" max="21" width="7.81640625" bestFit="1" customWidth="1"/>
    <col min="22" max="22" width="12.6328125" bestFit="1" customWidth="1"/>
    <col min="23" max="23" width="11.1796875" bestFit="1" customWidth="1"/>
    <col min="24" max="24" width="12.6328125" bestFit="1" customWidth="1"/>
    <col min="25" max="25" width="9.453125" bestFit="1" customWidth="1"/>
    <col min="26" max="26" width="13.26953125" style="309" bestFit="1" customWidth="1"/>
    <col min="27" max="27" width="10.54296875" style="98" bestFit="1" customWidth="1"/>
    <col min="28" max="28" width="13.26953125" style="309" bestFit="1" customWidth="1"/>
    <col min="29" max="29" width="10.54296875" style="98" bestFit="1" customWidth="1"/>
    <col min="30" max="30" width="13.26953125" style="309" bestFit="1" customWidth="1"/>
    <col min="31" max="31" width="10.54296875" style="98" bestFit="1" customWidth="1"/>
    <col min="32" max="32" width="14.26953125" bestFit="1" customWidth="1"/>
    <col min="33" max="33" width="17" bestFit="1" customWidth="1"/>
    <col min="34" max="36" width="10" customWidth="1"/>
    <col min="37" max="37" width="12.7265625" bestFit="1" customWidth="1"/>
    <col min="38" max="38" width="8.1796875" bestFit="1" customWidth="1"/>
    <col min="39" max="39" width="13.81640625" bestFit="1" customWidth="1"/>
    <col min="40" max="40" width="8.1796875" bestFit="1" customWidth="1"/>
    <col min="41" max="41" width="12.7265625" bestFit="1" customWidth="1"/>
    <col min="42" max="42" width="8.1796875" bestFit="1" customWidth="1"/>
    <col min="43" max="43" width="13.81640625" bestFit="1" customWidth="1"/>
    <col min="44" max="44" width="15.81640625" bestFit="1" customWidth="1"/>
    <col min="45" max="45" width="16.81640625" style="389" bestFit="1" customWidth="1"/>
    <col min="46" max="46" width="18" bestFit="1" customWidth="1"/>
    <col min="47" max="47" width="18" customWidth="1"/>
    <col min="48" max="48" width="13.81640625" bestFit="1" customWidth="1"/>
    <col min="49" max="50" width="13.81640625" customWidth="1"/>
    <col min="51" max="51" width="15.81640625" bestFit="1" customWidth="1"/>
    <col min="52" max="52" width="15.81640625" customWidth="1"/>
    <col min="53" max="53" width="16.1796875" bestFit="1" customWidth="1"/>
    <col min="54" max="54" width="8.453125" bestFit="1" customWidth="1"/>
    <col min="55" max="55" width="9.54296875" bestFit="1" customWidth="1"/>
    <col min="56" max="56" width="15.453125" bestFit="1" customWidth="1"/>
    <col min="57" max="57" width="12.1796875" bestFit="1" customWidth="1"/>
    <col min="58" max="58" width="13.7265625" customWidth="1"/>
    <col min="59" max="59" width="13.54296875" bestFit="1" customWidth="1"/>
    <col min="60" max="60" width="11.6328125" bestFit="1" customWidth="1"/>
    <col min="61" max="61" width="12.6328125" bestFit="1" customWidth="1"/>
    <col min="62" max="62" width="11" style="389" bestFit="1" customWidth="1"/>
    <col min="63" max="63" width="10.453125" bestFit="1" customWidth="1"/>
    <col min="64" max="64" width="10.54296875" bestFit="1" customWidth="1"/>
    <col min="65" max="65" width="13.26953125" bestFit="1" customWidth="1"/>
    <col min="66" max="66" width="10.54296875" customWidth="1"/>
    <col min="67" max="67" width="6.1796875" bestFit="1" customWidth="1"/>
    <col min="68" max="68" width="10.54296875" bestFit="1" customWidth="1"/>
    <col min="69" max="69" width="13.26953125" bestFit="1" customWidth="1"/>
    <col min="70" max="70" width="7.54296875" bestFit="1" customWidth="1"/>
    <col min="71" max="71" width="36.26953125" bestFit="1" customWidth="1"/>
    <col min="72" max="72" width="10.54296875" bestFit="1" customWidth="1"/>
  </cols>
  <sheetData>
    <row r="1" spans="1:71" ht="15" customHeight="1" thickBot="1">
      <c r="A1" s="288"/>
      <c r="B1" s="624" t="s">
        <v>92</v>
      </c>
      <c r="C1" s="624"/>
      <c r="D1" s="624"/>
      <c r="E1" s="624"/>
      <c r="F1" s="624"/>
      <c r="G1" s="624"/>
      <c r="H1" s="625" t="s">
        <v>141</v>
      </c>
      <c r="I1" s="626"/>
      <c r="J1" s="621" t="s">
        <v>143</v>
      </c>
      <c r="K1" s="622"/>
      <c r="L1" s="627">
        <v>99</v>
      </c>
      <c r="M1" s="628"/>
      <c r="N1" s="635" t="s">
        <v>90</v>
      </c>
      <c r="O1" s="636"/>
      <c r="P1" s="636"/>
      <c r="Q1" s="636"/>
      <c r="R1" s="637" t="s">
        <v>91</v>
      </c>
      <c r="S1" s="638"/>
      <c r="T1" s="638"/>
      <c r="U1" s="638"/>
      <c r="V1" s="638"/>
      <c r="W1" s="638"/>
      <c r="X1" s="638"/>
      <c r="Y1" s="638"/>
      <c r="Z1" s="670" t="s">
        <v>151</v>
      </c>
      <c r="AA1" s="671"/>
      <c r="AB1" s="632" t="s">
        <v>130</v>
      </c>
      <c r="AC1" s="627"/>
      <c r="AD1" s="633" t="s">
        <v>147</v>
      </c>
      <c r="AE1" s="634"/>
      <c r="AG1" s="623" t="s">
        <v>142</v>
      </c>
      <c r="AH1" s="609" t="s">
        <v>110</v>
      </c>
      <c r="AI1" s="610" t="s">
        <v>148</v>
      </c>
      <c r="AJ1" s="500"/>
      <c r="AK1" s="639" t="s">
        <v>179</v>
      </c>
      <c r="AL1" s="639"/>
      <c r="AM1" s="639"/>
      <c r="AN1" s="639"/>
      <c r="AO1" s="639"/>
      <c r="AP1" s="639"/>
      <c r="AR1" s="687"/>
      <c r="AS1" s="688" t="s">
        <v>128</v>
      </c>
      <c r="AT1" s="687"/>
      <c r="BC1" s="389"/>
      <c r="BD1" s="611" t="s">
        <v>112</v>
      </c>
      <c r="BE1" s="612" t="s">
        <v>113</v>
      </c>
      <c r="BF1" s="612"/>
      <c r="BG1" s="612"/>
      <c r="BH1" s="612"/>
      <c r="BI1" s="612"/>
      <c r="BJ1" s="612"/>
    </row>
    <row r="2" spans="1:71" ht="16.5" customHeight="1" thickBot="1">
      <c r="A2" s="289" t="s">
        <v>61</v>
      </c>
      <c r="B2" s="290" t="s">
        <v>134</v>
      </c>
      <c r="C2" s="316">
        <v>46322</v>
      </c>
      <c r="D2" s="290" t="s">
        <v>134</v>
      </c>
      <c r="E2" s="316">
        <v>45996</v>
      </c>
      <c r="F2" s="290" t="s">
        <v>134</v>
      </c>
      <c r="G2" s="316">
        <v>46017</v>
      </c>
      <c r="H2" s="619">
        <v>2029</v>
      </c>
      <c r="I2" s="620"/>
      <c r="J2" s="621"/>
      <c r="K2" s="622"/>
      <c r="L2" s="291"/>
      <c r="M2" s="292"/>
      <c r="N2" s="467" t="s">
        <v>136</v>
      </c>
      <c r="O2" s="468">
        <v>45301</v>
      </c>
      <c r="P2" s="467" t="s">
        <v>136</v>
      </c>
      <c r="Q2" s="468">
        <v>45301</v>
      </c>
      <c r="R2" s="466"/>
      <c r="S2" s="466" t="s">
        <v>108</v>
      </c>
      <c r="T2" s="466"/>
      <c r="U2" s="466" t="s">
        <v>109</v>
      </c>
      <c r="V2" s="293" t="s">
        <v>156</v>
      </c>
      <c r="W2" s="293"/>
      <c r="X2" s="293" t="s">
        <v>155</v>
      </c>
      <c r="Y2" s="293"/>
      <c r="Z2" s="672"/>
      <c r="AA2" s="673" t="s">
        <v>178</v>
      </c>
      <c r="AB2" s="307"/>
      <c r="AC2" s="292" t="s">
        <v>131</v>
      </c>
      <c r="AD2" s="395"/>
      <c r="AE2" s="396" t="s">
        <v>149</v>
      </c>
      <c r="AG2" s="623"/>
      <c r="AH2" s="609"/>
      <c r="AI2" s="610"/>
      <c r="AJ2" s="500"/>
      <c r="AK2" s="501" t="s">
        <v>169</v>
      </c>
      <c r="AL2" s="501" t="s">
        <v>146</v>
      </c>
      <c r="AM2" s="501" t="s">
        <v>171</v>
      </c>
      <c r="AN2" s="501" t="s">
        <v>146</v>
      </c>
      <c r="AO2" s="501" t="s">
        <v>170</v>
      </c>
      <c r="AP2" s="501" t="s">
        <v>146</v>
      </c>
      <c r="AQ2" s="287"/>
      <c r="AR2" s="687"/>
      <c r="AS2" s="687" t="s">
        <v>138</v>
      </c>
      <c r="AT2" s="687" t="s">
        <v>132</v>
      </c>
      <c r="AV2" s="287"/>
      <c r="AW2" s="287"/>
      <c r="AX2" s="287"/>
      <c r="AY2" s="287"/>
      <c r="AZ2" s="287"/>
      <c r="BA2" s="287"/>
      <c r="BB2" s="287"/>
      <c r="BC2" s="389"/>
      <c r="BD2" s="611"/>
      <c r="BE2" s="613" t="s">
        <v>61</v>
      </c>
      <c r="BF2" s="613" t="s">
        <v>114</v>
      </c>
      <c r="BG2" s="613" t="s">
        <v>115</v>
      </c>
      <c r="BH2" s="613" t="s">
        <v>116</v>
      </c>
      <c r="BI2" s="236" t="s">
        <v>117</v>
      </c>
      <c r="BJ2" s="236" t="s">
        <v>145</v>
      </c>
      <c r="BL2" s="614" t="s">
        <v>120</v>
      </c>
      <c r="BM2" s="615"/>
      <c r="BN2" s="615"/>
      <c r="BO2" s="615"/>
      <c r="BP2" s="616"/>
      <c r="BR2" s="617" t="s">
        <v>121</v>
      </c>
      <c r="BS2" s="618"/>
    </row>
    <row r="3" spans="1:71" ht="15" thickBot="1">
      <c r="A3" s="295">
        <v>45289</v>
      </c>
      <c r="B3" s="397">
        <v>0</v>
      </c>
      <c r="C3" s="312">
        <v>4.2863533635613746E-4</v>
      </c>
      <c r="D3" s="398">
        <v>0</v>
      </c>
      <c r="E3" s="312">
        <v>4.2862717351228104E-4</v>
      </c>
      <c r="F3" s="397">
        <v>0</v>
      </c>
      <c r="G3" s="312">
        <v>4.2874178871042017E-4</v>
      </c>
      <c r="H3" s="409">
        <v>0</v>
      </c>
      <c r="I3" s="312">
        <f>H3/(10)</f>
        <v>0</v>
      </c>
      <c r="J3" s="415">
        <v>0</v>
      </c>
      <c r="K3" s="369">
        <v>4.5056180053980744E-4</v>
      </c>
      <c r="L3" s="410">
        <v>0</v>
      </c>
      <c r="M3" s="312">
        <v>6.9274008392046092E-4</v>
      </c>
      <c r="N3" s="399">
        <v>0</v>
      </c>
      <c r="O3" s="312">
        <v>3.6072345032768006E-4</v>
      </c>
      <c r="P3" s="404">
        <v>0</v>
      </c>
      <c r="Q3" s="312">
        <v>4.2667731846886454E-4</v>
      </c>
      <c r="R3" s="454">
        <v>0</v>
      </c>
      <c r="S3" s="312">
        <v>2.0934254701436293E-4</v>
      </c>
      <c r="T3" s="454">
        <v>0</v>
      </c>
      <c r="U3" s="312">
        <v>2.1180158427561846E-4</v>
      </c>
      <c r="V3" s="454">
        <v>0</v>
      </c>
      <c r="W3" s="312">
        <f>(V3-(10))/(10)</f>
        <v>-1</v>
      </c>
      <c r="X3" s="454">
        <v>0</v>
      </c>
      <c r="Y3" s="312">
        <f>(X3-(10))/(10)</f>
        <v>-1</v>
      </c>
      <c r="Z3" s="674">
        <v>0</v>
      </c>
      <c r="AA3" s="297"/>
      <c r="AB3" s="379">
        <v>0</v>
      </c>
      <c r="AC3" s="297"/>
      <c r="AD3" s="413">
        <v>0</v>
      </c>
      <c r="AE3" s="297"/>
      <c r="AF3" s="287"/>
      <c r="AG3" s="400">
        <f>B3+D3+F3+H3+J3+L3+N3+P3+R3+T3+V3+X3</f>
        <v>0</v>
      </c>
      <c r="AH3" s="401">
        <f>AB3</f>
        <v>0</v>
      </c>
      <c r="AI3" s="407">
        <f>AD3</f>
        <v>0</v>
      </c>
      <c r="AJ3" s="497"/>
      <c r="AK3" s="502">
        <f>V3+X3</f>
        <v>0</v>
      </c>
      <c r="AL3" s="503" t="e">
        <f>AK3/AG3</f>
        <v>#DIV/0!</v>
      </c>
      <c r="AM3" s="504">
        <f>AG3-AK3-AO3</f>
        <v>0</v>
      </c>
      <c r="AN3" s="503" t="e">
        <f>AM3/AG3</f>
        <v>#DIV/0!</v>
      </c>
      <c r="AO3" s="502">
        <f>Z3</f>
        <v>0</v>
      </c>
      <c r="AP3" s="503" t="e">
        <f>AO3/AG3</f>
        <v>#DIV/0!</v>
      </c>
      <c r="AQ3" s="402"/>
      <c r="AR3" s="110">
        <v>44287</v>
      </c>
      <c r="AS3" s="308">
        <v>0</v>
      </c>
      <c r="AT3" s="308">
        <v>0</v>
      </c>
      <c r="AU3" s="308"/>
      <c r="AV3" s="308"/>
      <c r="AW3" s="308"/>
      <c r="AX3" s="308"/>
      <c r="AY3" s="403"/>
      <c r="AZ3" s="403"/>
      <c r="BA3" s="403"/>
      <c r="BB3" s="403"/>
      <c r="BD3" s="611"/>
      <c r="BE3" s="613"/>
      <c r="BF3" s="613"/>
      <c r="BG3" s="613"/>
      <c r="BH3" s="613"/>
      <c r="BI3" s="236"/>
      <c r="BJ3" s="236"/>
      <c r="BL3" s="390"/>
      <c r="BM3" s="391"/>
      <c r="BN3" s="391"/>
      <c r="BO3" s="391"/>
      <c r="BP3" s="392"/>
      <c r="BR3" s="393"/>
      <c r="BS3" s="394"/>
    </row>
    <row r="4" spans="1:71" ht="14.5" customHeight="1" thickBot="1">
      <c r="A4" s="295">
        <v>45293</v>
      </c>
      <c r="B4" s="398">
        <f t="shared" ref="B4:B67" si="0">B3+B3*C3</f>
        <v>0</v>
      </c>
      <c r="C4" s="312" t="e">
        <f t="shared" ref="C4:C67" si="1">(B4-B3)/B3</f>
        <v>#DIV/0!</v>
      </c>
      <c r="D4" s="398">
        <f t="shared" ref="D4:D67" si="2">D3+D3*E3</f>
        <v>0</v>
      </c>
      <c r="E4" s="312" t="e">
        <f t="shared" ref="E4:E67" si="3">(D4-D3)/D3</f>
        <v>#DIV/0!</v>
      </c>
      <c r="F4" s="398">
        <f t="shared" ref="F4:F67" si="4">F3+F3*G3</f>
        <v>0</v>
      </c>
      <c r="G4" s="312" t="e">
        <f t="shared" ref="G4:G67" si="5">(F4-F3)/F3</f>
        <v>#DIV/0!</v>
      </c>
      <c r="H4" s="398">
        <v>0</v>
      </c>
      <c r="I4" s="312">
        <f t="shared" ref="I4:I67" si="6">H4/(8993.1+10.04)</f>
        <v>0</v>
      </c>
      <c r="J4" s="457">
        <f>J3+J3*K3</f>
        <v>0</v>
      </c>
      <c r="K4" s="369" t="e">
        <f>(J4+45-111.83-J3)/J3</f>
        <v>#DIV/0!</v>
      </c>
      <c r="L4" s="404">
        <f>L3+L3*M3</f>
        <v>0</v>
      </c>
      <c r="M4" s="312" t="e">
        <f>(L4-L3)/L3</f>
        <v>#DIV/0!</v>
      </c>
      <c r="N4" s="454">
        <f>N3+N3*O3</f>
        <v>0</v>
      </c>
      <c r="O4" s="312" t="e">
        <f>(N4-N3)/N3</f>
        <v>#DIV/0!</v>
      </c>
      <c r="P4" s="404">
        <f>P3+P3*Q3</f>
        <v>0</v>
      </c>
      <c r="Q4" s="312" t="e">
        <f t="shared" ref="Q4:Q9" si="7">(P4-P3)/P3</f>
        <v>#DIV/0!</v>
      </c>
      <c r="R4" s="454">
        <f>R3+R3*S3</f>
        <v>0</v>
      </c>
      <c r="S4" s="312" t="e">
        <f>(R4-R3)/R3</f>
        <v>#DIV/0!</v>
      </c>
      <c r="T4" s="454">
        <f>T3+T3*U3</f>
        <v>0</v>
      </c>
      <c r="U4" s="312" t="e">
        <f>(T4-T3)/T3</f>
        <v>#DIV/0!</v>
      </c>
      <c r="V4" s="454">
        <f>V3</f>
        <v>0</v>
      </c>
      <c r="W4" s="312">
        <f t="shared" ref="W4:W12" si="8">(V4-(10))/(10)</f>
        <v>-1</v>
      </c>
      <c r="X4" s="454">
        <f>X3</f>
        <v>0</v>
      </c>
      <c r="Y4" s="312">
        <f t="shared" ref="Y4:Y67" si="9">(X4-(10))/(10)</f>
        <v>-1</v>
      </c>
      <c r="Z4" s="674">
        <f t="shared" ref="Z4:AB67" si="10">Z3</f>
        <v>0</v>
      </c>
      <c r="AA4" s="329"/>
      <c r="AB4" s="379">
        <f t="shared" si="10"/>
        <v>0</v>
      </c>
      <c r="AC4" s="329"/>
      <c r="AD4" s="413">
        <f t="shared" ref="AD4:AD67" si="11">AD3</f>
        <v>0</v>
      </c>
      <c r="AE4" s="329"/>
      <c r="AF4" s="287"/>
      <c r="AG4" s="400">
        <f t="shared" ref="AG4:AG67" si="12">B4+D4+F4+H4+J4+L4+N4+P4+R4+T4+V4+X4</f>
        <v>0</v>
      </c>
      <c r="AH4" s="401">
        <f t="shared" ref="AH4:AH67" si="13">AB4</f>
        <v>0</v>
      </c>
      <c r="AI4" s="407">
        <f t="shared" ref="AI4:AI67" si="14">AD4</f>
        <v>0</v>
      </c>
      <c r="AJ4" s="497"/>
      <c r="AK4" s="502">
        <f t="shared" ref="AK4:AK67" si="15">V4+X4</f>
        <v>0</v>
      </c>
      <c r="AL4" s="503" t="e">
        <f t="shared" ref="AL4:AL67" si="16">AK4/AG4</f>
        <v>#DIV/0!</v>
      </c>
      <c r="AM4" s="504">
        <f>AG4-AK4-AO4</f>
        <v>0</v>
      </c>
      <c r="AN4" s="503" t="e">
        <f t="shared" ref="AN4:AN67" si="17">AM4/AG4</f>
        <v>#DIV/0!</v>
      </c>
      <c r="AO4" s="502">
        <f t="shared" ref="AO4:AO67" si="18">Z4</f>
        <v>0</v>
      </c>
      <c r="AP4" s="503" t="e">
        <f t="shared" ref="AP4:AP67" si="19">AO4/AG4</f>
        <v>#DIV/0!</v>
      </c>
      <c r="AQ4" s="402"/>
      <c r="AR4" s="110">
        <v>44317</v>
      </c>
      <c r="AS4" s="308">
        <v>0</v>
      </c>
      <c r="AT4" s="308">
        <v>0</v>
      </c>
      <c r="AU4" s="308"/>
      <c r="AV4" s="472"/>
      <c r="AW4" s="472"/>
      <c r="AX4" s="472"/>
      <c r="AY4" s="473"/>
      <c r="AZ4" s="473"/>
      <c r="BA4" s="473"/>
      <c r="BB4" s="473"/>
      <c r="BD4" s="611"/>
      <c r="BE4" s="613"/>
      <c r="BF4" s="613"/>
      <c r="BG4" s="613"/>
      <c r="BH4" s="613"/>
      <c r="BI4" s="237">
        <f>SUM(BI10+BI18+BI24+BI29+BI34)</f>
        <v>0</v>
      </c>
      <c r="BJ4" s="237">
        <f>SUM(BJ10+BJ18+BJ24+BJ29+BJ34)</f>
        <v>0</v>
      </c>
      <c r="BL4" s="211" t="s">
        <v>61</v>
      </c>
      <c r="BM4" s="211" t="s">
        <v>114</v>
      </c>
      <c r="BN4" s="211" t="s">
        <v>115</v>
      </c>
      <c r="BO4" s="211" t="s">
        <v>116</v>
      </c>
      <c r="BP4" s="211" t="s">
        <v>117</v>
      </c>
      <c r="BR4" s="232" t="s">
        <v>122</v>
      </c>
      <c r="BS4" s="231" t="s">
        <v>123</v>
      </c>
    </row>
    <row r="5" spans="1:71" ht="15" thickBot="1">
      <c r="A5" s="295">
        <v>45294</v>
      </c>
      <c r="B5" s="398" t="e">
        <f t="shared" si="0"/>
        <v>#DIV/0!</v>
      </c>
      <c r="C5" s="312" t="e">
        <f t="shared" si="1"/>
        <v>#DIV/0!</v>
      </c>
      <c r="D5" s="398" t="e">
        <f t="shared" si="2"/>
        <v>#DIV/0!</v>
      </c>
      <c r="E5" s="312" t="e">
        <f t="shared" si="3"/>
        <v>#DIV/0!</v>
      </c>
      <c r="F5" s="398" t="e">
        <f t="shared" si="4"/>
        <v>#DIV/0!</v>
      </c>
      <c r="G5" s="312" t="e">
        <f t="shared" si="5"/>
        <v>#DIV/0!</v>
      </c>
      <c r="H5" s="398">
        <v>0</v>
      </c>
      <c r="I5" s="312">
        <f t="shared" si="6"/>
        <v>0</v>
      </c>
      <c r="J5" s="457" t="e">
        <f t="shared" ref="J5:J68" si="20">J4+J4*K4</f>
        <v>#DIV/0!</v>
      </c>
      <c r="K5" s="369" t="e">
        <f>(J5-2680-400+5000-J4)/J4</f>
        <v>#DIV/0!</v>
      </c>
      <c r="L5" s="404" t="e">
        <f t="shared" ref="L5:L68" si="21">L4+L4*M4</f>
        <v>#DIV/0!</v>
      </c>
      <c r="M5" s="312" t="e">
        <f t="shared" ref="M5:M68" si="22">(L5-L4)/L4</f>
        <v>#DIV/0!</v>
      </c>
      <c r="N5" s="454" t="e">
        <f t="shared" ref="N5:N68" si="23">N4+N4*O4</f>
        <v>#DIV/0!</v>
      </c>
      <c r="O5" s="312" t="e">
        <f t="shared" ref="O5:O68" si="24">(N5-N4)/N4</f>
        <v>#DIV/0!</v>
      </c>
      <c r="P5" s="404" t="e">
        <f t="shared" ref="P5:P68" si="25">P4+P4*Q4</f>
        <v>#DIV/0!</v>
      </c>
      <c r="Q5" s="312" t="e">
        <f t="shared" si="7"/>
        <v>#DIV/0!</v>
      </c>
      <c r="R5" s="454" t="e">
        <f t="shared" ref="R5:R68" si="26">R4+R4*S4</f>
        <v>#DIV/0!</v>
      </c>
      <c r="S5" s="312" t="e">
        <f t="shared" ref="S5:S68" si="27">(R5-R4)/R4</f>
        <v>#DIV/0!</v>
      </c>
      <c r="T5" s="454" t="e">
        <f t="shared" ref="T5:T68" si="28">T4+T4*U4</f>
        <v>#DIV/0!</v>
      </c>
      <c r="U5" s="312" t="e">
        <f t="shared" ref="U5:U68" si="29">(T5-T4)/T4</f>
        <v>#DIV/0!</v>
      </c>
      <c r="V5" s="454">
        <f t="shared" ref="V5:V68" si="30">V4</f>
        <v>0</v>
      </c>
      <c r="W5" s="312">
        <f t="shared" si="8"/>
        <v>-1</v>
      </c>
      <c r="X5" s="454">
        <f t="shared" ref="X5:X68" si="31">X4</f>
        <v>0</v>
      </c>
      <c r="Y5" s="312">
        <f t="shared" si="9"/>
        <v>-1</v>
      </c>
      <c r="Z5" s="674">
        <f t="shared" si="10"/>
        <v>0</v>
      </c>
      <c r="AA5" s="297"/>
      <c r="AB5" s="379">
        <f t="shared" si="10"/>
        <v>0</v>
      </c>
      <c r="AC5" s="297"/>
      <c r="AD5" s="413">
        <f t="shared" si="11"/>
        <v>0</v>
      </c>
      <c r="AE5" s="297"/>
      <c r="AG5" s="400" t="e">
        <f t="shared" si="12"/>
        <v>#DIV/0!</v>
      </c>
      <c r="AH5" s="401">
        <f t="shared" si="13"/>
        <v>0</v>
      </c>
      <c r="AI5" s="407">
        <f t="shared" si="14"/>
        <v>0</v>
      </c>
      <c r="AJ5" s="497"/>
      <c r="AK5" s="502">
        <f t="shared" si="15"/>
        <v>0</v>
      </c>
      <c r="AL5" s="503" t="e">
        <f t="shared" si="16"/>
        <v>#DIV/0!</v>
      </c>
      <c r="AM5" s="504" t="e">
        <f>AG5-AK5-AO5</f>
        <v>#DIV/0!</v>
      </c>
      <c r="AN5" s="503" t="e">
        <f t="shared" si="17"/>
        <v>#DIV/0!</v>
      </c>
      <c r="AO5" s="502">
        <f t="shared" si="18"/>
        <v>0</v>
      </c>
      <c r="AP5" s="503" t="e">
        <f t="shared" si="19"/>
        <v>#DIV/0!</v>
      </c>
      <c r="AQ5" s="402"/>
      <c r="AR5" s="110">
        <v>44348</v>
      </c>
      <c r="AS5" s="308">
        <v>0</v>
      </c>
      <c r="AT5" s="308">
        <v>0</v>
      </c>
      <c r="AU5" s="308"/>
      <c r="AV5" s="472"/>
      <c r="AW5" s="472"/>
      <c r="AX5" s="472"/>
      <c r="AY5" s="474"/>
      <c r="AZ5" s="474"/>
      <c r="BA5" s="474"/>
      <c r="BB5" s="474"/>
      <c r="BJ5"/>
    </row>
    <row r="6" spans="1:71">
      <c r="A6" s="295">
        <v>45295</v>
      </c>
      <c r="B6" s="398" t="e">
        <f t="shared" si="0"/>
        <v>#DIV/0!</v>
      </c>
      <c r="C6" s="312" t="e">
        <f t="shared" si="1"/>
        <v>#DIV/0!</v>
      </c>
      <c r="D6" s="398" t="e">
        <f t="shared" si="2"/>
        <v>#DIV/0!</v>
      </c>
      <c r="E6" s="312" t="e">
        <f t="shared" si="3"/>
        <v>#DIV/0!</v>
      </c>
      <c r="F6" s="398" t="e">
        <f t="shared" si="4"/>
        <v>#DIV/0!</v>
      </c>
      <c r="G6" s="312" t="e">
        <f t="shared" si="5"/>
        <v>#DIV/0!</v>
      </c>
      <c r="H6" s="398">
        <v>0</v>
      </c>
      <c r="I6" s="312">
        <f t="shared" si="6"/>
        <v>0</v>
      </c>
      <c r="J6" s="457" t="e">
        <f t="shared" si="20"/>
        <v>#DIV/0!</v>
      </c>
      <c r="K6" s="369" t="e">
        <f>(J6-2260-J5)/J5</f>
        <v>#DIV/0!</v>
      </c>
      <c r="L6" s="404" t="e">
        <f t="shared" si="21"/>
        <v>#DIV/0!</v>
      </c>
      <c r="M6" s="312" t="e">
        <f t="shared" si="22"/>
        <v>#DIV/0!</v>
      </c>
      <c r="N6" s="454" t="e">
        <f t="shared" si="23"/>
        <v>#DIV/0!</v>
      </c>
      <c r="O6" s="312" t="e">
        <f t="shared" si="24"/>
        <v>#DIV/0!</v>
      </c>
      <c r="P6" s="404" t="e">
        <f t="shared" si="25"/>
        <v>#DIV/0!</v>
      </c>
      <c r="Q6" s="312" t="e">
        <f t="shared" si="7"/>
        <v>#DIV/0!</v>
      </c>
      <c r="R6" s="454" t="e">
        <f t="shared" si="26"/>
        <v>#DIV/0!</v>
      </c>
      <c r="S6" s="312" t="e">
        <f t="shared" si="27"/>
        <v>#DIV/0!</v>
      </c>
      <c r="T6" s="454" t="e">
        <f t="shared" si="28"/>
        <v>#DIV/0!</v>
      </c>
      <c r="U6" s="312" t="e">
        <f t="shared" si="29"/>
        <v>#DIV/0!</v>
      </c>
      <c r="V6" s="454">
        <f t="shared" si="30"/>
        <v>0</v>
      </c>
      <c r="W6" s="312">
        <f t="shared" si="8"/>
        <v>-1</v>
      </c>
      <c r="X6" s="454">
        <f t="shared" si="31"/>
        <v>0</v>
      </c>
      <c r="Y6" s="312">
        <f t="shared" si="9"/>
        <v>-1</v>
      </c>
      <c r="Z6" s="674">
        <f t="shared" si="10"/>
        <v>0</v>
      </c>
      <c r="AA6" s="329"/>
      <c r="AB6" s="379">
        <f t="shared" si="10"/>
        <v>0</v>
      </c>
      <c r="AC6" s="329"/>
      <c r="AD6" s="413">
        <f t="shared" si="11"/>
        <v>0</v>
      </c>
      <c r="AE6" s="329"/>
      <c r="AG6" s="400" t="e">
        <f t="shared" si="12"/>
        <v>#DIV/0!</v>
      </c>
      <c r="AH6" s="401">
        <f t="shared" si="13"/>
        <v>0</v>
      </c>
      <c r="AI6" s="407">
        <f t="shared" si="14"/>
        <v>0</v>
      </c>
      <c r="AJ6" s="497"/>
      <c r="AK6" s="502">
        <f t="shared" si="15"/>
        <v>0</v>
      </c>
      <c r="AL6" s="503" t="e">
        <f t="shared" si="16"/>
        <v>#DIV/0!</v>
      </c>
      <c r="AM6" s="504" t="e">
        <f>AG6-AK6-AO6</f>
        <v>#DIV/0!</v>
      </c>
      <c r="AN6" s="503" t="e">
        <f t="shared" si="17"/>
        <v>#DIV/0!</v>
      </c>
      <c r="AO6" s="502">
        <f t="shared" si="18"/>
        <v>0</v>
      </c>
      <c r="AP6" s="503" t="e">
        <f t="shared" si="19"/>
        <v>#DIV/0!</v>
      </c>
      <c r="AQ6" s="402"/>
      <c r="AR6" s="110">
        <v>44378</v>
      </c>
      <c r="AS6" s="308">
        <v>0</v>
      </c>
      <c r="AT6" s="308">
        <v>0</v>
      </c>
      <c r="AU6" s="308"/>
      <c r="AV6" s="476"/>
      <c r="AW6" s="476"/>
      <c r="AX6" s="476"/>
      <c r="AY6" s="474"/>
      <c r="AZ6" s="474"/>
      <c r="BA6" s="474"/>
      <c r="BB6" s="474"/>
      <c r="BD6" s="213" t="s">
        <v>144</v>
      </c>
      <c r="BE6" s="214"/>
      <c r="BF6" s="215"/>
      <c r="BG6" s="218"/>
      <c r="BH6" s="235"/>
      <c r="BI6" s="370">
        <f t="shared" ref="BI6" si="32">BG6*BF6+BH6</f>
        <v>0</v>
      </c>
      <c r="BJ6" s="255"/>
      <c r="BL6" s="223"/>
      <c r="BM6" s="215"/>
      <c r="BN6" s="218"/>
      <c r="BO6" s="218"/>
      <c r="BP6" s="224">
        <f>BN6*BM6</f>
        <v>0</v>
      </c>
      <c r="BR6" s="233" t="str">
        <f>IF(BP6&gt;0,BP6-BI11,"")</f>
        <v/>
      </c>
      <c r="BS6" s="371" t="str">
        <f>IFERROR(BR6*20/100,"")</f>
        <v/>
      </c>
    </row>
    <row r="7" spans="1:71">
      <c r="A7" s="295">
        <v>45296</v>
      </c>
      <c r="B7" s="398" t="e">
        <f t="shared" si="0"/>
        <v>#DIV/0!</v>
      </c>
      <c r="C7" s="312" t="e">
        <f t="shared" si="1"/>
        <v>#DIV/0!</v>
      </c>
      <c r="D7" s="398" t="e">
        <f t="shared" si="2"/>
        <v>#DIV/0!</v>
      </c>
      <c r="E7" s="312" t="e">
        <f t="shared" si="3"/>
        <v>#DIV/0!</v>
      </c>
      <c r="F7" s="398" t="e">
        <f t="shared" si="4"/>
        <v>#DIV/0!</v>
      </c>
      <c r="G7" s="312" t="e">
        <f t="shared" si="5"/>
        <v>#DIV/0!</v>
      </c>
      <c r="H7" s="398">
        <v>0</v>
      </c>
      <c r="I7" s="312">
        <f t="shared" si="6"/>
        <v>0</v>
      </c>
      <c r="J7" s="457" t="e">
        <f t="shared" si="20"/>
        <v>#DIV/0!</v>
      </c>
      <c r="K7" s="369" t="e">
        <f>(J7+6000-2800-3490-J6)/J6</f>
        <v>#DIV/0!</v>
      </c>
      <c r="L7" s="404" t="e">
        <f t="shared" si="21"/>
        <v>#DIV/0!</v>
      </c>
      <c r="M7" s="312" t="e">
        <f>(L7+16.7-L6)/L6</f>
        <v>#DIV/0!</v>
      </c>
      <c r="N7" s="454" t="e">
        <f t="shared" si="23"/>
        <v>#DIV/0!</v>
      </c>
      <c r="O7" s="312" t="e">
        <f t="shared" si="24"/>
        <v>#DIV/0!</v>
      </c>
      <c r="P7" s="404" t="e">
        <f t="shared" si="25"/>
        <v>#DIV/0!</v>
      </c>
      <c r="Q7" s="312" t="e">
        <f t="shared" si="7"/>
        <v>#DIV/0!</v>
      </c>
      <c r="R7" s="454" t="e">
        <f t="shared" si="26"/>
        <v>#DIV/0!</v>
      </c>
      <c r="S7" s="312" t="e">
        <f t="shared" si="27"/>
        <v>#DIV/0!</v>
      </c>
      <c r="T7" s="454" t="e">
        <f t="shared" si="28"/>
        <v>#DIV/0!</v>
      </c>
      <c r="U7" s="312" t="e">
        <f t="shared" si="29"/>
        <v>#DIV/0!</v>
      </c>
      <c r="V7" s="454">
        <f t="shared" si="30"/>
        <v>0</v>
      </c>
      <c r="W7" s="312">
        <f t="shared" si="8"/>
        <v>-1</v>
      </c>
      <c r="X7" s="454">
        <f t="shared" si="31"/>
        <v>0</v>
      </c>
      <c r="Y7" s="312">
        <f t="shared" si="9"/>
        <v>-1</v>
      </c>
      <c r="Z7" s="674">
        <f t="shared" si="10"/>
        <v>0</v>
      </c>
      <c r="AA7" s="297"/>
      <c r="AB7" s="379">
        <f t="shared" si="10"/>
        <v>0</v>
      </c>
      <c r="AC7" s="297"/>
      <c r="AD7" s="413">
        <f t="shared" si="11"/>
        <v>0</v>
      </c>
      <c r="AE7" s="297"/>
      <c r="AG7" s="400" t="e">
        <f t="shared" si="12"/>
        <v>#DIV/0!</v>
      </c>
      <c r="AH7" s="401">
        <f t="shared" si="13"/>
        <v>0</v>
      </c>
      <c r="AI7" s="407">
        <f t="shared" si="14"/>
        <v>0</v>
      </c>
      <c r="AJ7" s="497"/>
      <c r="AK7" s="502">
        <f t="shared" si="15"/>
        <v>0</v>
      </c>
      <c r="AL7" s="503" t="e">
        <f t="shared" si="16"/>
        <v>#DIV/0!</v>
      </c>
      <c r="AM7" s="504" t="e">
        <f>AG7-AK7-AO7</f>
        <v>#DIV/0!</v>
      </c>
      <c r="AN7" s="503" t="e">
        <f t="shared" si="17"/>
        <v>#DIV/0!</v>
      </c>
      <c r="AO7" s="502">
        <f t="shared" si="18"/>
        <v>0</v>
      </c>
      <c r="AP7" s="503" t="e">
        <f t="shared" si="19"/>
        <v>#DIV/0!</v>
      </c>
      <c r="AQ7" s="402"/>
      <c r="AR7" s="110">
        <v>44409</v>
      </c>
      <c r="AS7" s="308">
        <v>0</v>
      </c>
      <c r="AT7" s="308">
        <v>0</v>
      </c>
      <c r="AU7" s="308"/>
      <c r="AV7" s="475"/>
      <c r="AW7" s="475"/>
      <c r="AX7" s="475"/>
      <c r="AY7" s="475"/>
      <c r="AZ7" s="475"/>
      <c r="BA7" s="475"/>
      <c r="BB7" s="475"/>
      <c r="BD7" s="524" t="s">
        <v>118</v>
      </c>
      <c r="BE7" s="222"/>
      <c r="BF7" s="216"/>
      <c r="BG7" s="240"/>
      <c r="BH7" s="240"/>
      <c r="BI7" s="240"/>
      <c r="BJ7" s="256"/>
      <c r="BK7" s="372"/>
      <c r="BL7" s="225"/>
      <c r="BM7" s="216"/>
      <c r="BN7" s="221"/>
      <c r="BO7" s="216"/>
      <c r="BP7" s="226">
        <f>BN7*BM7</f>
        <v>0</v>
      </c>
      <c r="BR7" s="234" t="str">
        <f>IF(BP7&gt;0,BP7-BI7,"")</f>
        <v/>
      </c>
      <c r="BS7" s="373" t="str">
        <f>IFERROR(BR7*20/100,"")</f>
        <v/>
      </c>
    </row>
    <row r="8" spans="1:71">
      <c r="A8" s="295">
        <v>45299</v>
      </c>
      <c r="B8" s="398" t="e">
        <f t="shared" si="0"/>
        <v>#DIV/0!</v>
      </c>
      <c r="C8" s="312" t="e">
        <f t="shared" si="1"/>
        <v>#DIV/0!</v>
      </c>
      <c r="D8" s="398" t="e">
        <f t="shared" si="2"/>
        <v>#DIV/0!</v>
      </c>
      <c r="E8" s="312" t="e">
        <f t="shared" si="3"/>
        <v>#DIV/0!</v>
      </c>
      <c r="F8" s="398" t="e">
        <f t="shared" si="4"/>
        <v>#DIV/0!</v>
      </c>
      <c r="G8" s="312" t="e">
        <f t="shared" si="5"/>
        <v>#DIV/0!</v>
      </c>
      <c r="H8" s="398">
        <v>0</v>
      </c>
      <c r="I8" s="312">
        <f t="shared" si="6"/>
        <v>0</v>
      </c>
      <c r="J8" s="457" t="e">
        <f t="shared" si="20"/>
        <v>#DIV/0!</v>
      </c>
      <c r="K8" s="369" t="e">
        <f>(J8-300-J7)/J7</f>
        <v>#DIV/0!</v>
      </c>
      <c r="L8" s="404" t="e">
        <f t="shared" si="21"/>
        <v>#DIV/0!</v>
      </c>
      <c r="M8" s="312" t="e">
        <f t="shared" si="22"/>
        <v>#DIV/0!</v>
      </c>
      <c r="N8" s="454" t="e">
        <f t="shared" si="23"/>
        <v>#DIV/0!</v>
      </c>
      <c r="O8" s="312" t="e">
        <f t="shared" si="24"/>
        <v>#DIV/0!</v>
      </c>
      <c r="P8" s="404" t="e">
        <f t="shared" si="25"/>
        <v>#DIV/0!</v>
      </c>
      <c r="Q8" s="312" t="e">
        <f t="shared" si="7"/>
        <v>#DIV/0!</v>
      </c>
      <c r="R8" s="454" t="e">
        <f t="shared" si="26"/>
        <v>#DIV/0!</v>
      </c>
      <c r="S8" s="312" t="e">
        <f t="shared" si="27"/>
        <v>#DIV/0!</v>
      </c>
      <c r="T8" s="454" t="e">
        <f t="shared" si="28"/>
        <v>#DIV/0!</v>
      </c>
      <c r="U8" s="312" t="e">
        <f t="shared" si="29"/>
        <v>#DIV/0!</v>
      </c>
      <c r="V8" s="454">
        <f t="shared" si="30"/>
        <v>0</v>
      </c>
      <c r="W8" s="312">
        <f t="shared" si="8"/>
        <v>-1</v>
      </c>
      <c r="X8" s="454">
        <f t="shared" si="31"/>
        <v>0</v>
      </c>
      <c r="Y8" s="312">
        <f t="shared" si="9"/>
        <v>-1</v>
      </c>
      <c r="Z8" s="674">
        <f t="shared" si="10"/>
        <v>0</v>
      </c>
      <c r="AA8" s="329"/>
      <c r="AB8" s="379">
        <f t="shared" si="10"/>
        <v>0</v>
      </c>
      <c r="AC8" s="329"/>
      <c r="AD8" s="413">
        <f t="shared" si="11"/>
        <v>0</v>
      </c>
      <c r="AE8" s="329"/>
      <c r="AG8" s="400" t="e">
        <f t="shared" si="12"/>
        <v>#DIV/0!</v>
      </c>
      <c r="AH8" s="401">
        <f t="shared" si="13"/>
        <v>0</v>
      </c>
      <c r="AI8" s="407">
        <f t="shared" si="14"/>
        <v>0</v>
      </c>
      <c r="AJ8" s="497"/>
      <c r="AK8" s="502">
        <f t="shared" si="15"/>
        <v>0</v>
      </c>
      <c r="AL8" s="503" t="e">
        <f t="shared" si="16"/>
        <v>#DIV/0!</v>
      </c>
      <c r="AM8" s="504" t="e">
        <f>AG8-AK8-AO8</f>
        <v>#DIV/0!</v>
      </c>
      <c r="AN8" s="503" t="e">
        <f t="shared" si="17"/>
        <v>#DIV/0!</v>
      </c>
      <c r="AO8" s="502">
        <f t="shared" si="18"/>
        <v>0</v>
      </c>
      <c r="AP8" s="503" t="e">
        <f t="shared" si="19"/>
        <v>#DIV/0!</v>
      </c>
      <c r="AQ8" s="402"/>
      <c r="AR8" s="110">
        <v>44440</v>
      </c>
      <c r="AS8" s="308">
        <v>0</v>
      </c>
      <c r="AT8" s="308">
        <v>0</v>
      </c>
      <c r="AU8" s="308"/>
      <c r="AV8" s="475"/>
      <c r="AW8" s="475"/>
      <c r="AX8" s="475"/>
      <c r="AY8" s="475"/>
      <c r="AZ8" s="475"/>
      <c r="BA8" s="475"/>
      <c r="BB8" s="475"/>
      <c r="BD8" s="525"/>
      <c r="BE8" s="222"/>
      <c r="BF8" s="216"/>
      <c r="BG8" s="240"/>
      <c r="BH8" s="249"/>
      <c r="BI8" s="240"/>
      <c r="BJ8" s="256"/>
      <c r="BL8" s="227"/>
      <c r="BM8" s="216"/>
      <c r="BN8" s="221"/>
      <c r="BO8" s="216"/>
      <c r="BP8" s="228">
        <f>BN8*BM8</f>
        <v>0</v>
      </c>
      <c r="BR8" s="234" t="str">
        <f>IF(BP8&gt;0,BP8-BI8,"")</f>
        <v/>
      </c>
      <c r="BS8" s="374" t="str">
        <f>IFERROR(BR8*20/100,"")</f>
        <v/>
      </c>
    </row>
    <row r="9" spans="1:71">
      <c r="A9" s="295">
        <v>45300</v>
      </c>
      <c r="B9" s="398" t="e">
        <f t="shared" si="0"/>
        <v>#DIV/0!</v>
      </c>
      <c r="C9" s="312" t="e">
        <f t="shared" si="1"/>
        <v>#DIV/0!</v>
      </c>
      <c r="D9" s="398" t="e">
        <f t="shared" si="2"/>
        <v>#DIV/0!</v>
      </c>
      <c r="E9" s="312" t="e">
        <f t="shared" si="3"/>
        <v>#DIV/0!</v>
      </c>
      <c r="F9" s="398" t="e">
        <f t="shared" si="4"/>
        <v>#DIV/0!</v>
      </c>
      <c r="G9" s="312" t="e">
        <f t="shared" si="5"/>
        <v>#DIV/0!</v>
      </c>
      <c r="H9" s="398">
        <v>0</v>
      </c>
      <c r="I9" s="312">
        <f t="shared" si="6"/>
        <v>0</v>
      </c>
      <c r="J9" s="457" t="e">
        <f t="shared" si="20"/>
        <v>#DIV/0!</v>
      </c>
      <c r="K9" s="369" t="e">
        <f>(J9-J8)/J8</f>
        <v>#DIV/0!</v>
      </c>
      <c r="L9" s="404" t="e">
        <f t="shared" si="21"/>
        <v>#DIV/0!</v>
      </c>
      <c r="M9" s="312" t="e">
        <f>(L9-5-L8)/L8</f>
        <v>#DIV/0!</v>
      </c>
      <c r="N9" s="454" t="e">
        <f t="shared" si="23"/>
        <v>#DIV/0!</v>
      </c>
      <c r="O9" s="312" t="e">
        <f t="shared" si="24"/>
        <v>#DIV/0!</v>
      </c>
      <c r="P9" s="404" t="e">
        <f t="shared" si="25"/>
        <v>#DIV/0!</v>
      </c>
      <c r="Q9" s="312" t="e">
        <f t="shared" si="7"/>
        <v>#DIV/0!</v>
      </c>
      <c r="R9" s="454" t="e">
        <f t="shared" si="26"/>
        <v>#DIV/0!</v>
      </c>
      <c r="S9" s="312" t="e">
        <f t="shared" si="27"/>
        <v>#DIV/0!</v>
      </c>
      <c r="T9" s="454" t="e">
        <f t="shared" si="28"/>
        <v>#DIV/0!</v>
      </c>
      <c r="U9" s="312" t="e">
        <f t="shared" si="29"/>
        <v>#DIV/0!</v>
      </c>
      <c r="V9" s="454">
        <f t="shared" si="30"/>
        <v>0</v>
      </c>
      <c r="W9" s="312">
        <f t="shared" si="8"/>
        <v>-1</v>
      </c>
      <c r="X9" s="454">
        <f t="shared" si="31"/>
        <v>0</v>
      </c>
      <c r="Y9" s="312">
        <f t="shared" si="9"/>
        <v>-1</v>
      </c>
      <c r="Z9" s="674">
        <f t="shared" si="10"/>
        <v>0</v>
      </c>
      <c r="AA9" s="297"/>
      <c r="AB9" s="379">
        <f t="shared" si="10"/>
        <v>0</v>
      </c>
      <c r="AC9" s="297"/>
      <c r="AD9" s="413">
        <f t="shared" si="11"/>
        <v>0</v>
      </c>
      <c r="AE9" s="297"/>
      <c r="AG9" s="400" t="e">
        <f t="shared" si="12"/>
        <v>#DIV/0!</v>
      </c>
      <c r="AH9" s="401">
        <f t="shared" si="13"/>
        <v>0</v>
      </c>
      <c r="AI9" s="407">
        <f t="shared" si="14"/>
        <v>0</v>
      </c>
      <c r="AJ9" s="497"/>
      <c r="AK9" s="502">
        <f t="shared" si="15"/>
        <v>0</v>
      </c>
      <c r="AL9" s="503" t="e">
        <f t="shared" si="16"/>
        <v>#DIV/0!</v>
      </c>
      <c r="AM9" s="504" t="e">
        <f>AG9-AK9-AO9</f>
        <v>#DIV/0!</v>
      </c>
      <c r="AN9" s="503" t="e">
        <f t="shared" si="17"/>
        <v>#DIV/0!</v>
      </c>
      <c r="AO9" s="502">
        <f t="shared" si="18"/>
        <v>0</v>
      </c>
      <c r="AP9" s="503" t="e">
        <f t="shared" si="19"/>
        <v>#DIV/0!</v>
      </c>
      <c r="AQ9" s="402"/>
      <c r="AR9" s="110">
        <v>44531</v>
      </c>
      <c r="AS9" s="308">
        <v>0</v>
      </c>
      <c r="AT9" s="308">
        <v>0</v>
      </c>
      <c r="AU9" s="308"/>
      <c r="AV9" s="475"/>
      <c r="AW9" s="475"/>
      <c r="AX9" s="475"/>
      <c r="AY9" s="475"/>
      <c r="AZ9" s="475"/>
      <c r="BA9" s="475"/>
      <c r="BB9" s="475"/>
      <c r="BD9" s="525"/>
      <c r="BE9" s="222"/>
      <c r="BF9" s="216"/>
      <c r="BG9" s="240"/>
      <c r="BH9" s="249"/>
      <c r="BI9" s="240"/>
      <c r="BJ9" s="256"/>
      <c r="BL9" s="227"/>
      <c r="BM9" s="216"/>
      <c r="BN9" s="221"/>
      <c r="BO9" s="216"/>
      <c r="BP9" s="228">
        <f>BN9*BM9</f>
        <v>0</v>
      </c>
      <c r="BR9" s="234" t="str">
        <f>IF(BP9&gt;0,BP9-BI10,"")</f>
        <v/>
      </c>
      <c r="BS9" s="374" t="str">
        <f>IFERROR(BR9*20/100,"")</f>
        <v/>
      </c>
    </row>
    <row r="10" spans="1:71">
      <c r="A10" s="295">
        <v>45301</v>
      </c>
      <c r="B10" s="398" t="e">
        <f t="shared" si="0"/>
        <v>#DIV/0!</v>
      </c>
      <c r="C10" s="312" t="e">
        <f t="shared" si="1"/>
        <v>#DIV/0!</v>
      </c>
      <c r="D10" s="398" t="e">
        <f t="shared" si="2"/>
        <v>#DIV/0!</v>
      </c>
      <c r="E10" s="312" t="e">
        <f t="shared" si="3"/>
        <v>#DIV/0!</v>
      </c>
      <c r="F10" s="398" t="e">
        <f t="shared" si="4"/>
        <v>#DIV/0!</v>
      </c>
      <c r="G10" s="312" t="e">
        <f t="shared" si="5"/>
        <v>#DIV/0!</v>
      </c>
      <c r="H10" s="398">
        <v>0</v>
      </c>
      <c r="I10" s="312">
        <f t="shared" si="6"/>
        <v>0</v>
      </c>
      <c r="J10" s="457" t="e">
        <f t="shared" si="20"/>
        <v>#DIV/0!</v>
      </c>
      <c r="K10" s="369" t="e">
        <f>(J10-6000-500-5000-J9)/J9</f>
        <v>#DIV/0!</v>
      </c>
      <c r="L10" s="404" t="e">
        <f t="shared" si="21"/>
        <v>#DIV/0!</v>
      </c>
      <c r="M10" s="312" t="e">
        <f>(L10-5-L9)/L9</f>
        <v>#DIV/0!</v>
      </c>
      <c r="N10" s="454" t="e">
        <f t="shared" si="23"/>
        <v>#DIV/0!</v>
      </c>
      <c r="O10" s="312" t="e">
        <f t="shared" si="24"/>
        <v>#DIV/0!</v>
      </c>
      <c r="P10" s="404" t="e">
        <f t="shared" si="25"/>
        <v>#DIV/0!</v>
      </c>
      <c r="Q10" s="312" t="e">
        <f>(P10+2243.33-P9)/P9</f>
        <v>#DIV/0!</v>
      </c>
      <c r="R10" s="454" t="e">
        <f t="shared" si="26"/>
        <v>#DIV/0!</v>
      </c>
      <c r="S10" s="312" t="e">
        <f t="shared" si="27"/>
        <v>#DIV/0!</v>
      </c>
      <c r="T10" s="454" t="e">
        <f t="shared" si="28"/>
        <v>#DIV/0!</v>
      </c>
      <c r="U10" s="312" t="e">
        <f t="shared" si="29"/>
        <v>#DIV/0!</v>
      </c>
      <c r="V10" s="454">
        <f t="shared" si="30"/>
        <v>0</v>
      </c>
      <c r="W10" s="312">
        <f t="shared" si="8"/>
        <v>-1</v>
      </c>
      <c r="X10" s="454">
        <f t="shared" si="31"/>
        <v>0</v>
      </c>
      <c r="Y10" s="312">
        <f t="shared" si="9"/>
        <v>-1</v>
      </c>
      <c r="Z10" s="674">
        <f t="shared" si="10"/>
        <v>0</v>
      </c>
      <c r="AA10" s="329"/>
      <c r="AB10" s="379">
        <f t="shared" si="10"/>
        <v>0</v>
      </c>
      <c r="AC10" s="329"/>
      <c r="AD10" s="413">
        <f t="shared" si="11"/>
        <v>0</v>
      </c>
      <c r="AE10" s="329"/>
      <c r="AG10" s="400" t="e">
        <f t="shared" si="12"/>
        <v>#DIV/0!</v>
      </c>
      <c r="AH10" s="401">
        <f t="shared" si="13"/>
        <v>0</v>
      </c>
      <c r="AI10" s="407">
        <f t="shared" si="14"/>
        <v>0</v>
      </c>
      <c r="AJ10" s="497"/>
      <c r="AK10" s="502">
        <f t="shared" si="15"/>
        <v>0</v>
      </c>
      <c r="AL10" s="503" t="e">
        <f t="shared" si="16"/>
        <v>#DIV/0!</v>
      </c>
      <c r="AM10" s="504" t="e">
        <f>AG10-AK10-AO10</f>
        <v>#DIV/0!</v>
      </c>
      <c r="AN10" s="503" t="e">
        <f t="shared" si="17"/>
        <v>#DIV/0!</v>
      </c>
      <c r="AO10" s="502">
        <f t="shared" si="18"/>
        <v>0</v>
      </c>
      <c r="AP10" s="503" t="e">
        <f t="shared" si="19"/>
        <v>#DIV/0!</v>
      </c>
      <c r="AQ10" s="402"/>
      <c r="AR10" s="110">
        <v>44562</v>
      </c>
      <c r="AS10" s="308">
        <v>0</v>
      </c>
      <c r="AT10" s="308">
        <v>0</v>
      </c>
      <c r="AU10" s="308"/>
      <c r="AV10" s="475"/>
      <c r="AW10" s="475"/>
      <c r="AX10" s="475"/>
      <c r="AY10" s="475"/>
      <c r="AZ10" s="475"/>
      <c r="BA10" s="475"/>
      <c r="BB10" s="475"/>
      <c r="BD10" s="525"/>
      <c r="BE10" s="222"/>
      <c r="BF10" s="216"/>
      <c r="BG10" s="240"/>
      <c r="BH10" s="249"/>
      <c r="BI10" s="240"/>
      <c r="BJ10" s="256"/>
      <c r="BL10" s="227"/>
      <c r="BM10" s="216"/>
      <c r="BN10" s="221"/>
      <c r="BO10" s="216"/>
      <c r="BP10" s="228">
        <f>BN10*BM10</f>
        <v>0</v>
      </c>
      <c r="BR10" s="234" t="str">
        <f>IF(BP10&gt;0,BP10-BI11,"")</f>
        <v/>
      </c>
      <c r="BS10" s="374" t="str">
        <f>IFERROR(BR10*20/100,"")</f>
        <v/>
      </c>
    </row>
    <row r="11" spans="1:71">
      <c r="A11" s="295">
        <v>45302</v>
      </c>
      <c r="B11" s="398" t="e">
        <f t="shared" si="0"/>
        <v>#DIV/0!</v>
      </c>
      <c r="C11" s="312" t="e">
        <f t="shared" si="1"/>
        <v>#DIV/0!</v>
      </c>
      <c r="D11" s="398" t="e">
        <f t="shared" si="2"/>
        <v>#DIV/0!</v>
      </c>
      <c r="E11" s="312" t="e">
        <f t="shared" si="3"/>
        <v>#DIV/0!</v>
      </c>
      <c r="F11" s="398" t="e">
        <f t="shared" si="4"/>
        <v>#DIV/0!</v>
      </c>
      <c r="G11" s="312" t="e">
        <f t="shared" si="5"/>
        <v>#DIV/0!</v>
      </c>
      <c r="H11" s="398">
        <v>0</v>
      </c>
      <c r="I11" s="312">
        <f t="shared" si="6"/>
        <v>0</v>
      </c>
      <c r="J11" s="457" t="e">
        <f t="shared" si="20"/>
        <v>#DIV/0!</v>
      </c>
      <c r="K11" s="369" t="e">
        <f>(J11-330-J10)/J10</f>
        <v>#DIV/0!</v>
      </c>
      <c r="L11" s="404" t="e">
        <f t="shared" si="21"/>
        <v>#DIV/0!</v>
      </c>
      <c r="M11" s="312" t="e">
        <f t="shared" si="22"/>
        <v>#DIV/0!</v>
      </c>
      <c r="N11" s="454" t="e">
        <f t="shared" si="23"/>
        <v>#DIV/0!</v>
      </c>
      <c r="O11" s="312" t="e">
        <f t="shared" si="24"/>
        <v>#DIV/0!</v>
      </c>
      <c r="P11" s="404" t="e">
        <f t="shared" si="25"/>
        <v>#DIV/0!</v>
      </c>
      <c r="Q11" s="312" t="e">
        <f t="shared" ref="Q11:Q74" si="33">(P11+2243.33-P10)/P10</f>
        <v>#DIV/0!</v>
      </c>
      <c r="R11" s="454" t="e">
        <f t="shared" si="26"/>
        <v>#DIV/0!</v>
      </c>
      <c r="S11" s="312" t="e">
        <f t="shared" si="27"/>
        <v>#DIV/0!</v>
      </c>
      <c r="T11" s="454" t="e">
        <f t="shared" si="28"/>
        <v>#DIV/0!</v>
      </c>
      <c r="U11" s="312" t="e">
        <f t="shared" si="29"/>
        <v>#DIV/0!</v>
      </c>
      <c r="V11" s="454">
        <f t="shared" si="30"/>
        <v>0</v>
      </c>
      <c r="W11" s="312">
        <f t="shared" si="8"/>
        <v>-1</v>
      </c>
      <c r="X11" s="454">
        <f t="shared" si="31"/>
        <v>0</v>
      </c>
      <c r="Y11" s="312">
        <f t="shared" si="9"/>
        <v>-1</v>
      </c>
      <c r="Z11" s="674">
        <f t="shared" si="10"/>
        <v>0</v>
      </c>
      <c r="AA11" s="297"/>
      <c r="AB11" s="379">
        <f t="shared" si="10"/>
        <v>0</v>
      </c>
      <c r="AC11" s="297"/>
      <c r="AD11" s="413">
        <f t="shared" si="11"/>
        <v>0</v>
      </c>
      <c r="AE11" s="297"/>
      <c r="AG11" s="400" t="e">
        <f t="shared" si="12"/>
        <v>#DIV/0!</v>
      </c>
      <c r="AH11" s="401">
        <f t="shared" si="13"/>
        <v>0</v>
      </c>
      <c r="AI11" s="407">
        <f t="shared" si="14"/>
        <v>0</v>
      </c>
      <c r="AJ11" s="497"/>
      <c r="AK11" s="502">
        <f t="shared" si="15"/>
        <v>0</v>
      </c>
      <c r="AL11" s="503" t="e">
        <f t="shared" si="16"/>
        <v>#DIV/0!</v>
      </c>
      <c r="AM11" s="504" t="e">
        <f>AG11-AK11-AO11</f>
        <v>#DIV/0!</v>
      </c>
      <c r="AN11" s="503" t="e">
        <f t="shared" si="17"/>
        <v>#DIV/0!</v>
      </c>
      <c r="AO11" s="502">
        <f t="shared" si="18"/>
        <v>0</v>
      </c>
      <c r="AP11" s="503" t="e">
        <f t="shared" si="19"/>
        <v>#DIV/0!</v>
      </c>
      <c r="AQ11" s="402"/>
      <c r="AR11" s="110">
        <v>44593</v>
      </c>
      <c r="AS11" s="308">
        <v>0</v>
      </c>
      <c r="AT11" s="308">
        <v>0</v>
      </c>
      <c r="AU11" s="308"/>
      <c r="AV11" s="475"/>
      <c r="AW11" s="475"/>
      <c r="AX11" s="475"/>
      <c r="AY11" s="475"/>
      <c r="AZ11" s="475"/>
      <c r="BA11" s="475"/>
      <c r="BB11" s="475"/>
      <c r="BD11" s="525"/>
      <c r="BE11" s="222"/>
      <c r="BF11" s="216"/>
      <c r="BG11" s="240"/>
      <c r="BH11" s="249"/>
      <c r="BI11" s="240"/>
      <c r="BJ11" s="256"/>
      <c r="BL11" s="227"/>
      <c r="BM11" s="216"/>
      <c r="BN11" s="221"/>
      <c r="BO11" s="216"/>
      <c r="BP11" s="228">
        <f>BN11*BM11</f>
        <v>0</v>
      </c>
      <c r="BR11" s="234" t="str">
        <f>IF(BP11&gt;0,BP11-BI12,"")</f>
        <v/>
      </c>
      <c r="BS11" s="374" t="str">
        <f>IFERROR(BR11*20/100,"")</f>
        <v/>
      </c>
    </row>
    <row r="12" spans="1:71">
      <c r="A12" s="295">
        <v>45303</v>
      </c>
      <c r="B12" s="398" t="e">
        <f t="shared" si="0"/>
        <v>#DIV/0!</v>
      </c>
      <c r="C12" s="312" t="e">
        <f t="shared" si="1"/>
        <v>#DIV/0!</v>
      </c>
      <c r="D12" s="398" t="e">
        <f t="shared" si="2"/>
        <v>#DIV/0!</v>
      </c>
      <c r="E12" s="312" t="e">
        <f t="shared" si="3"/>
        <v>#DIV/0!</v>
      </c>
      <c r="F12" s="398" t="e">
        <f t="shared" si="4"/>
        <v>#DIV/0!</v>
      </c>
      <c r="G12" s="312" t="e">
        <f t="shared" si="5"/>
        <v>#DIV/0!</v>
      </c>
      <c r="H12" s="398">
        <v>0</v>
      </c>
      <c r="I12" s="312">
        <f t="shared" si="6"/>
        <v>0</v>
      </c>
      <c r="J12" s="457" t="e">
        <f t="shared" si="20"/>
        <v>#DIV/0!</v>
      </c>
      <c r="K12" s="369" t="e">
        <f>(J12-1050-J11)/J11</f>
        <v>#DIV/0!</v>
      </c>
      <c r="L12" s="404" t="e">
        <f t="shared" si="21"/>
        <v>#DIV/0!</v>
      </c>
      <c r="M12" s="312" t="e">
        <f t="shared" si="22"/>
        <v>#DIV/0!</v>
      </c>
      <c r="N12" s="454" t="e">
        <f t="shared" si="23"/>
        <v>#DIV/0!</v>
      </c>
      <c r="O12" s="312" t="e">
        <f t="shared" si="24"/>
        <v>#DIV/0!</v>
      </c>
      <c r="P12" s="404" t="e">
        <f t="shared" si="25"/>
        <v>#DIV/0!</v>
      </c>
      <c r="Q12" s="312" t="e">
        <f t="shared" si="33"/>
        <v>#DIV/0!</v>
      </c>
      <c r="R12" s="454" t="e">
        <f t="shared" si="26"/>
        <v>#DIV/0!</v>
      </c>
      <c r="S12" s="312" t="e">
        <f t="shared" si="27"/>
        <v>#DIV/0!</v>
      </c>
      <c r="T12" s="454" t="e">
        <f t="shared" si="28"/>
        <v>#DIV/0!</v>
      </c>
      <c r="U12" s="312" t="e">
        <f t="shared" si="29"/>
        <v>#DIV/0!</v>
      </c>
      <c r="V12" s="454">
        <f t="shared" si="30"/>
        <v>0</v>
      </c>
      <c r="W12" s="312">
        <f t="shared" si="8"/>
        <v>-1</v>
      </c>
      <c r="X12" s="454">
        <f t="shared" si="31"/>
        <v>0</v>
      </c>
      <c r="Y12" s="312">
        <f t="shared" si="9"/>
        <v>-1</v>
      </c>
      <c r="Z12" s="674">
        <f t="shared" si="10"/>
        <v>0</v>
      </c>
      <c r="AA12" s="329"/>
      <c r="AB12" s="379">
        <f t="shared" si="10"/>
        <v>0</v>
      </c>
      <c r="AC12" s="329"/>
      <c r="AD12" s="413">
        <f t="shared" si="11"/>
        <v>0</v>
      </c>
      <c r="AE12" s="329"/>
      <c r="AG12" s="400" t="e">
        <f t="shared" si="12"/>
        <v>#DIV/0!</v>
      </c>
      <c r="AH12" s="401">
        <f t="shared" si="13"/>
        <v>0</v>
      </c>
      <c r="AI12" s="407">
        <f t="shared" si="14"/>
        <v>0</v>
      </c>
      <c r="AJ12" s="497"/>
      <c r="AK12" s="502">
        <f t="shared" si="15"/>
        <v>0</v>
      </c>
      <c r="AL12" s="503" t="e">
        <f t="shared" si="16"/>
        <v>#DIV/0!</v>
      </c>
      <c r="AM12" s="504" t="e">
        <f>AG12-AK12-AO12</f>
        <v>#DIV/0!</v>
      </c>
      <c r="AN12" s="503" t="e">
        <f t="shared" si="17"/>
        <v>#DIV/0!</v>
      </c>
      <c r="AO12" s="502">
        <f t="shared" si="18"/>
        <v>0</v>
      </c>
      <c r="AP12" s="503" t="e">
        <f t="shared" si="19"/>
        <v>#DIV/0!</v>
      </c>
      <c r="AQ12" s="402"/>
      <c r="AR12" s="110">
        <v>44621</v>
      </c>
      <c r="AS12" s="308">
        <v>0</v>
      </c>
      <c r="AT12" s="308">
        <v>0</v>
      </c>
      <c r="AU12" s="308"/>
      <c r="AV12" s="475"/>
      <c r="AW12" s="475"/>
      <c r="AX12" s="475"/>
      <c r="AY12" s="475"/>
      <c r="AZ12" s="475"/>
      <c r="BA12" s="475"/>
      <c r="BB12" s="475"/>
      <c r="BD12" s="525"/>
      <c r="BE12" s="222"/>
      <c r="BF12" s="216"/>
      <c r="BG12" s="240"/>
      <c r="BH12" s="249"/>
      <c r="BI12" s="240"/>
      <c r="BJ12" s="256"/>
      <c r="BL12" s="227"/>
      <c r="BM12" s="216"/>
      <c r="BN12" s="221"/>
      <c r="BO12" s="216"/>
      <c r="BP12" s="228">
        <f>BN12*BM12</f>
        <v>0</v>
      </c>
      <c r="BR12" s="234" t="str">
        <f>IF(BP12&gt;0,BP12-BI13,"")</f>
        <v/>
      </c>
      <c r="BS12" s="374" t="str">
        <f>IFERROR(BR12*20/100,"")</f>
        <v/>
      </c>
    </row>
    <row r="13" spans="1:71" ht="15" customHeight="1" thickBot="1">
      <c r="A13" s="295">
        <v>45306</v>
      </c>
      <c r="B13" s="398" t="e">
        <f t="shared" si="0"/>
        <v>#DIV/0!</v>
      </c>
      <c r="C13" s="312" t="e">
        <f t="shared" si="1"/>
        <v>#DIV/0!</v>
      </c>
      <c r="D13" s="398" t="e">
        <f t="shared" si="2"/>
        <v>#DIV/0!</v>
      </c>
      <c r="E13" s="312" t="e">
        <f t="shared" si="3"/>
        <v>#DIV/0!</v>
      </c>
      <c r="F13" s="398" t="e">
        <f t="shared" si="4"/>
        <v>#DIV/0!</v>
      </c>
      <c r="G13" s="312" t="e">
        <f t="shared" si="5"/>
        <v>#DIV/0!</v>
      </c>
      <c r="H13" s="398">
        <v>0</v>
      </c>
      <c r="I13" s="312">
        <f t="shared" si="6"/>
        <v>0</v>
      </c>
      <c r="J13" s="457" t="e">
        <f t="shared" si="20"/>
        <v>#DIV/0!</v>
      </c>
      <c r="K13" s="369" t="e">
        <f>(J13-1150-20-20+2641+74.53-J12)/J12</f>
        <v>#DIV/0!</v>
      </c>
      <c r="L13" s="404" t="e">
        <f t="shared" si="21"/>
        <v>#DIV/0!</v>
      </c>
      <c r="M13" s="312" t="e">
        <f t="shared" si="22"/>
        <v>#DIV/0!</v>
      </c>
      <c r="N13" s="454" t="e">
        <f t="shared" si="23"/>
        <v>#DIV/0!</v>
      </c>
      <c r="O13" s="312" t="e">
        <f t="shared" si="24"/>
        <v>#DIV/0!</v>
      </c>
      <c r="P13" s="404" t="e">
        <f t="shared" si="25"/>
        <v>#DIV/0!</v>
      </c>
      <c r="Q13" s="312" t="e">
        <f t="shared" si="33"/>
        <v>#DIV/0!</v>
      </c>
      <c r="R13" s="454" t="e">
        <f t="shared" si="26"/>
        <v>#DIV/0!</v>
      </c>
      <c r="S13" s="312" t="e">
        <f t="shared" si="27"/>
        <v>#DIV/0!</v>
      </c>
      <c r="T13" s="454" t="e">
        <f t="shared" si="28"/>
        <v>#DIV/0!</v>
      </c>
      <c r="U13" s="312" t="e">
        <f t="shared" si="29"/>
        <v>#DIV/0!</v>
      </c>
      <c r="V13" s="454">
        <f t="shared" si="30"/>
        <v>0</v>
      </c>
      <c r="W13" s="312">
        <f>(V13-(399.77))/(399.77)</f>
        <v>-1</v>
      </c>
      <c r="X13" s="454">
        <f t="shared" si="31"/>
        <v>0</v>
      </c>
      <c r="Y13" s="312">
        <f t="shared" si="9"/>
        <v>-1</v>
      </c>
      <c r="Z13" s="674">
        <f t="shared" si="10"/>
        <v>0</v>
      </c>
      <c r="AA13" s="297"/>
      <c r="AB13" s="379">
        <f t="shared" si="10"/>
        <v>0</v>
      </c>
      <c r="AC13" s="297"/>
      <c r="AD13" s="413">
        <f t="shared" si="11"/>
        <v>0</v>
      </c>
      <c r="AE13" s="297"/>
      <c r="AG13" s="400" t="e">
        <f t="shared" si="12"/>
        <v>#DIV/0!</v>
      </c>
      <c r="AH13" s="401">
        <f t="shared" si="13"/>
        <v>0</v>
      </c>
      <c r="AI13" s="407">
        <f t="shared" si="14"/>
        <v>0</v>
      </c>
      <c r="AJ13" s="497"/>
      <c r="AK13" s="502">
        <f t="shared" si="15"/>
        <v>0</v>
      </c>
      <c r="AL13" s="503" t="e">
        <f t="shared" si="16"/>
        <v>#DIV/0!</v>
      </c>
      <c r="AM13" s="504" t="e">
        <f>AG13-AK13-AO13</f>
        <v>#DIV/0!</v>
      </c>
      <c r="AN13" s="503" t="e">
        <f t="shared" si="17"/>
        <v>#DIV/0!</v>
      </c>
      <c r="AO13" s="502">
        <f t="shared" si="18"/>
        <v>0</v>
      </c>
      <c r="AP13" s="503" t="e">
        <f t="shared" si="19"/>
        <v>#DIV/0!</v>
      </c>
      <c r="AQ13" s="402"/>
      <c r="AR13" s="110">
        <v>44652</v>
      </c>
      <c r="AS13" s="308">
        <v>0</v>
      </c>
      <c r="AT13" s="308">
        <v>0</v>
      </c>
      <c r="AU13" s="308"/>
      <c r="AV13" s="475"/>
      <c r="AW13" s="475"/>
      <c r="AX13" s="475"/>
      <c r="AY13" s="475"/>
      <c r="AZ13" s="475"/>
      <c r="BA13" s="475"/>
      <c r="BB13" s="475"/>
      <c r="BD13" s="526"/>
      <c r="BE13" s="212" t="s">
        <v>119</v>
      </c>
      <c r="BF13" s="217">
        <f>SUM(BF6:BF12)</f>
        <v>0</v>
      </c>
      <c r="BG13" s="219" t="e">
        <f>((BF6*BG6)+(BF7*BG7)+(BF8*BG8)+(BF9*BG9)+(BF10*BG10)+(BF11*BG11)+(BF12*BG12))/BF13</f>
        <v>#DIV/0!</v>
      </c>
      <c r="BH13" s="219">
        <v>0</v>
      </c>
      <c r="BI13" s="220">
        <f>SUM(BI6:BI12)</f>
        <v>0</v>
      </c>
      <c r="BJ13" s="230"/>
      <c r="BL13" s="229" t="s">
        <v>119</v>
      </c>
      <c r="BM13" s="217">
        <f>SUM(BM6:BM12)</f>
        <v>0</v>
      </c>
      <c r="BN13" s="219" t="str">
        <f>IFERROR(AVERAGE(BN6:BN12),"")</f>
        <v/>
      </c>
      <c r="BO13" s="219"/>
      <c r="BP13" s="230">
        <f>SUM(BP6:BP12)</f>
        <v>0</v>
      </c>
      <c r="BR13" s="375">
        <f>SUM(BR10:BR12)</f>
        <v>0</v>
      </c>
      <c r="BS13" s="230">
        <f>SUM(BS8:BS12)</f>
        <v>0</v>
      </c>
    </row>
    <row r="14" spans="1:71" ht="15" customHeight="1" thickBot="1">
      <c r="A14" s="295">
        <v>45307</v>
      </c>
      <c r="B14" s="398" t="e">
        <f t="shared" si="0"/>
        <v>#DIV/0!</v>
      </c>
      <c r="C14" s="312" t="e">
        <f t="shared" si="1"/>
        <v>#DIV/0!</v>
      </c>
      <c r="D14" s="398" t="e">
        <f t="shared" si="2"/>
        <v>#DIV/0!</v>
      </c>
      <c r="E14" s="312" t="e">
        <f t="shared" si="3"/>
        <v>#DIV/0!</v>
      </c>
      <c r="F14" s="398" t="e">
        <f t="shared" si="4"/>
        <v>#DIV/0!</v>
      </c>
      <c r="G14" s="312" t="e">
        <f t="shared" si="5"/>
        <v>#DIV/0!</v>
      </c>
      <c r="H14" s="398">
        <v>0</v>
      </c>
      <c r="I14" s="312">
        <f t="shared" si="6"/>
        <v>0</v>
      </c>
      <c r="J14" s="457" t="e">
        <f t="shared" si="20"/>
        <v>#DIV/0!</v>
      </c>
      <c r="K14" s="369" t="e">
        <f>(J14+6-2090+304.02-J13)/J13</f>
        <v>#DIV/0!</v>
      </c>
      <c r="L14" s="404" t="e">
        <f t="shared" si="21"/>
        <v>#DIV/0!</v>
      </c>
      <c r="M14" s="312" t="e">
        <f t="shared" si="22"/>
        <v>#DIV/0!</v>
      </c>
      <c r="N14" s="454" t="e">
        <f t="shared" si="23"/>
        <v>#DIV/0!</v>
      </c>
      <c r="O14" s="312" t="e">
        <f t="shared" si="24"/>
        <v>#DIV/0!</v>
      </c>
      <c r="P14" s="404" t="e">
        <f t="shared" si="25"/>
        <v>#DIV/0!</v>
      </c>
      <c r="Q14" s="312" t="e">
        <f t="shared" si="33"/>
        <v>#DIV/0!</v>
      </c>
      <c r="R14" s="454" t="e">
        <f t="shared" si="26"/>
        <v>#DIV/0!</v>
      </c>
      <c r="S14" s="312" t="e">
        <f t="shared" si="27"/>
        <v>#DIV/0!</v>
      </c>
      <c r="T14" s="454" t="e">
        <f t="shared" si="28"/>
        <v>#DIV/0!</v>
      </c>
      <c r="U14" s="312" t="e">
        <f t="shared" si="29"/>
        <v>#DIV/0!</v>
      </c>
      <c r="V14" s="454">
        <f t="shared" si="30"/>
        <v>0</v>
      </c>
      <c r="W14" s="312">
        <f t="shared" ref="W14:W19" si="34">(V14-(399.77))/(399.77)</f>
        <v>-1</v>
      </c>
      <c r="X14" s="454">
        <f t="shared" si="31"/>
        <v>0</v>
      </c>
      <c r="Y14" s="312">
        <f t="shared" si="9"/>
        <v>-1</v>
      </c>
      <c r="Z14" s="674">
        <f t="shared" si="10"/>
        <v>0</v>
      </c>
      <c r="AA14" s="329"/>
      <c r="AB14" s="379">
        <f t="shared" si="10"/>
        <v>0</v>
      </c>
      <c r="AC14" s="329"/>
      <c r="AD14" s="413">
        <f t="shared" si="11"/>
        <v>0</v>
      </c>
      <c r="AE14" s="329"/>
      <c r="AG14" s="400" t="e">
        <f t="shared" si="12"/>
        <v>#DIV/0!</v>
      </c>
      <c r="AH14" s="401">
        <f t="shared" si="13"/>
        <v>0</v>
      </c>
      <c r="AI14" s="407">
        <f t="shared" si="14"/>
        <v>0</v>
      </c>
      <c r="AJ14" s="497"/>
      <c r="AK14" s="502">
        <f t="shared" si="15"/>
        <v>0</v>
      </c>
      <c r="AL14" s="503" t="e">
        <f t="shared" si="16"/>
        <v>#DIV/0!</v>
      </c>
      <c r="AM14" s="504" t="e">
        <f>AG14-AK14-AO14</f>
        <v>#DIV/0!</v>
      </c>
      <c r="AN14" s="503" t="e">
        <f t="shared" si="17"/>
        <v>#DIV/0!</v>
      </c>
      <c r="AO14" s="502">
        <f t="shared" si="18"/>
        <v>0</v>
      </c>
      <c r="AP14" s="503" t="e">
        <f t="shared" si="19"/>
        <v>#DIV/0!</v>
      </c>
      <c r="AQ14" s="402"/>
      <c r="AR14" s="110">
        <v>44743</v>
      </c>
      <c r="AS14" s="308">
        <v>0</v>
      </c>
      <c r="AT14" s="308">
        <v>0</v>
      </c>
      <c r="AU14" s="308"/>
      <c r="AV14" s="472"/>
      <c r="AW14" s="472"/>
      <c r="AX14" s="472"/>
      <c r="AY14" s="473"/>
      <c r="AZ14" s="473"/>
      <c r="BA14" s="473"/>
      <c r="BB14" s="473"/>
      <c r="BD14" s="204"/>
      <c r="BH14" s="320"/>
      <c r="BJ14"/>
      <c r="BK14" s="372"/>
      <c r="BR14" s="376"/>
      <c r="BS14" s="568"/>
    </row>
    <row r="15" spans="1:71" ht="15" customHeight="1">
      <c r="A15" s="295">
        <v>45308</v>
      </c>
      <c r="B15" s="398" t="e">
        <f t="shared" si="0"/>
        <v>#DIV/0!</v>
      </c>
      <c r="C15" s="312" t="e">
        <f t="shared" si="1"/>
        <v>#DIV/0!</v>
      </c>
      <c r="D15" s="398" t="e">
        <f t="shared" si="2"/>
        <v>#DIV/0!</v>
      </c>
      <c r="E15" s="312" t="e">
        <f t="shared" si="3"/>
        <v>#DIV/0!</v>
      </c>
      <c r="F15" s="398" t="e">
        <f t="shared" si="4"/>
        <v>#DIV/0!</v>
      </c>
      <c r="G15" s="312" t="e">
        <f t="shared" si="5"/>
        <v>#DIV/0!</v>
      </c>
      <c r="H15" s="398">
        <v>0</v>
      </c>
      <c r="I15" s="312">
        <f t="shared" si="6"/>
        <v>0</v>
      </c>
      <c r="J15" s="457" t="e">
        <f t="shared" si="20"/>
        <v>#DIV/0!</v>
      </c>
      <c r="K15" s="369" t="e">
        <f>(J15-J14)/J14</f>
        <v>#DIV/0!</v>
      </c>
      <c r="L15" s="404" t="e">
        <f t="shared" si="21"/>
        <v>#DIV/0!</v>
      </c>
      <c r="M15" s="312" t="e">
        <f t="shared" si="22"/>
        <v>#DIV/0!</v>
      </c>
      <c r="N15" s="454" t="e">
        <f t="shared" si="23"/>
        <v>#DIV/0!</v>
      </c>
      <c r="O15" s="312" t="e">
        <f t="shared" si="24"/>
        <v>#DIV/0!</v>
      </c>
      <c r="P15" s="404" t="e">
        <f t="shared" si="25"/>
        <v>#DIV/0!</v>
      </c>
      <c r="Q15" s="312" t="e">
        <f t="shared" si="33"/>
        <v>#DIV/0!</v>
      </c>
      <c r="R15" s="454" t="e">
        <f t="shared" si="26"/>
        <v>#DIV/0!</v>
      </c>
      <c r="S15" s="312" t="e">
        <f t="shared" si="27"/>
        <v>#DIV/0!</v>
      </c>
      <c r="T15" s="454" t="e">
        <f t="shared" si="28"/>
        <v>#DIV/0!</v>
      </c>
      <c r="U15" s="312" t="e">
        <f t="shared" si="29"/>
        <v>#DIV/0!</v>
      </c>
      <c r="V15" s="454">
        <f t="shared" si="30"/>
        <v>0</v>
      </c>
      <c r="W15" s="312">
        <f t="shared" si="34"/>
        <v>-1</v>
      </c>
      <c r="X15" s="454">
        <f t="shared" si="31"/>
        <v>0</v>
      </c>
      <c r="Y15" s="312">
        <f t="shared" si="9"/>
        <v>-1</v>
      </c>
      <c r="Z15" s="674">
        <f t="shared" si="10"/>
        <v>0</v>
      </c>
      <c r="AA15" s="297"/>
      <c r="AB15" s="379">
        <f t="shared" si="10"/>
        <v>0</v>
      </c>
      <c r="AC15" s="297"/>
      <c r="AD15" s="413">
        <f t="shared" si="11"/>
        <v>0</v>
      </c>
      <c r="AE15" s="297"/>
      <c r="AG15" s="400" t="e">
        <f t="shared" si="12"/>
        <v>#DIV/0!</v>
      </c>
      <c r="AH15" s="401">
        <f t="shared" si="13"/>
        <v>0</v>
      </c>
      <c r="AI15" s="407">
        <f t="shared" si="14"/>
        <v>0</v>
      </c>
      <c r="AJ15" s="497"/>
      <c r="AK15" s="502">
        <f t="shared" si="15"/>
        <v>0</v>
      </c>
      <c r="AL15" s="503" t="e">
        <f t="shared" si="16"/>
        <v>#DIV/0!</v>
      </c>
      <c r="AM15" s="504" t="e">
        <f>AG15-AK15-AO15</f>
        <v>#DIV/0!</v>
      </c>
      <c r="AN15" s="503" t="e">
        <f t="shared" si="17"/>
        <v>#DIV/0!</v>
      </c>
      <c r="AO15" s="502">
        <f t="shared" si="18"/>
        <v>0</v>
      </c>
      <c r="AP15" s="503" t="e">
        <f t="shared" si="19"/>
        <v>#DIV/0!</v>
      </c>
      <c r="AQ15" s="402"/>
      <c r="AR15" s="110">
        <v>44774</v>
      </c>
      <c r="AS15" s="308">
        <v>0</v>
      </c>
      <c r="AT15" s="308">
        <v>0</v>
      </c>
      <c r="AU15" s="308"/>
      <c r="AV15" s="308"/>
      <c r="AW15" s="308"/>
      <c r="AX15" s="308"/>
      <c r="AY15" s="403"/>
      <c r="AZ15" s="403"/>
      <c r="BA15" s="403"/>
      <c r="BB15" s="403"/>
      <c r="BD15" s="213" t="s">
        <v>124</v>
      </c>
      <c r="BE15" s="214"/>
      <c r="BF15" s="215"/>
      <c r="BG15" s="238"/>
      <c r="BH15" s="238"/>
      <c r="BI15" s="239">
        <f>BG15*BF15+BH15</f>
        <v>0</v>
      </c>
      <c r="BJ15" s="676"/>
      <c r="BK15" s="372"/>
      <c r="BL15" s="223"/>
      <c r="BM15" s="215"/>
      <c r="BN15" s="218"/>
      <c r="BO15" s="218"/>
      <c r="BP15" s="224">
        <f>BN15*BM15</f>
        <v>0</v>
      </c>
      <c r="BR15" s="233" t="str">
        <f>IF(BP15&gt;0,BP15-BI20,"")</f>
        <v/>
      </c>
      <c r="BS15" s="371" t="str">
        <f>IFERROR(BR15*20/100,"")</f>
        <v/>
      </c>
    </row>
    <row r="16" spans="1:71" ht="15.75" customHeight="1">
      <c r="A16" s="295">
        <v>45309</v>
      </c>
      <c r="B16" s="398" t="e">
        <f t="shared" si="0"/>
        <v>#DIV/0!</v>
      </c>
      <c r="C16" s="312" t="e">
        <f t="shared" si="1"/>
        <v>#DIV/0!</v>
      </c>
      <c r="D16" s="398" t="e">
        <f t="shared" si="2"/>
        <v>#DIV/0!</v>
      </c>
      <c r="E16" s="312" t="e">
        <f t="shared" si="3"/>
        <v>#DIV/0!</v>
      </c>
      <c r="F16" s="398" t="e">
        <f t="shared" si="4"/>
        <v>#DIV/0!</v>
      </c>
      <c r="G16" s="312" t="e">
        <f t="shared" si="5"/>
        <v>#DIV/0!</v>
      </c>
      <c r="H16" s="398">
        <v>0</v>
      </c>
      <c r="I16" s="312">
        <f t="shared" si="6"/>
        <v>0</v>
      </c>
      <c r="J16" s="457" t="e">
        <f t="shared" si="20"/>
        <v>#DIV/0!</v>
      </c>
      <c r="K16" s="369" t="e">
        <f>(J16-1916.43+3537.05-J15)/J15</f>
        <v>#DIV/0!</v>
      </c>
      <c r="L16" s="404" t="e">
        <f t="shared" si="21"/>
        <v>#DIV/0!</v>
      </c>
      <c r="M16" s="312" t="e">
        <f t="shared" si="22"/>
        <v>#DIV/0!</v>
      </c>
      <c r="N16" s="454" t="e">
        <f t="shared" si="23"/>
        <v>#DIV/0!</v>
      </c>
      <c r="O16" s="312" t="e">
        <f t="shared" si="24"/>
        <v>#DIV/0!</v>
      </c>
      <c r="P16" s="404" t="e">
        <f t="shared" si="25"/>
        <v>#DIV/0!</v>
      </c>
      <c r="Q16" s="312" t="e">
        <f t="shared" si="33"/>
        <v>#DIV/0!</v>
      </c>
      <c r="R16" s="454" t="e">
        <f t="shared" si="26"/>
        <v>#DIV/0!</v>
      </c>
      <c r="S16" s="312" t="e">
        <f t="shared" si="27"/>
        <v>#DIV/0!</v>
      </c>
      <c r="T16" s="454" t="e">
        <f t="shared" si="28"/>
        <v>#DIV/0!</v>
      </c>
      <c r="U16" s="312" t="e">
        <f t="shared" si="29"/>
        <v>#DIV/0!</v>
      </c>
      <c r="V16" s="454">
        <f t="shared" si="30"/>
        <v>0</v>
      </c>
      <c r="W16" s="312">
        <f t="shared" si="34"/>
        <v>-1</v>
      </c>
      <c r="X16" s="454">
        <f t="shared" si="31"/>
        <v>0</v>
      </c>
      <c r="Y16" s="312">
        <f t="shared" si="9"/>
        <v>-1</v>
      </c>
      <c r="Z16" s="674">
        <f t="shared" si="10"/>
        <v>0</v>
      </c>
      <c r="AA16" s="329"/>
      <c r="AB16" s="379">
        <f t="shared" si="10"/>
        <v>0</v>
      </c>
      <c r="AC16" s="329"/>
      <c r="AD16" s="413">
        <f t="shared" si="11"/>
        <v>0</v>
      </c>
      <c r="AE16" s="329"/>
      <c r="AG16" s="400" t="e">
        <f t="shared" si="12"/>
        <v>#DIV/0!</v>
      </c>
      <c r="AH16" s="401">
        <f t="shared" si="13"/>
        <v>0</v>
      </c>
      <c r="AI16" s="407">
        <f t="shared" si="14"/>
        <v>0</v>
      </c>
      <c r="AJ16" s="497"/>
      <c r="AK16" s="502">
        <f t="shared" si="15"/>
        <v>0</v>
      </c>
      <c r="AL16" s="503" t="e">
        <f t="shared" si="16"/>
        <v>#DIV/0!</v>
      </c>
      <c r="AM16" s="504" t="e">
        <f>AG16-AK16-AO16</f>
        <v>#DIV/0!</v>
      </c>
      <c r="AN16" s="503" t="e">
        <f t="shared" si="17"/>
        <v>#DIV/0!</v>
      </c>
      <c r="AO16" s="502">
        <f t="shared" si="18"/>
        <v>0</v>
      </c>
      <c r="AP16" s="503" t="e">
        <f t="shared" si="19"/>
        <v>#DIV/0!</v>
      </c>
      <c r="AQ16" s="402"/>
      <c r="AR16" s="110">
        <v>44805</v>
      </c>
      <c r="AS16" s="308">
        <v>0</v>
      </c>
      <c r="AT16" s="308">
        <v>0</v>
      </c>
      <c r="AU16" s="308"/>
      <c r="AV16" s="308"/>
      <c r="AW16" s="308"/>
      <c r="AX16" s="308"/>
      <c r="AY16" s="403"/>
      <c r="AZ16" s="403"/>
      <c r="BA16" s="403"/>
      <c r="BB16" s="403"/>
      <c r="BD16" s="241" t="s">
        <v>118</v>
      </c>
      <c r="BE16" s="222"/>
      <c r="BF16" s="216"/>
      <c r="BG16" s="240"/>
      <c r="BH16" s="249"/>
      <c r="BI16" s="240">
        <v>85.96</v>
      </c>
      <c r="BJ16" s="256"/>
      <c r="BL16" s="225"/>
      <c r="BM16" s="216"/>
      <c r="BN16" s="221"/>
      <c r="BO16" s="216"/>
      <c r="BP16" s="226">
        <f>BN16*BM16</f>
        <v>0</v>
      </c>
      <c r="BR16" s="234" t="str">
        <f>IF(BP16&gt;0,BP16-BI17,"")</f>
        <v/>
      </c>
      <c r="BS16" s="374" t="str">
        <f t="shared" ref="BS16:BS17" si="35">IFERROR(BR16*20/100,"")</f>
        <v/>
      </c>
    </row>
    <row r="17" spans="1:71" ht="15" customHeight="1">
      <c r="A17" s="295">
        <v>45310</v>
      </c>
      <c r="B17" s="398" t="e">
        <f t="shared" si="0"/>
        <v>#DIV/0!</v>
      </c>
      <c r="C17" s="312" t="e">
        <f t="shared" si="1"/>
        <v>#DIV/0!</v>
      </c>
      <c r="D17" s="398" t="e">
        <f t="shared" si="2"/>
        <v>#DIV/0!</v>
      </c>
      <c r="E17" s="312" t="e">
        <f t="shared" si="3"/>
        <v>#DIV/0!</v>
      </c>
      <c r="F17" s="398" t="e">
        <f t="shared" si="4"/>
        <v>#DIV/0!</v>
      </c>
      <c r="G17" s="312" t="e">
        <f t="shared" si="5"/>
        <v>#DIV/0!</v>
      </c>
      <c r="H17" s="398">
        <v>0</v>
      </c>
      <c r="I17" s="312">
        <f t="shared" si="6"/>
        <v>0</v>
      </c>
      <c r="J17" s="457" t="e">
        <f t="shared" si="20"/>
        <v>#DIV/0!</v>
      </c>
      <c r="K17" s="369" t="e">
        <f>(J17-1400+10000-J16)/J16</f>
        <v>#DIV/0!</v>
      </c>
      <c r="L17" s="404" t="e">
        <f t="shared" si="21"/>
        <v>#DIV/0!</v>
      </c>
      <c r="M17" s="312" t="e">
        <f t="shared" si="22"/>
        <v>#DIV/0!</v>
      </c>
      <c r="N17" s="454" t="e">
        <f t="shared" si="23"/>
        <v>#DIV/0!</v>
      </c>
      <c r="O17" s="312" t="e">
        <f t="shared" si="24"/>
        <v>#DIV/0!</v>
      </c>
      <c r="P17" s="404" t="e">
        <f t="shared" si="25"/>
        <v>#DIV/0!</v>
      </c>
      <c r="Q17" s="312" t="e">
        <f t="shared" si="33"/>
        <v>#DIV/0!</v>
      </c>
      <c r="R17" s="454" t="e">
        <f t="shared" si="26"/>
        <v>#DIV/0!</v>
      </c>
      <c r="S17" s="312" t="e">
        <f t="shared" si="27"/>
        <v>#DIV/0!</v>
      </c>
      <c r="T17" s="454" t="e">
        <f t="shared" si="28"/>
        <v>#DIV/0!</v>
      </c>
      <c r="U17" s="312" t="e">
        <f t="shared" si="29"/>
        <v>#DIV/0!</v>
      </c>
      <c r="V17" s="454">
        <f t="shared" si="30"/>
        <v>0</v>
      </c>
      <c r="W17" s="312">
        <f t="shared" si="34"/>
        <v>-1</v>
      </c>
      <c r="X17" s="454">
        <f t="shared" si="31"/>
        <v>0</v>
      </c>
      <c r="Y17" s="312">
        <f t="shared" si="9"/>
        <v>-1</v>
      </c>
      <c r="Z17" s="674">
        <f t="shared" si="10"/>
        <v>0</v>
      </c>
      <c r="AA17" s="297"/>
      <c r="AB17" s="379">
        <f t="shared" si="10"/>
        <v>0</v>
      </c>
      <c r="AC17" s="297"/>
      <c r="AD17" s="413">
        <f t="shared" si="11"/>
        <v>0</v>
      </c>
      <c r="AE17" s="297"/>
      <c r="AG17" s="400" t="e">
        <f t="shared" si="12"/>
        <v>#DIV/0!</v>
      </c>
      <c r="AH17" s="401">
        <f t="shared" si="13"/>
        <v>0</v>
      </c>
      <c r="AI17" s="407">
        <f t="shared" si="14"/>
        <v>0</v>
      </c>
      <c r="AJ17" s="497"/>
      <c r="AK17" s="502">
        <f t="shared" si="15"/>
        <v>0</v>
      </c>
      <c r="AL17" s="503" t="e">
        <f t="shared" si="16"/>
        <v>#DIV/0!</v>
      </c>
      <c r="AM17" s="504" t="e">
        <f>AG17-AK17-AO17</f>
        <v>#DIV/0!</v>
      </c>
      <c r="AN17" s="503" t="e">
        <f t="shared" si="17"/>
        <v>#DIV/0!</v>
      </c>
      <c r="AO17" s="502">
        <f t="shared" si="18"/>
        <v>0</v>
      </c>
      <c r="AP17" s="503" t="e">
        <f t="shared" si="19"/>
        <v>#DIV/0!</v>
      </c>
      <c r="AQ17" s="456"/>
      <c r="AR17" s="110">
        <v>44835</v>
      </c>
      <c r="AS17" s="308">
        <v>0</v>
      </c>
      <c r="AT17" s="308">
        <v>0</v>
      </c>
      <c r="AU17" s="308"/>
      <c r="AV17" s="308"/>
      <c r="AW17" s="308"/>
      <c r="AX17" s="308"/>
      <c r="AY17" s="403"/>
      <c r="AZ17" s="403"/>
      <c r="BA17" s="403"/>
      <c r="BB17" s="403"/>
      <c r="BD17" s="241"/>
      <c r="BE17" s="222"/>
      <c r="BF17" s="216"/>
      <c r="BG17" s="240"/>
      <c r="BH17" s="249"/>
      <c r="BI17" s="240">
        <f>BF17*BG17+BH17</f>
        <v>0</v>
      </c>
      <c r="BJ17" s="256"/>
      <c r="BL17" s="227"/>
      <c r="BM17" s="216"/>
      <c r="BN17" s="221"/>
      <c r="BO17" s="216"/>
      <c r="BP17" s="228"/>
      <c r="BR17" s="234" t="str">
        <f>IF(BP17&gt;0,BP17-BI18,"")</f>
        <v/>
      </c>
      <c r="BS17" s="374" t="str">
        <f t="shared" si="35"/>
        <v/>
      </c>
    </row>
    <row r="18" spans="1:71">
      <c r="A18" s="295">
        <v>45313</v>
      </c>
      <c r="B18" s="398" t="e">
        <f t="shared" si="0"/>
        <v>#DIV/0!</v>
      </c>
      <c r="C18" s="312" t="e">
        <f t="shared" si="1"/>
        <v>#DIV/0!</v>
      </c>
      <c r="D18" s="398" t="e">
        <f t="shared" si="2"/>
        <v>#DIV/0!</v>
      </c>
      <c r="E18" s="312" t="e">
        <f t="shared" si="3"/>
        <v>#DIV/0!</v>
      </c>
      <c r="F18" s="398" t="e">
        <f t="shared" si="4"/>
        <v>#DIV/0!</v>
      </c>
      <c r="G18" s="312" t="e">
        <f t="shared" si="5"/>
        <v>#DIV/0!</v>
      </c>
      <c r="H18" s="398">
        <v>0</v>
      </c>
      <c r="I18" s="312">
        <f t="shared" si="6"/>
        <v>0</v>
      </c>
      <c r="J18" s="457" t="e">
        <f t="shared" si="20"/>
        <v>#DIV/0!</v>
      </c>
      <c r="K18" s="369" t="e">
        <f>(J18+1390+1767.52-J17)/J17</f>
        <v>#DIV/0!</v>
      </c>
      <c r="L18" s="404" t="e">
        <f t="shared" si="21"/>
        <v>#DIV/0!</v>
      </c>
      <c r="M18" s="312" t="e">
        <f>(L18-5-L17)/L17</f>
        <v>#DIV/0!</v>
      </c>
      <c r="N18" s="454" t="e">
        <f t="shared" si="23"/>
        <v>#DIV/0!</v>
      </c>
      <c r="O18" s="312" t="e">
        <f t="shared" si="24"/>
        <v>#DIV/0!</v>
      </c>
      <c r="P18" s="404" t="e">
        <f t="shared" si="25"/>
        <v>#DIV/0!</v>
      </c>
      <c r="Q18" s="312" t="e">
        <f t="shared" si="33"/>
        <v>#DIV/0!</v>
      </c>
      <c r="R18" s="454" t="e">
        <f t="shared" si="26"/>
        <v>#DIV/0!</v>
      </c>
      <c r="S18" s="312" t="e">
        <f t="shared" si="27"/>
        <v>#DIV/0!</v>
      </c>
      <c r="T18" s="454" t="e">
        <f t="shared" si="28"/>
        <v>#DIV/0!</v>
      </c>
      <c r="U18" s="312" t="e">
        <f t="shared" si="29"/>
        <v>#DIV/0!</v>
      </c>
      <c r="V18" s="454">
        <f t="shared" si="30"/>
        <v>0</v>
      </c>
      <c r="W18" s="312">
        <f t="shared" si="34"/>
        <v>-1</v>
      </c>
      <c r="X18" s="454">
        <f t="shared" si="31"/>
        <v>0</v>
      </c>
      <c r="Y18" s="312">
        <f t="shared" si="9"/>
        <v>-1</v>
      </c>
      <c r="Z18" s="674">
        <f t="shared" si="10"/>
        <v>0</v>
      </c>
      <c r="AA18" s="329"/>
      <c r="AB18" s="379">
        <f t="shared" si="10"/>
        <v>0</v>
      </c>
      <c r="AC18" s="329"/>
      <c r="AD18" s="413">
        <f t="shared" si="11"/>
        <v>0</v>
      </c>
      <c r="AE18" s="329"/>
      <c r="AG18" s="400" t="e">
        <f t="shared" si="12"/>
        <v>#DIV/0!</v>
      </c>
      <c r="AH18" s="401">
        <f t="shared" si="13"/>
        <v>0</v>
      </c>
      <c r="AI18" s="407">
        <f t="shared" si="14"/>
        <v>0</v>
      </c>
      <c r="AJ18" s="497"/>
      <c r="AK18" s="502">
        <f t="shared" si="15"/>
        <v>0</v>
      </c>
      <c r="AL18" s="503" t="e">
        <f t="shared" si="16"/>
        <v>#DIV/0!</v>
      </c>
      <c r="AM18" s="504" t="e">
        <f>AG18-AK18-AO18</f>
        <v>#DIV/0!</v>
      </c>
      <c r="AN18" s="503" t="e">
        <f t="shared" si="17"/>
        <v>#DIV/0!</v>
      </c>
      <c r="AO18" s="502">
        <f t="shared" si="18"/>
        <v>0</v>
      </c>
      <c r="AP18" s="503" t="e">
        <f t="shared" si="19"/>
        <v>#DIV/0!</v>
      </c>
      <c r="AQ18" s="456"/>
      <c r="AR18" s="110">
        <v>44866</v>
      </c>
      <c r="AS18" s="308">
        <v>0</v>
      </c>
      <c r="AT18" s="308">
        <v>0</v>
      </c>
      <c r="AU18" s="308"/>
      <c r="AV18" s="308"/>
      <c r="AW18" s="308"/>
      <c r="AX18" s="308"/>
      <c r="AY18" s="403"/>
      <c r="AZ18" s="403"/>
      <c r="BA18" s="403"/>
      <c r="BB18" s="403"/>
      <c r="BD18" s="241"/>
      <c r="BE18" s="552"/>
      <c r="BF18" s="553"/>
      <c r="BG18" s="554"/>
      <c r="BH18" s="555"/>
      <c r="BI18" s="240">
        <f>BF18*BG18+BH18</f>
        <v>0</v>
      </c>
      <c r="BJ18" s="256"/>
      <c r="BL18" s="227"/>
      <c r="BM18" s="216"/>
      <c r="BN18" s="221"/>
      <c r="BO18" s="216"/>
      <c r="BP18" s="228">
        <f>BN18*BM18</f>
        <v>0</v>
      </c>
      <c r="BR18" s="234" t="str">
        <f>IF(BP18&gt;0,BP18-BI19,"")</f>
        <v/>
      </c>
      <c r="BS18" s="374" t="str">
        <f>IFERROR(BR18*20/100,"")</f>
        <v/>
      </c>
    </row>
    <row r="19" spans="1:71">
      <c r="A19" s="295">
        <v>45314</v>
      </c>
      <c r="B19" s="398" t="e">
        <f t="shared" si="0"/>
        <v>#DIV/0!</v>
      </c>
      <c r="C19" s="312" t="e">
        <f t="shared" si="1"/>
        <v>#DIV/0!</v>
      </c>
      <c r="D19" s="398" t="e">
        <f t="shared" si="2"/>
        <v>#DIV/0!</v>
      </c>
      <c r="E19" s="312" t="e">
        <f t="shared" si="3"/>
        <v>#DIV/0!</v>
      </c>
      <c r="F19" s="398" t="e">
        <f t="shared" si="4"/>
        <v>#DIV/0!</v>
      </c>
      <c r="G19" s="312" t="e">
        <f t="shared" si="5"/>
        <v>#DIV/0!</v>
      </c>
      <c r="H19" s="398">
        <v>0</v>
      </c>
      <c r="I19" s="312">
        <f t="shared" si="6"/>
        <v>0</v>
      </c>
      <c r="J19" s="457" t="e">
        <f t="shared" si="20"/>
        <v>#DIV/0!</v>
      </c>
      <c r="K19" s="369" t="e">
        <f>(J19+10000+1764.52-J18)/J18</f>
        <v>#DIV/0!</v>
      </c>
      <c r="L19" s="404" t="e">
        <f t="shared" si="21"/>
        <v>#DIV/0!</v>
      </c>
      <c r="M19" s="312" t="e">
        <f t="shared" si="22"/>
        <v>#DIV/0!</v>
      </c>
      <c r="N19" s="454" t="e">
        <f t="shared" si="23"/>
        <v>#DIV/0!</v>
      </c>
      <c r="O19" s="312" t="e">
        <f t="shared" si="24"/>
        <v>#DIV/0!</v>
      </c>
      <c r="P19" s="404" t="e">
        <f t="shared" si="25"/>
        <v>#DIV/0!</v>
      </c>
      <c r="Q19" s="312" t="e">
        <f t="shared" si="33"/>
        <v>#DIV/0!</v>
      </c>
      <c r="R19" s="454" t="e">
        <f t="shared" si="26"/>
        <v>#DIV/0!</v>
      </c>
      <c r="S19" s="312" t="e">
        <f t="shared" si="27"/>
        <v>#DIV/0!</v>
      </c>
      <c r="T19" s="454" t="e">
        <f t="shared" si="28"/>
        <v>#DIV/0!</v>
      </c>
      <c r="U19" s="312" t="e">
        <f t="shared" si="29"/>
        <v>#DIV/0!</v>
      </c>
      <c r="V19" s="454">
        <f t="shared" si="30"/>
        <v>0</v>
      </c>
      <c r="W19" s="312">
        <f t="shared" si="34"/>
        <v>-1</v>
      </c>
      <c r="X19" s="454">
        <f t="shared" si="31"/>
        <v>0</v>
      </c>
      <c r="Y19" s="312">
        <f t="shared" si="9"/>
        <v>-1</v>
      </c>
      <c r="Z19" s="674">
        <f t="shared" si="10"/>
        <v>0</v>
      </c>
      <c r="AA19" s="297"/>
      <c r="AB19" s="379">
        <f t="shared" si="10"/>
        <v>0</v>
      </c>
      <c r="AC19" s="297"/>
      <c r="AD19" s="413">
        <f t="shared" si="11"/>
        <v>0</v>
      </c>
      <c r="AE19" s="297"/>
      <c r="AG19" s="400" t="e">
        <f t="shared" si="12"/>
        <v>#DIV/0!</v>
      </c>
      <c r="AH19" s="401">
        <f t="shared" si="13"/>
        <v>0</v>
      </c>
      <c r="AI19" s="407">
        <f t="shared" si="14"/>
        <v>0</v>
      </c>
      <c r="AJ19" s="497"/>
      <c r="AK19" s="502">
        <f t="shared" si="15"/>
        <v>0</v>
      </c>
      <c r="AL19" s="503" t="e">
        <f t="shared" si="16"/>
        <v>#DIV/0!</v>
      </c>
      <c r="AM19" s="504" t="e">
        <f>AG19-AK19-AO19</f>
        <v>#DIV/0!</v>
      </c>
      <c r="AN19" s="503" t="e">
        <f t="shared" si="17"/>
        <v>#DIV/0!</v>
      </c>
      <c r="AO19" s="502">
        <f t="shared" si="18"/>
        <v>0</v>
      </c>
      <c r="AP19" s="503" t="e">
        <f t="shared" si="19"/>
        <v>#DIV/0!</v>
      </c>
      <c r="AQ19" s="456"/>
      <c r="AR19" s="110">
        <v>44896</v>
      </c>
      <c r="AS19" s="308">
        <v>0</v>
      </c>
      <c r="AT19" s="308">
        <v>0</v>
      </c>
      <c r="AU19" s="308"/>
      <c r="AV19" s="308"/>
      <c r="AW19" s="308"/>
      <c r="AX19" s="308"/>
      <c r="AY19" s="403"/>
      <c r="AZ19" s="403"/>
      <c r="BA19" s="403"/>
      <c r="BB19" s="403"/>
      <c r="BD19" s="241"/>
      <c r="BE19" s="222"/>
      <c r="BF19" s="216"/>
      <c r="BG19" s="240"/>
      <c r="BH19" s="249"/>
      <c r="BI19" s="240">
        <f>BF19*BG19+BH19</f>
        <v>0</v>
      </c>
      <c r="BJ19" s="256"/>
      <c r="BL19" s="227"/>
      <c r="BM19" s="216"/>
      <c r="BN19" s="221"/>
      <c r="BO19" s="216"/>
      <c r="BP19" s="228">
        <f>BN19*BM19</f>
        <v>0</v>
      </c>
      <c r="BR19" s="234" t="str">
        <f>IF(BP19&gt;0,BP19-BI20,"")</f>
        <v/>
      </c>
      <c r="BS19" s="374" t="str">
        <f>IFERROR(BR19*20/100,"")</f>
        <v/>
      </c>
    </row>
    <row r="20" spans="1:71">
      <c r="A20" s="295">
        <v>45315</v>
      </c>
      <c r="B20" s="398" t="e">
        <f t="shared" si="0"/>
        <v>#DIV/0!</v>
      </c>
      <c r="C20" s="312" t="e">
        <f t="shared" si="1"/>
        <v>#DIV/0!</v>
      </c>
      <c r="D20" s="398" t="e">
        <f t="shared" si="2"/>
        <v>#DIV/0!</v>
      </c>
      <c r="E20" s="312" t="e">
        <f t="shared" si="3"/>
        <v>#DIV/0!</v>
      </c>
      <c r="F20" s="398" t="e">
        <f t="shared" si="4"/>
        <v>#DIV/0!</v>
      </c>
      <c r="G20" s="312" t="e">
        <f t="shared" si="5"/>
        <v>#DIV/0!</v>
      </c>
      <c r="H20" s="398">
        <v>0</v>
      </c>
      <c r="I20" s="312">
        <f t="shared" si="6"/>
        <v>0</v>
      </c>
      <c r="J20" s="457" t="e">
        <f t="shared" si="20"/>
        <v>#DIV/0!</v>
      </c>
      <c r="K20" s="369" t="e">
        <f>(J20-J19)/J19</f>
        <v>#DIV/0!</v>
      </c>
      <c r="L20" s="404" t="e">
        <f t="shared" si="21"/>
        <v>#DIV/0!</v>
      </c>
      <c r="M20" s="312" t="e">
        <f t="shared" si="22"/>
        <v>#DIV/0!</v>
      </c>
      <c r="N20" s="454" t="e">
        <f t="shared" si="23"/>
        <v>#DIV/0!</v>
      </c>
      <c r="O20" s="312" t="e">
        <f t="shared" si="24"/>
        <v>#DIV/0!</v>
      </c>
      <c r="P20" s="404" t="e">
        <f t="shared" si="25"/>
        <v>#DIV/0!</v>
      </c>
      <c r="Q20" s="312" t="e">
        <f t="shared" si="33"/>
        <v>#DIV/0!</v>
      </c>
      <c r="R20" s="454" t="e">
        <f t="shared" si="26"/>
        <v>#DIV/0!</v>
      </c>
      <c r="S20" s="312" t="e">
        <f t="shared" si="27"/>
        <v>#DIV/0!</v>
      </c>
      <c r="T20" s="454" t="e">
        <f t="shared" si="28"/>
        <v>#DIV/0!</v>
      </c>
      <c r="U20" s="312" t="e">
        <f t="shared" si="29"/>
        <v>#DIV/0!</v>
      </c>
      <c r="V20" s="454">
        <f t="shared" si="30"/>
        <v>0</v>
      </c>
      <c r="W20" s="312">
        <f>(V20-(399.77+264.98))/(399.77+264.98)</f>
        <v>-1</v>
      </c>
      <c r="X20" s="454">
        <f t="shared" si="31"/>
        <v>0</v>
      </c>
      <c r="Y20" s="312">
        <f t="shared" si="9"/>
        <v>-1</v>
      </c>
      <c r="Z20" s="674">
        <f t="shared" si="10"/>
        <v>0</v>
      </c>
      <c r="AA20" s="329"/>
      <c r="AB20" s="379">
        <f t="shared" si="10"/>
        <v>0</v>
      </c>
      <c r="AC20" s="329"/>
      <c r="AD20" s="413">
        <f t="shared" si="11"/>
        <v>0</v>
      </c>
      <c r="AE20" s="329"/>
      <c r="AG20" s="400" t="e">
        <f t="shared" si="12"/>
        <v>#DIV/0!</v>
      </c>
      <c r="AH20" s="401">
        <f t="shared" si="13"/>
        <v>0</v>
      </c>
      <c r="AI20" s="407">
        <f t="shared" si="14"/>
        <v>0</v>
      </c>
      <c r="AJ20" s="497"/>
      <c r="AK20" s="502">
        <f t="shared" si="15"/>
        <v>0</v>
      </c>
      <c r="AL20" s="503" t="e">
        <f t="shared" si="16"/>
        <v>#DIV/0!</v>
      </c>
      <c r="AM20" s="504" t="e">
        <f>AG20-AK20-AO20</f>
        <v>#DIV/0!</v>
      </c>
      <c r="AN20" s="503" t="e">
        <f t="shared" si="17"/>
        <v>#DIV/0!</v>
      </c>
      <c r="AO20" s="502">
        <f t="shared" si="18"/>
        <v>0</v>
      </c>
      <c r="AP20" s="503" t="e">
        <f t="shared" si="19"/>
        <v>#DIV/0!</v>
      </c>
      <c r="AQ20" s="456"/>
      <c r="AR20" s="110">
        <v>44927</v>
      </c>
      <c r="AS20" s="308">
        <v>0</v>
      </c>
      <c r="AT20" s="308">
        <v>0</v>
      </c>
      <c r="AU20" s="308"/>
      <c r="AV20" s="308"/>
      <c r="AW20" s="308"/>
      <c r="AX20" s="308"/>
      <c r="AY20" s="403"/>
      <c r="AZ20" s="403"/>
      <c r="BA20" s="403"/>
      <c r="BB20" s="403"/>
      <c r="BD20" s="241"/>
      <c r="BE20" s="222"/>
      <c r="BF20" s="216"/>
      <c r="BG20" s="240"/>
      <c r="BH20" s="249"/>
      <c r="BI20" s="240">
        <f>BF20*BG20+BH20</f>
        <v>0</v>
      </c>
      <c r="BJ20" s="256"/>
      <c r="BK20" s="377"/>
      <c r="BL20" s="227"/>
      <c r="BM20" s="216"/>
      <c r="BN20" s="221"/>
      <c r="BO20" s="216"/>
      <c r="BP20" s="228">
        <f>BN20*BM20</f>
        <v>0</v>
      </c>
      <c r="BR20" s="234" t="str">
        <f>IF(BP20&gt;0,BP20-BI21,"")</f>
        <v/>
      </c>
      <c r="BS20" s="374" t="str">
        <f>IFERROR(BR20*20/100,"")</f>
        <v/>
      </c>
    </row>
    <row r="21" spans="1:71" ht="15" customHeight="1" thickBot="1">
      <c r="A21" s="295">
        <v>45316</v>
      </c>
      <c r="B21" s="398" t="e">
        <f t="shared" si="0"/>
        <v>#DIV/0!</v>
      </c>
      <c r="C21" s="312" t="e">
        <f t="shared" si="1"/>
        <v>#DIV/0!</v>
      </c>
      <c r="D21" s="398" t="e">
        <f t="shared" si="2"/>
        <v>#DIV/0!</v>
      </c>
      <c r="E21" s="312" t="e">
        <f t="shared" si="3"/>
        <v>#DIV/0!</v>
      </c>
      <c r="F21" s="398" t="e">
        <f t="shared" si="4"/>
        <v>#DIV/0!</v>
      </c>
      <c r="G21" s="312" t="e">
        <f t="shared" si="5"/>
        <v>#DIV/0!</v>
      </c>
      <c r="H21" s="398">
        <v>0</v>
      </c>
      <c r="I21" s="312">
        <f t="shared" si="6"/>
        <v>0</v>
      </c>
      <c r="J21" s="457" t="e">
        <f t="shared" si="20"/>
        <v>#DIV/0!</v>
      </c>
      <c r="K21" s="369" t="e">
        <f>(J21-1416.67+2028.5+214-J20)/J20</f>
        <v>#DIV/0!</v>
      </c>
      <c r="L21" s="404" t="e">
        <f t="shared" si="21"/>
        <v>#DIV/0!</v>
      </c>
      <c r="M21" s="312" t="e">
        <f t="shared" si="22"/>
        <v>#DIV/0!</v>
      </c>
      <c r="N21" s="454" t="e">
        <f t="shared" si="23"/>
        <v>#DIV/0!</v>
      </c>
      <c r="O21" s="312" t="e">
        <f t="shared" si="24"/>
        <v>#DIV/0!</v>
      </c>
      <c r="P21" s="404" t="e">
        <f t="shared" si="25"/>
        <v>#DIV/0!</v>
      </c>
      <c r="Q21" s="312" t="e">
        <f t="shared" si="33"/>
        <v>#DIV/0!</v>
      </c>
      <c r="R21" s="454" t="e">
        <f t="shared" si="26"/>
        <v>#DIV/0!</v>
      </c>
      <c r="S21" s="312" t="e">
        <f t="shared" si="27"/>
        <v>#DIV/0!</v>
      </c>
      <c r="T21" s="454" t="e">
        <f t="shared" si="28"/>
        <v>#DIV/0!</v>
      </c>
      <c r="U21" s="312" t="e">
        <f t="shared" si="29"/>
        <v>#DIV/0!</v>
      </c>
      <c r="V21" s="454">
        <f t="shared" si="30"/>
        <v>0</v>
      </c>
      <c r="W21" s="312">
        <f t="shared" ref="W21:W34" si="36">(V21-(399.77+264.98))/(399.77+264.98)</f>
        <v>-1</v>
      </c>
      <c r="X21" s="454">
        <f t="shared" si="31"/>
        <v>0</v>
      </c>
      <c r="Y21" s="312">
        <f t="shared" si="9"/>
        <v>-1</v>
      </c>
      <c r="Z21" s="674">
        <f t="shared" si="10"/>
        <v>0</v>
      </c>
      <c r="AA21" s="297"/>
      <c r="AB21" s="379">
        <f t="shared" si="10"/>
        <v>0</v>
      </c>
      <c r="AC21" s="297"/>
      <c r="AD21" s="413">
        <f t="shared" si="11"/>
        <v>0</v>
      </c>
      <c r="AE21" s="297"/>
      <c r="AG21" s="400" t="e">
        <f t="shared" si="12"/>
        <v>#DIV/0!</v>
      </c>
      <c r="AH21" s="401">
        <f t="shared" si="13"/>
        <v>0</v>
      </c>
      <c r="AI21" s="407">
        <f t="shared" si="14"/>
        <v>0</v>
      </c>
      <c r="AJ21" s="497"/>
      <c r="AK21" s="502">
        <f t="shared" si="15"/>
        <v>0</v>
      </c>
      <c r="AL21" s="503" t="e">
        <f t="shared" si="16"/>
        <v>#DIV/0!</v>
      </c>
      <c r="AM21" s="504" t="e">
        <f>AG21-AK21-AO21</f>
        <v>#DIV/0!</v>
      </c>
      <c r="AN21" s="503" t="e">
        <f t="shared" si="17"/>
        <v>#DIV/0!</v>
      </c>
      <c r="AO21" s="502">
        <f t="shared" si="18"/>
        <v>0</v>
      </c>
      <c r="AP21" s="503" t="e">
        <f t="shared" si="19"/>
        <v>#DIV/0!</v>
      </c>
      <c r="AQ21" s="456"/>
      <c r="AR21" s="110">
        <v>44958</v>
      </c>
      <c r="AS21" s="308">
        <v>0</v>
      </c>
      <c r="AT21" s="308">
        <v>0</v>
      </c>
      <c r="AU21" s="308"/>
      <c r="AV21" s="308"/>
      <c r="AW21" s="308"/>
      <c r="AX21" s="308"/>
      <c r="AY21" s="403"/>
      <c r="AZ21" s="403"/>
      <c r="BA21" s="403"/>
      <c r="BB21" s="403"/>
      <c r="BD21" s="242"/>
      <c r="BE21" s="212" t="s">
        <v>119</v>
      </c>
      <c r="BF21" s="217">
        <f>SUM(BF15:BF20)</f>
        <v>0</v>
      </c>
      <c r="BG21" s="219" t="e">
        <f>((BF15*BG15)+(BF16*BG16)+(BF17*BG17)+(BF18*BG18)+(BF19*BG19)+(BF20*BG20))/BF21</f>
        <v>#DIV/0!</v>
      </c>
      <c r="BH21" s="219">
        <f>SUM(BH15:BH20)</f>
        <v>0</v>
      </c>
      <c r="BI21" s="220">
        <f>SUM(BI15:BI20)</f>
        <v>85.96</v>
      </c>
      <c r="BJ21" s="230"/>
      <c r="BL21" s="229" t="s">
        <v>119</v>
      </c>
      <c r="BM21" s="217">
        <f>SUM(BM15:BM20)</f>
        <v>0</v>
      </c>
      <c r="BN21" s="219" t="str">
        <f>IFERROR(AVERAGE(BN15:BN20),"")</f>
        <v/>
      </c>
      <c r="BO21" s="219"/>
      <c r="BP21" s="230">
        <f>SUM(BP15:BP20)</f>
        <v>0</v>
      </c>
      <c r="BR21" s="375">
        <f>SUM(BR18:BR20)</f>
        <v>0</v>
      </c>
      <c r="BS21" s="230">
        <f>SUM(BS16:BS20)</f>
        <v>0</v>
      </c>
    </row>
    <row r="22" spans="1:71" ht="14.5" customHeight="1" thickBot="1">
      <c r="A22" s="295">
        <v>45317</v>
      </c>
      <c r="B22" s="398" t="e">
        <f t="shared" si="0"/>
        <v>#DIV/0!</v>
      </c>
      <c r="C22" s="312" t="e">
        <f t="shared" si="1"/>
        <v>#DIV/0!</v>
      </c>
      <c r="D22" s="398" t="e">
        <f t="shared" si="2"/>
        <v>#DIV/0!</v>
      </c>
      <c r="E22" s="312" t="e">
        <f t="shared" si="3"/>
        <v>#DIV/0!</v>
      </c>
      <c r="F22" s="398" t="e">
        <f t="shared" si="4"/>
        <v>#DIV/0!</v>
      </c>
      <c r="G22" s="312" t="e">
        <f t="shared" si="5"/>
        <v>#DIV/0!</v>
      </c>
      <c r="H22" s="398">
        <v>0</v>
      </c>
      <c r="I22" s="312">
        <f t="shared" si="6"/>
        <v>0</v>
      </c>
      <c r="J22" s="457" t="e">
        <f t="shared" si="20"/>
        <v>#DIV/0!</v>
      </c>
      <c r="K22" s="369" t="e">
        <f>(J22+97-J21)/J21</f>
        <v>#DIV/0!</v>
      </c>
      <c r="L22" s="404" t="e">
        <f t="shared" si="21"/>
        <v>#DIV/0!</v>
      </c>
      <c r="M22" s="312" t="e">
        <f t="shared" si="22"/>
        <v>#DIV/0!</v>
      </c>
      <c r="N22" s="454" t="e">
        <f t="shared" si="23"/>
        <v>#DIV/0!</v>
      </c>
      <c r="O22" s="312" t="e">
        <f t="shared" si="24"/>
        <v>#DIV/0!</v>
      </c>
      <c r="P22" s="404" t="e">
        <f t="shared" si="25"/>
        <v>#DIV/0!</v>
      </c>
      <c r="Q22" s="312" t="e">
        <f t="shared" si="33"/>
        <v>#DIV/0!</v>
      </c>
      <c r="R22" s="454" t="e">
        <f t="shared" si="26"/>
        <v>#DIV/0!</v>
      </c>
      <c r="S22" s="312" t="e">
        <f t="shared" si="27"/>
        <v>#DIV/0!</v>
      </c>
      <c r="T22" s="454" t="e">
        <f t="shared" si="28"/>
        <v>#DIV/0!</v>
      </c>
      <c r="U22" s="312" t="e">
        <f t="shared" si="29"/>
        <v>#DIV/0!</v>
      </c>
      <c r="V22" s="454">
        <f t="shared" si="30"/>
        <v>0</v>
      </c>
      <c r="W22" s="312">
        <f t="shared" si="36"/>
        <v>-1</v>
      </c>
      <c r="X22" s="454">
        <f t="shared" si="31"/>
        <v>0</v>
      </c>
      <c r="Y22" s="312">
        <f t="shared" si="9"/>
        <v>-1</v>
      </c>
      <c r="Z22" s="674">
        <f t="shared" si="10"/>
        <v>0</v>
      </c>
      <c r="AA22" s="329"/>
      <c r="AB22" s="379">
        <f t="shared" si="10"/>
        <v>0</v>
      </c>
      <c r="AC22" s="329"/>
      <c r="AD22" s="413">
        <f t="shared" si="11"/>
        <v>0</v>
      </c>
      <c r="AE22" s="329"/>
      <c r="AG22" s="400" t="e">
        <f t="shared" si="12"/>
        <v>#DIV/0!</v>
      </c>
      <c r="AH22" s="401">
        <f t="shared" si="13"/>
        <v>0</v>
      </c>
      <c r="AI22" s="407">
        <f t="shared" si="14"/>
        <v>0</v>
      </c>
      <c r="AJ22" s="497"/>
      <c r="AK22" s="502">
        <f t="shared" si="15"/>
        <v>0</v>
      </c>
      <c r="AL22" s="503" t="e">
        <f t="shared" si="16"/>
        <v>#DIV/0!</v>
      </c>
      <c r="AM22" s="504" t="e">
        <f>AG22-AK22-AO22</f>
        <v>#DIV/0!</v>
      </c>
      <c r="AN22" s="503" t="e">
        <f t="shared" si="17"/>
        <v>#DIV/0!</v>
      </c>
      <c r="AO22" s="502">
        <f t="shared" si="18"/>
        <v>0</v>
      </c>
      <c r="AP22" s="503" t="e">
        <f t="shared" si="19"/>
        <v>#DIV/0!</v>
      </c>
      <c r="AQ22" s="456"/>
      <c r="AR22" s="110">
        <v>44986</v>
      </c>
      <c r="AS22" s="308">
        <v>0</v>
      </c>
      <c r="AT22" s="308">
        <v>0</v>
      </c>
      <c r="AU22" s="308"/>
      <c r="AV22" s="308"/>
      <c r="AW22" s="308"/>
      <c r="AX22" s="308"/>
      <c r="AY22" s="403"/>
      <c r="AZ22" s="403"/>
      <c r="BA22" s="403"/>
      <c r="BB22" s="403"/>
      <c r="BD22" s="204"/>
      <c r="BH22" s="320"/>
      <c r="BJ22"/>
      <c r="BR22" s="376"/>
      <c r="BS22" s="568"/>
    </row>
    <row r="23" spans="1:71" ht="14.5" customHeight="1">
      <c r="A23" s="295">
        <v>45320</v>
      </c>
      <c r="B23" s="398" t="e">
        <f t="shared" si="0"/>
        <v>#DIV/0!</v>
      </c>
      <c r="C23" s="312" t="e">
        <f t="shared" si="1"/>
        <v>#DIV/0!</v>
      </c>
      <c r="D23" s="398" t="e">
        <f t="shared" si="2"/>
        <v>#DIV/0!</v>
      </c>
      <c r="E23" s="312" t="e">
        <f t="shared" si="3"/>
        <v>#DIV/0!</v>
      </c>
      <c r="F23" s="398" t="e">
        <f t="shared" si="4"/>
        <v>#DIV/0!</v>
      </c>
      <c r="G23" s="312" t="e">
        <f t="shared" si="5"/>
        <v>#DIV/0!</v>
      </c>
      <c r="H23" s="398">
        <v>0</v>
      </c>
      <c r="I23" s="312">
        <f t="shared" si="6"/>
        <v>0</v>
      </c>
      <c r="J23" s="457" t="e">
        <f t="shared" si="20"/>
        <v>#DIV/0!</v>
      </c>
      <c r="K23" s="369" t="e">
        <f>(J23-3200-J22)/J22</f>
        <v>#DIV/0!</v>
      </c>
      <c r="L23" s="404" t="e">
        <f t="shared" si="21"/>
        <v>#DIV/0!</v>
      </c>
      <c r="M23" s="312" t="e">
        <f t="shared" si="22"/>
        <v>#DIV/0!</v>
      </c>
      <c r="N23" s="454" t="e">
        <f t="shared" si="23"/>
        <v>#DIV/0!</v>
      </c>
      <c r="O23" s="312" t="e">
        <f t="shared" si="24"/>
        <v>#DIV/0!</v>
      </c>
      <c r="P23" s="404" t="e">
        <f t="shared" si="25"/>
        <v>#DIV/0!</v>
      </c>
      <c r="Q23" s="312" t="e">
        <f t="shared" si="33"/>
        <v>#DIV/0!</v>
      </c>
      <c r="R23" s="454" t="e">
        <f t="shared" si="26"/>
        <v>#DIV/0!</v>
      </c>
      <c r="S23" s="312" t="e">
        <f t="shared" si="27"/>
        <v>#DIV/0!</v>
      </c>
      <c r="T23" s="454" t="e">
        <f t="shared" si="28"/>
        <v>#DIV/0!</v>
      </c>
      <c r="U23" s="312" t="e">
        <f t="shared" si="29"/>
        <v>#DIV/0!</v>
      </c>
      <c r="V23" s="454">
        <f t="shared" si="30"/>
        <v>0</v>
      </c>
      <c r="W23" s="312">
        <f t="shared" si="36"/>
        <v>-1</v>
      </c>
      <c r="X23" s="454">
        <f t="shared" si="31"/>
        <v>0</v>
      </c>
      <c r="Y23" s="312">
        <f t="shared" si="9"/>
        <v>-1</v>
      </c>
      <c r="Z23" s="674">
        <f t="shared" si="10"/>
        <v>0</v>
      </c>
      <c r="AA23" s="297"/>
      <c r="AB23" s="379">
        <f t="shared" si="10"/>
        <v>0</v>
      </c>
      <c r="AC23" s="297"/>
      <c r="AD23" s="413">
        <f t="shared" si="11"/>
        <v>0</v>
      </c>
      <c r="AE23" s="297"/>
      <c r="AG23" s="400" t="e">
        <f t="shared" si="12"/>
        <v>#DIV/0!</v>
      </c>
      <c r="AH23" s="401">
        <f t="shared" si="13"/>
        <v>0</v>
      </c>
      <c r="AI23" s="407">
        <f t="shared" si="14"/>
        <v>0</v>
      </c>
      <c r="AJ23" s="497"/>
      <c r="AK23" s="502">
        <f t="shared" si="15"/>
        <v>0</v>
      </c>
      <c r="AL23" s="503" t="e">
        <f t="shared" si="16"/>
        <v>#DIV/0!</v>
      </c>
      <c r="AM23" s="504" t="e">
        <f>AG23-AK23-AO23</f>
        <v>#DIV/0!</v>
      </c>
      <c r="AN23" s="503" t="e">
        <f t="shared" si="17"/>
        <v>#DIV/0!</v>
      </c>
      <c r="AO23" s="502">
        <f t="shared" si="18"/>
        <v>0</v>
      </c>
      <c r="AP23" s="503" t="e">
        <f t="shared" si="19"/>
        <v>#DIV/0!</v>
      </c>
      <c r="AQ23" s="456"/>
      <c r="AR23" s="110">
        <v>45017</v>
      </c>
      <c r="AS23" s="308">
        <v>0</v>
      </c>
      <c r="AT23" s="308">
        <v>0</v>
      </c>
      <c r="AU23" s="308"/>
      <c r="AV23" s="308"/>
      <c r="AW23" s="308"/>
      <c r="AX23" s="308"/>
      <c r="AY23" s="403"/>
      <c r="AZ23" s="403"/>
      <c r="BA23" s="403"/>
      <c r="BB23" s="403"/>
      <c r="BD23" s="213" t="s">
        <v>156</v>
      </c>
      <c r="BE23" s="214"/>
      <c r="BF23" s="215"/>
      <c r="BG23" s="218"/>
      <c r="BH23" s="235"/>
      <c r="BI23" s="370">
        <f t="shared" ref="BI23:BI31" si="37">BG23*BF23+BH23</f>
        <v>0</v>
      </c>
      <c r="BJ23" s="255"/>
      <c r="BK23" s="372"/>
      <c r="BL23" s="223"/>
      <c r="BM23" s="215"/>
      <c r="BN23" s="218"/>
      <c r="BO23" s="218"/>
      <c r="BP23" s="224">
        <f>BN23*BM23</f>
        <v>0</v>
      </c>
      <c r="BR23" s="233" t="str">
        <f>IF(BP23&gt;0,BP23-BI28,"")</f>
        <v/>
      </c>
      <c r="BS23" s="371" t="str">
        <f>IFERROR(BR23*20/100,"")</f>
        <v/>
      </c>
    </row>
    <row r="24" spans="1:71" ht="15" customHeight="1">
      <c r="A24" s="295">
        <v>45321</v>
      </c>
      <c r="B24" s="398" t="e">
        <f t="shared" si="0"/>
        <v>#DIV/0!</v>
      </c>
      <c r="C24" s="312" t="e">
        <f t="shared" si="1"/>
        <v>#DIV/0!</v>
      </c>
      <c r="D24" s="398" t="e">
        <f t="shared" si="2"/>
        <v>#DIV/0!</v>
      </c>
      <c r="E24" s="312" t="e">
        <f t="shared" si="3"/>
        <v>#DIV/0!</v>
      </c>
      <c r="F24" s="398" t="e">
        <f t="shared" si="4"/>
        <v>#DIV/0!</v>
      </c>
      <c r="G24" s="312" t="e">
        <f t="shared" si="5"/>
        <v>#DIV/0!</v>
      </c>
      <c r="H24" s="398">
        <v>0</v>
      </c>
      <c r="I24" s="312">
        <f t="shared" si="6"/>
        <v>0</v>
      </c>
      <c r="J24" s="457" t="e">
        <f t="shared" si="20"/>
        <v>#DIV/0!</v>
      </c>
      <c r="K24" s="369" t="e">
        <f>(J24-J23)/J23</f>
        <v>#DIV/0!</v>
      </c>
      <c r="L24" s="404" t="e">
        <f t="shared" si="21"/>
        <v>#DIV/0!</v>
      </c>
      <c r="M24" s="312" t="e">
        <f t="shared" si="22"/>
        <v>#DIV/0!</v>
      </c>
      <c r="N24" s="454" t="e">
        <f t="shared" si="23"/>
        <v>#DIV/0!</v>
      </c>
      <c r="O24" s="312" t="e">
        <f t="shared" si="24"/>
        <v>#DIV/0!</v>
      </c>
      <c r="P24" s="404" t="e">
        <f t="shared" si="25"/>
        <v>#DIV/0!</v>
      </c>
      <c r="Q24" s="312" t="e">
        <f t="shared" si="33"/>
        <v>#DIV/0!</v>
      </c>
      <c r="R24" s="454" t="e">
        <f t="shared" si="26"/>
        <v>#DIV/0!</v>
      </c>
      <c r="S24" s="312" t="e">
        <f t="shared" si="27"/>
        <v>#DIV/0!</v>
      </c>
      <c r="T24" s="454" t="e">
        <f t="shared" si="28"/>
        <v>#DIV/0!</v>
      </c>
      <c r="U24" s="312" t="e">
        <f t="shared" si="29"/>
        <v>#DIV/0!</v>
      </c>
      <c r="V24" s="454">
        <f t="shared" si="30"/>
        <v>0</v>
      </c>
      <c r="W24" s="312">
        <f t="shared" si="36"/>
        <v>-1</v>
      </c>
      <c r="X24" s="454">
        <f t="shared" si="31"/>
        <v>0</v>
      </c>
      <c r="Y24" s="312">
        <f t="shared" si="9"/>
        <v>-1</v>
      </c>
      <c r="Z24" s="674">
        <f t="shared" si="10"/>
        <v>0</v>
      </c>
      <c r="AA24" s="329"/>
      <c r="AB24" s="379">
        <f t="shared" si="10"/>
        <v>0</v>
      </c>
      <c r="AC24" s="329"/>
      <c r="AD24" s="413">
        <f t="shared" si="11"/>
        <v>0</v>
      </c>
      <c r="AE24" s="329"/>
      <c r="AG24" s="400" t="e">
        <f t="shared" si="12"/>
        <v>#DIV/0!</v>
      </c>
      <c r="AH24" s="401">
        <f t="shared" si="13"/>
        <v>0</v>
      </c>
      <c r="AI24" s="407">
        <f t="shared" si="14"/>
        <v>0</v>
      </c>
      <c r="AJ24" s="497"/>
      <c r="AK24" s="502">
        <f t="shared" si="15"/>
        <v>0</v>
      </c>
      <c r="AL24" s="503" t="e">
        <f t="shared" si="16"/>
        <v>#DIV/0!</v>
      </c>
      <c r="AM24" s="504" t="e">
        <f>AG24-AK24-AO24</f>
        <v>#DIV/0!</v>
      </c>
      <c r="AN24" s="503" t="e">
        <f t="shared" si="17"/>
        <v>#DIV/0!</v>
      </c>
      <c r="AO24" s="502">
        <f t="shared" si="18"/>
        <v>0</v>
      </c>
      <c r="AP24" s="503" t="e">
        <f t="shared" si="19"/>
        <v>#DIV/0!</v>
      </c>
      <c r="AQ24" s="456"/>
      <c r="AR24" s="110">
        <v>45047</v>
      </c>
      <c r="AS24" s="308">
        <v>0</v>
      </c>
      <c r="AT24" s="308">
        <v>0</v>
      </c>
      <c r="AU24" s="308"/>
      <c r="AV24" s="308"/>
      <c r="AW24" s="308"/>
      <c r="AX24" s="308"/>
      <c r="AY24" s="403"/>
      <c r="AZ24" s="403"/>
      <c r="BA24" s="403"/>
      <c r="BB24" s="403"/>
      <c r="BD24" s="524" t="s">
        <v>118</v>
      </c>
      <c r="BE24" s="222"/>
      <c r="BF24" s="216"/>
      <c r="BG24" s="240"/>
      <c r="BH24" s="240"/>
      <c r="BI24" s="240">
        <f t="shared" si="37"/>
        <v>0</v>
      </c>
      <c r="BJ24" s="256"/>
      <c r="BL24" s="225"/>
      <c r="BM24" s="216"/>
      <c r="BN24" s="221"/>
      <c r="BO24" s="216"/>
      <c r="BP24" s="226">
        <f>BN24*BM24</f>
        <v>0</v>
      </c>
      <c r="BR24" s="234" t="str">
        <f>IF(BP24&gt;0,BP24-BI25,"")</f>
        <v/>
      </c>
      <c r="BS24" s="374" t="str">
        <f>IFERROR(BR24*20/100,"")</f>
        <v/>
      </c>
    </row>
    <row r="25" spans="1:71" ht="15" customHeight="1">
      <c r="A25" s="295">
        <v>45322</v>
      </c>
      <c r="B25" s="398">
        <v>212844.29</v>
      </c>
      <c r="C25" s="312" t="e">
        <f t="shared" si="1"/>
        <v>#DIV/0!</v>
      </c>
      <c r="D25" s="398">
        <v>113127.25</v>
      </c>
      <c r="E25" s="312" t="e">
        <f t="shared" si="3"/>
        <v>#DIV/0!</v>
      </c>
      <c r="F25" s="398">
        <v>22926.91</v>
      </c>
      <c r="G25" s="312" t="e">
        <f t="shared" si="5"/>
        <v>#DIV/0!</v>
      </c>
      <c r="H25" s="398">
        <v>0</v>
      </c>
      <c r="I25" s="312">
        <f t="shared" si="6"/>
        <v>0</v>
      </c>
      <c r="J25" s="457" t="e">
        <f t="shared" si="20"/>
        <v>#DIV/0!</v>
      </c>
      <c r="K25" s="369" t="e">
        <f>(J25+100-290-J24)/J24</f>
        <v>#DIV/0!</v>
      </c>
      <c r="L25" s="404" t="e">
        <f t="shared" si="21"/>
        <v>#DIV/0!</v>
      </c>
      <c r="M25" s="312" t="e">
        <f t="shared" si="22"/>
        <v>#DIV/0!</v>
      </c>
      <c r="N25" s="454">
        <v>19192.47</v>
      </c>
      <c r="O25" s="312" t="e">
        <f t="shared" si="24"/>
        <v>#DIV/0!</v>
      </c>
      <c r="P25" s="404" t="e">
        <f t="shared" si="25"/>
        <v>#DIV/0!</v>
      </c>
      <c r="Q25" s="312" t="e">
        <f t="shared" si="33"/>
        <v>#DIV/0!</v>
      </c>
      <c r="R25" s="454" t="e">
        <f t="shared" si="26"/>
        <v>#DIV/0!</v>
      </c>
      <c r="S25" s="312" t="e">
        <f t="shared" si="27"/>
        <v>#DIV/0!</v>
      </c>
      <c r="T25" s="454" t="e">
        <f t="shared" si="28"/>
        <v>#DIV/0!</v>
      </c>
      <c r="U25" s="312" t="e">
        <f t="shared" si="29"/>
        <v>#DIV/0!</v>
      </c>
      <c r="V25" s="454">
        <f t="shared" si="30"/>
        <v>0</v>
      </c>
      <c r="W25" s="312">
        <f t="shared" si="36"/>
        <v>-1</v>
      </c>
      <c r="X25" s="454">
        <f t="shared" si="31"/>
        <v>0</v>
      </c>
      <c r="Y25" s="312">
        <f t="shared" si="9"/>
        <v>-1</v>
      </c>
      <c r="Z25" s="674">
        <f t="shared" si="10"/>
        <v>0</v>
      </c>
      <c r="AA25" s="297"/>
      <c r="AB25" s="379">
        <f t="shared" si="10"/>
        <v>0</v>
      </c>
      <c r="AC25" s="297"/>
      <c r="AD25" s="413">
        <f t="shared" si="11"/>
        <v>0</v>
      </c>
      <c r="AE25" s="297"/>
      <c r="AG25" s="400" t="e">
        <f t="shared" si="12"/>
        <v>#DIV/0!</v>
      </c>
      <c r="AH25" s="401">
        <f t="shared" si="13"/>
        <v>0</v>
      </c>
      <c r="AI25" s="407">
        <f t="shared" si="14"/>
        <v>0</v>
      </c>
      <c r="AJ25" s="497"/>
      <c r="AK25" s="502">
        <f t="shared" si="15"/>
        <v>0</v>
      </c>
      <c r="AL25" s="503" t="e">
        <f t="shared" si="16"/>
        <v>#DIV/0!</v>
      </c>
      <c r="AM25" s="504" t="e">
        <f>AG25-AK25-AO25</f>
        <v>#DIV/0!</v>
      </c>
      <c r="AN25" s="503" t="e">
        <f t="shared" si="17"/>
        <v>#DIV/0!</v>
      </c>
      <c r="AO25" s="502">
        <f t="shared" si="18"/>
        <v>0</v>
      </c>
      <c r="AP25" s="503" t="e">
        <f t="shared" si="19"/>
        <v>#DIV/0!</v>
      </c>
      <c r="AQ25" s="456"/>
      <c r="AR25" s="110">
        <v>45078</v>
      </c>
      <c r="AS25" s="308">
        <v>0</v>
      </c>
      <c r="AT25" s="308">
        <v>0</v>
      </c>
      <c r="AU25" s="308"/>
      <c r="AV25" s="308"/>
      <c r="AW25" s="308"/>
      <c r="AX25" s="308"/>
      <c r="AY25" s="403"/>
      <c r="AZ25" s="403"/>
      <c r="BA25" s="403"/>
      <c r="BB25" s="403"/>
      <c r="BD25" s="525"/>
      <c r="BE25" s="222"/>
      <c r="BF25" s="216"/>
      <c r="BG25" s="240"/>
      <c r="BH25" s="249"/>
      <c r="BI25" s="240">
        <f t="shared" si="37"/>
        <v>0</v>
      </c>
      <c r="BJ25" s="256"/>
      <c r="BL25" s="225"/>
      <c r="BM25" s="216"/>
      <c r="BN25" s="221"/>
      <c r="BO25" s="216"/>
      <c r="BP25" s="226">
        <f>BN25*BM25</f>
        <v>0</v>
      </c>
      <c r="BR25" s="234" t="str">
        <f>IF(BP25&gt;0,BP25-BI26,"")</f>
        <v/>
      </c>
      <c r="BS25" s="374" t="str">
        <f>IFERROR(BR25*20/100,"")</f>
        <v/>
      </c>
    </row>
    <row r="26" spans="1:71">
      <c r="A26" s="295">
        <v>45323</v>
      </c>
      <c r="B26" s="398">
        <v>212935.53</v>
      </c>
      <c r="C26" s="312">
        <f t="shared" si="1"/>
        <v>4.2867017950066073E-4</v>
      </c>
      <c r="D26" s="398">
        <v>113175.74</v>
      </c>
      <c r="E26" s="312">
        <f t="shared" si="3"/>
        <v>4.2863235869346455E-4</v>
      </c>
      <c r="F26" s="398">
        <v>22936.74</v>
      </c>
      <c r="G26" s="312">
        <f t="shared" si="5"/>
        <v>4.28753809388258E-4</v>
      </c>
      <c r="H26" s="398">
        <v>0</v>
      </c>
      <c r="I26" s="312">
        <f t="shared" si="6"/>
        <v>0</v>
      </c>
      <c r="J26" s="457" t="e">
        <f t="shared" si="20"/>
        <v>#DIV/0!</v>
      </c>
      <c r="K26" s="369" t="e">
        <f>(J26-1500+1758.51-J25)/J25</f>
        <v>#DIV/0!</v>
      </c>
      <c r="L26" s="404" t="e">
        <f t="shared" si="21"/>
        <v>#DIV/0!</v>
      </c>
      <c r="M26" s="312" t="e">
        <f t="shared" si="22"/>
        <v>#DIV/0!</v>
      </c>
      <c r="N26" s="454">
        <v>19199.400000000001</v>
      </c>
      <c r="O26" s="312">
        <f t="shared" si="24"/>
        <v>3.6107911071374816E-4</v>
      </c>
      <c r="P26" s="404" t="e">
        <f t="shared" si="25"/>
        <v>#DIV/0!</v>
      </c>
      <c r="Q26" s="312" t="e">
        <f t="shared" si="33"/>
        <v>#DIV/0!</v>
      </c>
      <c r="R26" s="454" t="e">
        <f t="shared" si="26"/>
        <v>#DIV/0!</v>
      </c>
      <c r="S26" s="312" t="e">
        <f t="shared" si="27"/>
        <v>#DIV/0!</v>
      </c>
      <c r="T26" s="454" t="e">
        <f t="shared" si="28"/>
        <v>#DIV/0!</v>
      </c>
      <c r="U26" s="312" t="e">
        <f t="shared" si="29"/>
        <v>#DIV/0!</v>
      </c>
      <c r="V26" s="454">
        <f t="shared" si="30"/>
        <v>0</v>
      </c>
      <c r="W26" s="312">
        <f t="shared" si="36"/>
        <v>-1</v>
      </c>
      <c r="X26" s="454">
        <f t="shared" si="31"/>
        <v>0</v>
      </c>
      <c r="Y26" s="312">
        <f t="shared" si="9"/>
        <v>-1</v>
      </c>
      <c r="Z26" s="674">
        <f t="shared" si="10"/>
        <v>0</v>
      </c>
      <c r="AA26" s="329"/>
      <c r="AB26" s="379">
        <f t="shared" si="10"/>
        <v>0</v>
      </c>
      <c r="AC26" s="329"/>
      <c r="AD26" s="413">
        <f t="shared" si="11"/>
        <v>0</v>
      </c>
      <c r="AE26" s="329"/>
      <c r="AG26" s="400" t="e">
        <f t="shared" si="12"/>
        <v>#DIV/0!</v>
      </c>
      <c r="AH26" s="401">
        <f t="shared" si="13"/>
        <v>0</v>
      </c>
      <c r="AI26" s="407">
        <f t="shared" si="14"/>
        <v>0</v>
      </c>
      <c r="AJ26" s="497"/>
      <c r="AK26" s="502">
        <f t="shared" si="15"/>
        <v>0</v>
      </c>
      <c r="AL26" s="503" t="e">
        <f t="shared" si="16"/>
        <v>#DIV/0!</v>
      </c>
      <c r="AM26" s="504" t="e">
        <f>AG26-AK26-AO26</f>
        <v>#DIV/0!</v>
      </c>
      <c r="AN26" s="503" t="e">
        <f t="shared" si="17"/>
        <v>#DIV/0!</v>
      </c>
      <c r="AO26" s="502">
        <f t="shared" si="18"/>
        <v>0</v>
      </c>
      <c r="AP26" s="503" t="e">
        <f t="shared" si="19"/>
        <v>#DIV/0!</v>
      </c>
      <c r="AQ26" s="456"/>
      <c r="AR26" s="110">
        <v>45108</v>
      </c>
      <c r="AS26" s="308">
        <v>0</v>
      </c>
      <c r="AT26" s="308">
        <v>0</v>
      </c>
      <c r="AU26" s="308"/>
      <c r="AV26" s="308"/>
      <c r="AW26" s="308"/>
      <c r="AX26" s="308"/>
      <c r="AY26" s="403"/>
      <c r="AZ26" s="403"/>
      <c r="BA26" s="403"/>
      <c r="BB26" s="403"/>
      <c r="BD26" s="525"/>
      <c r="BE26" s="222"/>
      <c r="BF26" s="216"/>
      <c r="BG26" s="240"/>
      <c r="BH26" s="249"/>
      <c r="BI26" s="240">
        <f t="shared" si="37"/>
        <v>0</v>
      </c>
      <c r="BJ26" s="256"/>
      <c r="BL26" s="225"/>
      <c r="BM26" s="216"/>
      <c r="BN26" s="221"/>
      <c r="BO26" s="216"/>
      <c r="BP26" s="226">
        <f>BN26*BM26</f>
        <v>0</v>
      </c>
      <c r="BR26" s="234" t="str">
        <f>IF(BP26&gt;0,BP26-BI27,"")</f>
        <v/>
      </c>
      <c r="BS26" s="374" t="str">
        <f t="shared" ref="BS26:BS28" si="38">IFERROR(BR26*20/100,"")</f>
        <v/>
      </c>
    </row>
    <row r="27" spans="1:71">
      <c r="A27" s="295">
        <v>45324</v>
      </c>
      <c r="B27" s="398">
        <v>213023.08</v>
      </c>
      <c r="C27" s="312">
        <f t="shared" si="1"/>
        <v>4.1115731132323644E-4</v>
      </c>
      <c r="D27" s="398">
        <v>113222.28</v>
      </c>
      <c r="E27" s="312">
        <f t="shared" si="3"/>
        <v>4.1121887075793449E-4</v>
      </c>
      <c r="F27" s="398">
        <v>22946.17</v>
      </c>
      <c r="G27" s="312">
        <f t="shared" si="5"/>
        <v>4.111307884205276E-4</v>
      </c>
      <c r="H27" s="398">
        <v>0</v>
      </c>
      <c r="I27" s="312">
        <f t="shared" si="6"/>
        <v>0</v>
      </c>
      <c r="J27" s="457" t="e">
        <f t="shared" si="20"/>
        <v>#DIV/0!</v>
      </c>
      <c r="K27" s="369" t="e">
        <f>(J27-1990+140+1753.51-J26)/J26</f>
        <v>#DIV/0!</v>
      </c>
      <c r="L27" s="404" t="e">
        <f t="shared" si="21"/>
        <v>#DIV/0!</v>
      </c>
      <c r="M27" s="312" t="e">
        <f t="shared" si="22"/>
        <v>#DIV/0!</v>
      </c>
      <c r="N27" s="454">
        <f t="shared" si="23"/>
        <v>19206.332502278237</v>
      </c>
      <c r="O27" s="312">
        <f t="shared" si="24"/>
        <v>3.610791107136637E-4</v>
      </c>
      <c r="P27" s="404" t="e">
        <f t="shared" si="25"/>
        <v>#DIV/0!</v>
      </c>
      <c r="Q27" s="312" t="e">
        <f t="shared" si="33"/>
        <v>#DIV/0!</v>
      </c>
      <c r="R27" s="454" t="e">
        <f t="shared" si="26"/>
        <v>#DIV/0!</v>
      </c>
      <c r="S27" s="312" t="e">
        <f t="shared" si="27"/>
        <v>#DIV/0!</v>
      </c>
      <c r="T27" s="454" t="e">
        <f t="shared" si="28"/>
        <v>#DIV/0!</v>
      </c>
      <c r="U27" s="312" t="e">
        <f t="shared" si="29"/>
        <v>#DIV/0!</v>
      </c>
      <c r="V27" s="454">
        <f t="shared" si="30"/>
        <v>0</v>
      </c>
      <c r="W27" s="312">
        <f t="shared" si="36"/>
        <v>-1</v>
      </c>
      <c r="X27" s="454">
        <f t="shared" si="31"/>
        <v>0</v>
      </c>
      <c r="Y27" s="312">
        <f t="shared" si="9"/>
        <v>-1</v>
      </c>
      <c r="Z27" s="674">
        <f t="shared" si="10"/>
        <v>0</v>
      </c>
      <c r="AA27" s="297"/>
      <c r="AB27" s="379">
        <f t="shared" si="10"/>
        <v>0</v>
      </c>
      <c r="AC27" s="297"/>
      <c r="AD27" s="413">
        <f t="shared" si="11"/>
        <v>0</v>
      </c>
      <c r="AE27" s="297"/>
      <c r="AG27" s="400" t="e">
        <f t="shared" si="12"/>
        <v>#DIV/0!</v>
      </c>
      <c r="AH27" s="401">
        <f t="shared" si="13"/>
        <v>0</v>
      </c>
      <c r="AI27" s="407">
        <f t="shared" si="14"/>
        <v>0</v>
      </c>
      <c r="AJ27" s="497"/>
      <c r="AK27" s="502">
        <f t="shared" si="15"/>
        <v>0</v>
      </c>
      <c r="AL27" s="503" t="e">
        <f t="shared" si="16"/>
        <v>#DIV/0!</v>
      </c>
      <c r="AM27" s="504" t="e">
        <f>AG27-AK27-AO27</f>
        <v>#DIV/0!</v>
      </c>
      <c r="AN27" s="503" t="e">
        <f t="shared" si="17"/>
        <v>#DIV/0!</v>
      </c>
      <c r="AO27" s="502">
        <f t="shared" si="18"/>
        <v>0</v>
      </c>
      <c r="AP27" s="503" t="e">
        <f t="shared" si="19"/>
        <v>#DIV/0!</v>
      </c>
      <c r="AQ27" s="456"/>
      <c r="AR27" s="110">
        <v>45139</v>
      </c>
      <c r="AS27" s="308">
        <v>0</v>
      </c>
      <c r="AT27" s="308">
        <v>0</v>
      </c>
      <c r="AU27" s="308"/>
      <c r="AV27" s="308"/>
      <c r="AW27" s="308"/>
      <c r="AX27" s="308"/>
      <c r="AY27" s="403"/>
      <c r="AZ27" s="403"/>
      <c r="BA27" s="403"/>
      <c r="BB27" s="403"/>
      <c r="BD27" s="525"/>
      <c r="BE27" s="222"/>
      <c r="BF27" s="216"/>
      <c r="BG27" s="240"/>
      <c r="BH27" s="249"/>
      <c r="BI27" s="240">
        <f t="shared" si="37"/>
        <v>0</v>
      </c>
      <c r="BJ27" s="256"/>
      <c r="BL27" s="227"/>
      <c r="BM27" s="216"/>
      <c r="BN27" s="221"/>
      <c r="BO27" s="216"/>
      <c r="BP27" s="228">
        <f>BN27*BM27</f>
        <v>0</v>
      </c>
      <c r="BR27" s="234" t="str">
        <f>IF(BP27&gt;0,BP27-BI28,"")</f>
        <v/>
      </c>
      <c r="BS27" s="374" t="str">
        <f>IFERROR(BR27*20/100,"")</f>
        <v/>
      </c>
    </row>
    <row r="28" spans="1:71" ht="14.5" customHeight="1">
      <c r="A28" s="295">
        <v>45327</v>
      </c>
      <c r="B28" s="398">
        <v>213110.68</v>
      </c>
      <c r="C28" s="312">
        <f t="shared" si="1"/>
        <v>4.1122304681730177E-4</v>
      </c>
      <c r="D28" s="398">
        <v>113268.83</v>
      </c>
      <c r="E28" s="312">
        <f t="shared" si="3"/>
        <v>4.1113816114640077E-4</v>
      </c>
      <c r="F28" s="398">
        <v>22955.61</v>
      </c>
      <c r="G28" s="312">
        <f t="shared" si="5"/>
        <v>4.1139763193606292E-4</v>
      </c>
      <c r="H28" s="398">
        <v>0</v>
      </c>
      <c r="I28" s="312">
        <f t="shared" si="6"/>
        <v>0</v>
      </c>
      <c r="J28" s="457" t="e">
        <f t="shared" si="20"/>
        <v>#DIV/0!</v>
      </c>
      <c r="K28" s="369" t="e">
        <f>(J28+40+130-2688-J27)/J27</f>
        <v>#DIV/0!</v>
      </c>
      <c r="L28" s="404" t="e">
        <f t="shared" si="21"/>
        <v>#DIV/0!</v>
      </c>
      <c r="M28" s="312" t="e">
        <f>(L28+10+19.44-L27)/L27</f>
        <v>#DIV/0!</v>
      </c>
      <c r="N28" s="454">
        <f t="shared" si="23"/>
        <v>19213.26750773823</v>
      </c>
      <c r="O28" s="312">
        <f t="shared" si="24"/>
        <v>3.6107911071361784E-4</v>
      </c>
      <c r="P28" s="404" t="e">
        <f t="shared" si="25"/>
        <v>#DIV/0!</v>
      </c>
      <c r="Q28" s="312" t="e">
        <f t="shared" si="33"/>
        <v>#DIV/0!</v>
      </c>
      <c r="R28" s="454" t="e">
        <f t="shared" si="26"/>
        <v>#DIV/0!</v>
      </c>
      <c r="S28" s="312" t="e">
        <f t="shared" si="27"/>
        <v>#DIV/0!</v>
      </c>
      <c r="T28" s="454" t="e">
        <f t="shared" si="28"/>
        <v>#DIV/0!</v>
      </c>
      <c r="U28" s="312" t="e">
        <f t="shared" si="29"/>
        <v>#DIV/0!</v>
      </c>
      <c r="V28" s="454">
        <f t="shared" si="30"/>
        <v>0</v>
      </c>
      <c r="W28" s="312">
        <f t="shared" si="36"/>
        <v>-1</v>
      </c>
      <c r="X28" s="454">
        <f t="shared" si="31"/>
        <v>0</v>
      </c>
      <c r="Y28" s="312">
        <f t="shared" si="9"/>
        <v>-1</v>
      </c>
      <c r="Z28" s="674">
        <f t="shared" si="10"/>
        <v>0</v>
      </c>
      <c r="AA28" s="329"/>
      <c r="AB28" s="379">
        <f t="shared" si="10"/>
        <v>0</v>
      </c>
      <c r="AC28" s="329"/>
      <c r="AD28" s="413">
        <f t="shared" si="11"/>
        <v>0</v>
      </c>
      <c r="AE28" s="329"/>
      <c r="AG28" s="400" t="e">
        <f t="shared" si="12"/>
        <v>#DIV/0!</v>
      </c>
      <c r="AH28" s="401">
        <f t="shared" si="13"/>
        <v>0</v>
      </c>
      <c r="AI28" s="407">
        <f t="shared" si="14"/>
        <v>0</v>
      </c>
      <c r="AJ28" s="498"/>
      <c r="AK28" s="502">
        <f t="shared" si="15"/>
        <v>0</v>
      </c>
      <c r="AL28" s="503" t="e">
        <f t="shared" si="16"/>
        <v>#DIV/0!</v>
      </c>
      <c r="AM28" s="504" t="e">
        <f>AG28-AK28-AO28</f>
        <v>#DIV/0!</v>
      </c>
      <c r="AN28" s="503" t="e">
        <f t="shared" si="17"/>
        <v>#DIV/0!</v>
      </c>
      <c r="AO28" s="502">
        <f t="shared" si="18"/>
        <v>0</v>
      </c>
      <c r="AP28" s="503" t="e">
        <f t="shared" si="19"/>
        <v>#DIV/0!</v>
      </c>
      <c r="AQ28" s="402"/>
      <c r="AR28" s="110">
        <v>45170</v>
      </c>
      <c r="AS28" s="308">
        <v>0</v>
      </c>
      <c r="AT28" s="308">
        <v>0</v>
      </c>
      <c r="AU28" s="308"/>
      <c r="AV28" s="629" t="s">
        <v>118</v>
      </c>
      <c r="AW28" s="630"/>
      <c r="AX28" s="630"/>
      <c r="AY28" s="630"/>
      <c r="AZ28" s="630"/>
      <c r="BA28" s="630"/>
      <c r="BB28" s="631"/>
      <c r="BD28" s="525"/>
      <c r="BE28" s="222"/>
      <c r="BF28" s="216"/>
      <c r="BG28" s="240"/>
      <c r="BH28" s="249"/>
      <c r="BI28" s="240">
        <f t="shared" si="37"/>
        <v>0</v>
      </c>
      <c r="BJ28" s="256"/>
      <c r="BK28" s="442"/>
      <c r="BL28" s="227"/>
      <c r="BM28" s="216"/>
      <c r="BN28" s="221"/>
      <c r="BO28" s="216"/>
      <c r="BP28" s="228">
        <f>BN28*BM28</f>
        <v>0</v>
      </c>
      <c r="BR28" s="234" t="str">
        <f>IF(BP28&gt;0,BP28-BI29,"")</f>
        <v/>
      </c>
      <c r="BS28" s="374" t="str">
        <f>IFERROR(BR28*20/100,"")</f>
        <v/>
      </c>
    </row>
    <row r="29" spans="1:71" ht="14.5" customHeight="1">
      <c r="A29" s="295">
        <v>45328</v>
      </c>
      <c r="B29" s="398">
        <f t="shared" si="0"/>
        <v>213198.3160231389</v>
      </c>
      <c r="C29" s="312">
        <f t="shared" si="1"/>
        <v>4.1122304681732373E-4</v>
      </c>
      <c r="D29" s="398">
        <f t="shared" si="2"/>
        <v>113315.3991384814</v>
      </c>
      <c r="E29" s="312">
        <f t="shared" si="3"/>
        <v>4.111381611463464E-4</v>
      </c>
      <c r="F29" s="398">
        <f t="shared" si="4"/>
        <v>22965.05388359365</v>
      </c>
      <c r="G29" s="312">
        <f t="shared" si="5"/>
        <v>4.1139763193611209E-4</v>
      </c>
      <c r="H29" s="398">
        <v>0</v>
      </c>
      <c r="I29" s="312">
        <f t="shared" si="6"/>
        <v>0</v>
      </c>
      <c r="J29" s="457" t="e">
        <f t="shared" si="20"/>
        <v>#DIV/0!</v>
      </c>
      <c r="K29" s="369" t="e">
        <f>(J29-J28)/J28</f>
        <v>#DIV/0!</v>
      </c>
      <c r="L29" s="404" t="e">
        <f t="shared" si="21"/>
        <v>#DIV/0!</v>
      </c>
      <c r="M29" s="312" t="e">
        <f t="shared" si="22"/>
        <v>#DIV/0!</v>
      </c>
      <c r="N29" s="454">
        <f t="shared" si="23"/>
        <v>19220.205017283828</v>
      </c>
      <c r="O29" s="312">
        <f t="shared" si="24"/>
        <v>3.6107911071367173E-4</v>
      </c>
      <c r="P29" s="404" t="e">
        <f t="shared" si="25"/>
        <v>#DIV/0!</v>
      </c>
      <c r="Q29" s="312" t="e">
        <f t="shared" si="33"/>
        <v>#DIV/0!</v>
      </c>
      <c r="R29" s="454" t="e">
        <f t="shared" si="26"/>
        <v>#DIV/0!</v>
      </c>
      <c r="S29" s="312" t="e">
        <f t="shared" si="27"/>
        <v>#DIV/0!</v>
      </c>
      <c r="T29" s="454" t="e">
        <f t="shared" si="28"/>
        <v>#DIV/0!</v>
      </c>
      <c r="U29" s="312" t="e">
        <f t="shared" si="29"/>
        <v>#DIV/0!</v>
      </c>
      <c r="V29" s="454">
        <f t="shared" si="30"/>
        <v>0</v>
      </c>
      <c r="W29" s="312">
        <f t="shared" si="36"/>
        <v>-1</v>
      </c>
      <c r="X29" s="454">
        <f t="shared" si="31"/>
        <v>0</v>
      </c>
      <c r="Y29" s="312">
        <f t="shared" si="9"/>
        <v>-1</v>
      </c>
      <c r="Z29" s="674">
        <f t="shared" si="10"/>
        <v>0</v>
      </c>
      <c r="AA29" s="297"/>
      <c r="AB29" s="379">
        <f t="shared" si="10"/>
        <v>0</v>
      </c>
      <c r="AC29" s="297"/>
      <c r="AD29" s="413">
        <f t="shared" si="11"/>
        <v>0</v>
      </c>
      <c r="AE29" s="297"/>
      <c r="AG29" s="400" t="e">
        <f t="shared" si="12"/>
        <v>#DIV/0!</v>
      </c>
      <c r="AH29" s="401">
        <f t="shared" si="13"/>
        <v>0</v>
      </c>
      <c r="AI29" s="407">
        <f t="shared" si="14"/>
        <v>0</v>
      </c>
      <c r="AJ29" s="498"/>
      <c r="AK29" s="502">
        <f t="shared" si="15"/>
        <v>0</v>
      </c>
      <c r="AL29" s="503" t="e">
        <f t="shared" si="16"/>
        <v>#DIV/0!</v>
      </c>
      <c r="AM29" s="504" t="e">
        <f>AG29-AK29-AO29</f>
        <v>#DIV/0!</v>
      </c>
      <c r="AN29" s="503" t="e">
        <f t="shared" si="17"/>
        <v>#DIV/0!</v>
      </c>
      <c r="AO29" s="502">
        <f t="shared" si="18"/>
        <v>0</v>
      </c>
      <c r="AP29" s="503" t="e">
        <f t="shared" si="19"/>
        <v>#DIV/0!</v>
      </c>
      <c r="AQ29" s="402"/>
      <c r="AR29" s="110">
        <v>45200</v>
      </c>
      <c r="AS29" s="308">
        <v>0</v>
      </c>
      <c r="AT29" s="308">
        <v>0</v>
      </c>
      <c r="AU29" s="308"/>
      <c r="AV29" s="464"/>
      <c r="AW29" s="464" t="s">
        <v>160</v>
      </c>
      <c r="AX29" s="464" t="s">
        <v>157</v>
      </c>
      <c r="AY29" s="465" t="s">
        <v>158</v>
      </c>
      <c r="AZ29" s="465" t="s">
        <v>159</v>
      </c>
      <c r="BA29" s="465" t="s">
        <v>161</v>
      </c>
      <c r="BB29" s="465" t="s">
        <v>162</v>
      </c>
      <c r="BD29" s="525"/>
      <c r="BE29" s="222"/>
      <c r="BF29" s="216"/>
      <c r="BG29" s="240"/>
      <c r="BH29" s="249"/>
      <c r="BI29" s="240">
        <f t="shared" si="37"/>
        <v>0</v>
      </c>
      <c r="BJ29" s="256"/>
      <c r="BL29" s="225"/>
      <c r="BM29" s="216"/>
      <c r="BN29" s="221"/>
      <c r="BO29" s="216"/>
      <c r="BP29" s="226">
        <f>BN29*BM29</f>
        <v>0</v>
      </c>
      <c r="BR29" s="234" t="str">
        <f>IF(BP29&gt;0,BP29-BI29,"")</f>
        <v/>
      </c>
      <c r="BS29" s="373" t="str">
        <f>IFERROR(BR29*20/100,"")</f>
        <v/>
      </c>
    </row>
    <row r="30" spans="1:71" ht="14.5" customHeight="1">
      <c r="A30" s="295">
        <v>45329</v>
      </c>
      <c r="B30" s="398">
        <f t="shared" si="0"/>
        <v>213285.98808423025</v>
      </c>
      <c r="C30" s="312">
        <f t="shared" si="1"/>
        <v>4.1122304681727353E-4</v>
      </c>
      <c r="D30" s="398">
        <f t="shared" si="2"/>
        <v>113361.98742331276</v>
      </c>
      <c r="E30" s="312">
        <f t="shared" si="3"/>
        <v>4.1113816114637816E-4</v>
      </c>
      <c r="F30" s="398">
        <f t="shared" si="4"/>
        <v>22974.501652378643</v>
      </c>
      <c r="G30" s="312">
        <f t="shared" si="5"/>
        <v>4.1139763193603923E-4</v>
      </c>
      <c r="H30" s="398">
        <v>0</v>
      </c>
      <c r="I30" s="312">
        <f t="shared" si="6"/>
        <v>0</v>
      </c>
      <c r="J30" s="457" t="e">
        <f t="shared" si="20"/>
        <v>#DIV/0!</v>
      </c>
      <c r="K30" s="369" t="e">
        <f>(J30-150-J29)/J29</f>
        <v>#DIV/0!</v>
      </c>
      <c r="L30" s="404" t="e">
        <f t="shared" si="21"/>
        <v>#DIV/0!</v>
      </c>
      <c r="M30" s="312" t="e">
        <f t="shared" si="22"/>
        <v>#DIV/0!</v>
      </c>
      <c r="N30" s="454">
        <f t="shared" si="23"/>
        <v>19227.145031819204</v>
      </c>
      <c r="O30" s="312">
        <f t="shared" si="24"/>
        <v>3.6107911071369103E-4</v>
      </c>
      <c r="P30" s="404" t="e">
        <f t="shared" si="25"/>
        <v>#DIV/0!</v>
      </c>
      <c r="Q30" s="312" t="e">
        <f t="shared" si="33"/>
        <v>#DIV/0!</v>
      </c>
      <c r="R30" s="454" t="e">
        <f t="shared" si="26"/>
        <v>#DIV/0!</v>
      </c>
      <c r="S30" s="312" t="e">
        <f t="shared" si="27"/>
        <v>#DIV/0!</v>
      </c>
      <c r="T30" s="454" t="e">
        <f t="shared" si="28"/>
        <v>#DIV/0!</v>
      </c>
      <c r="U30" s="312" t="e">
        <f t="shared" si="29"/>
        <v>#DIV/0!</v>
      </c>
      <c r="V30" s="454">
        <f t="shared" si="30"/>
        <v>0</v>
      </c>
      <c r="W30" s="312">
        <f t="shared" si="36"/>
        <v>-1</v>
      </c>
      <c r="X30" s="454">
        <f t="shared" si="31"/>
        <v>0</v>
      </c>
      <c r="Y30" s="312">
        <f t="shared" si="9"/>
        <v>-1</v>
      </c>
      <c r="Z30" s="674">
        <f t="shared" si="10"/>
        <v>0</v>
      </c>
      <c r="AA30" s="329"/>
      <c r="AB30" s="379">
        <f t="shared" si="10"/>
        <v>0</v>
      </c>
      <c r="AC30" s="329"/>
      <c r="AD30" s="413">
        <f t="shared" si="11"/>
        <v>0</v>
      </c>
      <c r="AE30" s="329"/>
      <c r="AG30" s="400" t="e">
        <f t="shared" si="12"/>
        <v>#DIV/0!</v>
      </c>
      <c r="AH30" s="401">
        <f t="shared" si="13"/>
        <v>0</v>
      </c>
      <c r="AI30" s="407">
        <f t="shared" si="14"/>
        <v>0</v>
      </c>
      <c r="AJ30" s="498"/>
      <c r="AK30" s="502">
        <f t="shared" si="15"/>
        <v>0</v>
      </c>
      <c r="AL30" s="503" t="e">
        <f t="shared" si="16"/>
        <v>#DIV/0!</v>
      </c>
      <c r="AM30" s="504" t="e">
        <f>AG30-AK30-AO30</f>
        <v>#DIV/0!</v>
      </c>
      <c r="AN30" s="503" t="e">
        <f t="shared" si="17"/>
        <v>#DIV/0!</v>
      </c>
      <c r="AO30" s="502">
        <f t="shared" si="18"/>
        <v>0</v>
      </c>
      <c r="AP30" s="503" t="e">
        <f t="shared" si="19"/>
        <v>#DIV/0!</v>
      </c>
      <c r="AQ30" s="402"/>
      <c r="AR30" s="110">
        <v>45231</v>
      </c>
      <c r="AS30" s="308">
        <v>0</v>
      </c>
      <c r="AT30" s="308">
        <v>0</v>
      </c>
      <c r="AU30" s="308"/>
      <c r="AV30" s="464"/>
      <c r="AW30" s="460"/>
      <c r="AX30" s="460"/>
      <c r="AY30" s="461"/>
      <c r="AZ30" s="462"/>
      <c r="BA30" s="463"/>
      <c r="BB30" s="463"/>
      <c r="BD30" s="525"/>
      <c r="BE30" s="222"/>
      <c r="BF30" s="216"/>
      <c r="BG30" s="240"/>
      <c r="BH30" s="249"/>
      <c r="BI30" s="240">
        <f t="shared" si="37"/>
        <v>0</v>
      </c>
      <c r="BJ30" s="256"/>
      <c r="BK30" s="372"/>
      <c r="BL30" s="227"/>
      <c r="BM30" s="216"/>
      <c r="BN30" s="221"/>
      <c r="BO30" s="216"/>
      <c r="BP30" s="228">
        <f>BN30*BM30</f>
        <v>0</v>
      </c>
      <c r="BR30" s="234" t="str">
        <f>IF(BP30&gt;0,BP30-BI30,"")</f>
        <v/>
      </c>
      <c r="BS30" s="374" t="str">
        <f>IFERROR(BR30*20/100,"")</f>
        <v/>
      </c>
    </row>
    <row r="31" spans="1:71" ht="15" customHeight="1">
      <c r="A31" s="295">
        <v>45330</v>
      </c>
      <c r="B31" s="398">
        <f t="shared" si="0"/>
        <v>213373.69619809368</v>
      </c>
      <c r="C31" s="312">
        <f t="shared" si="1"/>
        <v>4.1122304681724572E-4</v>
      </c>
      <c r="D31" s="398">
        <f t="shared" si="2"/>
        <v>113408.59486236588</v>
      </c>
      <c r="E31" s="312">
        <f t="shared" si="3"/>
        <v>4.1113816114632758E-4</v>
      </c>
      <c r="F31" s="398">
        <f t="shared" si="4"/>
        <v>22983.953307953343</v>
      </c>
      <c r="G31" s="312">
        <f t="shared" si="5"/>
        <v>4.1139763193605446E-4</v>
      </c>
      <c r="H31" s="398">
        <v>0</v>
      </c>
      <c r="I31" s="312">
        <f t="shared" si="6"/>
        <v>0</v>
      </c>
      <c r="J31" s="457" t="e">
        <f t="shared" si="20"/>
        <v>#DIV/0!</v>
      </c>
      <c r="K31" s="369" t="e">
        <f>(J31-90-J30)/J30</f>
        <v>#DIV/0!</v>
      </c>
      <c r="L31" s="404" t="e">
        <f t="shared" si="21"/>
        <v>#DIV/0!</v>
      </c>
      <c r="M31" s="312" t="e">
        <f t="shared" si="22"/>
        <v>#DIV/0!</v>
      </c>
      <c r="N31" s="454">
        <f t="shared" si="23"/>
        <v>19234.087552248857</v>
      </c>
      <c r="O31" s="312">
        <f t="shared" si="24"/>
        <v>3.6107911071372464E-4</v>
      </c>
      <c r="P31" s="404" t="e">
        <f t="shared" si="25"/>
        <v>#DIV/0!</v>
      </c>
      <c r="Q31" s="312" t="e">
        <f t="shared" si="33"/>
        <v>#DIV/0!</v>
      </c>
      <c r="R31" s="454" t="e">
        <f t="shared" si="26"/>
        <v>#DIV/0!</v>
      </c>
      <c r="S31" s="312" t="e">
        <f t="shared" si="27"/>
        <v>#DIV/0!</v>
      </c>
      <c r="T31" s="454" t="e">
        <f t="shared" si="28"/>
        <v>#DIV/0!</v>
      </c>
      <c r="U31" s="312" t="e">
        <f t="shared" si="29"/>
        <v>#DIV/0!</v>
      </c>
      <c r="V31" s="454">
        <f t="shared" si="30"/>
        <v>0</v>
      </c>
      <c r="W31" s="312">
        <f t="shared" si="36"/>
        <v>-1</v>
      </c>
      <c r="X31" s="454">
        <f t="shared" si="31"/>
        <v>0</v>
      </c>
      <c r="Y31" s="312">
        <f t="shared" si="9"/>
        <v>-1</v>
      </c>
      <c r="Z31" s="674">
        <f t="shared" si="10"/>
        <v>0</v>
      </c>
      <c r="AA31" s="297"/>
      <c r="AB31" s="379">
        <f t="shared" si="10"/>
        <v>0</v>
      </c>
      <c r="AC31" s="297"/>
      <c r="AD31" s="413">
        <f t="shared" si="11"/>
        <v>0</v>
      </c>
      <c r="AE31" s="297"/>
      <c r="AG31" s="400" t="e">
        <f t="shared" si="12"/>
        <v>#DIV/0!</v>
      </c>
      <c r="AH31" s="401">
        <f t="shared" si="13"/>
        <v>0</v>
      </c>
      <c r="AI31" s="407">
        <f t="shared" si="14"/>
        <v>0</v>
      </c>
      <c r="AJ31" s="498"/>
      <c r="AK31" s="502">
        <f t="shared" si="15"/>
        <v>0</v>
      </c>
      <c r="AL31" s="503" t="e">
        <f t="shared" si="16"/>
        <v>#DIV/0!</v>
      </c>
      <c r="AM31" s="504" t="e">
        <f>AG31-AK31-AO31</f>
        <v>#DIV/0!</v>
      </c>
      <c r="AN31" s="503" t="e">
        <f t="shared" si="17"/>
        <v>#DIV/0!</v>
      </c>
      <c r="AO31" s="502">
        <f t="shared" si="18"/>
        <v>0</v>
      </c>
      <c r="AP31" s="503" t="e">
        <f t="shared" si="19"/>
        <v>#DIV/0!</v>
      </c>
      <c r="AQ31" s="478"/>
      <c r="AR31" s="110">
        <v>45261</v>
      </c>
      <c r="AS31" s="308">
        <v>0</v>
      </c>
      <c r="AT31" s="308">
        <v>0</v>
      </c>
      <c r="AU31" s="308"/>
      <c r="AV31" s="464" t="s">
        <v>124</v>
      </c>
      <c r="AW31" s="460">
        <v>91.43</v>
      </c>
      <c r="AX31" s="460">
        <v>87</v>
      </c>
      <c r="AY31" s="461">
        <v>1.1299999999999999</v>
      </c>
      <c r="AZ31" s="462">
        <f t="shared" ref="AZ31:AZ35" si="39">AY31/AW31</f>
        <v>1.2359181887783002E-2</v>
      </c>
      <c r="BA31" s="463" t="s">
        <v>166</v>
      </c>
      <c r="BB31" s="463" t="s">
        <v>165</v>
      </c>
      <c r="BD31" s="525"/>
      <c r="BE31" s="222"/>
      <c r="BF31" s="216"/>
      <c r="BG31" s="240"/>
      <c r="BH31" s="249"/>
      <c r="BI31" s="240">
        <f t="shared" si="37"/>
        <v>0</v>
      </c>
      <c r="BJ31" s="256"/>
      <c r="BL31" s="227"/>
      <c r="BM31" s="216"/>
      <c r="BN31" s="221"/>
      <c r="BO31" s="216"/>
      <c r="BP31" s="228">
        <f>BN31*BM31</f>
        <v>0</v>
      </c>
      <c r="BR31" s="234" t="str">
        <f>IF(BP31&gt;0,BP31-BI32,"")</f>
        <v/>
      </c>
      <c r="BS31" s="374" t="str">
        <f>IFERROR(BR31*20/100,"")</f>
        <v/>
      </c>
    </row>
    <row r="32" spans="1:71" ht="14.5" customHeight="1">
      <c r="A32" s="295">
        <v>45331</v>
      </c>
      <c r="B32" s="398">
        <f t="shared" si="0"/>
        <v>213461.4403795549</v>
      </c>
      <c r="C32" s="312">
        <f t="shared" si="1"/>
        <v>4.1122304681718647E-4</v>
      </c>
      <c r="D32" s="398">
        <f t="shared" si="2"/>
        <v>113455.22146351577</v>
      </c>
      <c r="E32" s="312">
        <f t="shared" si="3"/>
        <v>4.1113816114627131E-4</v>
      </c>
      <c r="F32" s="398">
        <f t="shared" si="4"/>
        <v>22993.408851916764</v>
      </c>
      <c r="G32" s="312">
        <f t="shared" si="5"/>
        <v>4.1139763193603901E-4</v>
      </c>
      <c r="H32" s="398">
        <v>0</v>
      </c>
      <c r="I32" s="312">
        <f t="shared" si="6"/>
        <v>0</v>
      </c>
      <c r="J32" s="457" t="e">
        <f t="shared" si="20"/>
        <v>#DIV/0!</v>
      </c>
      <c r="K32" s="369" t="e">
        <f>(J32-1380+840+4567.3-J31)/J31</f>
        <v>#DIV/0!</v>
      </c>
      <c r="L32" s="404" t="e">
        <f t="shared" si="21"/>
        <v>#DIV/0!</v>
      </c>
      <c r="M32" s="312" t="e">
        <f>(L32+6.03+1.27-L31)/L31</f>
        <v>#DIV/0!</v>
      </c>
      <c r="N32" s="454">
        <f t="shared" si="23"/>
        <v>19241.032579477614</v>
      </c>
      <c r="O32" s="312">
        <f t="shared" si="24"/>
        <v>3.6107911071381528E-4</v>
      </c>
      <c r="P32" s="404" t="e">
        <f t="shared" si="25"/>
        <v>#DIV/0!</v>
      </c>
      <c r="Q32" s="312" t="e">
        <f t="shared" si="33"/>
        <v>#DIV/0!</v>
      </c>
      <c r="R32" s="454" t="e">
        <f t="shared" si="26"/>
        <v>#DIV/0!</v>
      </c>
      <c r="S32" s="312" t="e">
        <f t="shared" si="27"/>
        <v>#DIV/0!</v>
      </c>
      <c r="T32" s="454" t="e">
        <f t="shared" si="28"/>
        <v>#DIV/0!</v>
      </c>
      <c r="U32" s="312" t="e">
        <f t="shared" si="29"/>
        <v>#DIV/0!</v>
      </c>
      <c r="V32" s="454">
        <f t="shared" si="30"/>
        <v>0</v>
      </c>
      <c r="W32" s="312">
        <f t="shared" si="36"/>
        <v>-1</v>
      </c>
      <c r="X32" s="454">
        <f t="shared" si="31"/>
        <v>0</v>
      </c>
      <c r="Y32" s="312">
        <f t="shared" si="9"/>
        <v>-1</v>
      </c>
      <c r="Z32" s="674">
        <f t="shared" si="10"/>
        <v>0</v>
      </c>
      <c r="AA32" s="329"/>
      <c r="AB32" s="379">
        <f t="shared" si="10"/>
        <v>0</v>
      </c>
      <c r="AC32" s="329"/>
      <c r="AD32" s="413">
        <f t="shared" si="11"/>
        <v>0</v>
      </c>
      <c r="AE32" s="329"/>
      <c r="AG32" s="400" t="e">
        <f t="shared" si="12"/>
        <v>#DIV/0!</v>
      </c>
      <c r="AH32" s="401">
        <f t="shared" si="13"/>
        <v>0</v>
      </c>
      <c r="AI32" s="407">
        <f t="shared" si="14"/>
        <v>0</v>
      </c>
      <c r="AJ32" s="498"/>
      <c r="AK32" s="502">
        <f t="shared" si="15"/>
        <v>0</v>
      </c>
      <c r="AL32" s="503" t="e">
        <f t="shared" si="16"/>
        <v>#DIV/0!</v>
      </c>
      <c r="AM32" s="504" t="e">
        <f>AG32-AK32-AO32</f>
        <v>#DIV/0!</v>
      </c>
      <c r="AN32" s="503" t="e">
        <f t="shared" si="17"/>
        <v>#DIV/0!</v>
      </c>
      <c r="AO32" s="502">
        <f t="shared" si="18"/>
        <v>0</v>
      </c>
      <c r="AP32" s="503" t="e">
        <f t="shared" si="19"/>
        <v>#DIV/0!</v>
      </c>
      <c r="AQ32" s="402"/>
      <c r="AR32" s="110">
        <v>45292</v>
      </c>
      <c r="AS32" s="308">
        <v>0</v>
      </c>
      <c r="AT32" s="308">
        <v>0</v>
      </c>
      <c r="AU32" s="308"/>
      <c r="AV32" s="464" t="s">
        <v>154</v>
      </c>
      <c r="AW32" s="545">
        <v>89.46</v>
      </c>
      <c r="AX32" s="545">
        <v>86</v>
      </c>
      <c r="AY32" s="675">
        <v>0.92</v>
      </c>
      <c r="AZ32" s="546">
        <f t="shared" si="39"/>
        <v>1.0283925776883524E-2</v>
      </c>
      <c r="BA32" s="547" t="s">
        <v>164</v>
      </c>
      <c r="BB32" s="547" t="s">
        <v>165</v>
      </c>
      <c r="BD32" s="525"/>
      <c r="BE32" s="552"/>
      <c r="BF32" s="553"/>
      <c r="BG32" s="554"/>
      <c r="BH32" s="555"/>
      <c r="BI32" s="554">
        <f t="shared" ref="BI32" si="40">BG32*BF32+BH32</f>
        <v>0</v>
      </c>
      <c r="BJ32" s="256"/>
      <c r="BL32" s="227"/>
      <c r="BM32" s="216"/>
      <c r="BN32" s="221"/>
      <c r="BO32" s="216"/>
      <c r="BP32" s="228">
        <f>BN32*BM32</f>
        <v>0</v>
      </c>
      <c r="BR32" s="234" t="str">
        <f>IF(BP32&gt;0,BP32-BI33,"")</f>
        <v/>
      </c>
      <c r="BS32" s="374" t="str">
        <f>IFERROR(BR32*20/100,"")</f>
        <v/>
      </c>
    </row>
    <row r="33" spans="1:71" ht="16" customHeight="1" thickBot="1">
      <c r="A33" s="295">
        <v>45336</v>
      </c>
      <c r="B33" s="398">
        <f t="shared" si="0"/>
        <v>213549.22064344576</v>
      </c>
      <c r="C33" s="312">
        <f t="shared" si="1"/>
        <v>4.1122304681716663E-4</v>
      </c>
      <c r="D33" s="398">
        <f t="shared" si="2"/>
        <v>113501.86723464073</v>
      </c>
      <c r="E33" s="312">
        <f t="shared" si="3"/>
        <v>4.1113816114627419E-4</v>
      </c>
      <c r="F33" s="398">
        <f t="shared" si="4"/>
        <v>23002.868285868579</v>
      </c>
      <c r="G33" s="312">
        <f t="shared" si="5"/>
        <v>4.1139763193602096E-4</v>
      </c>
      <c r="H33" s="398">
        <v>0</v>
      </c>
      <c r="I33" s="312">
        <f t="shared" si="6"/>
        <v>0</v>
      </c>
      <c r="J33" s="457" t="e">
        <f t="shared" si="20"/>
        <v>#DIV/0!</v>
      </c>
      <c r="K33" s="369" t="e">
        <f>(J33-J32)/J32</f>
        <v>#DIV/0!</v>
      </c>
      <c r="L33" s="404" t="e">
        <f t="shared" si="21"/>
        <v>#DIV/0!</v>
      </c>
      <c r="M33" s="312" t="e">
        <f t="shared" si="22"/>
        <v>#DIV/0!</v>
      </c>
      <c r="N33" s="454">
        <f t="shared" si="23"/>
        <v>19247.980114410628</v>
      </c>
      <c r="O33" s="312">
        <f t="shared" si="24"/>
        <v>3.610791107138104E-4</v>
      </c>
      <c r="P33" s="404" t="e">
        <f t="shared" si="25"/>
        <v>#DIV/0!</v>
      </c>
      <c r="Q33" s="312" t="e">
        <f t="shared" si="33"/>
        <v>#DIV/0!</v>
      </c>
      <c r="R33" s="454" t="e">
        <f t="shared" si="26"/>
        <v>#DIV/0!</v>
      </c>
      <c r="S33" s="312" t="e">
        <f t="shared" si="27"/>
        <v>#DIV/0!</v>
      </c>
      <c r="T33" s="454" t="e">
        <f t="shared" si="28"/>
        <v>#DIV/0!</v>
      </c>
      <c r="U33" s="312" t="e">
        <f t="shared" si="29"/>
        <v>#DIV/0!</v>
      </c>
      <c r="V33" s="454">
        <f t="shared" si="30"/>
        <v>0</v>
      </c>
      <c r="W33" s="312">
        <f t="shared" si="36"/>
        <v>-1</v>
      </c>
      <c r="X33" s="454">
        <f t="shared" si="31"/>
        <v>0</v>
      </c>
      <c r="Y33" s="312">
        <f t="shared" si="9"/>
        <v>-1</v>
      </c>
      <c r="Z33" s="674">
        <f t="shared" si="10"/>
        <v>0</v>
      </c>
      <c r="AA33" s="297"/>
      <c r="AB33" s="379">
        <f t="shared" si="10"/>
        <v>0</v>
      </c>
      <c r="AC33" s="297"/>
      <c r="AD33" s="413">
        <f t="shared" si="11"/>
        <v>0</v>
      </c>
      <c r="AE33" s="297"/>
      <c r="AG33" s="400" t="e">
        <f t="shared" si="12"/>
        <v>#DIV/0!</v>
      </c>
      <c r="AH33" s="401">
        <f t="shared" si="13"/>
        <v>0</v>
      </c>
      <c r="AI33" s="407">
        <f t="shared" si="14"/>
        <v>0</v>
      </c>
      <c r="AJ33" s="498"/>
      <c r="AK33" s="502">
        <f t="shared" si="15"/>
        <v>0</v>
      </c>
      <c r="AL33" s="503" t="e">
        <f t="shared" si="16"/>
        <v>#DIV/0!</v>
      </c>
      <c r="AM33" s="504" t="e">
        <f>AG33-AK33-AO33</f>
        <v>#DIV/0!</v>
      </c>
      <c r="AN33" s="503" t="e">
        <f t="shared" si="17"/>
        <v>#DIV/0!</v>
      </c>
      <c r="AO33" s="502">
        <f t="shared" si="18"/>
        <v>0</v>
      </c>
      <c r="AP33" s="503" t="e">
        <f t="shared" si="19"/>
        <v>#DIV/0!</v>
      </c>
      <c r="AQ33" s="478"/>
      <c r="AR33" s="110">
        <v>45323</v>
      </c>
      <c r="AS33" s="308">
        <v>0</v>
      </c>
      <c r="AT33" s="308">
        <v>0</v>
      </c>
      <c r="AU33" s="308"/>
      <c r="AV33" s="464" t="s">
        <v>155</v>
      </c>
      <c r="AW33" s="545">
        <v>86.01</v>
      </c>
      <c r="AX33" s="545">
        <v>87</v>
      </c>
      <c r="AY33" s="566">
        <v>1.1000000000000001</v>
      </c>
      <c r="AZ33" s="546">
        <f t="shared" si="39"/>
        <v>1.2789210556911988E-2</v>
      </c>
      <c r="BA33" s="547" t="s">
        <v>163</v>
      </c>
      <c r="BB33" s="547" t="s">
        <v>164</v>
      </c>
      <c r="BD33" s="526"/>
      <c r="BE33" s="212" t="s">
        <v>119</v>
      </c>
      <c r="BF33" s="217">
        <f>SUM(BF24:BF32)</f>
        <v>0</v>
      </c>
      <c r="BG33" s="219" t="e">
        <f>((BF24*BG24)+(BF25*BG25)+(BF26*BG26)+(BF27*BG27)+(BF28*BG28)+(BF29*BG29)+(BF30*BG30)+(BF31*BG31)+(BF32*BG32))/BF33</f>
        <v>#DIV/0!</v>
      </c>
      <c r="BH33" s="219">
        <f>SUM(BH24:BH32)</f>
        <v>0</v>
      </c>
      <c r="BI33" s="220">
        <f>SUM(BI24:BI32)</f>
        <v>0</v>
      </c>
      <c r="BJ33" s="230"/>
      <c r="BL33" s="229" t="s">
        <v>119</v>
      </c>
      <c r="BM33" s="217">
        <f>SUM(BM23:BM32)</f>
        <v>0</v>
      </c>
      <c r="BN33" s="219" t="str">
        <f>IFERROR(AVERAGE(BN23:BN32),"")</f>
        <v/>
      </c>
      <c r="BO33" s="219"/>
      <c r="BP33" s="230">
        <f>SUM(BP23:BP32)</f>
        <v>0</v>
      </c>
      <c r="BR33" s="375">
        <f>SUM(BR30:BR32)</f>
        <v>0</v>
      </c>
      <c r="BS33" s="230">
        <f>SUM(BS28:BS32)</f>
        <v>0</v>
      </c>
    </row>
    <row r="34" spans="1:71" ht="15.5" customHeight="1">
      <c r="A34" s="295">
        <v>45337</v>
      </c>
      <c r="B34" s="398">
        <f t="shared" si="0"/>
        <v>213637.03700460418</v>
      </c>
      <c r="C34" s="312">
        <f t="shared" si="1"/>
        <v>4.11223046817109E-4</v>
      </c>
      <c r="D34" s="398">
        <f t="shared" si="2"/>
        <v>113548.53218362224</v>
      </c>
      <c r="E34" s="312">
        <f t="shared" si="3"/>
        <v>4.1113816114626091E-4</v>
      </c>
      <c r="F34" s="398">
        <f t="shared" si="4"/>
        <v>23012.331611409121</v>
      </c>
      <c r="G34" s="312">
        <f t="shared" si="5"/>
        <v>4.1139763193601646E-4</v>
      </c>
      <c r="H34" s="398">
        <v>0</v>
      </c>
      <c r="I34" s="312">
        <f t="shared" si="6"/>
        <v>0</v>
      </c>
      <c r="J34" s="457" t="e">
        <f t="shared" si="20"/>
        <v>#DIV/0!</v>
      </c>
      <c r="K34" s="369" t="e">
        <f>(J34-542.7+270-144.94-J33)/J33</f>
        <v>#DIV/0!</v>
      </c>
      <c r="L34" s="404" t="e">
        <f t="shared" si="21"/>
        <v>#DIV/0!</v>
      </c>
      <c r="M34" s="312" t="e">
        <f t="shared" si="22"/>
        <v>#DIV/0!</v>
      </c>
      <c r="N34" s="454">
        <f t="shared" si="23"/>
        <v>19254.930157953375</v>
      </c>
      <c r="O34" s="312">
        <f t="shared" si="24"/>
        <v>3.6107911071374063E-4</v>
      </c>
      <c r="P34" s="404" t="e">
        <f t="shared" si="25"/>
        <v>#DIV/0!</v>
      </c>
      <c r="Q34" s="312" t="e">
        <f t="shared" si="33"/>
        <v>#DIV/0!</v>
      </c>
      <c r="R34" s="454" t="e">
        <f t="shared" si="26"/>
        <v>#DIV/0!</v>
      </c>
      <c r="S34" s="312" t="e">
        <f t="shared" si="27"/>
        <v>#DIV/0!</v>
      </c>
      <c r="T34" s="454" t="e">
        <f t="shared" si="28"/>
        <v>#DIV/0!</v>
      </c>
      <c r="U34" s="312" t="e">
        <f t="shared" si="29"/>
        <v>#DIV/0!</v>
      </c>
      <c r="V34" s="454">
        <f t="shared" si="30"/>
        <v>0</v>
      </c>
      <c r="W34" s="312">
        <f t="shared" si="36"/>
        <v>-1</v>
      </c>
      <c r="X34" s="454">
        <f t="shared" si="31"/>
        <v>0</v>
      </c>
      <c r="Y34" s="312">
        <f t="shared" si="9"/>
        <v>-1</v>
      </c>
      <c r="Z34" s="674">
        <f t="shared" si="10"/>
        <v>0</v>
      </c>
      <c r="AA34" s="329"/>
      <c r="AB34" s="379">
        <f t="shared" si="10"/>
        <v>0</v>
      </c>
      <c r="AC34" s="329"/>
      <c r="AD34" s="413">
        <f t="shared" si="11"/>
        <v>0</v>
      </c>
      <c r="AE34" s="329"/>
      <c r="AG34" s="400" t="e">
        <f t="shared" si="12"/>
        <v>#DIV/0!</v>
      </c>
      <c r="AH34" s="401">
        <f t="shared" si="13"/>
        <v>0</v>
      </c>
      <c r="AI34" s="407">
        <f t="shared" si="14"/>
        <v>0</v>
      </c>
      <c r="AJ34" s="498"/>
      <c r="AK34" s="502">
        <f t="shared" si="15"/>
        <v>0</v>
      </c>
      <c r="AL34" s="503" t="e">
        <f t="shared" si="16"/>
        <v>#DIV/0!</v>
      </c>
      <c r="AM34" s="504" t="e">
        <f>AG34-AK34-AO34</f>
        <v>#DIV/0!</v>
      </c>
      <c r="AN34" s="503" t="e">
        <f t="shared" si="17"/>
        <v>#DIV/0!</v>
      </c>
      <c r="AO34" s="502">
        <f t="shared" si="18"/>
        <v>0</v>
      </c>
      <c r="AP34" s="503" t="e">
        <f t="shared" si="19"/>
        <v>#DIV/0!</v>
      </c>
      <c r="AQ34" s="478"/>
      <c r="AR34" s="110">
        <v>45352</v>
      </c>
      <c r="AS34" s="308">
        <v>0</v>
      </c>
      <c r="AT34" s="308">
        <v>0</v>
      </c>
      <c r="AU34" s="308"/>
      <c r="AV34" s="464" t="s">
        <v>156</v>
      </c>
      <c r="AW34" s="460">
        <v>8.19</v>
      </c>
      <c r="AX34" s="460">
        <v>8.6</v>
      </c>
      <c r="AY34" s="567">
        <v>0.11</v>
      </c>
      <c r="AZ34" s="462">
        <f t="shared" si="39"/>
        <v>1.3431013431013432E-2</v>
      </c>
      <c r="BA34" s="463" t="s">
        <v>168</v>
      </c>
      <c r="BB34" s="463" t="s">
        <v>167</v>
      </c>
      <c r="BH34" s="320"/>
      <c r="BJ34" s="551"/>
    </row>
    <row r="35" spans="1:71" ht="15" customHeight="1">
      <c r="A35" s="295">
        <v>45338</v>
      </c>
      <c r="B35" s="398">
        <f t="shared" si="0"/>
        <v>213724.88947787418</v>
      </c>
      <c r="C35" s="312">
        <f t="shared" si="1"/>
        <v>4.1122304681706092E-4</v>
      </c>
      <c r="D35" s="398">
        <f t="shared" si="2"/>
        <v>113595.21631834508</v>
      </c>
      <c r="E35" s="312">
        <f t="shared" si="3"/>
        <v>4.1113816114627278E-4</v>
      </c>
      <c r="F35" s="398">
        <f t="shared" si="4"/>
        <v>23021.798830139382</v>
      </c>
      <c r="G35" s="312">
        <f t="shared" si="5"/>
        <v>4.113976319360299E-4</v>
      </c>
      <c r="H35" s="398">
        <v>0</v>
      </c>
      <c r="I35" s="312">
        <f t="shared" si="6"/>
        <v>0</v>
      </c>
      <c r="J35" s="457" t="e">
        <f t="shared" si="20"/>
        <v>#DIV/0!</v>
      </c>
      <c r="K35" s="369" t="e">
        <f>(J35+391.15-997-J34)/J34</f>
        <v>#DIV/0!</v>
      </c>
      <c r="L35" s="404" t="e">
        <f t="shared" si="21"/>
        <v>#DIV/0!</v>
      </c>
      <c r="M35" s="312" t="e">
        <f t="shared" si="22"/>
        <v>#DIV/0!</v>
      </c>
      <c r="N35" s="454">
        <f t="shared" si="23"/>
        <v>19261.882711011665</v>
      </c>
      <c r="O35" s="312">
        <f t="shared" si="24"/>
        <v>3.6107911071381929E-4</v>
      </c>
      <c r="P35" s="404" t="e">
        <f t="shared" si="25"/>
        <v>#DIV/0!</v>
      </c>
      <c r="Q35" s="312" t="e">
        <f t="shared" si="33"/>
        <v>#DIV/0!</v>
      </c>
      <c r="R35" s="454" t="e">
        <f t="shared" si="26"/>
        <v>#DIV/0!</v>
      </c>
      <c r="S35" s="312" t="e">
        <f t="shared" si="27"/>
        <v>#DIV/0!</v>
      </c>
      <c r="T35" s="454" t="e">
        <f t="shared" si="28"/>
        <v>#DIV/0!</v>
      </c>
      <c r="U35" s="312" t="e">
        <f t="shared" si="29"/>
        <v>#DIV/0!</v>
      </c>
      <c r="V35" s="454">
        <f t="shared" si="30"/>
        <v>0</v>
      </c>
      <c r="W35" s="312">
        <f>(V35-(399.77+264.983+391.15))/(399.77+264.98+391.15)</f>
        <v>-1.0000028411781416</v>
      </c>
      <c r="X35" s="454">
        <f t="shared" si="31"/>
        <v>0</v>
      </c>
      <c r="Y35" s="312">
        <f t="shared" si="9"/>
        <v>-1</v>
      </c>
      <c r="Z35" s="674">
        <f t="shared" si="10"/>
        <v>0</v>
      </c>
      <c r="AA35" s="297"/>
      <c r="AB35" s="379">
        <f t="shared" si="10"/>
        <v>0</v>
      </c>
      <c r="AC35" s="297"/>
      <c r="AD35" s="413">
        <f t="shared" si="11"/>
        <v>0</v>
      </c>
      <c r="AE35" s="297"/>
      <c r="AG35" s="400" t="e">
        <f t="shared" si="12"/>
        <v>#DIV/0!</v>
      </c>
      <c r="AH35" s="401">
        <f t="shared" si="13"/>
        <v>0</v>
      </c>
      <c r="AI35" s="407">
        <f t="shared" si="14"/>
        <v>0</v>
      </c>
      <c r="AJ35" s="498"/>
      <c r="AK35" s="502">
        <f t="shared" si="15"/>
        <v>0</v>
      </c>
      <c r="AL35" s="503" t="e">
        <f t="shared" si="16"/>
        <v>#DIV/0!</v>
      </c>
      <c r="AM35" s="504" t="e">
        <f>AG35-AK35-AO35</f>
        <v>#DIV/0!</v>
      </c>
      <c r="AN35" s="503" t="e">
        <f t="shared" si="17"/>
        <v>#DIV/0!</v>
      </c>
      <c r="AO35" s="502">
        <f t="shared" si="18"/>
        <v>0</v>
      </c>
      <c r="AP35" s="503" t="e">
        <f t="shared" si="19"/>
        <v>#DIV/0!</v>
      </c>
      <c r="AQ35" s="402"/>
      <c r="AR35" s="110">
        <v>45383</v>
      </c>
      <c r="AS35" s="308">
        <v>0</v>
      </c>
      <c r="AT35" s="308">
        <v>0</v>
      </c>
      <c r="AU35" s="308"/>
      <c r="AV35" s="464" t="s">
        <v>144</v>
      </c>
      <c r="AW35" s="460">
        <v>9.65</v>
      </c>
      <c r="AX35" s="460">
        <v>9.64</v>
      </c>
      <c r="AY35" s="567">
        <v>0.1</v>
      </c>
      <c r="AZ35" s="462">
        <f t="shared" si="39"/>
        <v>1.0362694300518135E-2</v>
      </c>
      <c r="BA35" s="463" t="s">
        <v>168</v>
      </c>
      <c r="BB35" s="463" t="s">
        <v>167</v>
      </c>
      <c r="BD35" s="677"/>
      <c r="BE35" s="678"/>
      <c r="BF35" s="679"/>
      <c r="BG35" s="376"/>
      <c r="BH35" s="376"/>
      <c r="BI35" s="376"/>
      <c r="BJ35" s="376"/>
      <c r="BK35" s="442"/>
    </row>
    <row r="36" spans="1:71" ht="15" customHeight="1">
      <c r="A36" s="295">
        <v>45341</v>
      </c>
      <c r="B36" s="398">
        <f t="shared" si="0"/>
        <v>213812.77807810591</v>
      </c>
      <c r="C36" s="312">
        <f t="shared" si="1"/>
        <v>4.1122304681705788E-4</v>
      </c>
      <c r="D36" s="398">
        <f t="shared" si="2"/>
        <v>113641.91964669721</v>
      </c>
      <c r="E36" s="312">
        <f t="shared" si="3"/>
        <v>4.1113816114621125E-4</v>
      </c>
      <c r="F36" s="398">
        <f t="shared" si="4"/>
        <v>23031.269943661009</v>
      </c>
      <c r="G36" s="312">
        <f t="shared" si="5"/>
        <v>4.1139763193605392E-4</v>
      </c>
      <c r="H36" s="398">
        <v>0</v>
      </c>
      <c r="I36" s="312">
        <f t="shared" si="6"/>
        <v>0</v>
      </c>
      <c r="J36" s="457" t="e">
        <f t="shared" si="20"/>
        <v>#DIV/0!</v>
      </c>
      <c r="K36" s="369" t="e">
        <f>(J36-J35)/J35</f>
        <v>#DIV/0!</v>
      </c>
      <c r="L36" s="404" t="e">
        <f t="shared" si="21"/>
        <v>#DIV/0!</v>
      </c>
      <c r="M36" s="312" t="e">
        <f t="shared" si="22"/>
        <v>#DIV/0!</v>
      </c>
      <c r="N36" s="454">
        <f t="shared" si="23"/>
        <v>19268.837774491632</v>
      </c>
      <c r="O36" s="312">
        <f t="shared" si="24"/>
        <v>3.6107911071387556E-4</v>
      </c>
      <c r="P36" s="404" t="e">
        <f t="shared" si="25"/>
        <v>#DIV/0!</v>
      </c>
      <c r="Q36" s="312" t="e">
        <f t="shared" si="33"/>
        <v>#DIV/0!</v>
      </c>
      <c r="R36" s="454" t="e">
        <f t="shared" si="26"/>
        <v>#DIV/0!</v>
      </c>
      <c r="S36" s="312" t="e">
        <f t="shared" si="27"/>
        <v>#DIV/0!</v>
      </c>
      <c r="T36" s="454" t="e">
        <f t="shared" si="28"/>
        <v>#DIV/0!</v>
      </c>
      <c r="U36" s="312" t="e">
        <f t="shared" si="29"/>
        <v>#DIV/0!</v>
      </c>
      <c r="V36" s="454">
        <f t="shared" si="30"/>
        <v>0</v>
      </c>
      <c r="W36" s="312">
        <f>(V36-(399.77+264.983+391.15+390.7))/(399.77+264.98+391.15+390.7)</f>
        <v>-1.0000020738282869</v>
      </c>
      <c r="X36" s="454">
        <f t="shared" si="31"/>
        <v>0</v>
      </c>
      <c r="Y36" s="312">
        <f t="shared" si="9"/>
        <v>-1</v>
      </c>
      <c r="Z36" s="674">
        <f t="shared" si="10"/>
        <v>0</v>
      </c>
      <c r="AA36" s="329"/>
      <c r="AB36" s="379">
        <f t="shared" si="10"/>
        <v>0</v>
      </c>
      <c r="AC36" s="329"/>
      <c r="AD36" s="413">
        <f t="shared" si="11"/>
        <v>0</v>
      </c>
      <c r="AE36" s="329"/>
      <c r="AG36" s="400" t="e">
        <f t="shared" si="12"/>
        <v>#DIV/0!</v>
      </c>
      <c r="AH36" s="401">
        <f t="shared" si="13"/>
        <v>0</v>
      </c>
      <c r="AI36" s="407">
        <f t="shared" si="14"/>
        <v>0</v>
      </c>
      <c r="AJ36" s="498"/>
      <c r="AK36" s="502">
        <f t="shared" si="15"/>
        <v>0</v>
      </c>
      <c r="AL36" s="503" t="e">
        <f t="shared" si="16"/>
        <v>#DIV/0!</v>
      </c>
      <c r="AM36" s="504" t="e">
        <f>AG36-AK36-AO36</f>
        <v>#DIV/0!</v>
      </c>
      <c r="AN36" s="503" t="e">
        <f t="shared" si="17"/>
        <v>#DIV/0!</v>
      </c>
      <c r="AO36" s="502">
        <f t="shared" si="18"/>
        <v>0</v>
      </c>
      <c r="AP36" s="503" t="e">
        <f t="shared" si="19"/>
        <v>#DIV/0!</v>
      </c>
      <c r="AQ36" s="402"/>
      <c r="AR36" s="110">
        <v>45413</v>
      </c>
      <c r="AS36" s="98">
        <f>AS35*0.9%+AS35</f>
        <v>0</v>
      </c>
      <c r="AT36" s="98">
        <f>AT35*1%+AT35</f>
        <v>0</v>
      </c>
      <c r="AU36" s="98"/>
      <c r="AV36" s="308"/>
      <c r="AW36" s="308"/>
      <c r="AX36" s="308"/>
      <c r="AY36" s="403"/>
      <c r="AZ36" s="403"/>
      <c r="BA36" s="403"/>
      <c r="BB36" s="403"/>
      <c r="BD36" s="680"/>
      <c r="BE36" s="678"/>
      <c r="BF36" s="679"/>
      <c r="BG36" s="376"/>
      <c r="BH36" s="376"/>
      <c r="BI36" s="376"/>
      <c r="BJ36" s="376"/>
      <c r="BK36" s="442"/>
    </row>
    <row r="37" spans="1:71" ht="15" customHeight="1">
      <c r="A37" s="295">
        <v>45342</v>
      </c>
      <c r="B37" s="398">
        <f t="shared" si="0"/>
        <v>213900.70282015562</v>
      </c>
      <c r="C37" s="312">
        <f t="shared" si="1"/>
        <v>4.1122304681712369E-4</v>
      </c>
      <c r="D37" s="398">
        <f t="shared" si="2"/>
        <v>113688.64217656988</v>
      </c>
      <c r="E37" s="312">
        <f t="shared" si="3"/>
        <v>4.1113816114622225E-4</v>
      </c>
      <c r="F37" s="398">
        <f t="shared" si="4"/>
        <v>23040.744953576312</v>
      </c>
      <c r="G37" s="312">
        <f t="shared" si="5"/>
        <v>4.1139763193606931E-4</v>
      </c>
      <c r="H37" s="398">
        <v>0</v>
      </c>
      <c r="I37" s="312">
        <f t="shared" si="6"/>
        <v>0</v>
      </c>
      <c r="J37" s="457" t="e">
        <f t="shared" si="20"/>
        <v>#DIV/0!</v>
      </c>
      <c r="K37" s="369" t="e">
        <f>(J37-3870+422.1-J36)/J36</f>
        <v>#DIV/0!</v>
      </c>
      <c r="L37" s="404" t="e">
        <f t="shared" si="21"/>
        <v>#DIV/0!</v>
      </c>
      <c r="M37" s="312" t="e">
        <f t="shared" si="22"/>
        <v>#DIV/0!</v>
      </c>
      <c r="N37" s="454">
        <f t="shared" si="23"/>
        <v>19275.795349299737</v>
      </c>
      <c r="O37" s="312">
        <f t="shared" si="24"/>
        <v>3.6107911071392136E-4</v>
      </c>
      <c r="P37" s="404" t="e">
        <f t="shared" si="25"/>
        <v>#DIV/0!</v>
      </c>
      <c r="Q37" s="312" t="e">
        <f t="shared" si="33"/>
        <v>#DIV/0!</v>
      </c>
      <c r="R37" s="454" t="e">
        <f t="shared" si="26"/>
        <v>#DIV/0!</v>
      </c>
      <c r="S37" s="312" t="e">
        <f t="shared" si="27"/>
        <v>#DIV/0!</v>
      </c>
      <c r="T37" s="454" t="e">
        <f t="shared" si="28"/>
        <v>#DIV/0!</v>
      </c>
      <c r="U37" s="312" t="e">
        <f t="shared" si="29"/>
        <v>#DIV/0!</v>
      </c>
      <c r="V37" s="454">
        <f t="shared" si="30"/>
        <v>0</v>
      </c>
      <c r="W37" s="312">
        <f>(V37-(399.77+264.983+391.15+390.7+774.22))/(399.77+264.98+391.15+390.7+774.22)</f>
        <v>-1.0000013508523877</v>
      </c>
      <c r="X37" s="454">
        <f t="shared" si="31"/>
        <v>0</v>
      </c>
      <c r="Y37" s="312">
        <f t="shared" si="9"/>
        <v>-1</v>
      </c>
      <c r="Z37" s="674">
        <f t="shared" si="10"/>
        <v>0</v>
      </c>
      <c r="AA37" s="297"/>
      <c r="AB37" s="379">
        <f t="shared" si="10"/>
        <v>0</v>
      </c>
      <c r="AC37" s="297"/>
      <c r="AD37" s="413">
        <f t="shared" si="11"/>
        <v>0</v>
      </c>
      <c r="AE37" s="297"/>
      <c r="AG37" s="400" t="e">
        <f t="shared" si="12"/>
        <v>#DIV/0!</v>
      </c>
      <c r="AH37" s="401">
        <f t="shared" si="13"/>
        <v>0</v>
      </c>
      <c r="AI37" s="407">
        <f t="shared" si="14"/>
        <v>0</v>
      </c>
      <c r="AJ37" s="498"/>
      <c r="AK37" s="502">
        <f t="shared" si="15"/>
        <v>0</v>
      </c>
      <c r="AL37" s="503" t="e">
        <f t="shared" si="16"/>
        <v>#DIV/0!</v>
      </c>
      <c r="AM37" s="504" t="e">
        <f>AG37-AK37-AO37</f>
        <v>#DIV/0!</v>
      </c>
      <c r="AN37" s="503" t="e">
        <f t="shared" si="17"/>
        <v>#DIV/0!</v>
      </c>
      <c r="AO37" s="502">
        <f t="shared" si="18"/>
        <v>0</v>
      </c>
      <c r="AP37" s="503" t="e">
        <f t="shared" si="19"/>
        <v>#DIV/0!</v>
      </c>
      <c r="AQ37" s="402"/>
      <c r="AR37" s="110">
        <v>45444</v>
      </c>
      <c r="AS37" s="98">
        <f t="shared" ref="AS37:AS100" si="41">AS36*0.9%+AS36</f>
        <v>0</v>
      </c>
      <c r="AT37" s="98">
        <f t="shared" ref="AT37:AT100" si="42">AT36*1%+AT36</f>
        <v>0</v>
      </c>
      <c r="AU37" s="98"/>
      <c r="AV37" s="308"/>
      <c r="AW37" s="308"/>
      <c r="AX37" s="479"/>
      <c r="AY37" s="403"/>
      <c r="AZ37" s="403"/>
      <c r="BA37" s="403"/>
      <c r="BB37" s="403"/>
      <c r="BD37" s="680"/>
      <c r="BE37" s="678"/>
      <c r="BF37" s="679"/>
      <c r="BG37" s="376"/>
      <c r="BH37" s="681"/>
      <c r="BI37" s="376"/>
      <c r="BJ37" s="376"/>
      <c r="BK37" s="442"/>
    </row>
    <row r="38" spans="1:71">
      <c r="A38" s="295">
        <v>45343</v>
      </c>
      <c r="B38" s="398">
        <f t="shared" si="0"/>
        <v>213988.66371888565</v>
      </c>
      <c r="C38" s="312">
        <f t="shared" si="1"/>
        <v>4.112230468171341E-4</v>
      </c>
      <c r="D38" s="398">
        <f t="shared" si="2"/>
        <v>113735.38391585756</v>
      </c>
      <c r="E38" s="312">
        <f t="shared" si="3"/>
        <v>4.1113816114618376E-4</v>
      </c>
      <c r="F38" s="398">
        <f t="shared" si="4"/>
        <v>23050.223861488255</v>
      </c>
      <c r="G38" s="312">
        <f t="shared" si="5"/>
        <v>4.1139763193604525E-4</v>
      </c>
      <c r="H38" s="398">
        <v>0</v>
      </c>
      <c r="I38" s="312">
        <f t="shared" si="6"/>
        <v>0</v>
      </c>
      <c r="J38" s="457" t="e">
        <f t="shared" si="20"/>
        <v>#DIV/0!</v>
      </c>
      <c r="K38" s="369" t="e">
        <f>(J38-26.36-J37)/J37</f>
        <v>#DIV/0!</v>
      </c>
      <c r="L38" s="404" t="e">
        <f t="shared" si="21"/>
        <v>#DIV/0!</v>
      </c>
      <c r="M38" s="312" t="e">
        <f t="shared" si="22"/>
        <v>#DIV/0!</v>
      </c>
      <c r="N38" s="454">
        <f t="shared" si="23"/>
        <v>19282.755436342766</v>
      </c>
      <c r="O38" s="312">
        <f t="shared" si="24"/>
        <v>3.6107911071396278E-4</v>
      </c>
      <c r="P38" s="404" t="e">
        <f t="shared" si="25"/>
        <v>#DIV/0!</v>
      </c>
      <c r="Q38" s="312" t="e">
        <f t="shared" si="33"/>
        <v>#DIV/0!</v>
      </c>
      <c r="R38" s="454" t="e">
        <f t="shared" si="26"/>
        <v>#DIV/0!</v>
      </c>
      <c r="S38" s="312" t="e">
        <f t="shared" si="27"/>
        <v>#DIV/0!</v>
      </c>
      <c r="T38" s="454" t="e">
        <f t="shared" si="28"/>
        <v>#DIV/0!</v>
      </c>
      <c r="U38" s="312" t="e">
        <f t="shared" si="29"/>
        <v>#DIV/0!</v>
      </c>
      <c r="V38" s="454">
        <f t="shared" si="30"/>
        <v>0</v>
      </c>
      <c r="W38" s="312">
        <f>(V38-(399.77+264.983+391.15+390.7+774.22))/(399.77+264.98+391.15+390.7+774.22)</f>
        <v>-1.0000013508523877</v>
      </c>
      <c r="X38" s="454">
        <f t="shared" si="31"/>
        <v>0</v>
      </c>
      <c r="Y38" s="312">
        <f t="shared" si="9"/>
        <v>-1</v>
      </c>
      <c r="Z38" s="674">
        <f t="shared" si="10"/>
        <v>0</v>
      </c>
      <c r="AA38" s="329"/>
      <c r="AB38" s="379">
        <f t="shared" si="10"/>
        <v>0</v>
      </c>
      <c r="AC38" s="329"/>
      <c r="AD38" s="413">
        <f t="shared" si="11"/>
        <v>0</v>
      </c>
      <c r="AE38" s="329"/>
      <c r="AG38" s="400" t="e">
        <f t="shared" si="12"/>
        <v>#DIV/0!</v>
      </c>
      <c r="AH38" s="401">
        <f t="shared" si="13"/>
        <v>0</v>
      </c>
      <c r="AI38" s="407">
        <f t="shared" si="14"/>
        <v>0</v>
      </c>
      <c r="AJ38" s="498"/>
      <c r="AK38" s="502">
        <f t="shared" si="15"/>
        <v>0</v>
      </c>
      <c r="AL38" s="503" t="e">
        <f t="shared" si="16"/>
        <v>#DIV/0!</v>
      </c>
      <c r="AM38" s="504" t="e">
        <f>AG38-AK38-AO38</f>
        <v>#DIV/0!</v>
      </c>
      <c r="AN38" s="503" t="e">
        <f t="shared" si="17"/>
        <v>#DIV/0!</v>
      </c>
      <c r="AO38" s="502">
        <f t="shared" si="18"/>
        <v>0</v>
      </c>
      <c r="AP38" s="503" t="e">
        <f t="shared" si="19"/>
        <v>#DIV/0!</v>
      </c>
      <c r="AQ38" s="402"/>
      <c r="AR38" s="110">
        <v>45474</v>
      </c>
      <c r="AS38" s="98">
        <f t="shared" si="41"/>
        <v>0</v>
      </c>
      <c r="AT38" s="98">
        <f t="shared" si="42"/>
        <v>0</v>
      </c>
      <c r="AU38" s="98"/>
      <c r="AV38" s="308"/>
      <c r="AW38" s="308"/>
      <c r="AX38" s="308"/>
      <c r="AY38" s="403"/>
      <c r="AZ38" s="403"/>
      <c r="BA38" s="403"/>
      <c r="BB38" s="403"/>
      <c r="BD38" s="680"/>
      <c r="BE38" s="678"/>
      <c r="BF38" s="679"/>
      <c r="BG38" s="376"/>
      <c r="BH38" s="681"/>
      <c r="BI38" s="376"/>
      <c r="BJ38" s="376"/>
    </row>
    <row r="39" spans="1:71">
      <c r="A39" s="295">
        <v>45344</v>
      </c>
      <c r="B39" s="398">
        <f t="shared" si="0"/>
        <v>214076.66078916445</v>
      </c>
      <c r="C39" s="312">
        <f t="shared" si="1"/>
        <v>4.1122304681708965E-4</v>
      </c>
      <c r="D39" s="398">
        <f t="shared" si="2"/>
        <v>113782.14487245798</v>
      </c>
      <c r="E39" s="312">
        <f t="shared" si="3"/>
        <v>4.1113816114621813E-4</v>
      </c>
      <c r="F39" s="398">
        <f t="shared" si="4"/>
        <v>23059.706669000469</v>
      </c>
      <c r="G39" s="312">
        <f t="shared" si="5"/>
        <v>4.1139763193609696E-4</v>
      </c>
      <c r="H39" s="398">
        <v>0</v>
      </c>
      <c r="I39" s="312">
        <f t="shared" si="6"/>
        <v>0</v>
      </c>
      <c r="J39" s="457" t="e">
        <f t="shared" si="20"/>
        <v>#DIV/0!</v>
      </c>
      <c r="K39" s="369" t="e">
        <f>(J39-J38)/J38</f>
        <v>#DIV/0!</v>
      </c>
      <c r="L39" s="404" t="e">
        <f t="shared" si="21"/>
        <v>#DIV/0!</v>
      </c>
      <c r="M39" s="312" t="e">
        <f t="shared" si="22"/>
        <v>#DIV/0!</v>
      </c>
      <c r="N39" s="454">
        <f t="shared" si="23"/>
        <v>19289.718036527836</v>
      </c>
      <c r="O39" s="312">
        <f t="shared" si="24"/>
        <v>3.6107911071399959E-4</v>
      </c>
      <c r="P39" s="404" t="e">
        <f t="shared" si="25"/>
        <v>#DIV/0!</v>
      </c>
      <c r="Q39" s="312" t="e">
        <f t="shared" si="33"/>
        <v>#DIV/0!</v>
      </c>
      <c r="R39" s="454" t="e">
        <f t="shared" si="26"/>
        <v>#DIV/0!</v>
      </c>
      <c r="S39" s="312" t="e">
        <f t="shared" si="27"/>
        <v>#DIV/0!</v>
      </c>
      <c r="T39" s="454" t="e">
        <f t="shared" si="28"/>
        <v>#DIV/0!</v>
      </c>
      <c r="U39" s="312" t="e">
        <f t="shared" si="29"/>
        <v>#DIV/0!</v>
      </c>
      <c r="V39" s="454">
        <f t="shared" si="30"/>
        <v>0</v>
      </c>
      <c r="W39" s="312">
        <f>(V39-(399.77+264.983+391.15+390.7+774.22))/(399.77+264.98+391.15+390.7+774.22)</f>
        <v>-1.0000013508523877</v>
      </c>
      <c r="X39" s="454">
        <f t="shared" si="31"/>
        <v>0</v>
      </c>
      <c r="Y39" s="312">
        <f t="shared" si="9"/>
        <v>-1</v>
      </c>
      <c r="Z39" s="674">
        <f t="shared" si="10"/>
        <v>0</v>
      </c>
      <c r="AA39" s="297"/>
      <c r="AB39" s="379">
        <f t="shared" si="10"/>
        <v>0</v>
      </c>
      <c r="AC39" s="297"/>
      <c r="AD39" s="413">
        <f t="shared" si="11"/>
        <v>0</v>
      </c>
      <c r="AE39" s="297"/>
      <c r="AG39" s="400" t="e">
        <f t="shared" si="12"/>
        <v>#DIV/0!</v>
      </c>
      <c r="AH39" s="401">
        <f t="shared" si="13"/>
        <v>0</v>
      </c>
      <c r="AI39" s="407">
        <f t="shared" si="14"/>
        <v>0</v>
      </c>
      <c r="AJ39" s="498"/>
      <c r="AK39" s="502">
        <f t="shared" si="15"/>
        <v>0</v>
      </c>
      <c r="AL39" s="503" t="e">
        <f t="shared" si="16"/>
        <v>#DIV/0!</v>
      </c>
      <c r="AM39" s="504" t="e">
        <f>AG39-AK39-AO39</f>
        <v>#DIV/0!</v>
      </c>
      <c r="AN39" s="503" t="e">
        <f t="shared" si="17"/>
        <v>#DIV/0!</v>
      </c>
      <c r="AO39" s="502">
        <f t="shared" si="18"/>
        <v>0</v>
      </c>
      <c r="AP39" s="503" t="e">
        <f t="shared" si="19"/>
        <v>#DIV/0!</v>
      </c>
      <c r="AQ39" s="402"/>
      <c r="AR39" s="110">
        <v>45505</v>
      </c>
      <c r="AS39" s="98">
        <f t="shared" si="41"/>
        <v>0</v>
      </c>
      <c r="AT39" s="98">
        <f t="shared" si="42"/>
        <v>0</v>
      </c>
      <c r="AU39" s="98"/>
      <c r="AV39" s="308"/>
      <c r="AW39" s="458"/>
      <c r="AX39" s="480"/>
      <c r="AY39" s="403"/>
      <c r="AZ39" s="403"/>
      <c r="BA39" s="403"/>
      <c r="BB39" s="403"/>
      <c r="BD39" s="680"/>
      <c r="BE39" s="678"/>
      <c r="BF39" s="679"/>
      <c r="BG39" s="376"/>
      <c r="BH39" s="681"/>
      <c r="BI39" s="376"/>
      <c r="BJ39" s="376"/>
    </row>
    <row r="40" spans="1:71">
      <c r="A40" s="295">
        <v>45345</v>
      </c>
      <c r="B40" s="398">
        <f t="shared" si="0"/>
        <v>214164.69404586661</v>
      </c>
      <c r="C40" s="312">
        <f t="shared" si="1"/>
        <v>4.112230468171148E-4</v>
      </c>
      <c r="D40" s="398">
        <f t="shared" si="2"/>
        <v>113828.92505427211</v>
      </c>
      <c r="E40" s="312">
        <f t="shared" si="3"/>
        <v>4.1113816114618002E-4</v>
      </c>
      <c r="F40" s="398">
        <f t="shared" si="4"/>
        <v>23069.193377717238</v>
      </c>
      <c r="G40" s="312">
        <f t="shared" si="5"/>
        <v>4.1139763193616998E-4</v>
      </c>
      <c r="H40" s="398">
        <v>0</v>
      </c>
      <c r="I40" s="312">
        <f t="shared" si="6"/>
        <v>0</v>
      </c>
      <c r="J40" s="457" t="e">
        <f t="shared" si="20"/>
        <v>#DIV/0!</v>
      </c>
      <c r="K40" s="369" t="e">
        <f>(J40-510-1115-J39)/J39</f>
        <v>#DIV/0!</v>
      </c>
      <c r="L40" s="404" t="e">
        <f t="shared" si="21"/>
        <v>#DIV/0!</v>
      </c>
      <c r="M40" s="312" t="e">
        <f t="shared" si="22"/>
        <v>#DIV/0!</v>
      </c>
      <c r="N40" s="454">
        <f t="shared" si="23"/>
        <v>19296.68315076239</v>
      </c>
      <c r="O40" s="312">
        <f t="shared" si="24"/>
        <v>3.6107911071402534E-4</v>
      </c>
      <c r="P40" s="404" t="e">
        <f t="shared" si="25"/>
        <v>#DIV/0!</v>
      </c>
      <c r="Q40" s="312" t="e">
        <f t="shared" si="33"/>
        <v>#DIV/0!</v>
      </c>
      <c r="R40" s="454" t="e">
        <f t="shared" si="26"/>
        <v>#DIV/0!</v>
      </c>
      <c r="S40" s="312" t="e">
        <f t="shared" si="27"/>
        <v>#DIV/0!</v>
      </c>
      <c r="T40" s="454" t="e">
        <f t="shared" si="28"/>
        <v>#DIV/0!</v>
      </c>
      <c r="U40" s="312" t="e">
        <f t="shared" si="29"/>
        <v>#DIV/0!</v>
      </c>
      <c r="V40" s="454">
        <f t="shared" si="30"/>
        <v>0</v>
      </c>
      <c r="W40" s="312">
        <f>(V40-(399.77+264.983+391.15+390.7+774.22+382.15))/(399.77+264.98+391.15+390.7+774.22+382.15)</f>
        <v>-1.0000011525296102</v>
      </c>
      <c r="X40" s="454">
        <f t="shared" si="31"/>
        <v>0</v>
      </c>
      <c r="Y40" s="312">
        <f t="shared" si="9"/>
        <v>-1</v>
      </c>
      <c r="Z40" s="674">
        <f t="shared" si="10"/>
        <v>0</v>
      </c>
      <c r="AA40" s="329"/>
      <c r="AB40" s="379">
        <f t="shared" si="10"/>
        <v>0</v>
      </c>
      <c r="AC40" s="329"/>
      <c r="AD40" s="413">
        <f t="shared" si="11"/>
        <v>0</v>
      </c>
      <c r="AE40" s="329"/>
      <c r="AG40" s="400" t="e">
        <f t="shared" si="12"/>
        <v>#DIV/0!</v>
      </c>
      <c r="AH40" s="401">
        <f t="shared" si="13"/>
        <v>0</v>
      </c>
      <c r="AI40" s="407">
        <f t="shared" si="14"/>
        <v>0</v>
      </c>
      <c r="AJ40" s="498"/>
      <c r="AK40" s="502">
        <f t="shared" si="15"/>
        <v>0</v>
      </c>
      <c r="AL40" s="503" t="e">
        <f t="shared" si="16"/>
        <v>#DIV/0!</v>
      </c>
      <c r="AM40" s="504" t="e">
        <f>AG40-AK40-AO40</f>
        <v>#DIV/0!</v>
      </c>
      <c r="AN40" s="503" t="e">
        <f t="shared" si="17"/>
        <v>#DIV/0!</v>
      </c>
      <c r="AO40" s="502">
        <f t="shared" si="18"/>
        <v>0</v>
      </c>
      <c r="AP40" s="503" t="e">
        <f t="shared" si="19"/>
        <v>#DIV/0!</v>
      </c>
      <c r="AQ40" s="402"/>
      <c r="AR40" s="110">
        <v>45536</v>
      </c>
      <c r="AS40" s="98">
        <f t="shared" si="41"/>
        <v>0</v>
      </c>
      <c r="AT40" s="98">
        <f t="shared" si="42"/>
        <v>0</v>
      </c>
      <c r="AU40" s="98"/>
      <c r="AV40" s="308"/>
      <c r="AW40" s="308"/>
      <c r="AX40" s="308"/>
      <c r="AY40" s="403"/>
      <c r="AZ40" s="403"/>
      <c r="BA40" s="403"/>
      <c r="BB40" s="403"/>
      <c r="BD40" s="680"/>
      <c r="BE40" s="678"/>
      <c r="BF40" s="679"/>
      <c r="BG40" s="376"/>
      <c r="BH40" s="681"/>
      <c r="BI40" s="376"/>
      <c r="BJ40" s="376"/>
    </row>
    <row r="41" spans="1:71">
      <c r="A41" s="295">
        <v>45348</v>
      </c>
      <c r="B41" s="398">
        <f t="shared" si="0"/>
        <v>214252.76350387279</v>
      </c>
      <c r="C41" s="312">
        <f t="shared" si="1"/>
        <v>4.1122304681705046E-4</v>
      </c>
      <c r="D41" s="398">
        <f t="shared" si="2"/>
        <v>113875.72446920417</v>
      </c>
      <c r="E41" s="312">
        <f t="shared" si="3"/>
        <v>4.1113816114616815E-4</v>
      </c>
      <c r="F41" s="398">
        <f t="shared" si="4"/>
        <v>23078.683989243509</v>
      </c>
      <c r="G41" s="312">
        <f t="shared" si="5"/>
        <v>4.1139763193619812E-4</v>
      </c>
      <c r="H41" s="398">
        <v>0</v>
      </c>
      <c r="I41" s="312">
        <f t="shared" si="6"/>
        <v>0</v>
      </c>
      <c r="J41" s="457" t="e">
        <f t="shared" si="20"/>
        <v>#DIV/0!</v>
      </c>
      <c r="K41" s="369" t="e">
        <f>(J41-1010-2980-16-J40)/J40</f>
        <v>#DIV/0!</v>
      </c>
      <c r="L41" s="404" t="e">
        <f t="shared" si="21"/>
        <v>#DIV/0!</v>
      </c>
      <c r="M41" s="312" t="e">
        <f t="shared" si="22"/>
        <v>#DIV/0!</v>
      </c>
      <c r="N41" s="454">
        <f t="shared" si="23"/>
        <v>19303.650779954198</v>
      </c>
      <c r="O41" s="312">
        <f t="shared" si="24"/>
        <v>3.6107911071402767E-4</v>
      </c>
      <c r="P41" s="404" t="e">
        <f t="shared" si="25"/>
        <v>#DIV/0!</v>
      </c>
      <c r="Q41" s="312" t="e">
        <f t="shared" si="33"/>
        <v>#DIV/0!</v>
      </c>
      <c r="R41" s="454" t="e">
        <f t="shared" si="26"/>
        <v>#DIV/0!</v>
      </c>
      <c r="S41" s="312" t="e">
        <f t="shared" si="27"/>
        <v>#DIV/0!</v>
      </c>
      <c r="T41" s="454" t="e">
        <f t="shared" si="28"/>
        <v>#DIV/0!</v>
      </c>
      <c r="U41" s="312" t="e">
        <f t="shared" si="29"/>
        <v>#DIV/0!</v>
      </c>
      <c r="V41" s="454">
        <f t="shared" si="30"/>
        <v>0</v>
      </c>
      <c r="W41" s="312">
        <f>(V41-(399.77+264.983+391.15+390.7+774.22+382.15))/(399.77+264.98+391.15+390.7+774.22+382.15)</f>
        <v>-1.0000011525296102</v>
      </c>
      <c r="X41" s="454">
        <f t="shared" si="31"/>
        <v>0</v>
      </c>
      <c r="Y41" s="312">
        <f t="shared" si="9"/>
        <v>-1</v>
      </c>
      <c r="Z41" s="674">
        <f t="shared" si="10"/>
        <v>0</v>
      </c>
      <c r="AA41" s="297"/>
      <c r="AB41" s="379">
        <f t="shared" si="10"/>
        <v>0</v>
      </c>
      <c r="AC41" s="297"/>
      <c r="AD41" s="413">
        <f t="shared" si="11"/>
        <v>0</v>
      </c>
      <c r="AE41" s="297"/>
      <c r="AG41" s="400" t="e">
        <f t="shared" si="12"/>
        <v>#DIV/0!</v>
      </c>
      <c r="AH41" s="401">
        <f t="shared" si="13"/>
        <v>0</v>
      </c>
      <c r="AI41" s="407">
        <f t="shared" si="14"/>
        <v>0</v>
      </c>
      <c r="AJ41" s="498"/>
      <c r="AK41" s="502">
        <f t="shared" si="15"/>
        <v>0</v>
      </c>
      <c r="AL41" s="503" t="e">
        <f t="shared" si="16"/>
        <v>#DIV/0!</v>
      </c>
      <c r="AM41" s="504" t="e">
        <f>AG41-AK41-AO41</f>
        <v>#DIV/0!</v>
      </c>
      <c r="AN41" s="503" t="e">
        <f t="shared" si="17"/>
        <v>#DIV/0!</v>
      </c>
      <c r="AO41" s="502">
        <f t="shared" si="18"/>
        <v>0</v>
      </c>
      <c r="AP41" s="503" t="e">
        <f t="shared" si="19"/>
        <v>#DIV/0!</v>
      </c>
      <c r="AQ41" s="402"/>
      <c r="AR41" s="110">
        <v>45566</v>
      </c>
      <c r="AS41" s="98">
        <f t="shared" si="41"/>
        <v>0</v>
      </c>
      <c r="AT41" s="98">
        <f t="shared" si="42"/>
        <v>0</v>
      </c>
      <c r="AU41" s="98"/>
      <c r="AV41" s="308"/>
      <c r="AW41" s="496"/>
      <c r="AX41" s="308"/>
      <c r="AY41" s="403"/>
      <c r="AZ41" s="403"/>
      <c r="BA41" s="403"/>
      <c r="BB41" s="403"/>
      <c r="BD41" s="680"/>
      <c r="BE41" s="678"/>
      <c r="BF41" s="679"/>
      <c r="BG41" s="376"/>
      <c r="BH41" s="681"/>
      <c r="BI41" s="376"/>
      <c r="BJ41" s="376"/>
    </row>
    <row r="42" spans="1:71">
      <c r="A42" s="295">
        <v>45349</v>
      </c>
      <c r="B42" s="398">
        <f t="shared" si="0"/>
        <v>214340.86917806981</v>
      </c>
      <c r="C42" s="312">
        <f t="shared" si="1"/>
        <v>4.112230468169976E-4</v>
      </c>
      <c r="D42" s="398">
        <f t="shared" si="2"/>
        <v>113922.54312516162</v>
      </c>
      <c r="E42" s="312">
        <f t="shared" si="3"/>
        <v>4.1113816114614175E-4</v>
      </c>
      <c r="F42" s="398">
        <f t="shared" si="4"/>
        <v>23088.178505184889</v>
      </c>
      <c r="G42" s="312">
        <f t="shared" si="5"/>
        <v>4.1139763193626127E-4</v>
      </c>
      <c r="H42" s="398">
        <v>0</v>
      </c>
      <c r="I42" s="312">
        <f t="shared" si="6"/>
        <v>0</v>
      </c>
      <c r="J42" s="457" t="e">
        <f t="shared" si="20"/>
        <v>#DIV/0!</v>
      </c>
      <c r="K42" s="369" t="e">
        <f>(J42-250-J41)/J41</f>
        <v>#DIV/0!</v>
      </c>
      <c r="L42" s="404" t="e">
        <f t="shared" si="21"/>
        <v>#DIV/0!</v>
      </c>
      <c r="M42" s="312" t="e">
        <f t="shared" si="22"/>
        <v>#DIV/0!</v>
      </c>
      <c r="N42" s="454">
        <f t="shared" si="23"/>
        <v>19310.620925011357</v>
      </c>
      <c r="O42" s="312">
        <f t="shared" si="24"/>
        <v>3.6107911071398804E-4</v>
      </c>
      <c r="P42" s="404" t="e">
        <f t="shared" si="25"/>
        <v>#DIV/0!</v>
      </c>
      <c r="Q42" s="312" t="e">
        <f t="shared" si="33"/>
        <v>#DIV/0!</v>
      </c>
      <c r="R42" s="454" t="e">
        <f t="shared" si="26"/>
        <v>#DIV/0!</v>
      </c>
      <c r="S42" s="312" t="e">
        <f t="shared" si="27"/>
        <v>#DIV/0!</v>
      </c>
      <c r="T42" s="454" t="e">
        <f t="shared" si="28"/>
        <v>#DIV/0!</v>
      </c>
      <c r="U42" s="312" t="e">
        <f t="shared" si="29"/>
        <v>#DIV/0!</v>
      </c>
      <c r="V42" s="454">
        <f t="shared" si="30"/>
        <v>0</v>
      </c>
      <c r="W42" s="312">
        <f>(V42-(399.77+264.983+391.15+390.7+774.22+382.15))/(399.77+264.98+391.15+390.7+774.22+382.15)</f>
        <v>-1.0000011525296102</v>
      </c>
      <c r="X42" s="454">
        <f t="shared" si="31"/>
        <v>0</v>
      </c>
      <c r="Y42" s="312">
        <f t="shared" si="9"/>
        <v>-1</v>
      </c>
      <c r="Z42" s="674">
        <f t="shared" si="10"/>
        <v>0</v>
      </c>
      <c r="AA42" s="329"/>
      <c r="AB42" s="379">
        <f t="shared" si="10"/>
        <v>0</v>
      </c>
      <c r="AC42" s="329"/>
      <c r="AD42" s="413">
        <f t="shared" si="11"/>
        <v>0</v>
      </c>
      <c r="AE42" s="329"/>
      <c r="AG42" s="400" t="e">
        <f t="shared" si="12"/>
        <v>#DIV/0!</v>
      </c>
      <c r="AH42" s="401">
        <f t="shared" si="13"/>
        <v>0</v>
      </c>
      <c r="AI42" s="407">
        <f t="shared" si="14"/>
        <v>0</v>
      </c>
      <c r="AJ42" s="498"/>
      <c r="AK42" s="502">
        <f t="shared" si="15"/>
        <v>0</v>
      </c>
      <c r="AL42" s="503" t="e">
        <f t="shared" si="16"/>
        <v>#DIV/0!</v>
      </c>
      <c r="AM42" s="504" t="e">
        <f>AG42-AK42-AO42</f>
        <v>#DIV/0!</v>
      </c>
      <c r="AN42" s="503" t="e">
        <f t="shared" si="17"/>
        <v>#DIV/0!</v>
      </c>
      <c r="AO42" s="502">
        <f t="shared" si="18"/>
        <v>0</v>
      </c>
      <c r="AP42" s="503" t="e">
        <f t="shared" si="19"/>
        <v>#DIV/0!</v>
      </c>
      <c r="AQ42" s="402"/>
      <c r="AR42" s="110">
        <v>45597</v>
      </c>
      <c r="AS42" s="98">
        <f t="shared" si="41"/>
        <v>0</v>
      </c>
      <c r="AT42" s="98">
        <f t="shared" si="42"/>
        <v>0</v>
      </c>
      <c r="AU42" s="98"/>
      <c r="AV42" s="496"/>
      <c r="AW42" s="308"/>
      <c r="AX42" s="308"/>
      <c r="AY42" s="403"/>
      <c r="AZ42" s="403"/>
      <c r="BA42" s="403"/>
      <c r="BB42" s="403"/>
      <c r="BD42" s="680"/>
      <c r="BE42" s="678"/>
      <c r="BF42" s="679"/>
      <c r="BG42" s="376"/>
      <c r="BH42" s="681"/>
      <c r="BI42" s="376"/>
      <c r="BJ42" s="376"/>
    </row>
    <row r="43" spans="1:71">
      <c r="A43" s="295">
        <v>45350</v>
      </c>
      <c r="B43" s="398">
        <f t="shared" si="0"/>
        <v>214429.01108335063</v>
      </c>
      <c r="C43" s="312">
        <f t="shared" si="1"/>
        <v>4.1122304681704552E-4</v>
      </c>
      <c r="D43" s="398">
        <f t="shared" si="2"/>
        <v>113969.3810300552</v>
      </c>
      <c r="E43" s="312">
        <f t="shared" si="3"/>
        <v>4.1113816114617601E-4</v>
      </c>
      <c r="F43" s="398">
        <f t="shared" si="4"/>
        <v>23097.676927147644</v>
      </c>
      <c r="G43" s="312">
        <f t="shared" si="5"/>
        <v>4.1139763193626968E-4</v>
      </c>
      <c r="H43" s="398">
        <v>0</v>
      </c>
      <c r="I43" s="312">
        <f t="shared" si="6"/>
        <v>0</v>
      </c>
      <c r="J43" s="457" t="e">
        <f t="shared" si="20"/>
        <v>#DIV/0!</v>
      </c>
      <c r="K43" s="369" t="e">
        <f>(J43-J42)/J42</f>
        <v>#DIV/0!</v>
      </c>
      <c r="L43" s="404" t="e">
        <f t="shared" si="21"/>
        <v>#DIV/0!</v>
      </c>
      <c r="M43" s="312" t="e">
        <f t="shared" si="22"/>
        <v>#DIV/0!</v>
      </c>
      <c r="N43" s="454">
        <f t="shared" si="23"/>
        <v>19317.593586842297</v>
      </c>
      <c r="O43" s="312">
        <f t="shared" si="24"/>
        <v>3.6107911071407012E-4</v>
      </c>
      <c r="P43" s="404" t="e">
        <f t="shared" si="25"/>
        <v>#DIV/0!</v>
      </c>
      <c r="Q43" s="312" t="e">
        <f t="shared" si="33"/>
        <v>#DIV/0!</v>
      </c>
      <c r="R43" s="454" t="e">
        <f t="shared" si="26"/>
        <v>#DIV/0!</v>
      </c>
      <c r="S43" s="312" t="e">
        <f t="shared" si="27"/>
        <v>#DIV/0!</v>
      </c>
      <c r="T43" s="454" t="e">
        <f t="shared" si="28"/>
        <v>#DIV/0!</v>
      </c>
      <c r="U43" s="312" t="e">
        <f t="shared" si="29"/>
        <v>#DIV/0!</v>
      </c>
      <c r="V43" s="454">
        <f t="shared" si="30"/>
        <v>0</v>
      </c>
      <c r="W43" s="312">
        <f>(V43-(399.77+264.983+391.15+390.7+774.22+382.15))/(399.77+264.98+391.15+390.7+774.22+382.15)</f>
        <v>-1.0000011525296102</v>
      </c>
      <c r="X43" s="454">
        <f t="shared" si="31"/>
        <v>0</v>
      </c>
      <c r="Y43" s="312">
        <f t="shared" si="9"/>
        <v>-1</v>
      </c>
      <c r="Z43" s="674">
        <f t="shared" si="10"/>
        <v>0</v>
      </c>
      <c r="AA43" s="297"/>
      <c r="AB43" s="379">
        <f t="shared" si="10"/>
        <v>0</v>
      </c>
      <c r="AC43" s="297"/>
      <c r="AD43" s="413">
        <f t="shared" si="11"/>
        <v>0</v>
      </c>
      <c r="AE43" s="297"/>
      <c r="AG43" s="400" t="e">
        <f t="shared" si="12"/>
        <v>#DIV/0!</v>
      </c>
      <c r="AH43" s="401">
        <f t="shared" si="13"/>
        <v>0</v>
      </c>
      <c r="AI43" s="407">
        <f t="shared" si="14"/>
        <v>0</v>
      </c>
      <c r="AJ43" s="498"/>
      <c r="AK43" s="502">
        <f t="shared" si="15"/>
        <v>0</v>
      </c>
      <c r="AL43" s="503" t="e">
        <f t="shared" si="16"/>
        <v>#DIV/0!</v>
      </c>
      <c r="AM43" s="504" t="e">
        <f>AG43-AK43-AO43</f>
        <v>#DIV/0!</v>
      </c>
      <c r="AN43" s="503" t="e">
        <f t="shared" si="17"/>
        <v>#DIV/0!</v>
      </c>
      <c r="AO43" s="502">
        <f t="shared" si="18"/>
        <v>0</v>
      </c>
      <c r="AP43" s="503" t="e">
        <f t="shared" si="19"/>
        <v>#DIV/0!</v>
      </c>
      <c r="AQ43" s="402"/>
      <c r="AR43" s="110">
        <v>45627</v>
      </c>
      <c r="AS43" s="98">
        <f t="shared" si="41"/>
        <v>0</v>
      </c>
      <c r="AT43" s="98">
        <f t="shared" si="42"/>
        <v>0</v>
      </c>
      <c r="AU43" s="98"/>
      <c r="AV43" s="308"/>
      <c r="AW43" s="308"/>
      <c r="AX43" s="308"/>
      <c r="AY43" s="403"/>
      <c r="AZ43" s="403"/>
      <c r="BA43" s="403"/>
      <c r="BB43" s="403"/>
      <c r="BD43" s="680"/>
      <c r="BE43" s="678"/>
      <c r="BF43" s="679"/>
      <c r="BG43" s="376"/>
      <c r="BH43" s="681"/>
      <c r="BI43" s="376"/>
      <c r="BJ43" s="376"/>
    </row>
    <row r="44" spans="1:71">
      <c r="A44" s="295">
        <v>45351</v>
      </c>
      <c r="B44" s="398">
        <v>214517.04</v>
      </c>
      <c r="C44" s="312">
        <f t="shared" si="1"/>
        <v>4.1052708402016175E-4</v>
      </c>
      <c r="D44" s="398">
        <v>114016.31</v>
      </c>
      <c r="E44" s="312">
        <f t="shared" si="3"/>
        <v>4.1176822687509707E-4</v>
      </c>
      <c r="F44" s="398">
        <v>23107.1</v>
      </c>
      <c r="G44" s="312">
        <f t="shared" si="5"/>
        <v>4.0796625920761138E-4</v>
      </c>
      <c r="H44" s="398">
        <v>0</v>
      </c>
      <c r="I44" s="312">
        <f t="shared" si="6"/>
        <v>0</v>
      </c>
      <c r="J44" s="457" t="e">
        <f t="shared" si="20"/>
        <v>#DIV/0!</v>
      </c>
      <c r="K44" s="369" t="e">
        <f>(J44-J43)/J43</f>
        <v>#DIV/0!</v>
      </c>
      <c r="L44" s="404" t="e">
        <f t="shared" si="21"/>
        <v>#DIV/0!</v>
      </c>
      <c r="M44" s="312" t="e">
        <f t="shared" si="22"/>
        <v>#DIV/0!</v>
      </c>
      <c r="N44" s="454">
        <v>19324.509999999998</v>
      </c>
      <c r="O44" s="312">
        <f t="shared" si="24"/>
        <v>3.5803699496052651E-4</v>
      </c>
      <c r="P44" s="404" t="e">
        <f t="shared" si="25"/>
        <v>#DIV/0!</v>
      </c>
      <c r="Q44" s="312" t="e">
        <f t="shared" si="33"/>
        <v>#DIV/0!</v>
      </c>
      <c r="R44" s="454" t="e">
        <f t="shared" si="26"/>
        <v>#DIV/0!</v>
      </c>
      <c r="S44" s="312" t="e">
        <f t="shared" si="27"/>
        <v>#DIV/0!</v>
      </c>
      <c r="T44" s="454" t="e">
        <f t="shared" si="28"/>
        <v>#DIV/0!</v>
      </c>
      <c r="U44" s="312" t="e">
        <f t="shared" si="29"/>
        <v>#DIV/0!</v>
      </c>
      <c r="V44" s="454">
        <f t="shared" si="30"/>
        <v>0</v>
      </c>
      <c r="W44" s="312">
        <f>(V44-(399.77+264.983+391.15+390.7+774.22+382.15))/(399.77+264.98+391.15+390.7+774.22+382.15)</f>
        <v>-1.0000011525296102</v>
      </c>
      <c r="X44" s="454">
        <f t="shared" si="31"/>
        <v>0</v>
      </c>
      <c r="Y44" s="312">
        <f t="shared" si="9"/>
        <v>-1</v>
      </c>
      <c r="Z44" s="674">
        <f t="shared" si="10"/>
        <v>0</v>
      </c>
      <c r="AA44" s="329"/>
      <c r="AB44" s="379">
        <f t="shared" si="10"/>
        <v>0</v>
      </c>
      <c r="AC44" s="329"/>
      <c r="AD44" s="413">
        <f t="shared" si="11"/>
        <v>0</v>
      </c>
      <c r="AE44" s="329"/>
      <c r="AF44" s="320"/>
      <c r="AG44" s="400" t="e">
        <f t="shared" si="12"/>
        <v>#DIV/0!</v>
      </c>
      <c r="AH44" s="401">
        <f t="shared" si="13"/>
        <v>0</v>
      </c>
      <c r="AI44" s="407">
        <f t="shared" si="14"/>
        <v>0</v>
      </c>
      <c r="AJ44" s="498"/>
      <c r="AK44" s="502">
        <f t="shared" si="15"/>
        <v>0</v>
      </c>
      <c r="AL44" s="503" t="e">
        <f t="shared" si="16"/>
        <v>#DIV/0!</v>
      </c>
      <c r="AM44" s="504" t="e">
        <f>AG44-AK44-AO44</f>
        <v>#DIV/0!</v>
      </c>
      <c r="AN44" s="503" t="e">
        <f t="shared" si="17"/>
        <v>#DIV/0!</v>
      </c>
      <c r="AO44" s="502">
        <f t="shared" si="18"/>
        <v>0</v>
      </c>
      <c r="AP44" s="503" t="e">
        <f t="shared" si="19"/>
        <v>#DIV/0!</v>
      </c>
      <c r="AQ44" s="402"/>
      <c r="AR44" s="110">
        <v>45658</v>
      </c>
      <c r="AS44" s="98">
        <f t="shared" si="41"/>
        <v>0</v>
      </c>
      <c r="AT44" s="98">
        <f t="shared" si="42"/>
        <v>0</v>
      </c>
      <c r="AU44" s="98"/>
      <c r="AV44" s="308"/>
      <c r="AW44" s="308"/>
      <c r="AX44" s="308"/>
      <c r="AY44" s="403"/>
      <c r="AZ44" s="403"/>
      <c r="BA44" s="403"/>
      <c r="BB44" s="403"/>
      <c r="BD44" s="680"/>
      <c r="BE44" s="678"/>
      <c r="BF44" s="679"/>
      <c r="BG44" s="376"/>
      <c r="BH44" s="681"/>
      <c r="BI44" s="376"/>
      <c r="BJ44" s="376"/>
    </row>
    <row r="45" spans="1:71">
      <c r="A45" s="295">
        <v>45352</v>
      </c>
      <c r="B45" s="398">
        <v>214605.24</v>
      </c>
      <c r="C45" s="312">
        <f t="shared" si="1"/>
        <v>4.111561487142585E-4</v>
      </c>
      <c r="D45" s="398">
        <v>114063.19</v>
      </c>
      <c r="E45" s="312">
        <f t="shared" si="3"/>
        <v>4.1116924411958833E-4</v>
      </c>
      <c r="F45" s="398">
        <v>23116.6</v>
      </c>
      <c r="G45" s="312">
        <f t="shared" si="5"/>
        <v>4.1112904691631582E-4</v>
      </c>
      <c r="H45" s="398">
        <v>0</v>
      </c>
      <c r="I45" s="312">
        <f t="shared" si="6"/>
        <v>0</v>
      </c>
      <c r="J45" s="457" t="e">
        <f t="shared" si="20"/>
        <v>#DIV/0!</v>
      </c>
      <c r="K45" s="369" t="e">
        <f>(J45-12780-J44)/J44</f>
        <v>#DIV/0!</v>
      </c>
      <c r="L45" s="404" t="e">
        <f t="shared" si="21"/>
        <v>#DIV/0!</v>
      </c>
      <c r="M45" s="312" t="e">
        <f t="shared" si="22"/>
        <v>#DIV/0!</v>
      </c>
      <c r="N45" s="454">
        <v>19331.490000000002</v>
      </c>
      <c r="O45" s="312">
        <f t="shared" si="24"/>
        <v>3.611993266583837E-4</v>
      </c>
      <c r="P45" s="404" t="e">
        <f t="shared" si="25"/>
        <v>#DIV/0!</v>
      </c>
      <c r="Q45" s="312" t="e">
        <f t="shared" si="33"/>
        <v>#DIV/0!</v>
      </c>
      <c r="R45" s="454" t="e">
        <f t="shared" si="26"/>
        <v>#DIV/0!</v>
      </c>
      <c r="S45" s="312" t="e">
        <f t="shared" si="27"/>
        <v>#DIV/0!</v>
      </c>
      <c r="T45" s="454" t="e">
        <f t="shared" si="28"/>
        <v>#DIV/0!</v>
      </c>
      <c r="U45" s="312" t="e">
        <f t="shared" si="29"/>
        <v>#DIV/0!</v>
      </c>
      <c r="V45" s="454">
        <f t="shared" si="30"/>
        <v>0</v>
      </c>
      <c r="W45" s="312">
        <f>(V45-(399.77+264.983+391.15+390.7+774.22+382.15+331.69))/(399.77+264.98+391.15+390.7+774.22+382.15+331.69)</f>
        <v>-1.00000102226493</v>
      </c>
      <c r="X45" s="454">
        <f t="shared" si="31"/>
        <v>0</v>
      </c>
      <c r="Y45" s="312">
        <f t="shared" si="9"/>
        <v>-1</v>
      </c>
      <c r="Z45" s="674">
        <f t="shared" si="10"/>
        <v>0</v>
      </c>
      <c r="AA45" s="297"/>
      <c r="AB45" s="379">
        <f t="shared" si="10"/>
        <v>0</v>
      </c>
      <c r="AC45" s="297"/>
      <c r="AD45" s="413">
        <f t="shared" si="11"/>
        <v>0</v>
      </c>
      <c r="AE45" s="297"/>
      <c r="AG45" s="400" t="e">
        <f t="shared" si="12"/>
        <v>#DIV/0!</v>
      </c>
      <c r="AH45" s="401">
        <f t="shared" si="13"/>
        <v>0</v>
      </c>
      <c r="AI45" s="407">
        <f t="shared" si="14"/>
        <v>0</v>
      </c>
      <c r="AJ45" s="498"/>
      <c r="AK45" s="502">
        <f t="shared" si="15"/>
        <v>0</v>
      </c>
      <c r="AL45" s="503" t="e">
        <f t="shared" si="16"/>
        <v>#DIV/0!</v>
      </c>
      <c r="AM45" s="504" t="e">
        <f>AG45-AK45-AO45</f>
        <v>#DIV/0!</v>
      </c>
      <c r="AN45" s="503" t="e">
        <f t="shared" si="17"/>
        <v>#DIV/0!</v>
      </c>
      <c r="AO45" s="502">
        <f t="shared" si="18"/>
        <v>0</v>
      </c>
      <c r="AP45" s="503" t="e">
        <f t="shared" si="19"/>
        <v>#DIV/0!</v>
      </c>
      <c r="AQ45" s="402"/>
      <c r="AR45" s="110">
        <v>45689</v>
      </c>
      <c r="AS45" s="98">
        <f t="shared" si="41"/>
        <v>0</v>
      </c>
      <c r="AT45" s="98">
        <f t="shared" si="42"/>
        <v>0</v>
      </c>
      <c r="AU45" s="98"/>
      <c r="AV45" s="308"/>
      <c r="AW45" s="308"/>
      <c r="AX45" s="308"/>
      <c r="AY45" s="403"/>
      <c r="AZ45" s="403"/>
      <c r="BA45" s="403"/>
      <c r="BB45" s="403"/>
      <c r="BD45" s="680"/>
      <c r="BE45" s="678"/>
      <c r="BF45" s="679"/>
      <c r="BG45" s="376"/>
      <c r="BH45" s="681"/>
      <c r="BI45" s="376"/>
      <c r="BJ45" s="376"/>
    </row>
    <row r="46" spans="1:71">
      <c r="A46" s="295">
        <v>45355</v>
      </c>
      <c r="B46" s="398">
        <f t="shared" si="0"/>
        <v>214693.47626397229</v>
      </c>
      <c r="C46" s="312">
        <f t="shared" si="1"/>
        <v>4.1115614871426088E-4</v>
      </c>
      <c r="D46" s="398">
        <f t="shared" si="2"/>
        <v>114110.08927561417</v>
      </c>
      <c r="E46" s="312">
        <f t="shared" si="3"/>
        <v>4.1116924411957077E-4</v>
      </c>
      <c r="F46" s="398">
        <f t="shared" si="4"/>
        <v>23126.103905725944</v>
      </c>
      <c r="G46" s="312">
        <f t="shared" si="5"/>
        <v>4.1112904691630758E-4</v>
      </c>
      <c r="H46" s="398">
        <v>0</v>
      </c>
      <c r="I46" s="312">
        <f t="shared" si="6"/>
        <v>0</v>
      </c>
      <c r="J46" s="457" t="e">
        <f t="shared" si="20"/>
        <v>#DIV/0!</v>
      </c>
      <c r="K46" s="369" t="e">
        <f>(J46-948-500-J45)/J45</f>
        <v>#DIV/0!</v>
      </c>
      <c r="L46" s="404" t="e">
        <f t="shared" si="21"/>
        <v>#DIV/0!</v>
      </c>
      <c r="M46" s="312" t="e">
        <f>(L46+7.39-L45)/L45</f>
        <v>#DIV/0!</v>
      </c>
      <c r="N46" s="454">
        <f t="shared" si="23"/>
        <v>19338.472521171305</v>
      </c>
      <c r="O46" s="312">
        <f t="shared" si="24"/>
        <v>3.6119932665838137E-4</v>
      </c>
      <c r="P46" s="404" t="e">
        <f t="shared" si="25"/>
        <v>#DIV/0!</v>
      </c>
      <c r="Q46" s="312" t="e">
        <f t="shared" si="33"/>
        <v>#DIV/0!</v>
      </c>
      <c r="R46" s="454" t="e">
        <f t="shared" si="26"/>
        <v>#DIV/0!</v>
      </c>
      <c r="S46" s="312" t="e">
        <f t="shared" si="27"/>
        <v>#DIV/0!</v>
      </c>
      <c r="T46" s="454" t="e">
        <f t="shared" si="28"/>
        <v>#DIV/0!</v>
      </c>
      <c r="U46" s="312" t="e">
        <f t="shared" si="29"/>
        <v>#DIV/0!</v>
      </c>
      <c r="V46" s="454">
        <f t="shared" si="30"/>
        <v>0</v>
      </c>
      <c r="W46" s="312">
        <f t="shared" ref="W46:W57" si="43">(V46-(399.77+264.983+391.15+390.7+774.22+382.15+331.69))/(399.77+264.98+391.15+390.7+774.22+382.15+331.69)</f>
        <v>-1.00000102226493</v>
      </c>
      <c r="X46" s="454">
        <f t="shared" si="31"/>
        <v>0</v>
      </c>
      <c r="Y46" s="312">
        <f t="shared" si="9"/>
        <v>-1</v>
      </c>
      <c r="Z46" s="674">
        <f t="shared" si="10"/>
        <v>0</v>
      </c>
      <c r="AA46" s="329"/>
      <c r="AB46" s="379">
        <f t="shared" si="10"/>
        <v>0</v>
      </c>
      <c r="AC46" s="329"/>
      <c r="AD46" s="413">
        <f t="shared" si="11"/>
        <v>0</v>
      </c>
      <c r="AE46" s="329"/>
      <c r="AG46" s="400" t="e">
        <f t="shared" si="12"/>
        <v>#DIV/0!</v>
      </c>
      <c r="AH46" s="401">
        <f t="shared" si="13"/>
        <v>0</v>
      </c>
      <c r="AI46" s="407">
        <f t="shared" si="14"/>
        <v>0</v>
      </c>
      <c r="AJ46" s="498"/>
      <c r="AK46" s="502">
        <f t="shared" si="15"/>
        <v>0</v>
      </c>
      <c r="AL46" s="503" t="e">
        <f t="shared" si="16"/>
        <v>#DIV/0!</v>
      </c>
      <c r="AM46" s="504" t="e">
        <f>AG46-AK46-AO46</f>
        <v>#DIV/0!</v>
      </c>
      <c r="AN46" s="503" t="e">
        <f t="shared" si="17"/>
        <v>#DIV/0!</v>
      </c>
      <c r="AO46" s="502">
        <f t="shared" si="18"/>
        <v>0</v>
      </c>
      <c r="AP46" s="503" t="e">
        <f t="shared" si="19"/>
        <v>#DIV/0!</v>
      </c>
      <c r="AQ46" s="402"/>
      <c r="AR46" s="110">
        <v>45717</v>
      </c>
      <c r="AS46" s="98">
        <f t="shared" si="41"/>
        <v>0</v>
      </c>
      <c r="AT46" s="98">
        <f t="shared" si="42"/>
        <v>0</v>
      </c>
      <c r="AU46" s="98"/>
      <c r="AV46" s="308"/>
      <c r="AW46" s="308"/>
      <c r="AX46" s="308"/>
      <c r="AY46" s="403"/>
      <c r="AZ46" s="403"/>
      <c r="BA46" s="403"/>
      <c r="BB46" s="403"/>
      <c r="BD46" s="680"/>
      <c r="BE46" s="678"/>
      <c r="BF46" s="679"/>
      <c r="BG46" s="376"/>
      <c r="BH46" s="681"/>
      <c r="BI46" s="376"/>
      <c r="BJ46" s="376"/>
    </row>
    <row r="47" spans="1:71">
      <c r="A47" s="295">
        <v>45356</v>
      </c>
      <c r="B47" s="398">
        <f t="shared" si="0"/>
        <v>214781.74880682706</v>
      </c>
      <c r="C47" s="312">
        <f t="shared" si="1"/>
        <v>4.1115614871425898E-4</v>
      </c>
      <c r="D47" s="398">
        <f t="shared" si="2"/>
        <v>114157.00783476804</v>
      </c>
      <c r="E47" s="312">
        <f t="shared" si="3"/>
        <v>4.1116924411956069E-4</v>
      </c>
      <c r="F47" s="398">
        <f t="shared" si="4"/>
        <v>23135.611718783592</v>
      </c>
      <c r="G47" s="312">
        <f t="shared" si="5"/>
        <v>4.1112904691626329E-4</v>
      </c>
      <c r="H47" s="398">
        <v>0</v>
      </c>
      <c r="I47" s="312">
        <f t="shared" si="6"/>
        <v>0</v>
      </c>
      <c r="J47" s="457" t="e">
        <f t="shared" si="20"/>
        <v>#DIV/0!</v>
      </c>
      <c r="K47" s="369" t="e">
        <f>(J47-470-502.56-J46)/J46</f>
        <v>#DIV/0!</v>
      </c>
      <c r="L47" s="404" t="e">
        <f t="shared" si="21"/>
        <v>#DIV/0!</v>
      </c>
      <c r="M47" s="312" t="e">
        <f>(L47-5+502.56+500.16-L46)/L46</f>
        <v>#DIV/0!</v>
      </c>
      <c r="N47" s="454">
        <f t="shared" si="23"/>
        <v>19345.457564424552</v>
      </c>
      <c r="O47" s="312">
        <f t="shared" si="24"/>
        <v>3.6119932665832353E-4</v>
      </c>
      <c r="P47" s="404" t="e">
        <f t="shared" si="25"/>
        <v>#DIV/0!</v>
      </c>
      <c r="Q47" s="312" t="e">
        <f t="shared" si="33"/>
        <v>#DIV/0!</v>
      </c>
      <c r="R47" s="454" t="e">
        <f t="shared" si="26"/>
        <v>#DIV/0!</v>
      </c>
      <c r="S47" s="312" t="e">
        <f t="shared" si="27"/>
        <v>#DIV/0!</v>
      </c>
      <c r="T47" s="454" t="e">
        <f t="shared" si="28"/>
        <v>#DIV/0!</v>
      </c>
      <c r="U47" s="312" t="e">
        <f t="shared" si="29"/>
        <v>#DIV/0!</v>
      </c>
      <c r="V47" s="454">
        <f t="shared" si="30"/>
        <v>0</v>
      </c>
      <c r="W47" s="312">
        <f t="shared" si="43"/>
        <v>-1.00000102226493</v>
      </c>
      <c r="X47" s="454">
        <f t="shared" si="31"/>
        <v>0</v>
      </c>
      <c r="Y47" s="312">
        <f t="shared" si="9"/>
        <v>-1</v>
      </c>
      <c r="Z47" s="674">
        <f t="shared" si="10"/>
        <v>0</v>
      </c>
      <c r="AA47" s="297"/>
      <c r="AB47" s="379">
        <f t="shared" si="10"/>
        <v>0</v>
      </c>
      <c r="AC47" s="297"/>
      <c r="AD47" s="413">
        <f t="shared" si="11"/>
        <v>0</v>
      </c>
      <c r="AE47" s="297"/>
      <c r="AG47" s="400" t="e">
        <f t="shared" si="12"/>
        <v>#DIV/0!</v>
      </c>
      <c r="AH47" s="401">
        <f t="shared" si="13"/>
        <v>0</v>
      </c>
      <c r="AI47" s="407">
        <f t="shared" si="14"/>
        <v>0</v>
      </c>
      <c r="AJ47" s="498"/>
      <c r="AK47" s="502">
        <f t="shared" si="15"/>
        <v>0</v>
      </c>
      <c r="AL47" s="503" t="e">
        <f t="shared" si="16"/>
        <v>#DIV/0!</v>
      </c>
      <c r="AM47" s="504" t="e">
        <f>AG47-AK47-AO47</f>
        <v>#DIV/0!</v>
      </c>
      <c r="AN47" s="503" t="e">
        <f t="shared" si="17"/>
        <v>#DIV/0!</v>
      </c>
      <c r="AO47" s="502">
        <f t="shared" si="18"/>
        <v>0</v>
      </c>
      <c r="AP47" s="503" t="e">
        <f t="shared" si="19"/>
        <v>#DIV/0!</v>
      </c>
      <c r="AQ47" s="402"/>
      <c r="AR47" s="110">
        <v>45748</v>
      </c>
      <c r="AS47" s="98">
        <f t="shared" si="41"/>
        <v>0</v>
      </c>
      <c r="AT47" s="98">
        <f t="shared" si="42"/>
        <v>0</v>
      </c>
      <c r="AU47" s="98"/>
      <c r="AV47" s="308"/>
      <c r="AW47" s="308"/>
      <c r="AX47" s="308"/>
      <c r="AY47" s="403"/>
      <c r="AZ47" s="403"/>
      <c r="BA47" s="403"/>
      <c r="BB47" s="403"/>
      <c r="BD47" s="680"/>
      <c r="BE47" s="678"/>
      <c r="BF47" s="679"/>
      <c r="BG47" s="376"/>
      <c r="BH47" s="681"/>
      <c r="BI47" s="376"/>
      <c r="BJ47" s="376"/>
    </row>
    <row r="48" spans="1:71">
      <c r="A48" s="295">
        <v>45357</v>
      </c>
      <c r="B48" s="398">
        <f t="shared" si="0"/>
        <v>214870.0576434806</v>
      </c>
      <c r="C48" s="312">
        <f t="shared" si="1"/>
        <v>4.111561487143017E-4</v>
      </c>
      <c r="D48" s="398">
        <f t="shared" si="2"/>
        <v>114203.94568539041</v>
      </c>
      <c r="E48" s="312">
        <f t="shared" si="3"/>
        <v>4.1116924411956589E-4</v>
      </c>
      <c r="F48" s="398">
        <f t="shared" si="4"/>
        <v>23145.12344077936</v>
      </c>
      <c r="G48" s="312">
        <f t="shared" si="5"/>
        <v>4.1112904691626681E-4</v>
      </c>
      <c r="H48" s="398">
        <v>0</v>
      </c>
      <c r="I48" s="312">
        <f t="shared" si="6"/>
        <v>0</v>
      </c>
      <c r="J48" s="457" t="e">
        <f t="shared" si="20"/>
        <v>#DIV/0!</v>
      </c>
      <c r="K48" s="369" t="e">
        <f>(J48-J47)/J47</f>
        <v>#DIV/0!</v>
      </c>
      <c r="L48" s="404" t="e">
        <f t="shared" si="21"/>
        <v>#DIV/0!</v>
      </c>
      <c r="M48" s="312" t="e">
        <f t="shared" si="22"/>
        <v>#DIV/0!</v>
      </c>
      <c r="N48" s="454">
        <f t="shared" si="23"/>
        <v>19352.44513067072</v>
      </c>
      <c r="O48" s="312">
        <f t="shared" si="24"/>
        <v>3.6119932665832055E-4</v>
      </c>
      <c r="P48" s="404" t="e">
        <f t="shared" si="25"/>
        <v>#DIV/0!</v>
      </c>
      <c r="Q48" s="312" t="e">
        <f t="shared" si="33"/>
        <v>#DIV/0!</v>
      </c>
      <c r="R48" s="454" t="e">
        <f t="shared" si="26"/>
        <v>#DIV/0!</v>
      </c>
      <c r="S48" s="312" t="e">
        <f t="shared" si="27"/>
        <v>#DIV/0!</v>
      </c>
      <c r="T48" s="454" t="e">
        <f t="shared" si="28"/>
        <v>#DIV/0!</v>
      </c>
      <c r="U48" s="312" t="e">
        <f t="shared" si="29"/>
        <v>#DIV/0!</v>
      </c>
      <c r="V48" s="454">
        <f t="shared" si="30"/>
        <v>0</v>
      </c>
      <c r="W48" s="312">
        <f t="shared" si="43"/>
        <v>-1.00000102226493</v>
      </c>
      <c r="X48" s="454">
        <f t="shared" si="31"/>
        <v>0</v>
      </c>
      <c r="Y48" s="312">
        <f t="shared" si="9"/>
        <v>-1</v>
      </c>
      <c r="Z48" s="674">
        <f t="shared" si="10"/>
        <v>0</v>
      </c>
      <c r="AA48" s="329"/>
      <c r="AB48" s="379">
        <f t="shared" si="10"/>
        <v>0</v>
      </c>
      <c r="AC48" s="329"/>
      <c r="AD48" s="413">
        <f t="shared" si="11"/>
        <v>0</v>
      </c>
      <c r="AE48" s="329"/>
      <c r="AG48" s="400" t="e">
        <f t="shared" si="12"/>
        <v>#DIV/0!</v>
      </c>
      <c r="AH48" s="401">
        <f t="shared" si="13"/>
        <v>0</v>
      </c>
      <c r="AI48" s="407">
        <f t="shared" si="14"/>
        <v>0</v>
      </c>
      <c r="AJ48" s="498"/>
      <c r="AK48" s="502">
        <f t="shared" si="15"/>
        <v>0</v>
      </c>
      <c r="AL48" s="503" t="e">
        <f t="shared" si="16"/>
        <v>#DIV/0!</v>
      </c>
      <c r="AM48" s="504" t="e">
        <f>AG48-AK48-AO48</f>
        <v>#DIV/0!</v>
      </c>
      <c r="AN48" s="503" t="e">
        <f t="shared" si="17"/>
        <v>#DIV/0!</v>
      </c>
      <c r="AO48" s="502">
        <f t="shared" si="18"/>
        <v>0</v>
      </c>
      <c r="AP48" s="503" t="e">
        <f t="shared" si="19"/>
        <v>#DIV/0!</v>
      </c>
      <c r="AQ48" s="402"/>
      <c r="AR48" s="110">
        <v>45778</v>
      </c>
      <c r="AS48" s="98">
        <f t="shared" si="41"/>
        <v>0</v>
      </c>
      <c r="AT48" s="98">
        <f t="shared" si="42"/>
        <v>0</v>
      </c>
      <c r="AU48" s="98"/>
      <c r="AV48" s="308"/>
      <c r="AW48" s="308"/>
      <c r="AX48" s="308"/>
      <c r="AY48" s="403"/>
      <c r="AZ48" s="403"/>
      <c r="BA48" s="403"/>
      <c r="BB48" s="403"/>
      <c r="BD48" s="680"/>
      <c r="BE48" s="678"/>
      <c r="BF48" s="679"/>
      <c r="BG48" s="376"/>
      <c r="BH48" s="681"/>
      <c r="BI48" s="376"/>
      <c r="BJ48" s="376"/>
    </row>
    <row r="49" spans="1:62">
      <c r="A49" s="295">
        <v>45358</v>
      </c>
      <c r="B49" s="398">
        <f t="shared" si="0"/>
        <v>214958.40278885531</v>
      </c>
      <c r="C49" s="312">
        <f t="shared" si="1"/>
        <v>4.1115614871429075E-4</v>
      </c>
      <c r="D49" s="398">
        <f t="shared" si="2"/>
        <v>114250.90283541335</v>
      </c>
      <c r="E49" s="312">
        <f t="shared" si="3"/>
        <v>4.1116924411958242E-4</v>
      </c>
      <c r="F49" s="398">
        <f t="shared" si="4"/>
        <v>23154.639073320326</v>
      </c>
      <c r="G49" s="312">
        <f t="shared" si="5"/>
        <v>4.1112904691623293E-4</v>
      </c>
      <c r="H49" s="398">
        <v>0</v>
      </c>
      <c r="I49" s="312">
        <f t="shared" si="6"/>
        <v>0</v>
      </c>
      <c r="J49" s="457" t="e">
        <f t="shared" si="20"/>
        <v>#DIV/0!</v>
      </c>
      <c r="K49" s="369" t="e">
        <f>(J49-291.1-770-97-J48)/J48</f>
        <v>#DIV/0!</v>
      </c>
      <c r="L49" s="404" t="e">
        <f t="shared" si="21"/>
        <v>#DIV/0!</v>
      </c>
      <c r="M49" s="312" t="e">
        <f>(L49-5-L48)/L48</f>
        <v>#DIV/0!</v>
      </c>
      <c r="N49" s="454">
        <f t="shared" si="23"/>
        <v>19359.435220821109</v>
      </c>
      <c r="O49" s="312">
        <f t="shared" si="24"/>
        <v>3.6119932665828824E-4</v>
      </c>
      <c r="P49" s="404" t="e">
        <f t="shared" si="25"/>
        <v>#DIV/0!</v>
      </c>
      <c r="Q49" s="312" t="e">
        <f t="shared" si="33"/>
        <v>#DIV/0!</v>
      </c>
      <c r="R49" s="454" t="e">
        <f t="shared" si="26"/>
        <v>#DIV/0!</v>
      </c>
      <c r="S49" s="312" t="e">
        <f t="shared" si="27"/>
        <v>#DIV/0!</v>
      </c>
      <c r="T49" s="454" t="e">
        <f t="shared" si="28"/>
        <v>#DIV/0!</v>
      </c>
      <c r="U49" s="312" t="e">
        <f t="shared" si="29"/>
        <v>#DIV/0!</v>
      </c>
      <c r="V49" s="454">
        <f t="shared" si="30"/>
        <v>0</v>
      </c>
      <c r="W49" s="312">
        <f t="shared" si="43"/>
        <v>-1.00000102226493</v>
      </c>
      <c r="X49" s="454">
        <f t="shared" si="31"/>
        <v>0</v>
      </c>
      <c r="Y49" s="312">
        <f t="shared" si="9"/>
        <v>-1</v>
      </c>
      <c r="Z49" s="674">
        <f t="shared" si="10"/>
        <v>0</v>
      </c>
      <c r="AA49" s="297"/>
      <c r="AB49" s="379">
        <f t="shared" si="10"/>
        <v>0</v>
      </c>
      <c r="AC49" s="297"/>
      <c r="AD49" s="413">
        <f t="shared" si="11"/>
        <v>0</v>
      </c>
      <c r="AE49" s="297"/>
      <c r="AG49" s="400" t="e">
        <f t="shared" si="12"/>
        <v>#DIV/0!</v>
      </c>
      <c r="AH49" s="401">
        <f t="shared" si="13"/>
        <v>0</v>
      </c>
      <c r="AI49" s="407">
        <f t="shared" si="14"/>
        <v>0</v>
      </c>
      <c r="AJ49" s="498"/>
      <c r="AK49" s="502">
        <f t="shared" si="15"/>
        <v>0</v>
      </c>
      <c r="AL49" s="503" t="e">
        <f t="shared" si="16"/>
        <v>#DIV/0!</v>
      </c>
      <c r="AM49" s="504" t="e">
        <f>AG49-AK49-AO49</f>
        <v>#DIV/0!</v>
      </c>
      <c r="AN49" s="503" t="e">
        <f t="shared" si="17"/>
        <v>#DIV/0!</v>
      </c>
      <c r="AO49" s="502">
        <f t="shared" si="18"/>
        <v>0</v>
      </c>
      <c r="AP49" s="503" t="e">
        <f t="shared" si="19"/>
        <v>#DIV/0!</v>
      </c>
      <c r="AQ49" s="402"/>
      <c r="AR49" s="110">
        <v>45809</v>
      </c>
      <c r="AS49" s="98">
        <f t="shared" si="41"/>
        <v>0</v>
      </c>
      <c r="AT49" s="98">
        <f t="shared" si="42"/>
        <v>0</v>
      </c>
      <c r="AU49" s="98"/>
      <c r="AV49" s="308"/>
      <c r="AW49" s="308"/>
      <c r="AX49" s="308"/>
      <c r="AY49" s="403"/>
      <c r="AZ49" s="403"/>
      <c r="BA49" s="403"/>
      <c r="BB49" s="403"/>
      <c r="BD49" s="680"/>
      <c r="BE49" s="198"/>
      <c r="BF49" s="679"/>
      <c r="BG49" s="376"/>
      <c r="BH49" s="376"/>
      <c r="BI49" s="376"/>
      <c r="BJ49" s="376"/>
    </row>
    <row r="50" spans="1:62">
      <c r="A50" s="295">
        <v>45359</v>
      </c>
      <c r="B50" s="398">
        <f t="shared" si="0"/>
        <v>215046.78425787974</v>
      </c>
      <c r="C50" s="312">
        <f t="shared" si="1"/>
        <v>4.1115614871425161E-4</v>
      </c>
      <c r="D50" s="398">
        <f t="shared" si="2"/>
        <v>114297.87929277217</v>
      </c>
      <c r="E50" s="312">
        <f t="shared" si="3"/>
        <v>4.1116924411959457E-4</v>
      </c>
      <c r="F50" s="398">
        <f t="shared" si="4"/>
        <v>23164.158618014229</v>
      </c>
      <c r="G50" s="312">
        <f t="shared" si="5"/>
        <v>4.1112904691622198E-4</v>
      </c>
      <c r="H50" s="398">
        <v>0</v>
      </c>
      <c r="I50" s="312">
        <f t="shared" si="6"/>
        <v>0</v>
      </c>
      <c r="J50" s="457" t="e">
        <f t="shared" si="20"/>
        <v>#DIV/0!</v>
      </c>
      <c r="K50" s="369" t="e">
        <f t="shared" ref="K50:K64" si="44">(J50-J49)/J49</f>
        <v>#DIV/0!</v>
      </c>
      <c r="L50" s="404" t="e">
        <f t="shared" si="21"/>
        <v>#DIV/0!</v>
      </c>
      <c r="M50" s="312" t="e">
        <f t="shared" si="22"/>
        <v>#DIV/0!</v>
      </c>
      <c r="N50" s="454">
        <f t="shared" si="23"/>
        <v>19366.427835787355</v>
      </c>
      <c r="O50" s="312">
        <f t="shared" si="24"/>
        <v>3.6119932665832456E-4</v>
      </c>
      <c r="P50" s="404" t="e">
        <f t="shared" si="25"/>
        <v>#DIV/0!</v>
      </c>
      <c r="Q50" s="312" t="e">
        <f t="shared" si="33"/>
        <v>#DIV/0!</v>
      </c>
      <c r="R50" s="454" t="e">
        <f t="shared" si="26"/>
        <v>#DIV/0!</v>
      </c>
      <c r="S50" s="312" t="e">
        <f t="shared" si="27"/>
        <v>#DIV/0!</v>
      </c>
      <c r="T50" s="454" t="e">
        <f t="shared" si="28"/>
        <v>#DIV/0!</v>
      </c>
      <c r="U50" s="312" t="e">
        <f t="shared" si="29"/>
        <v>#DIV/0!</v>
      </c>
      <c r="V50" s="454">
        <f t="shared" si="30"/>
        <v>0</v>
      </c>
      <c r="W50" s="312">
        <f t="shared" si="43"/>
        <v>-1.00000102226493</v>
      </c>
      <c r="X50" s="454">
        <f t="shared" si="31"/>
        <v>0</v>
      </c>
      <c r="Y50" s="312">
        <f t="shared" si="9"/>
        <v>-1</v>
      </c>
      <c r="Z50" s="674">
        <f t="shared" si="10"/>
        <v>0</v>
      </c>
      <c r="AA50" s="329"/>
      <c r="AB50" s="379">
        <f t="shared" si="10"/>
        <v>0</v>
      </c>
      <c r="AC50" s="329"/>
      <c r="AD50" s="413">
        <f t="shared" si="11"/>
        <v>0</v>
      </c>
      <c r="AE50" s="329"/>
      <c r="AG50" s="400" t="e">
        <f t="shared" si="12"/>
        <v>#DIV/0!</v>
      </c>
      <c r="AH50" s="401">
        <f t="shared" si="13"/>
        <v>0</v>
      </c>
      <c r="AI50" s="407">
        <f t="shared" si="14"/>
        <v>0</v>
      </c>
      <c r="AJ50" s="498"/>
      <c r="AK50" s="502">
        <f t="shared" si="15"/>
        <v>0</v>
      </c>
      <c r="AL50" s="503" t="e">
        <f t="shared" si="16"/>
        <v>#DIV/0!</v>
      </c>
      <c r="AM50" s="504" t="e">
        <f>AG50-AK50-AO50</f>
        <v>#DIV/0!</v>
      </c>
      <c r="AN50" s="503" t="e">
        <f t="shared" si="17"/>
        <v>#DIV/0!</v>
      </c>
      <c r="AO50" s="502">
        <f t="shared" si="18"/>
        <v>0</v>
      </c>
      <c r="AP50" s="503" t="e">
        <f t="shared" si="19"/>
        <v>#DIV/0!</v>
      </c>
      <c r="AQ50" s="402"/>
      <c r="AR50" s="110">
        <v>45839</v>
      </c>
      <c r="AS50" s="98">
        <f t="shared" si="41"/>
        <v>0</v>
      </c>
      <c r="AT50" s="98">
        <f t="shared" si="42"/>
        <v>0</v>
      </c>
      <c r="AU50" s="98"/>
      <c r="AV50" s="308"/>
      <c r="AW50" s="308"/>
      <c r="AX50" s="308"/>
      <c r="AY50" s="403"/>
      <c r="AZ50" s="403"/>
      <c r="BA50" s="403"/>
      <c r="BB50" s="403"/>
      <c r="BD50" s="198"/>
      <c r="BE50" s="198"/>
      <c r="BF50" s="198"/>
      <c r="BG50" s="198"/>
      <c r="BH50" s="682"/>
      <c r="BI50" s="198"/>
      <c r="BJ50" s="679"/>
    </row>
    <row r="51" spans="1:62">
      <c r="A51" s="295">
        <v>45362</v>
      </c>
      <c r="B51" s="398">
        <f t="shared" si="0"/>
        <v>215135.20206548859</v>
      </c>
      <c r="C51" s="312">
        <f t="shared" si="1"/>
        <v>4.1115614871419794E-4</v>
      </c>
      <c r="D51" s="398">
        <f t="shared" si="2"/>
        <v>114344.87506540545</v>
      </c>
      <c r="E51" s="312">
        <f t="shared" si="3"/>
        <v>4.11169244119575E-4</v>
      </c>
      <c r="F51" s="398">
        <f t="shared" si="4"/>
        <v>23173.682076469471</v>
      </c>
      <c r="G51" s="312">
        <f t="shared" si="5"/>
        <v>4.1112904691628242E-4</v>
      </c>
      <c r="H51" s="398">
        <v>0</v>
      </c>
      <c r="I51" s="312">
        <f t="shared" si="6"/>
        <v>0</v>
      </c>
      <c r="J51" s="457" t="e">
        <f t="shared" si="20"/>
        <v>#DIV/0!</v>
      </c>
      <c r="K51" s="369" t="e">
        <f>(J51+1340-110-J50)/J50</f>
        <v>#DIV/0!</v>
      </c>
      <c r="L51" s="404" t="e">
        <f t="shared" si="21"/>
        <v>#DIV/0!</v>
      </c>
      <c r="M51" s="312" t="e">
        <f>(L51+5-L50)/L50</f>
        <v>#DIV/0!</v>
      </c>
      <c r="N51" s="454">
        <f t="shared" si="23"/>
        <v>19373.422976481419</v>
      </c>
      <c r="O51" s="312">
        <f t="shared" si="24"/>
        <v>3.6119932665833318E-4</v>
      </c>
      <c r="P51" s="404" t="e">
        <f t="shared" si="25"/>
        <v>#DIV/0!</v>
      </c>
      <c r="Q51" s="312" t="e">
        <f t="shared" si="33"/>
        <v>#DIV/0!</v>
      </c>
      <c r="R51" s="454" t="e">
        <f t="shared" si="26"/>
        <v>#DIV/0!</v>
      </c>
      <c r="S51" s="312" t="e">
        <f t="shared" si="27"/>
        <v>#DIV/0!</v>
      </c>
      <c r="T51" s="454" t="e">
        <f t="shared" si="28"/>
        <v>#DIV/0!</v>
      </c>
      <c r="U51" s="312" t="e">
        <f t="shared" si="29"/>
        <v>#DIV/0!</v>
      </c>
      <c r="V51" s="454">
        <f t="shared" si="30"/>
        <v>0</v>
      </c>
      <c r="W51" s="312">
        <f t="shared" si="43"/>
        <v>-1.00000102226493</v>
      </c>
      <c r="X51" s="454">
        <f t="shared" si="31"/>
        <v>0</v>
      </c>
      <c r="Y51" s="312">
        <f t="shared" si="9"/>
        <v>-1</v>
      </c>
      <c r="Z51" s="674">
        <f t="shared" si="10"/>
        <v>0</v>
      </c>
      <c r="AA51" s="297"/>
      <c r="AB51" s="379">
        <f t="shared" si="10"/>
        <v>0</v>
      </c>
      <c r="AC51" s="297"/>
      <c r="AD51" s="413">
        <f t="shared" si="11"/>
        <v>0</v>
      </c>
      <c r="AE51" s="297"/>
      <c r="AG51" s="400" t="e">
        <f t="shared" si="12"/>
        <v>#DIV/0!</v>
      </c>
      <c r="AH51" s="401">
        <f t="shared" si="13"/>
        <v>0</v>
      </c>
      <c r="AI51" s="407">
        <f t="shared" si="14"/>
        <v>0</v>
      </c>
      <c r="AJ51" s="498"/>
      <c r="AK51" s="502">
        <f t="shared" si="15"/>
        <v>0</v>
      </c>
      <c r="AL51" s="503" t="e">
        <f t="shared" si="16"/>
        <v>#DIV/0!</v>
      </c>
      <c r="AM51" s="504" t="e">
        <f>AG51-AK51-AO51</f>
        <v>#DIV/0!</v>
      </c>
      <c r="AN51" s="503" t="e">
        <f t="shared" si="17"/>
        <v>#DIV/0!</v>
      </c>
      <c r="AO51" s="502">
        <f t="shared" si="18"/>
        <v>0</v>
      </c>
      <c r="AP51" s="503" t="e">
        <f t="shared" si="19"/>
        <v>#DIV/0!</v>
      </c>
      <c r="AQ51" s="402"/>
      <c r="AR51" s="110">
        <v>45870</v>
      </c>
      <c r="AS51" s="98">
        <f t="shared" si="41"/>
        <v>0</v>
      </c>
      <c r="AT51" s="98">
        <f t="shared" si="42"/>
        <v>0</v>
      </c>
      <c r="AU51" s="98"/>
      <c r="AV51" s="308"/>
      <c r="AW51" s="308"/>
      <c r="AX51" s="308"/>
      <c r="AY51" s="403"/>
      <c r="AZ51" s="403"/>
      <c r="BA51" s="403"/>
      <c r="BB51" s="403"/>
      <c r="BD51" s="677"/>
      <c r="BE51" s="678"/>
      <c r="BF51" s="679"/>
      <c r="BG51" s="376"/>
      <c r="BH51" s="376"/>
      <c r="BI51" s="376"/>
      <c r="BJ51" s="376"/>
    </row>
    <row r="52" spans="1:62">
      <c r="A52" s="295">
        <v>45363</v>
      </c>
      <c r="B52" s="398">
        <f t="shared" si="0"/>
        <v>215223.65622662267</v>
      </c>
      <c r="C52" s="312">
        <f t="shared" si="1"/>
        <v>4.1115614871413181E-4</v>
      </c>
      <c r="D52" s="398">
        <f t="shared" si="2"/>
        <v>114391.89016125504</v>
      </c>
      <c r="E52" s="312">
        <f t="shared" si="3"/>
        <v>4.1116924411961192E-4</v>
      </c>
      <c r="F52" s="398">
        <f t="shared" si="4"/>
        <v>23183.209450295111</v>
      </c>
      <c r="G52" s="312">
        <f t="shared" si="5"/>
        <v>4.1112904691629397E-4</v>
      </c>
      <c r="H52" s="398">
        <v>0</v>
      </c>
      <c r="I52" s="312">
        <f t="shared" si="6"/>
        <v>0</v>
      </c>
      <c r="J52" s="457" t="e">
        <f t="shared" si="20"/>
        <v>#DIV/0!</v>
      </c>
      <c r="K52" s="369" t="e">
        <f>(J52-640-1400-1000-48.3-J51)/J51</f>
        <v>#DIV/0!</v>
      </c>
      <c r="L52" s="404" t="e">
        <f t="shared" si="21"/>
        <v>#DIV/0!</v>
      </c>
      <c r="M52" s="312" t="e">
        <f t="shared" si="22"/>
        <v>#DIV/0!</v>
      </c>
      <c r="N52" s="454">
        <f t="shared" si="23"/>
        <v>19380.420643815592</v>
      </c>
      <c r="O52" s="312">
        <f t="shared" si="24"/>
        <v>3.6119932665839964E-4</v>
      </c>
      <c r="P52" s="404" t="e">
        <f t="shared" si="25"/>
        <v>#DIV/0!</v>
      </c>
      <c r="Q52" s="312" t="e">
        <f t="shared" si="33"/>
        <v>#DIV/0!</v>
      </c>
      <c r="R52" s="454" t="e">
        <f t="shared" si="26"/>
        <v>#DIV/0!</v>
      </c>
      <c r="S52" s="312" t="e">
        <f t="shared" si="27"/>
        <v>#DIV/0!</v>
      </c>
      <c r="T52" s="454" t="e">
        <f t="shared" si="28"/>
        <v>#DIV/0!</v>
      </c>
      <c r="U52" s="312" t="e">
        <f t="shared" si="29"/>
        <v>#DIV/0!</v>
      </c>
      <c r="V52" s="454">
        <f t="shared" si="30"/>
        <v>0</v>
      </c>
      <c r="W52" s="312">
        <f t="shared" si="43"/>
        <v>-1.00000102226493</v>
      </c>
      <c r="X52" s="454">
        <f t="shared" si="31"/>
        <v>0</v>
      </c>
      <c r="Y52" s="312">
        <f t="shared" si="9"/>
        <v>-1</v>
      </c>
      <c r="Z52" s="674">
        <f t="shared" si="10"/>
        <v>0</v>
      </c>
      <c r="AA52" s="329"/>
      <c r="AB52" s="379">
        <f t="shared" si="10"/>
        <v>0</v>
      </c>
      <c r="AC52" s="329"/>
      <c r="AD52" s="413">
        <f t="shared" si="11"/>
        <v>0</v>
      </c>
      <c r="AE52" s="329"/>
      <c r="AG52" s="400" t="e">
        <f t="shared" si="12"/>
        <v>#DIV/0!</v>
      </c>
      <c r="AH52" s="401">
        <f t="shared" si="13"/>
        <v>0</v>
      </c>
      <c r="AI52" s="407">
        <f t="shared" si="14"/>
        <v>0</v>
      </c>
      <c r="AJ52" s="498"/>
      <c r="AK52" s="502">
        <f t="shared" si="15"/>
        <v>0</v>
      </c>
      <c r="AL52" s="503" t="e">
        <f t="shared" si="16"/>
        <v>#DIV/0!</v>
      </c>
      <c r="AM52" s="504" t="e">
        <f>AG52-AK52-AO52</f>
        <v>#DIV/0!</v>
      </c>
      <c r="AN52" s="503" t="e">
        <f t="shared" si="17"/>
        <v>#DIV/0!</v>
      </c>
      <c r="AO52" s="502">
        <f t="shared" si="18"/>
        <v>0</v>
      </c>
      <c r="AP52" s="503" t="e">
        <f t="shared" si="19"/>
        <v>#DIV/0!</v>
      </c>
      <c r="AQ52" s="402"/>
      <c r="AR52" s="110">
        <v>45901</v>
      </c>
      <c r="AS52" s="98">
        <f t="shared" si="41"/>
        <v>0</v>
      </c>
      <c r="AT52" s="98">
        <f t="shared" si="42"/>
        <v>0</v>
      </c>
      <c r="AU52" s="98"/>
      <c r="AV52" s="308"/>
      <c r="AW52" s="308"/>
      <c r="AX52" s="308"/>
      <c r="AY52" s="403"/>
      <c r="AZ52" s="403"/>
      <c r="BA52" s="403"/>
      <c r="BB52" s="403"/>
      <c r="BD52" s="683"/>
      <c r="BE52" s="678"/>
      <c r="BF52" s="679"/>
      <c r="BG52" s="376"/>
      <c r="BH52" s="681"/>
      <c r="BI52" s="376"/>
      <c r="BJ52" s="376"/>
    </row>
    <row r="53" spans="1:62">
      <c r="A53" s="295">
        <v>45364</v>
      </c>
      <c r="B53" s="398">
        <f t="shared" si="0"/>
        <v>215312.14675622899</v>
      </c>
      <c r="C53" s="312">
        <f t="shared" si="1"/>
        <v>4.1115614871417864E-4</v>
      </c>
      <c r="D53" s="398">
        <f t="shared" si="2"/>
        <v>114438.92458826606</v>
      </c>
      <c r="E53" s="312">
        <f t="shared" si="3"/>
        <v>4.1116924411965436E-4</v>
      </c>
      <c r="F53" s="398">
        <f t="shared" si="4"/>
        <v>23192.740741100872</v>
      </c>
      <c r="G53" s="312">
        <f t="shared" si="5"/>
        <v>4.1112904691628166E-4</v>
      </c>
      <c r="H53" s="398">
        <v>0</v>
      </c>
      <c r="I53" s="312">
        <f t="shared" si="6"/>
        <v>0</v>
      </c>
      <c r="J53" s="457" t="e">
        <f t="shared" si="20"/>
        <v>#DIV/0!</v>
      </c>
      <c r="K53" s="369" t="e">
        <f t="shared" si="44"/>
        <v>#DIV/0!</v>
      </c>
      <c r="L53" s="404" t="e">
        <f t="shared" si="21"/>
        <v>#DIV/0!</v>
      </c>
      <c r="M53" s="312" t="e">
        <f t="shared" si="22"/>
        <v>#DIV/0!</v>
      </c>
      <c r="N53" s="454">
        <f t="shared" si="23"/>
        <v>19387.420838702496</v>
      </c>
      <c r="O53" s="312">
        <f t="shared" si="24"/>
        <v>3.6119932665841541E-4</v>
      </c>
      <c r="P53" s="404" t="e">
        <f t="shared" si="25"/>
        <v>#DIV/0!</v>
      </c>
      <c r="Q53" s="312" t="e">
        <f t="shared" si="33"/>
        <v>#DIV/0!</v>
      </c>
      <c r="R53" s="454" t="e">
        <f t="shared" si="26"/>
        <v>#DIV/0!</v>
      </c>
      <c r="S53" s="312" t="e">
        <f t="shared" si="27"/>
        <v>#DIV/0!</v>
      </c>
      <c r="T53" s="454" t="e">
        <f t="shared" si="28"/>
        <v>#DIV/0!</v>
      </c>
      <c r="U53" s="312" t="e">
        <f t="shared" si="29"/>
        <v>#DIV/0!</v>
      </c>
      <c r="V53" s="454">
        <f t="shared" si="30"/>
        <v>0</v>
      </c>
      <c r="W53" s="312">
        <f t="shared" si="43"/>
        <v>-1.00000102226493</v>
      </c>
      <c r="X53" s="454">
        <f t="shared" si="31"/>
        <v>0</v>
      </c>
      <c r="Y53" s="312">
        <f t="shared" si="9"/>
        <v>-1</v>
      </c>
      <c r="Z53" s="674">
        <f t="shared" si="10"/>
        <v>0</v>
      </c>
      <c r="AA53" s="297"/>
      <c r="AB53" s="379">
        <f t="shared" si="10"/>
        <v>0</v>
      </c>
      <c r="AC53" s="297"/>
      <c r="AD53" s="413">
        <f t="shared" si="11"/>
        <v>0</v>
      </c>
      <c r="AE53" s="297"/>
      <c r="AG53" s="400" t="e">
        <f t="shared" si="12"/>
        <v>#DIV/0!</v>
      </c>
      <c r="AH53" s="401">
        <f t="shared" si="13"/>
        <v>0</v>
      </c>
      <c r="AI53" s="407">
        <f t="shared" si="14"/>
        <v>0</v>
      </c>
      <c r="AJ53" s="498"/>
      <c r="AK53" s="502">
        <f t="shared" si="15"/>
        <v>0</v>
      </c>
      <c r="AL53" s="503" t="e">
        <f t="shared" si="16"/>
        <v>#DIV/0!</v>
      </c>
      <c r="AM53" s="504" t="e">
        <f>AG53-AK53-AO53</f>
        <v>#DIV/0!</v>
      </c>
      <c r="AN53" s="503" t="e">
        <f t="shared" si="17"/>
        <v>#DIV/0!</v>
      </c>
      <c r="AO53" s="502">
        <f t="shared" si="18"/>
        <v>0</v>
      </c>
      <c r="AP53" s="503" t="e">
        <f t="shared" si="19"/>
        <v>#DIV/0!</v>
      </c>
      <c r="AQ53" s="402"/>
      <c r="AR53" s="110">
        <v>45931</v>
      </c>
      <c r="AS53" s="98">
        <f t="shared" si="41"/>
        <v>0</v>
      </c>
      <c r="AT53" s="98">
        <f t="shared" si="42"/>
        <v>0</v>
      </c>
      <c r="AU53" s="98"/>
      <c r="AV53" s="308"/>
      <c r="AW53" s="308"/>
      <c r="AX53" s="308"/>
      <c r="AY53" s="403"/>
      <c r="AZ53" s="403"/>
      <c r="BA53" s="403"/>
      <c r="BB53" s="403"/>
      <c r="BD53" s="683"/>
      <c r="BE53" s="678"/>
      <c r="BF53" s="679"/>
      <c r="BG53" s="376"/>
      <c r="BH53" s="681"/>
      <c r="BI53" s="376"/>
      <c r="BJ53" s="376"/>
    </row>
    <row r="54" spans="1:62">
      <c r="A54" s="295">
        <v>45365</v>
      </c>
      <c r="B54" s="398">
        <f t="shared" si="0"/>
        <v>215400.67366926066</v>
      </c>
      <c r="C54" s="312">
        <f t="shared" si="1"/>
        <v>4.1115614871418152E-4</v>
      </c>
      <c r="D54" s="398">
        <f t="shared" si="2"/>
        <v>114485.97835438688</v>
      </c>
      <c r="E54" s="312">
        <f t="shared" si="3"/>
        <v>4.1116924411963983E-4</v>
      </c>
      <c r="F54" s="398">
        <f t="shared" si="4"/>
        <v>23202.275950497136</v>
      </c>
      <c r="G54" s="312">
        <f t="shared" si="5"/>
        <v>4.1112904691625895E-4</v>
      </c>
      <c r="H54" s="398">
        <v>0</v>
      </c>
      <c r="I54" s="312">
        <f t="shared" si="6"/>
        <v>0</v>
      </c>
      <c r="J54" s="457" t="e">
        <f t="shared" si="20"/>
        <v>#DIV/0!</v>
      </c>
      <c r="K54" s="369" t="e">
        <f t="shared" si="44"/>
        <v>#DIV/0!</v>
      </c>
      <c r="L54" s="404" t="e">
        <f t="shared" si="21"/>
        <v>#DIV/0!</v>
      </c>
      <c r="M54" s="312" t="e">
        <f t="shared" si="22"/>
        <v>#DIV/0!</v>
      </c>
      <c r="N54" s="454">
        <f t="shared" si="23"/>
        <v>19394.423562055079</v>
      </c>
      <c r="O54" s="312">
        <f t="shared" si="24"/>
        <v>3.6119932665845374E-4</v>
      </c>
      <c r="P54" s="404" t="e">
        <f t="shared" si="25"/>
        <v>#DIV/0!</v>
      </c>
      <c r="Q54" s="312" t="e">
        <f t="shared" si="33"/>
        <v>#DIV/0!</v>
      </c>
      <c r="R54" s="454" t="e">
        <f t="shared" si="26"/>
        <v>#DIV/0!</v>
      </c>
      <c r="S54" s="312" t="e">
        <f t="shared" si="27"/>
        <v>#DIV/0!</v>
      </c>
      <c r="T54" s="454" t="e">
        <f t="shared" si="28"/>
        <v>#DIV/0!</v>
      </c>
      <c r="U54" s="312" t="e">
        <f t="shared" si="29"/>
        <v>#DIV/0!</v>
      </c>
      <c r="V54" s="454">
        <f t="shared" si="30"/>
        <v>0</v>
      </c>
      <c r="W54" s="312">
        <f t="shared" si="43"/>
        <v>-1.00000102226493</v>
      </c>
      <c r="X54" s="454">
        <f t="shared" si="31"/>
        <v>0</v>
      </c>
      <c r="Y54" s="312">
        <f t="shared" si="9"/>
        <v>-1</v>
      </c>
      <c r="Z54" s="674">
        <f t="shared" si="10"/>
        <v>0</v>
      </c>
      <c r="AA54" s="329"/>
      <c r="AB54" s="379">
        <f t="shared" si="10"/>
        <v>0</v>
      </c>
      <c r="AC54" s="329"/>
      <c r="AD54" s="413">
        <f t="shared" si="11"/>
        <v>0</v>
      </c>
      <c r="AE54" s="329"/>
      <c r="AG54" s="400" t="e">
        <f t="shared" si="12"/>
        <v>#DIV/0!</v>
      </c>
      <c r="AH54" s="401">
        <f t="shared" si="13"/>
        <v>0</v>
      </c>
      <c r="AI54" s="407">
        <f t="shared" si="14"/>
        <v>0</v>
      </c>
      <c r="AJ54" s="498"/>
      <c r="AK54" s="502">
        <f t="shared" si="15"/>
        <v>0</v>
      </c>
      <c r="AL54" s="503" t="e">
        <f t="shared" si="16"/>
        <v>#DIV/0!</v>
      </c>
      <c r="AM54" s="504" t="e">
        <f>AG54-AK54-AO54</f>
        <v>#DIV/0!</v>
      </c>
      <c r="AN54" s="503" t="e">
        <f t="shared" si="17"/>
        <v>#DIV/0!</v>
      </c>
      <c r="AO54" s="502">
        <f t="shared" si="18"/>
        <v>0</v>
      </c>
      <c r="AP54" s="503" t="e">
        <f t="shared" si="19"/>
        <v>#DIV/0!</v>
      </c>
      <c r="AQ54" s="402"/>
      <c r="AR54" s="110">
        <v>45962</v>
      </c>
      <c r="AS54" s="98">
        <f t="shared" si="41"/>
        <v>0</v>
      </c>
      <c r="AT54" s="98">
        <f t="shared" si="42"/>
        <v>0</v>
      </c>
      <c r="AU54" s="98"/>
      <c r="AV54" s="308"/>
      <c r="AW54" s="308"/>
      <c r="AX54" s="308"/>
      <c r="AY54" s="403"/>
      <c r="AZ54" s="403"/>
      <c r="BA54" s="403"/>
      <c r="BB54" s="403"/>
      <c r="BD54" s="683"/>
      <c r="BE54" s="684"/>
      <c r="BF54" s="685"/>
      <c r="BG54" s="269"/>
      <c r="BH54" s="686"/>
      <c r="BI54" s="376"/>
      <c r="BJ54" s="376"/>
    </row>
    <row r="55" spans="1:62">
      <c r="A55" s="295">
        <v>45366</v>
      </c>
      <c r="B55" s="398">
        <f t="shared" si="0"/>
        <v>215489.23698067697</v>
      </c>
      <c r="C55" s="312">
        <f t="shared" si="1"/>
        <v>4.111561487142424E-4</v>
      </c>
      <c r="D55" s="398">
        <f t="shared" si="2"/>
        <v>114533.05146756915</v>
      </c>
      <c r="E55" s="312">
        <f t="shared" si="3"/>
        <v>4.1116924411962124E-4</v>
      </c>
      <c r="F55" s="398">
        <f t="shared" si="4"/>
        <v>23211.815080094952</v>
      </c>
      <c r="G55" s="312">
        <f t="shared" si="5"/>
        <v>4.1112904691622735E-4</v>
      </c>
      <c r="H55" s="398">
        <v>0</v>
      </c>
      <c r="I55" s="312">
        <f t="shared" si="6"/>
        <v>0</v>
      </c>
      <c r="J55" s="457" t="e">
        <f t="shared" si="20"/>
        <v>#DIV/0!</v>
      </c>
      <c r="K55" s="369" t="e">
        <f t="shared" si="44"/>
        <v>#DIV/0!</v>
      </c>
      <c r="L55" s="404" t="e">
        <f t="shared" si="21"/>
        <v>#DIV/0!</v>
      </c>
      <c r="M55" s="312" t="e">
        <f t="shared" si="22"/>
        <v>#DIV/0!</v>
      </c>
      <c r="N55" s="454">
        <f t="shared" si="23"/>
        <v>19401.428814786621</v>
      </c>
      <c r="O55" s="312">
        <f t="shared" si="24"/>
        <v>3.6119932665839406E-4</v>
      </c>
      <c r="P55" s="404" t="e">
        <f t="shared" si="25"/>
        <v>#DIV/0!</v>
      </c>
      <c r="Q55" s="312" t="e">
        <f t="shared" si="33"/>
        <v>#DIV/0!</v>
      </c>
      <c r="R55" s="454" t="e">
        <f t="shared" si="26"/>
        <v>#DIV/0!</v>
      </c>
      <c r="S55" s="312" t="e">
        <f t="shared" si="27"/>
        <v>#DIV/0!</v>
      </c>
      <c r="T55" s="454" t="e">
        <f t="shared" si="28"/>
        <v>#DIV/0!</v>
      </c>
      <c r="U55" s="312" t="e">
        <f t="shared" si="29"/>
        <v>#DIV/0!</v>
      </c>
      <c r="V55" s="454">
        <f t="shared" si="30"/>
        <v>0</v>
      </c>
      <c r="W55" s="312">
        <f t="shared" si="43"/>
        <v>-1.00000102226493</v>
      </c>
      <c r="X55" s="454">
        <f t="shared" si="31"/>
        <v>0</v>
      </c>
      <c r="Y55" s="312">
        <f t="shared" si="9"/>
        <v>-1</v>
      </c>
      <c r="Z55" s="674">
        <f t="shared" si="10"/>
        <v>0</v>
      </c>
      <c r="AA55" s="297"/>
      <c r="AB55" s="379">
        <f t="shared" si="10"/>
        <v>0</v>
      </c>
      <c r="AC55" s="297"/>
      <c r="AD55" s="413">
        <f t="shared" si="11"/>
        <v>0</v>
      </c>
      <c r="AE55" s="297"/>
      <c r="AG55" s="400" t="e">
        <f t="shared" si="12"/>
        <v>#DIV/0!</v>
      </c>
      <c r="AH55" s="401">
        <f t="shared" si="13"/>
        <v>0</v>
      </c>
      <c r="AI55" s="407">
        <f t="shared" si="14"/>
        <v>0</v>
      </c>
      <c r="AJ55" s="498"/>
      <c r="AK55" s="502">
        <f t="shared" si="15"/>
        <v>0</v>
      </c>
      <c r="AL55" s="503" t="e">
        <f t="shared" si="16"/>
        <v>#DIV/0!</v>
      </c>
      <c r="AM55" s="504" t="e">
        <f>AG55-AK55-AO55</f>
        <v>#DIV/0!</v>
      </c>
      <c r="AN55" s="503" t="e">
        <f t="shared" si="17"/>
        <v>#DIV/0!</v>
      </c>
      <c r="AO55" s="502">
        <f t="shared" si="18"/>
        <v>0</v>
      </c>
      <c r="AP55" s="503" t="e">
        <f t="shared" si="19"/>
        <v>#DIV/0!</v>
      </c>
      <c r="AQ55" s="402"/>
      <c r="AR55" s="110">
        <v>45992</v>
      </c>
      <c r="AS55" s="98">
        <f t="shared" si="41"/>
        <v>0</v>
      </c>
      <c r="AT55" s="98">
        <f t="shared" si="42"/>
        <v>0</v>
      </c>
      <c r="AU55" s="98"/>
      <c r="AV55" s="308"/>
      <c r="AW55" s="308"/>
      <c r="AX55" s="308"/>
      <c r="AY55" s="403"/>
      <c r="AZ55" s="403"/>
      <c r="BA55" s="403"/>
      <c r="BB55" s="403"/>
      <c r="BD55" s="683"/>
      <c r="BE55" s="678"/>
      <c r="BF55" s="679"/>
      <c r="BG55" s="376"/>
      <c r="BH55" s="681"/>
      <c r="BI55" s="376"/>
      <c r="BJ55" s="376"/>
    </row>
    <row r="56" spans="1:62">
      <c r="A56" s="295">
        <v>45369</v>
      </c>
      <c r="B56" s="398">
        <f t="shared" si="0"/>
        <v>215577.8367054433</v>
      </c>
      <c r="C56" s="312">
        <f t="shared" si="1"/>
        <v>4.1115614871418119E-4</v>
      </c>
      <c r="D56" s="398">
        <f t="shared" si="2"/>
        <v>114580.14393576779</v>
      </c>
      <c r="E56" s="312">
        <f t="shared" si="3"/>
        <v>4.1116924411963967E-4</v>
      </c>
      <c r="F56" s="398">
        <f t="shared" si="4"/>
        <v>23221.358131506026</v>
      </c>
      <c r="G56" s="312">
        <f t="shared" si="5"/>
        <v>4.1112904691617671E-4</v>
      </c>
      <c r="H56" s="398">
        <v>0</v>
      </c>
      <c r="I56" s="312">
        <f t="shared" si="6"/>
        <v>0</v>
      </c>
      <c r="J56" s="457" t="e">
        <f t="shared" si="20"/>
        <v>#DIV/0!</v>
      </c>
      <c r="K56" s="369" t="e">
        <f>(J56-580-J55)/J55</f>
        <v>#DIV/0!</v>
      </c>
      <c r="L56" s="404" t="e">
        <f t="shared" si="21"/>
        <v>#DIV/0!</v>
      </c>
      <c r="M56" s="312" t="e">
        <f t="shared" si="22"/>
        <v>#DIV/0!</v>
      </c>
      <c r="N56" s="454">
        <f t="shared" si="23"/>
        <v>19408.436597810734</v>
      </c>
      <c r="O56" s="312">
        <f t="shared" si="24"/>
        <v>3.6119932665848469E-4</v>
      </c>
      <c r="P56" s="404" t="e">
        <f t="shared" si="25"/>
        <v>#DIV/0!</v>
      </c>
      <c r="Q56" s="312" t="e">
        <f t="shared" si="33"/>
        <v>#DIV/0!</v>
      </c>
      <c r="R56" s="454" t="e">
        <f t="shared" si="26"/>
        <v>#DIV/0!</v>
      </c>
      <c r="S56" s="312" t="e">
        <f t="shared" si="27"/>
        <v>#DIV/0!</v>
      </c>
      <c r="T56" s="454" t="e">
        <f t="shared" si="28"/>
        <v>#DIV/0!</v>
      </c>
      <c r="U56" s="312" t="e">
        <f t="shared" si="29"/>
        <v>#DIV/0!</v>
      </c>
      <c r="V56" s="454">
        <f t="shared" si="30"/>
        <v>0</v>
      </c>
      <c r="W56" s="312">
        <f t="shared" si="43"/>
        <v>-1.00000102226493</v>
      </c>
      <c r="X56" s="454">
        <f t="shared" si="31"/>
        <v>0</v>
      </c>
      <c r="Y56" s="312">
        <f t="shared" si="9"/>
        <v>-1</v>
      </c>
      <c r="Z56" s="674">
        <f t="shared" si="10"/>
        <v>0</v>
      </c>
      <c r="AA56" s="329"/>
      <c r="AB56" s="379">
        <f t="shared" si="10"/>
        <v>0</v>
      </c>
      <c r="AC56" s="329"/>
      <c r="AD56" s="413">
        <f t="shared" si="11"/>
        <v>0</v>
      </c>
      <c r="AE56" s="329"/>
      <c r="AG56" s="400" t="e">
        <f t="shared" si="12"/>
        <v>#DIV/0!</v>
      </c>
      <c r="AH56" s="401">
        <f t="shared" si="13"/>
        <v>0</v>
      </c>
      <c r="AI56" s="407">
        <f t="shared" si="14"/>
        <v>0</v>
      </c>
      <c r="AJ56" s="498"/>
      <c r="AK56" s="502">
        <f t="shared" si="15"/>
        <v>0</v>
      </c>
      <c r="AL56" s="503" t="e">
        <f t="shared" si="16"/>
        <v>#DIV/0!</v>
      </c>
      <c r="AM56" s="504" t="e">
        <f>AG56-AK56-AO56</f>
        <v>#DIV/0!</v>
      </c>
      <c r="AN56" s="503" t="e">
        <f t="shared" si="17"/>
        <v>#DIV/0!</v>
      </c>
      <c r="AO56" s="502">
        <f t="shared" si="18"/>
        <v>0</v>
      </c>
      <c r="AP56" s="503" t="e">
        <f t="shared" si="19"/>
        <v>#DIV/0!</v>
      </c>
      <c r="AQ56" s="402"/>
      <c r="AR56" s="110">
        <v>46023</v>
      </c>
      <c r="AS56" s="98">
        <f t="shared" si="41"/>
        <v>0</v>
      </c>
      <c r="AT56" s="98">
        <f t="shared" si="42"/>
        <v>0</v>
      </c>
      <c r="AU56" s="98"/>
      <c r="AV56" s="308"/>
      <c r="AW56" s="308"/>
      <c r="AX56" s="308"/>
      <c r="AY56" s="403"/>
      <c r="AZ56" s="403"/>
      <c r="BA56" s="403"/>
      <c r="BB56" s="403"/>
      <c r="BD56" s="683"/>
      <c r="BE56" s="678"/>
      <c r="BF56" s="679"/>
      <c r="BG56" s="376"/>
      <c r="BH56" s="681"/>
      <c r="BI56" s="376"/>
      <c r="BJ56" s="376"/>
    </row>
    <row r="57" spans="1:62">
      <c r="A57" s="295">
        <v>45370</v>
      </c>
      <c r="B57" s="398">
        <f t="shared" si="0"/>
        <v>215666.47285853126</v>
      </c>
      <c r="C57" s="312">
        <f t="shared" si="1"/>
        <v>4.111561487142115E-4</v>
      </c>
      <c r="D57" s="398">
        <f t="shared" si="2"/>
        <v>114627.25576694097</v>
      </c>
      <c r="E57" s="312">
        <f t="shared" si="3"/>
        <v>4.1116924411959755E-4</v>
      </c>
      <c r="F57" s="398">
        <f t="shared" si="4"/>
        <v>23230.905106342732</v>
      </c>
      <c r="G57" s="312">
        <f t="shared" si="5"/>
        <v>4.1112904691624187E-4</v>
      </c>
      <c r="H57" s="398">
        <v>0</v>
      </c>
      <c r="I57" s="312">
        <f t="shared" si="6"/>
        <v>0</v>
      </c>
      <c r="J57" s="457" t="e">
        <f t="shared" si="20"/>
        <v>#DIV/0!</v>
      </c>
      <c r="K57" s="369" t="e">
        <f t="shared" si="44"/>
        <v>#DIV/0!</v>
      </c>
      <c r="L57" s="404" t="e">
        <f t="shared" si="21"/>
        <v>#DIV/0!</v>
      </c>
      <c r="M57" s="312" t="e">
        <f t="shared" si="22"/>
        <v>#DIV/0!</v>
      </c>
      <c r="N57" s="454">
        <f t="shared" si="23"/>
        <v>19415.446912041356</v>
      </c>
      <c r="O57" s="312">
        <f t="shared" si="24"/>
        <v>3.6119932665840533E-4</v>
      </c>
      <c r="P57" s="404" t="e">
        <f t="shared" si="25"/>
        <v>#DIV/0!</v>
      </c>
      <c r="Q57" s="312" t="e">
        <f t="shared" si="33"/>
        <v>#DIV/0!</v>
      </c>
      <c r="R57" s="454" t="e">
        <f t="shared" si="26"/>
        <v>#DIV/0!</v>
      </c>
      <c r="S57" s="312" t="e">
        <f t="shared" si="27"/>
        <v>#DIV/0!</v>
      </c>
      <c r="T57" s="454" t="e">
        <f t="shared" si="28"/>
        <v>#DIV/0!</v>
      </c>
      <c r="U57" s="312" t="e">
        <f t="shared" si="29"/>
        <v>#DIV/0!</v>
      </c>
      <c r="V57" s="454">
        <f t="shared" si="30"/>
        <v>0</v>
      </c>
      <c r="W57" s="312">
        <f t="shared" si="43"/>
        <v>-1.00000102226493</v>
      </c>
      <c r="X57" s="454">
        <f t="shared" si="31"/>
        <v>0</v>
      </c>
      <c r="Y57" s="312">
        <f t="shared" si="9"/>
        <v>-1</v>
      </c>
      <c r="Z57" s="674">
        <f t="shared" si="10"/>
        <v>0</v>
      </c>
      <c r="AA57" s="297"/>
      <c r="AB57" s="379">
        <f t="shared" si="10"/>
        <v>0</v>
      </c>
      <c r="AC57" s="297"/>
      <c r="AD57" s="413">
        <f t="shared" si="11"/>
        <v>0</v>
      </c>
      <c r="AE57" s="297"/>
      <c r="AG57" s="400" t="e">
        <f t="shared" si="12"/>
        <v>#DIV/0!</v>
      </c>
      <c r="AH57" s="401">
        <f t="shared" si="13"/>
        <v>0</v>
      </c>
      <c r="AI57" s="407">
        <f t="shared" si="14"/>
        <v>0</v>
      </c>
      <c r="AJ57" s="498"/>
      <c r="AK57" s="502">
        <f t="shared" si="15"/>
        <v>0</v>
      </c>
      <c r="AL57" s="503" t="e">
        <f t="shared" si="16"/>
        <v>#DIV/0!</v>
      </c>
      <c r="AM57" s="504" t="e">
        <f>AG57-AK57-AO57</f>
        <v>#DIV/0!</v>
      </c>
      <c r="AN57" s="503" t="e">
        <f t="shared" si="17"/>
        <v>#DIV/0!</v>
      </c>
      <c r="AO57" s="502">
        <f t="shared" si="18"/>
        <v>0</v>
      </c>
      <c r="AP57" s="503" t="e">
        <f t="shared" si="19"/>
        <v>#DIV/0!</v>
      </c>
      <c r="AQ57" s="402"/>
      <c r="AR57" s="110">
        <v>46054</v>
      </c>
      <c r="AS57" s="98">
        <f t="shared" si="41"/>
        <v>0</v>
      </c>
      <c r="AT57" s="98">
        <f t="shared" si="42"/>
        <v>0</v>
      </c>
      <c r="AU57" s="98"/>
      <c r="AV57" s="308"/>
      <c r="AW57" s="308"/>
      <c r="AX57" s="308"/>
      <c r="AY57" s="403"/>
      <c r="AZ57" s="403"/>
      <c r="BA57" s="403"/>
      <c r="BB57" s="403"/>
      <c r="BD57" s="683"/>
      <c r="BE57" s="198"/>
      <c r="BF57" s="679"/>
      <c r="BG57" s="376"/>
      <c r="BH57" s="376"/>
      <c r="BI57" s="376"/>
      <c r="BJ57" s="376"/>
    </row>
    <row r="58" spans="1:62">
      <c r="A58" s="295">
        <v>45371</v>
      </c>
      <c r="B58" s="398">
        <v>215755.21</v>
      </c>
      <c r="C58" s="312">
        <f t="shared" si="1"/>
        <v>4.114554306591034E-4</v>
      </c>
      <c r="D58" s="398">
        <v>114674.4</v>
      </c>
      <c r="E58" s="312">
        <f t="shared" si="3"/>
        <v>4.1128292519603579E-4</v>
      </c>
      <c r="F58" s="398">
        <v>23240.47</v>
      </c>
      <c r="G58" s="312">
        <f t="shared" si="5"/>
        <v>4.1173142473288041E-4</v>
      </c>
      <c r="H58" s="398">
        <v>0</v>
      </c>
      <c r="I58" s="312">
        <f t="shared" si="6"/>
        <v>0</v>
      </c>
      <c r="J58" s="457" t="e">
        <f t="shared" si="20"/>
        <v>#DIV/0!</v>
      </c>
      <c r="K58" s="369" t="e">
        <f t="shared" si="44"/>
        <v>#DIV/0!</v>
      </c>
      <c r="L58" s="404" t="e">
        <f t="shared" si="21"/>
        <v>#DIV/0!</v>
      </c>
      <c r="M58" s="312" t="e">
        <f t="shared" si="22"/>
        <v>#DIV/0!</v>
      </c>
      <c r="N58" s="454">
        <f t="shared" si="23"/>
        <v>19422.459758392757</v>
      </c>
      <c r="O58" s="312">
        <f t="shared" si="24"/>
        <v>3.6119932665839205E-4</v>
      </c>
      <c r="P58" s="404" t="e">
        <f t="shared" si="25"/>
        <v>#DIV/0!</v>
      </c>
      <c r="Q58" s="312" t="e">
        <f t="shared" si="33"/>
        <v>#DIV/0!</v>
      </c>
      <c r="R58" s="454" t="e">
        <f t="shared" si="26"/>
        <v>#DIV/0!</v>
      </c>
      <c r="S58" s="312" t="e">
        <f t="shared" si="27"/>
        <v>#DIV/0!</v>
      </c>
      <c r="T58" s="454" t="e">
        <f t="shared" si="28"/>
        <v>#DIV/0!</v>
      </c>
      <c r="U58" s="312" t="e">
        <f t="shared" si="29"/>
        <v>#DIV/0!</v>
      </c>
      <c r="V58" s="454">
        <f t="shared" si="30"/>
        <v>0</v>
      </c>
      <c r="W58" s="312">
        <f>(V58-(399.77+264.983+391.15+390.7+774.22+382.15+331.69+727.41))/(399.77+264.98+391.15+390.7+774.22+382.15+331.69+727.41)</f>
        <v>-1.0000008192088081</v>
      </c>
      <c r="X58" s="454">
        <f t="shared" si="31"/>
        <v>0</v>
      </c>
      <c r="Y58" s="312">
        <f t="shared" si="9"/>
        <v>-1</v>
      </c>
      <c r="Z58" s="674">
        <f t="shared" si="10"/>
        <v>0</v>
      </c>
      <c r="AA58" s="329"/>
      <c r="AB58" s="379">
        <f t="shared" si="10"/>
        <v>0</v>
      </c>
      <c r="AC58" s="329"/>
      <c r="AD58" s="413">
        <f t="shared" si="11"/>
        <v>0</v>
      </c>
      <c r="AE58" s="329"/>
      <c r="AG58" s="400" t="e">
        <f t="shared" si="12"/>
        <v>#DIV/0!</v>
      </c>
      <c r="AH58" s="401">
        <f t="shared" si="13"/>
        <v>0</v>
      </c>
      <c r="AI58" s="407">
        <f t="shared" si="14"/>
        <v>0</v>
      </c>
      <c r="AJ58" s="498"/>
      <c r="AK58" s="502">
        <f t="shared" si="15"/>
        <v>0</v>
      </c>
      <c r="AL58" s="503" t="e">
        <f t="shared" si="16"/>
        <v>#DIV/0!</v>
      </c>
      <c r="AM58" s="504" t="e">
        <f>AG58-AK58-AO58</f>
        <v>#DIV/0!</v>
      </c>
      <c r="AN58" s="503" t="e">
        <f t="shared" si="17"/>
        <v>#DIV/0!</v>
      </c>
      <c r="AO58" s="502">
        <f t="shared" si="18"/>
        <v>0</v>
      </c>
      <c r="AP58" s="503" t="e">
        <f t="shared" si="19"/>
        <v>#DIV/0!</v>
      </c>
      <c r="AQ58" s="402"/>
      <c r="AR58" s="425">
        <v>46082</v>
      </c>
      <c r="AS58" s="98">
        <f t="shared" si="41"/>
        <v>0</v>
      </c>
      <c r="AT58" s="98">
        <f t="shared" si="42"/>
        <v>0</v>
      </c>
      <c r="AU58" s="98"/>
      <c r="AV58" s="308"/>
      <c r="AW58" s="308"/>
      <c r="AX58" s="308"/>
      <c r="AY58" s="403"/>
      <c r="AZ58" s="403"/>
      <c r="BA58" s="403"/>
      <c r="BB58" s="403"/>
      <c r="BD58" s="198"/>
      <c r="BE58" s="198"/>
      <c r="BF58" s="198"/>
      <c r="BG58" s="198"/>
      <c r="BH58" s="198"/>
      <c r="BI58" s="198"/>
      <c r="BJ58" s="679"/>
    </row>
    <row r="59" spans="1:62">
      <c r="A59" s="295">
        <v>45372</v>
      </c>
      <c r="B59" s="398">
        <v>215843.92</v>
      </c>
      <c r="C59" s="312">
        <f t="shared" si="1"/>
        <v>4.1116040720416881E-4</v>
      </c>
      <c r="D59" s="398">
        <v>114721.55</v>
      </c>
      <c r="E59" s="312">
        <f t="shared" si="3"/>
        <v>4.1116413079125537E-4</v>
      </c>
      <c r="F59" s="398">
        <v>23250.03</v>
      </c>
      <c r="G59" s="312">
        <f t="shared" si="5"/>
        <v>4.1135140554376357E-4</v>
      </c>
      <c r="H59" s="398">
        <v>0</v>
      </c>
      <c r="I59" s="312">
        <f t="shared" si="6"/>
        <v>0</v>
      </c>
      <c r="J59" s="457" t="e">
        <f t="shared" si="20"/>
        <v>#DIV/0!</v>
      </c>
      <c r="K59" s="369" t="e">
        <f>(J59+727.41+1680+140+12-174-J58)/J58</f>
        <v>#DIV/0!</v>
      </c>
      <c r="L59" s="404" t="e">
        <f t="shared" si="21"/>
        <v>#DIV/0!</v>
      </c>
      <c r="M59" s="312" t="e">
        <f t="shared" si="22"/>
        <v>#DIV/0!</v>
      </c>
      <c r="N59" s="454">
        <f t="shared" si="23"/>
        <v>19429.475137779536</v>
      </c>
      <c r="O59" s="312">
        <f t="shared" si="24"/>
        <v>3.6119932665829973E-4</v>
      </c>
      <c r="P59" s="404" t="e">
        <f t="shared" si="25"/>
        <v>#DIV/0!</v>
      </c>
      <c r="Q59" s="312" t="e">
        <f t="shared" si="33"/>
        <v>#DIV/0!</v>
      </c>
      <c r="R59" s="454" t="e">
        <f t="shared" si="26"/>
        <v>#DIV/0!</v>
      </c>
      <c r="S59" s="312" t="e">
        <f t="shared" si="27"/>
        <v>#DIV/0!</v>
      </c>
      <c r="T59" s="454" t="e">
        <f t="shared" si="28"/>
        <v>#DIV/0!</v>
      </c>
      <c r="U59" s="312" t="e">
        <f t="shared" si="29"/>
        <v>#DIV/0!</v>
      </c>
      <c r="V59" s="454">
        <f t="shared" si="30"/>
        <v>0</v>
      </c>
      <c r="W59" s="312">
        <f t="shared" ref="W59:W74" si="45">(V59-(399.77+264.983+391.15+390.7+774.22+382.15+331.69+727.41))/(399.77+264.98+391.15+390.7+774.22+382.15+331.69+727.41)</f>
        <v>-1.0000008192088081</v>
      </c>
      <c r="X59" s="454">
        <f t="shared" si="31"/>
        <v>0</v>
      </c>
      <c r="Y59" s="312">
        <f t="shared" si="9"/>
        <v>-1</v>
      </c>
      <c r="Z59" s="674">
        <f t="shared" si="10"/>
        <v>0</v>
      </c>
      <c r="AA59" s="297"/>
      <c r="AB59" s="379">
        <f t="shared" si="10"/>
        <v>0</v>
      </c>
      <c r="AC59" s="297"/>
      <c r="AD59" s="413">
        <f t="shared" si="11"/>
        <v>0</v>
      </c>
      <c r="AE59" s="297"/>
      <c r="AG59" s="400" t="e">
        <f t="shared" si="12"/>
        <v>#DIV/0!</v>
      </c>
      <c r="AH59" s="401">
        <f t="shared" si="13"/>
        <v>0</v>
      </c>
      <c r="AI59" s="407">
        <f t="shared" si="14"/>
        <v>0</v>
      </c>
      <c r="AJ59" s="498"/>
      <c r="AK59" s="502">
        <f t="shared" si="15"/>
        <v>0</v>
      </c>
      <c r="AL59" s="503" t="e">
        <f t="shared" si="16"/>
        <v>#DIV/0!</v>
      </c>
      <c r="AM59" s="504" t="e">
        <f>AG59-AK59-AO59</f>
        <v>#DIV/0!</v>
      </c>
      <c r="AN59" s="503" t="e">
        <f t="shared" si="17"/>
        <v>#DIV/0!</v>
      </c>
      <c r="AO59" s="502">
        <f t="shared" si="18"/>
        <v>0</v>
      </c>
      <c r="AP59" s="503" t="e">
        <f t="shared" si="19"/>
        <v>#DIV/0!</v>
      </c>
      <c r="AQ59" s="402"/>
      <c r="AR59" s="110">
        <v>46113</v>
      </c>
      <c r="AS59" s="98">
        <f t="shared" si="41"/>
        <v>0</v>
      </c>
      <c r="AT59" s="98">
        <f t="shared" si="42"/>
        <v>0</v>
      </c>
      <c r="AU59" s="98"/>
      <c r="AV59" s="308"/>
      <c r="AW59" s="308"/>
      <c r="AX59" s="308"/>
      <c r="AY59" s="403"/>
      <c r="AZ59" s="403"/>
      <c r="BA59" s="403"/>
      <c r="BB59" s="403"/>
      <c r="BD59" s="198"/>
      <c r="BE59" s="198"/>
      <c r="BF59" s="198"/>
      <c r="BG59" s="198"/>
      <c r="BH59" s="682"/>
      <c r="BI59" s="198"/>
      <c r="BJ59" s="679"/>
    </row>
    <row r="60" spans="1:62">
      <c r="A60" s="295">
        <v>45373</v>
      </c>
      <c r="B60" s="398">
        <v>215928.89</v>
      </c>
      <c r="C60" s="312">
        <f t="shared" si="1"/>
        <v>3.9366408838387092E-4</v>
      </c>
      <c r="D60" s="398">
        <v>114766.72</v>
      </c>
      <c r="E60" s="312">
        <f t="shared" si="3"/>
        <v>3.9373596329545977E-4</v>
      </c>
      <c r="F60" s="398">
        <v>23259.17</v>
      </c>
      <c r="G60" s="312">
        <f t="shared" si="5"/>
        <v>3.9311777232112899E-4</v>
      </c>
      <c r="H60" s="398">
        <v>0</v>
      </c>
      <c r="I60" s="312">
        <f t="shared" si="6"/>
        <v>0</v>
      </c>
      <c r="J60" s="457" t="e">
        <f t="shared" si="20"/>
        <v>#DIV/0!</v>
      </c>
      <c r="K60" s="369" t="e">
        <f>(J60+1758.2-228.84-J59)/J59</f>
        <v>#DIV/0!</v>
      </c>
      <c r="L60" s="404" t="e">
        <f t="shared" si="21"/>
        <v>#DIV/0!</v>
      </c>
      <c r="M60" s="312" t="e">
        <f t="shared" si="22"/>
        <v>#DIV/0!</v>
      </c>
      <c r="N60" s="454">
        <f t="shared" si="23"/>
        <v>19436.493051116628</v>
      </c>
      <c r="O60" s="312">
        <f t="shared" si="24"/>
        <v>3.6119932665835193E-4</v>
      </c>
      <c r="P60" s="404" t="e">
        <f t="shared" si="25"/>
        <v>#DIV/0!</v>
      </c>
      <c r="Q60" s="312" t="e">
        <f t="shared" si="33"/>
        <v>#DIV/0!</v>
      </c>
      <c r="R60" s="454" t="e">
        <f t="shared" si="26"/>
        <v>#DIV/0!</v>
      </c>
      <c r="S60" s="312" t="e">
        <f t="shared" si="27"/>
        <v>#DIV/0!</v>
      </c>
      <c r="T60" s="454" t="e">
        <f t="shared" si="28"/>
        <v>#DIV/0!</v>
      </c>
      <c r="U60" s="312" t="e">
        <f t="shared" si="29"/>
        <v>#DIV/0!</v>
      </c>
      <c r="V60" s="454">
        <f t="shared" si="30"/>
        <v>0</v>
      </c>
      <c r="W60" s="312">
        <f t="shared" si="45"/>
        <v>-1.0000008192088081</v>
      </c>
      <c r="X60" s="454">
        <f t="shared" si="31"/>
        <v>0</v>
      </c>
      <c r="Y60" s="312">
        <f t="shared" si="9"/>
        <v>-1</v>
      </c>
      <c r="Z60" s="674">
        <f t="shared" si="10"/>
        <v>0</v>
      </c>
      <c r="AA60" s="329"/>
      <c r="AB60" s="379">
        <f t="shared" si="10"/>
        <v>0</v>
      </c>
      <c r="AC60" s="329"/>
      <c r="AD60" s="413">
        <f t="shared" si="11"/>
        <v>0</v>
      </c>
      <c r="AE60" s="329"/>
      <c r="AF60" s="287"/>
      <c r="AG60" s="400" t="e">
        <f t="shared" si="12"/>
        <v>#DIV/0!</v>
      </c>
      <c r="AH60" s="401">
        <f t="shared" si="13"/>
        <v>0</v>
      </c>
      <c r="AI60" s="407">
        <f t="shared" si="14"/>
        <v>0</v>
      </c>
      <c r="AJ60" s="498"/>
      <c r="AK60" s="502">
        <f t="shared" si="15"/>
        <v>0</v>
      </c>
      <c r="AL60" s="503" t="e">
        <f t="shared" si="16"/>
        <v>#DIV/0!</v>
      </c>
      <c r="AM60" s="504" t="e">
        <f>AG60-AK60-AO60</f>
        <v>#DIV/0!</v>
      </c>
      <c r="AN60" s="503" t="e">
        <f t="shared" si="17"/>
        <v>#DIV/0!</v>
      </c>
      <c r="AO60" s="502">
        <f t="shared" si="18"/>
        <v>0</v>
      </c>
      <c r="AP60" s="503" t="e">
        <f t="shared" si="19"/>
        <v>#DIV/0!</v>
      </c>
      <c r="AQ60" s="402"/>
      <c r="AR60" s="110">
        <v>46143</v>
      </c>
      <c r="AS60" s="98">
        <f t="shared" si="41"/>
        <v>0</v>
      </c>
      <c r="AT60" s="98">
        <f t="shared" si="42"/>
        <v>0</v>
      </c>
      <c r="AU60" s="98"/>
      <c r="AV60" s="308"/>
      <c r="AW60" s="308"/>
      <c r="AX60" s="308"/>
      <c r="AY60" s="403"/>
      <c r="AZ60" s="403"/>
      <c r="BA60" s="403"/>
      <c r="BB60" s="403"/>
      <c r="BD60" s="198"/>
      <c r="BE60" s="198"/>
      <c r="BF60" s="198"/>
      <c r="BG60" s="198"/>
      <c r="BH60" s="198"/>
      <c r="BI60" s="198"/>
      <c r="BJ60" s="679"/>
    </row>
    <row r="61" spans="1:62">
      <c r="A61" s="295">
        <v>45376</v>
      </c>
      <c r="B61" s="398">
        <f t="shared" si="0"/>
        <v>216013.8934496376</v>
      </c>
      <c r="C61" s="312">
        <f t="shared" si="1"/>
        <v>3.9366408838385796E-4</v>
      </c>
      <c r="D61" s="398">
        <v>114811.9</v>
      </c>
      <c r="E61" s="312">
        <f t="shared" si="3"/>
        <v>3.9366812957617868E-4</v>
      </c>
      <c r="F61" s="398">
        <v>23268.34</v>
      </c>
      <c r="G61" s="312">
        <f t="shared" si="5"/>
        <v>3.9425310533445053E-4</v>
      </c>
      <c r="H61" s="398">
        <v>0</v>
      </c>
      <c r="I61" s="312">
        <f t="shared" si="6"/>
        <v>0</v>
      </c>
      <c r="J61" s="457" t="e">
        <f t="shared" si="20"/>
        <v>#DIV/0!</v>
      </c>
      <c r="K61" s="369" t="e">
        <f>(J61+75-J60)/J60</f>
        <v>#DIV/0!</v>
      </c>
      <c r="L61" s="404" t="e">
        <f t="shared" si="21"/>
        <v>#DIV/0!</v>
      </c>
      <c r="M61" s="312" t="e">
        <f t="shared" si="22"/>
        <v>#DIV/0!</v>
      </c>
      <c r="N61" s="454">
        <f t="shared" si="23"/>
        <v>19443.513499319291</v>
      </c>
      <c r="O61" s="312">
        <f t="shared" si="24"/>
        <v>3.611993266583914E-4</v>
      </c>
      <c r="P61" s="404" t="e">
        <f t="shared" si="25"/>
        <v>#DIV/0!</v>
      </c>
      <c r="Q61" s="312" t="e">
        <f t="shared" si="33"/>
        <v>#DIV/0!</v>
      </c>
      <c r="R61" s="454" t="e">
        <f t="shared" si="26"/>
        <v>#DIV/0!</v>
      </c>
      <c r="S61" s="312" t="e">
        <f t="shared" si="27"/>
        <v>#DIV/0!</v>
      </c>
      <c r="T61" s="454" t="e">
        <f t="shared" si="28"/>
        <v>#DIV/0!</v>
      </c>
      <c r="U61" s="312" t="e">
        <f t="shared" si="29"/>
        <v>#DIV/0!</v>
      </c>
      <c r="V61" s="454">
        <f t="shared" si="30"/>
        <v>0</v>
      </c>
      <c r="W61" s="312">
        <f t="shared" si="45"/>
        <v>-1.0000008192088081</v>
      </c>
      <c r="X61" s="454">
        <f t="shared" si="31"/>
        <v>0</v>
      </c>
      <c r="Y61" s="312">
        <f t="shared" si="9"/>
        <v>-1</v>
      </c>
      <c r="Z61" s="674">
        <f t="shared" si="10"/>
        <v>0</v>
      </c>
      <c r="AA61" s="297"/>
      <c r="AB61" s="379">
        <f t="shared" si="10"/>
        <v>0</v>
      </c>
      <c r="AC61" s="297"/>
      <c r="AD61" s="413">
        <f t="shared" si="11"/>
        <v>0</v>
      </c>
      <c r="AE61" s="297"/>
      <c r="AG61" s="400" t="e">
        <f t="shared" si="12"/>
        <v>#DIV/0!</v>
      </c>
      <c r="AH61" s="401">
        <f t="shared" si="13"/>
        <v>0</v>
      </c>
      <c r="AI61" s="407">
        <f t="shared" si="14"/>
        <v>0</v>
      </c>
      <c r="AJ61" s="498"/>
      <c r="AK61" s="502">
        <f t="shared" si="15"/>
        <v>0</v>
      </c>
      <c r="AL61" s="503" t="e">
        <f t="shared" si="16"/>
        <v>#DIV/0!</v>
      </c>
      <c r="AM61" s="504" t="e">
        <f>AG61-AK61-AO61</f>
        <v>#DIV/0!</v>
      </c>
      <c r="AN61" s="503" t="e">
        <f t="shared" si="17"/>
        <v>#DIV/0!</v>
      </c>
      <c r="AO61" s="502">
        <f t="shared" si="18"/>
        <v>0</v>
      </c>
      <c r="AP61" s="503" t="e">
        <f t="shared" si="19"/>
        <v>#DIV/0!</v>
      </c>
      <c r="AQ61" s="402"/>
      <c r="AR61" s="110">
        <v>46174</v>
      </c>
      <c r="AS61" s="98">
        <f t="shared" si="41"/>
        <v>0</v>
      </c>
      <c r="AT61" s="98">
        <f t="shared" si="42"/>
        <v>0</v>
      </c>
      <c r="AU61" s="98"/>
      <c r="AV61" s="308"/>
      <c r="AW61" s="308"/>
      <c r="AX61" s="308"/>
      <c r="AY61" s="403"/>
      <c r="AZ61" s="403"/>
      <c r="BA61" s="403"/>
      <c r="BB61" s="403"/>
      <c r="BD61" s="198"/>
      <c r="BE61" s="198"/>
      <c r="BF61" s="198"/>
      <c r="BG61" s="198"/>
      <c r="BH61" s="198"/>
      <c r="BI61" s="198"/>
      <c r="BJ61" s="679"/>
    </row>
    <row r="62" spans="1:62">
      <c r="A62" s="295">
        <v>45377</v>
      </c>
      <c r="B62" s="398">
        <f t="shared" si="0"/>
        <v>216098.93036208069</v>
      </c>
      <c r="C62" s="312">
        <f t="shared" si="1"/>
        <v>3.9366408838380142E-4</v>
      </c>
      <c r="D62" s="398">
        <f t="shared" si="2"/>
        <v>114857.09778592607</v>
      </c>
      <c r="E62" s="312">
        <f t="shared" si="3"/>
        <v>3.9366812957612008E-4</v>
      </c>
      <c r="F62" s="398">
        <f t="shared" si="4"/>
        <v>23277.513615300977</v>
      </c>
      <c r="G62" s="312">
        <f t="shared" si="5"/>
        <v>3.9425310533441416E-4</v>
      </c>
      <c r="H62" s="398">
        <v>0</v>
      </c>
      <c r="I62" s="312">
        <f t="shared" si="6"/>
        <v>0</v>
      </c>
      <c r="J62" s="457" t="e">
        <f t="shared" si="20"/>
        <v>#DIV/0!</v>
      </c>
      <c r="K62" s="369" t="e">
        <f>(J62-2000-140-J61)/J61</f>
        <v>#DIV/0!</v>
      </c>
      <c r="L62" s="404" t="e">
        <f t="shared" si="21"/>
        <v>#DIV/0!</v>
      </c>
      <c r="M62" s="312" t="e">
        <f t="shared" si="22"/>
        <v>#DIV/0!</v>
      </c>
      <c r="N62" s="454">
        <f t="shared" si="23"/>
        <v>19450.53648330312</v>
      </c>
      <c r="O62" s="312">
        <f t="shared" si="24"/>
        <v>3.6119932665844187E-4</v>
      </c>
      <c r="P62" s="404" t="e">
        <f t="shared" si="25"/>
        <v>#DIV/0!</v>
      </c>
      <c r="Q62" s="312" t="e">
        <f t="shared" si="33"/>
        <v>#DIV/0!</v>
      </c>
      <c r="R62" s="454" t="e">
        <f t="shared" si="26"/>
        <v>#DIV/0!</v>
      </c>
      <c r="S62" s="312" t="e">
        <f t="shared" si="27"/>
        <v>#DIV/0!</v>
      </c>
      <c r="T62" s="454" t="e">
        <f t="shared" si="28"/>
        <v>#DIV/0!</v>
      </c>
      <c r="U62" s="312" t="e">
        <f t="shared" si="29"/>
        <v>#DIV/0!</v>
      </c>
      <c r="V62" s="454">
        <f t="shared" si="30"/>
        <v>0</v>
      </c>
      <c r="W62" s="312">
        <f t="shared" si="45"/>
        <v>-1.0000008192088081</v>
      </c>
      <c r="X62" s="454">
        <f t="shared" si="31"/>
        <v>0</v>
      </c>
      <c r="Y62" s="312">
        <f t="shared" si="9"/>
        <v>-1</v>
      </c>
      <c r="Z62" s="674">
        <f t="shared" si="10"/>
        <v>0</v>
      </c>
      <c r="AA62" s="329"/>
      <c r="AB62" s="379">
        <f t="shared" si="10"/>
        <v>0</v>
      </c>
      <c r="AC62" s="329"/>
      <c r="AD62" s="413">
        <f t="shared" si="11"/>
        <v>0</v>
      </c>
      <c r="AE62" s="329"/>
      <c r="AG62" s="400" t="e">
        <f t="shared" si="12"/>
        <v>#DIV/0!</v>
      </c>
      <c r="AH62" s="401">
        <f t="shared" si="13"/>
        <v>0</v>
      </c>
      <c r="AI62" s="407">
        <f t="shared" si="14"/>
        <v>0</v>
      </c>
      <c r="AJ62" s="498"/>
      <c r="AK62" s="502">
        <f t="shared" si="15"/>
        <v>0</v>
      </c>
      <c r="AL62" s="503" t="e">
        <f t="shared" si="16"/>
        <v>#DIV/0!</v>
      </c>
      <c r="AM62" s="504" t="e">
        <f>AG62-AK62-AO62</f>
        <v>#DIV/0!</v>
      </c>
      <c r="AN62" s="503" t="e">
        <f t="shared" si="17"/>
        <v>#DIV/0!</v>
      </c>
      <c r="AO62" s="502">
        <f t="shared" si="18"/>
        <v>0</v>
      </c>
      <c r="AP62" s="503" t="e">
        <f t="shared" si="19"/>
        <v>#DIV/0!</v>
      </c>
      <c r="AQ62" s="402"/>
      <c r="AR62" s="110">
        <v>46204</v>
      </c>
      <c r="AS62" s="98">
        <f t="shared" si="41"/>
        <v>0</v>
      </c>
      <c r="AT62" s="98">
        <f t="shared" si="42"/>
        <v>0</v>
      </c>
      <c r="AU62" s="98"/>
      <c r="AV62" s="308"/>
      <c r="AW62" s="308"/>
      <c r="AX62" s="308"/>
      <c r="AY62" s="403"/>
      <c r="AZ62" s="403"/>
      <c r="BA62" s="403"/>
      <c r="BB62" s="403"/>
      <c r="BD62" s="198"/>
      <c r="BE62" s="198"/>
      <c r="BF62" s="198"/>
      <c r="BG62" s="198"/>
      <c r="BH62" s="198"/>
      <c r="BI62" s="198"/>
      <c r="BJ62" s="679"/>
    </row>
    <row r="63" spans="1:62">
      <c r="A63" s="295">
        <v>45378</v>
      </c>
      <c r="B63" s="398">
        <f t="shared" si="0"/>
        <v>216184.0007505024</v>
      </c>
      <c r="C63" s="312">
        <f t="shared" si="1"/>
        <v>3.9366408838382104E-4</v>
      </c>
      <c r="D63" s="398">
        <f t="shared" si="2"/>
        <v>114902.31336478</v>
      </c>
      <c r="E63" s="312">
        <f t="shared" si="3"/>
        <v>3.9366812957609314E-4</v>
      </c>
      <c r="F63" s="398">
        <f t="shared" si="4"/>
        <v>23286.690847328275</v>
      </c>
      <c r="G63" s="312">
        <f t="shared" si="5"/>
        <v>3.9425310533445975E-4</v>
      </c>
      <c r="H63" s="398">
        <v>0</v>
      </c>
      <c r="I63" s="312">
        <f t="shared" si="6"/>
        <v>0</v>
      </c>
      <c r="J63" s="457" t="e">
        <f t="shared" si="20"/>
        <v>#DIV/0!</v>
      </c>
      <c r="K63" s="369" t="e">
        <f t="shared" si="44"/>
        <v>#DIV/0!</v>
      </c>
      <c r="L63" s="404" t="e">
        <f t="shared" si="21"/>
        <v>#DIV/0!</v>
      </c>
      <c r="M63" s="312" t="e">
        <f t="shared" si="22"/>
        <v>#DIV/0!</v>
      </c>
      <c r="N63" s="454">
        <f t="shared" si="23"/>
        <v>19457.562003984036</v>
      </c>
      <c r="O63" s="312">
        <f t="shared" si="24"/>
        <v>3.6119932665852123E-4</v>
      </c>
      <c r="P63" s="404" t="e">
        <f t="shared" si="25"/>
        <v>#DIV/0!</v>
      </c>
      <c r="Q63" s="312" t="e">
        <f t="shared" si="33"/>
        <v>#DIV/0!</v>
      </c>
      <c r="R63" s="454" t="e">
        <f t="shared" si="26"/>
        <v>#DIV/0!</v>
      </c>
      <c r="S63" s="312" t="e">
        <f t="shared" si="27"/>
        <v>#DIV/0!</v>
      </c>
      <c r="T63" s="454" t="e">
        <f t="shared" si="28"/>
        <v>#DIV/0!</v>
      </c>
      <c r="U63" s="312" t="e">
        <f t="shared" si="29"/>
        <v>#DIV/0!</v>
      </c>
      <c r="V63" s="454">
        <f t="shared" si="30"/>
        <v>0</v>
      </c>
      <c r="W63" s="312">
        <f t="shared" si="45"/>
        <v>-1.0000008192088081</v>
      </c>
      <c r="X63" s="454">
        <f t="shared" si="31"/>
        <v>0</v>
      </c>
      <c r="Y63" s="312">
        <f t="shared" si="9"/>
        <v>-1</v>
      </c>
      <c r="Z63" s="674">
        <f t="shared" si="10"/>
        <v>0</v>
      </c>
      <c r="AA63" s="297"/>
      <c r="AB63" s="379">
        <f t="shared" si="10"/>
        <v>0</v>
      </c>
      <c r="AC63" s="297"/>
      <c r="AD63" s="413">
        <f t="shared" si="11"/>
        <v>0</v>
      </c>
      <c r="AE63" s="297"/>
      <c r="AG63" s="400" t="e">
        <f t="shared" si="12"/>
        <v>#DIV/0!</v>
      </c>
      <c r="AH63" s="401">
        <f t="shared" si="13"/>
        <v>0</v>
      </c>
      <c r="AI63" s="407">
        <f t="shared" si="14"/>
        <v>0</v>
      </c>
      <c r="AJ63" s="498"/>
      <c r="AK63" s="502">
        <f t="shared" si="15"/>
        <v>0</v>
      </c>
      <c r="AL63" s="503" t="e">
        <f t="shared" si="16"/>
        <v>#DIV/0!</v>
      </c>
      <c r="AM63" s="504" t="e">
        <f>AG63-AK63-AO63</f>
        <v>#DIV/0!</v>
      </c>
      <c r="AN63" s="503" t="e">
        <f t="shared" si="17"/>
        <v>#DIV/0!</v>
      </c>
      <c r="AO63" s="502">
        <f t="shared" si="18"/>
        <v>0</v>
      </c>
      <c r="AP63" s="503" t="e">
        <f t="shared" si="19"/>
        <v>#DIV/0!</v>
      </c>
      <c r="AQ63" s="402"/>
      <c r="AR63" s="110">
        <v>46235</v>
      </c>
      <c r="AS63" s="98">
        <f t="shared" si="41"/>
        <v>0</v>
      </c>
      <c r="AT63" s="98">
        <f t="shared" si="42"/>
        <v>0</v>
      </c>
      <c r="AU63" s="98"/>
      <c r="AV63" s="308"/>
      <c r="AW63" s="308"/>
      <c r="AX63" s="308"/>
      <c r="AY63" s="403"/>
      <c r="AZ63" s="403"/>
      <c r="BA63" s="403"/>
      <c r="BB63" s="403"/>
      <c r="BD63" s="198"/>
      <c r="BE63" s="198"/>
      <c r="BF63" s="198"/>
      <c r="BG63" s="198"/>
      <c r="BH63" s="198"/>
      <c r="BI63" s="198"/>
      <c r="BJ63" s="679"/>
    </row>
    <row r="64" spans="1:62">
      <c r="A64" s="295">
        <v>45379</v>
      </c>
      <c r="B64" s="398">
        <v>216269.09</v>
      </c>
      <c r="C64" s="312">
        <f t="shared" si="1"/>
        <v>3.9359642342728696E-4</v>
      </c>
      <c r="D64" s="398">
        <v>114947.53</v>
      </c>
      <c r="E64" s="312">
        <f t="shared" si="3"/>
        <v>3.9352240956586374E-4</v>
      </c>
      <c r="F64" s="398">
        <v>23295.82</v>
      </c>
      <c r="G64" s="312">
        <f t="shared" si="5"/>
        <v>3.9203306006754617E-4</v>
      </c>
      <c r="H64" s="398">
        <v>0</v>
      </c>
      <c r="I64" s="312">
        <f t="shared" si="6"/>
        <v>0</v>
      </c>
      <c r="J64" s="457" t="e">
        <f t="shared" si="20"/>
        <v>#DIV/0!</v>
      </c>
      <c r="K64" s="369" t="e">
        <f t="shared" si="44"/>
        <v>#DIV/0!</v>
      </c>
      <c r="L64" s="404" t="e">
        <f t="shared" si="21"/>
        <v>#DIV/0!</v>
      </c>
      <c r="M64" s="312" t="e">
        <f t="shared" si="22"/>
        <v>#DIV/0!</v>
      </c>
      <c r="N64" s="454">
        <v>19464.490000000002</v>
      </c>
      <c r="O64" s="312">
        <f t="shared" si="24"/>
        <v>3.560567359131157E-4</v>
      </c>
      <c r="P64" s="404" t="e">
        <f t="shared" si="25"/>
        <v>#DIV/0!</v>
      </c>
      <c r="Q64" s="312" t="e">
        <f t="shared" si="33"/>
        <v>#DIV/0!</v>
      </c>
      <c r="R64" s="454" t="e">
        <f t="shared" si="26"/>
        <v>#DIV/0!</v>
      </c>
      <c r="S64" s="312" t="e">
        <f t="shared" si="27"/>
        <v>#DIV/0!</v>
      </c>
      <c r="T64" s="454" t="e">
        <f t="shared" si="28"/>
        <v>#DIV/0!</v>
      </c>
      <c r="U64" s="312" t="e">
        <f t="shared" si="29"/>
        <v>#DIV/0!</v>
      </c>
      <c r="V64" s="454">
        <f t="shared" si="30"/>
        <v>0</v>
      </c>
      <c r="W64" s="312">
        <f t="shared" si="45"/>
        <v>-1.0000008192088081</v>
      </c>
      <c r="X64" s="454">
        <f t="shared" si="31"/>
        <v>0</v>
      </c>
      <c r="Y64" s="312">
        <f t="shared" si="9"/>
        <v>-1</v>
      </c>
      <c r="Z64" s="674">
        <f t="shared" si="10"/>
        <v>0</v>
      </c>
      <c r="AA64" s="329"/>
      <c r="AB64" s="379">
        <f t="shared" si="10"/>
        <v>0</v>
      </c>
      <c r="AC64" s="329"/>
      <c r="AD64" s="413">
        <f t="shared" si="11"/>
        <v>0</v>
      </c>
      <c r="AE64" s="329"/>
      <c r="AG64" s="400" t="e">
        <f t="shared" si="12"/>
        <v>#DIV/0!</v>
      </c>
      <c r="AH64" s="401">
        <f t="shared" si="13"/>
        <v>0</v>
      </c>
      <c r="AI64" s="407">
        <f t="shared" si="14"/>
        <v>0</v>
      </c>
      <c r="AJ64" s="498"/>
      <c r="AK64" s="502">
        <f t="shared" si="15"/>
        <v>0</v>
      </c>
      <c r="AL64" s="503" t="e">
        <f t="shared" si="16"/>
        <v>#DIV/0!</v>
      </c>
      <c r="AM64" s="504" t="e">
        <f>AG64-AK64-AO64</f>
        <v>#DIV/0!</v>
      </c>
      <c r="AN64" s="503" t="e">
        <f t="shared" si="17"/>
        <v>#DIV/0!</v>
      </c>
      <c r="AO64" s="502">
        <f t="shared" si="18"/>
        <v>0</v>
      </c>
      <c r="AP64" s="503" t="e">
        <f t="shared" si="19"/>
        <v>#DIV/0!</v>
      </c>
      <c r="AQ64" s="402"/>
      <c r="AR64" s="110">
        <v>46266</v>
      </c>
      <c r="AS64" s="98">
        <f t="shared" si="41"/>
        <v>0</v>
      </c>
      <c r="AT64" s="98">
        <f t="shared" si="42"/>
        <v>0</v>
      </c>
      <c r="AU64" s="98"/>
      <c r="AV64" s="308"/>
      <c r="AW64" s="308"/>
      <c r="AX64" s="308"/>
      <c r="AY64" s="403"/>
      <c r="AZ64" s="403"/>
      <c r="BA64" s="403"/>
      <c r="BB64" s="403"/>
      <c r="BD64" s="198"/>
      <c r="BE64" s="198"/>
      <c r="BF64" s="198"/>
      <c r="BG64" s="198"/>
      <c r="BH64" s="198"/>
      <c r="BI64" s="198"/>
      <c r="BJ64" s="679"/>
    </row>
    <row r="65" spans="1:62">
      <c r="A65" s="295">
        <v>45383</v>
      </c>
      <c r="B65" s="398">
        <v>216354.22</v>
      </c>
      <c r="C65" s="312">
        <f t="shared" si="1"/>
        <v>3.936299912299287E-4</v>
      </c>
      <c r="D65" s="398">
        <v>114992.78</v>
      </c>
      <c r="E65" s="312">
        <f t="shared" si="3"/>
        <v>3.9365787155235091E-4</v>
      </c>
      <c r="F65" s="398">
        <v>23304.99</v>
      </c>
      <c r="G65" s="312">
        <f t="shared" si="5"/>
        <v>3.9363284915499398E-4</v>
      </c>
      <c r="H65" s="398">
        <v>0</v>
      </c>
      <c r="I65" s="312">
        <f t="shared" si="6"/>
        <v>0</v>
      </c>
      <c r="J65" s="457" t="e">
        <f t="shared" si="20"/>
        <v>#DIV/0!</v>
      </c>
      <c r="K65" s="369" t="e">
        <f>(J65-3364-J64)/J64</f>
        <v>#DIV/0!</v>
      </c>
      <c r="L65" s="404" t="e">
        <f t="shared" si="21"/>
        <v>#DIV/0!</v>
      </c>
      <c r="M65" s="312" t="e">
        <f t="shared" si="22"/>
        <v>#DIV/0!</v>
      </c>
      <c r="N65" s="454">
        <v>19471.509999999998</v>
      </c>
      <c r="O65" s="312">
        <f t="shared" si="24"/>
        <v>3.6065676521690514E-4</v>
      </c>
      <c r="P65" s="404" t="e">
        <f t="shared" si="25"/>
        <v>#DIV/0!</v>
      </c>
      <c r="Q65" s="312" t="e">
        <f t="shared" si="33"/>
        <v>#DIV/0!</v>
      </c>
      <c r="R65" s="454" t="e">
        <f t="shared" si="26"/>
        <v>#DIV/0!</v>
      </c>
      <c r="S65" s="312" t="e">
        <f t="shared" si="27"/>
        <v>#DIV/0!</v>
      </c>
      <c r="T65" s="454" t="e">
        <f t="shared" si="28"/>
        <v>#DIV/0!</v>
      </c>
      <c r="U65" s="312" t="e">
        <f t="shared" si="29"/>
        <v>#DIV/0!</v>
      </c>
      <c r="V65" s="454">
        <f t="shared" si="30"/>
        <v>0</v>
      </c>
      <c r="W65" s="312">
        <f t="shared" si="45"/>
        <v>-1.0000008192088081</v>
      </c>
      <c r="X65" s="454">
        <f t="shared" si="31"/>
        <v>0</v>
      </c>
      <c r="Y65" s="312">
        <f t="shared" si="9"/>
        <v>-1</v>
      </c>
      <c r="Z65" s="674">
        <f t="shared" si="10"/>
        <v>0</v>
      </c>
      <c r="AA65" s="297"/>
      <c r="AB65" s="379">
        <f t="shared" si="10"/>
        <v>0</v>
      </c>
      <c r="AC65" s="297"/>
      <c r="AD65" s="413">
        <f t="shared" si="11"/>
        <v>0</v>
      </c>
      <c r="AE65" s="297"/>
      <c r="AG65" s="400" t="e">
        <f t="shared" si="12"/>
        <v>#DIV/0!</v>
      </c>
      <c r="AH65" s="401">
        <f t="shared" si="13"/>
        <v>0</v>
      </c>
      <c r="AI65" s="407">
        <f t="shared" si="14"/>
        <v>0</v>
      </c>
      <c r="AJ65" s="498"/>
      <c r="AK65" s="502">
        <f t="shared" si="15"/>
        <v>0</v>
      </c>
      <c r="AL65" s="503" t="e">
        <f t="shared" si="16"/>
        <v>#DIV/0!</v>
      </c>
      <c r="AM65" s="504" t="e">
        <f>AG65-AK65-AO65</f>
        <v>#DIV/0!</v>
      </c>
      <c r="AN65" s="503" t="e">
        <f t="shared" si="17"/>
        <v>#DIV/0!</v>
      </c>
      <c r="AO65" s="502">
        <f t="shared" si="18"/>
        <v>0</v>
      </c>
      <c r="AP65" s="503" t="e">
        <f t="shared" si="19"/>
        <v>#DIV/0!</v>
      </c>
      <c r="AQ65" s="402"/>
      <c r="AR65" s="110">
        <v>46296</v>
      </c>
      <c r="AS65" s="98">
        <f t="shared" si="41"/>
        <v>0</v>
      </c>
      <c r="AT65" s="98">
        <f t="shared" si="42"/>
        <v>0</v>
      </c>
      <c r="AU65" s="98"/>
      <c r="AV65" s="308"/>
      <c r="AW65" s="308"/>
      <c r="AX65" s="308"/>
      <c r="AY65" s="403"/>
      <c r="AZ65" s="403"/>
      <c r="BA65" s="403"/>
      <c r="BB65" s="403"/>
      <c r="BD65" s="198"/>
      <c r="BE65" s="198"/>
      <c r="BF65" s="198"/>
      <c r="BG65" s="198"/>
      <c r="BH65" s="198"/>
      <c r="BI65" s="198"/>
      <c r="BJ65" s="679"/>
    </row>
    <row r="66" spans="1:62">
      <c r="A66" s="295">
        <v>45384</v>
      </c>
      <c r="B66" s="398">
        <f t="shared" si="0"/>
        <v>216439.38350972117</v>
      </c>
      <c r="C66" s="312">
        <f t="shared" si="1"/>
        <v>3.9362999122998042E-4</v>
      </c>
      <c r="D66" s="398">
        <f t="shared" si="2"/>
        <v>115038.04781301868</v>
      </c>
      <c r="E66" s="312">
        <f t="shared" si="3"/>
        <v>3.9365787155231161E-4</v>
      </c>
      <c r="F66" s="398">
        <f t="shared" si="4"/>
        <v>23314.163609613232</v>
      </c>
      <c r="G66" s="312">
        <f t="shared" si="5"/>
        <v>3.9363284915504911E-4</v>
      </c>
      <c r="H66" s="398">
        <v>0</v>
      </c>
      <c r="I66" s="312">
        <f t="shared" si="6"/>
        <v>0</v>
      </c>
      <c r="J66" s="457" t="e">
        <f t="shared" si="20"/>
        <v>#DIV/0!</v>
      </c>
      <c r="K66" s="369" t="e">
        <f>(J66+28.33-J65)/J65</f>
        <v>#DIV/0!</v>
      </c>
      <c r="L66" s="404" t="e">
        <f t="shared" si="21"/>
        <v>#DIV/0!</v>
      </c>
      <c r="M66" s="312" t="e">
        <f t="shared" si="22"/>
        <v>#DIV/0!</v>
      </c>
      <c r="N66" s="454">
        <v>19478.54</v>
      </c>
      <c r="O66" s="312">
        <f t="shared" si="24"/>
        <v>3.6104030966280861E-4</v>
      </c>
      <c r="P66" s="404" t="e">
        <f t="shared" si="25"/>
        <v>#DIV/0!</v>
      </c>
      <c r="Q66" s="312" t="e">
        <f t="shared" si="33"/>
        <v>#DIV/0!</v>
      </c>
      <c r="R66" s="454" t="e">
        <f t="shared" si="26"/>
        <v>#DIV/0!</v>
      </c>
      <c r="S66" s="312" t="e">
        <f t="shared" si="27"/>
        <v>#DIV/0!</v>
      </c>
      <c r="T66" s="454" t="e">
        <f t="shared" si="28"/>
        <v>#DIV/0!</v>
      </c>
      <c r="U66" s="312" t="e">
        <f t="shared" si="29"/>
        <v>#DIV/0!</v>
      </c>
      <c r="V66" s="454">
        <f t="shared" si="30"/>
        <v>0</v>
      </c>
      <c r="W66" s="312">
        <f t="shared" si="45"/>
        <v>-1.0000008192088081</v>
      </c>
      <c r="X66" s="454">
        <f t="shared" si="31"/>
        <v>0</v>
      </c>
      <c r="Y66" s="312">
        <f t="shared" si="9"/>
        <v>-1</v>
      </c>
      <c r="Z66" s="674">
        <f t="shared" si="10"/>
        <v>0</v>
      </c>
      <c r="AA66" s="329"/>
      <c r="AB66" s="379">
        <f t="shared" si="10"/>
        <v>0</v>
      </c>
      <c r="AC66" s="329"/>
      <c r="AD66" s="413">
        <f t="shared" si="11"/>
        <v>0</v>
      </c>
      <c r="AE66" s="329"/>
      <c r="AG66" s="400" t="e">
        <f t="shared" si="12"/>
        <v>#DIV/0!</v>
      </c>
      <c r="AH66" s="401">
        <f t="shared" si="13"/>
        <v>0</v>
      </c>
      <c r="AI66" s="407">
        <f t="shared" si="14"/>
        <v>0</v>
      </c>
      <c r="AJ66" s="498"/>
      <c r="AK66" s="502">
        <f t="shared" si="15"/>
        <v>0</v>
      </c>
      <c r="AL66" s="503" t="e">
        <f t="shared" si="16"/>
        <v>#DIV/0!</v>
      </c>
      <c r="AM66" s="504" t="e">
        <f>AG66-AK66-AO66</f>
        <v>#DIV/0!</v>
      </c>
      <c r="AN66" s="503" t="e">
        <f t="shared" si="17"/>
        <v>#DIV/0!</v>
      </c>
      <c r="AO66" s="502">
        <f t="shared" si="18"/>
        <v>0</v>
      </c>
      <c r="AP66" s="503" t="e">
        <f t="shared" si="19"/>
        <v>#DIV/0!</v>
      </c>
      <c r="AQ66" s="402"/>
      <c r="AR66" s="110">
        <v>46327</v>
      </c>
      <c r="AS66" s="98">
        <f t="shared" si="41"/>
        <v>0</v>
      </c>
      <c r="AT66" s="98">
        <f t="shared" si="42"/>
        <v>0</v>
      </c>
      <c r="AU66" s="98"/>
      <c r="AV66" s="308"/>
      <c r="AW66" s="308"/>
      <c r="AX66" s="308"/>
      <c r="AY66" s="403"/>
      <c r="AZ66" s="403"/>
      <c r="BA66" s="403"/>
      <c r="BB66" s="403"/>
      <c r="BD66" s="198"/>
      <c r="BE66" s="198"/>
      <c r="BF66" s="198"/>
      <c r="BG66" s="198"/>
      <c r="BH66" s="198"/>
      <c r="BI66" s="198"/>
      <c r="BJ66" s="679"/>
    </row>
    <row r="67" spans="1:62">
      <c r="A67" s="295">
        <v>45385</v>
      </c>
      <c r="B67" s="398">
        <f t="shared" si="0"/>
        <v>216524.58054235391</v>
      </c>
      <c r="C67" s="312">
        <f t="shared" si="1"/>
        <v>3.9362999122992897E-4</v>
      </c>
      <c r="D67" s="398">
        <f t="shared" si="2"/>
        <v>115083.33344606828</v>
      </c>
      <c r="E67" s="312">
        <f t="shared" si="3"/>
        <v>3.9365787155225702E-4</v>
      </c>
      <c r="F67" s="398">
        <f t="shared" si="4"/>
        <v>23323.340830260549</v>
      </c>
      <c r="G67" s="312">
        <f t="shared" si="5"/>
        <v>3.9363284915500026E-4</v>
      </c>
      <c r="H67" s="398">
        <v>0</v>
      </c>
      <c r="I67" s="312">
        <f t="shared" si="6"/>
        <v>0</v>
      </c>
      <c r="J67" s="457" t="e">
        <f t="shared" si="20"/>
        <v>#DIV/0!</v>
      </c>
      <c r="K67" s="369" t="e">
        <f>(J67+3553.05-J66)/J66</f>
        <v>#DIV/0!</v>
      </c>
      <c r="L67" s="404" t="e">
        <f t="shared" si="21"/>
        <v>#DIV/0!</v>
      </c>
      <c r="M67" s="312" t="e">
        <f>(L67+0.05-L66)/L66</f>
        <v>#DIV/0!</v>
      </c>
      <c r="N67" s="454">
        <f t="shared" si="23"/>
        <v>19485.572538113382</v>
      </c>
      <c r="O67" s="312">
        <f t="shared" si="24"/>
        <v>3.6104030966287637E-4</v>
      </c>
      <c r="P67" s="404" t="e">
        <f t="shared" si="25"/>
        <v>#DIV/0!</v>
      </c>
      <c r="Q67" s="312" t="e">
        <f t="shared" si="33"/>
        <v>#DIV/0!</v>
      </c>
      <c r="R67" s="454" t="e">
        <f t="shared" si="26"/>
        <v>#DIV/0!</v>
      </c>
      <c r="S67" s="312" t="e">
        <f t="shared" si="27"/>
        <v>#DIV/0!</v>
      </c>
      <c r="T67" s="454" t="e">
        <f t="shared" si="28"/>
        <v>#DIV/0!</v>
      </c>
      <c r="U67" s="312" t="e">
        <f t="shared" si="29"/>
        <v>#DIV/0!</v>
      </c>
      <c r="V67" s="454">
        <f t="shared" si="30"/>
        <v>0</v>
      </c>
      <c r="W67" s="312">
        <f t="shared" si="45"/>
        <v>-1.0000008192088081</v>
      </c>
      <c r="X67" s="454">
        <f t="shared" si="31"/>
        <v>0</v>
      </c>
      <c r="Y67" s="312">
        <f t="shared" si="9"/>
        <v>-1</v>
      </c>
      <c r="Z67" s="674">
        <f t="shared" si="10"/>
        <v>0</v>
      </c>
      <c r="AA67" s="297"/>
      <c r="AB67" s="379">
        <f t="shared" si="10"/>
        <v>0</v>
      </c>
      <c r="AC67" s="297"/>
      <c r="AD67" s="413">
        <f t="shared" si="11"/>
        <v>0</v>
      </c>
      <c r="AE67" s="297"/>
      <c r="AG67" s="400" t="e">
        <f t="shared" si="12"/>
        <v>#DIV/0!</v>
      </c>
      <c r="AH67" s="401">
        <f t="shared" si="13"/>
        <v>0</v>
      </c>
      <c r="AI67" s="407">
        <f t="shared" si="14"/>
        <v>0</v>
      </c>
      <c r="AJ67" s="498"/>
      <c r="AK67" s="502">
        <f t="shared" si="15"/>
        <v>0</v>
      </c>
      <c r="AL67" s="503" t="e">
        <f t="shared" si="16"/>
        <v>#DIV/0!</v>
      </c>
      <c r="AM67" s="504" t="e">
        <f>AG67-AK67-AO67</f>
        <v>#DIV/0!</v>
      </c>
      <c r="AN67" s="503" t="e">
        <f t="shared" si="17"/>
        <v>#DIV/0!</v>
      </c>
      <c r="AO67" s="502">
        <f t="shared" si="18"/>
        <v>0</v>
      </c>
      <c r="AP67" s="503" t="e">
        <f t="shared" si="19"/>
        <v>#DIV/0!</v>
      </c>
      <c r="AQ67" s="402"/>
      <c r="AR67" s="425">
        <v>46357</v>
      </c>
      <c r="AS67" s="98">
        <f t="shared" si="41"/>
        <v>0</v>
      </c>
      <c r="AT67" s="98">
        <f t="shared" si="42"/>
        <v>0</v>
      </c>
      <c r="AU67" s="98"/>
      <c r="AV67" s="308"/>
      <c r="AW67" s="308"/>
      <c r="AX67" s="308"/>
      <c r="AY67" s="403"/>
      <c r="AZ67" s="403"/>
      <c r="BA67" s="403"/>
      <c r="BB67" s="403"/>
      <c r="BD67" s="198"/>
      <c r="BE67" s="198"/>
      <c r="BF67" s="198"/>
      <c r="BG67" s="198"/>
      <c r="BH67" s="198"/>
      <c r="BI67" s="198"/>
      <c r="BJ67" s="679"/>
    </row>
    <row r="68" spans="1:62">
      <c r="A68" s="295">
        <v>45386</v>
      </c>
      <c r="B68" s="398">
        <f t="shared" ref="B68:B131" si="46">B67+B67*C67</f>
        <v>216609.81111109388</v>
      </c>
      <c r="C68" s="312">
        <f t="shared" ref="C68:C131" si="47">(B68-B67)/B67</f>
        <v>3.9362999122998952E-4</v>
      </c>
      <c r="D68" s="398">
        <f t="shared" ref="D68:D131" si="48">D67+D67*E67</f>
        <v>115128.6369061638</v>
      </c>
      <c r="E68" s="312">
        <f t="shared" ref="E68:E131" si="49">(D68-D67)/D67</f>
        <v>3.9365787155222574E-4</v>
      </c>
      <c r="F68" s="398">
        <f t="shared" ref="F68:F131" si="50">F67+F67*G67</f>
        <v>23332.521663363379</v>
      </c>
      <c r="G68" s="312">
        <f t="shared" ref="G68:G131" si="51">(F68-F67)/F67</f>
        <v>3.9363284915504434E-4</v>
      </c>
      <c r="H68" s="398">
        <v>0</v>
      </c>
      <c r="I68" s="312">
        <f t="shared" ref="I68:I131" si="52">H68/(8993.1+10.04)</f>
        <v>0</v>
      </c>
      <c r="J68" s="457" t="e">
        <f t="shared" si="20"/>
        <v>#DIV/0!</v>
      </c>
      <c r="K68" s="369" t="e">
        <f t="shared" ref="K68:K131" si="53">(J68-J67)/J67</f>
        <v>#DIV/0!</v>
      </c>
      <c r="L68" s="404" t="e">
        <f t="shared" si="21"/>
        <v>#DIV/0!</v>
      </c>
      <c r="M68" s="312" t="e">
        <f t="shared" si="22"/>
        <v>#DIV/0!</v>
      </c>
      <c r="N68" s="454">
        <f t="shared" si="23"/>
        <v>19492.6076152565</v>
      </c>
      <c r="O68" s="312">
        <f t="shared" si="24"/>
        <v>3.6104030966285826E-4</v>
      </c>
      <c r="P68" s="404" t="e">
        <f t="shared" si="25"/>
        <v>#DIV/0!</v>
      </c>
      <c r="Q68" s="312" t="e">
        <f t="shared" si="33"/>
        <v>#DIV/0!</v>
      </c>
      <c r="R68" s="454" t="e">
        <f t="shared" si="26"/>
        <v>#DIV/0!</v>
      </c>
      <c r="S68" s="312" t="e">
        <f t="shared" si="27"/>
        <v>#DIV/0!</v>
      </c>
      <c r="T68" s="454" t="e">
        <f t="shared" si="28"/>
        <v>#DIV/0!</v>
      </c>
      <c r="U68" s="312" t="e">
        <f t="shared" si="29"/>
        <v>#DIV/0!</v>
      </c>
      <c r="V68" s="454">
        <f t="shared" si="30"/>
        <v>0</v>
      </c>
      <c r="W68" s="312">
        <f t="shared" si="45"/>
        <v>-1.0000008192088081</v>
      </c>
      <c r="X68" s="454">
        <f t="shared" si="31"/>
        <v>0</v>
      </c>
      <c r="Y68" s="312">
        <f t="shared" ref="Y68:Y131" si="54">(X68-(10))/(10)</f>
        <v>-1</v>
      </c>
      <c r="Z68" s="674">
        <f t="shared" ref="Z68:AB131" si="55">Z67</f>
        <v>0</v>
      </c>
      <c r="AA68" s="329"/>
      <c r="AB68" s="379">
        <f t="shared" si="55"/>
        <v>0</v>
      </c>
      <c r="AC68" s="329"/>
      <c r="AD68" s="413">
        <f t="shared" ref="AD68:AD131" si="56">AD67</f>
        <v>0</v>
      </c>
      <c r="AE68" s="329"/>
      <c r="AG68" s="400" t="e">
        <f t="shared" ref="AG68:AG131" si="57">B68+D68+F68+H68+J68+L68+N68+P68+R68+T68+V68+X68</f>
        <v>#DIV/0!</v>
      </c>
      <c r="AH68" s="401">
        <f t="shared" ref="AH68:AH131" si="58">AB68</f>
        <v>0</v>
      </c>
      <c r="AI68" s="407">
        <f t="shared" ref="AI68:AI131" si="59">AD68</f>
        <v>0</v>
      </c>
      <c r="AJ68" s="498"/>
      <c r="AK68" s="502">
        <f t="shared" ref="AK68:AK131" si="60">V68+X68</f>
        <v>0</v>
      </c>
      <c r="AL68" s="503" t="e">
        <f t="shared" ref="AL68:AL131" si="61">AK68/AG68</f>
        <v>#DIV/0!</v>
      </c>
      <c r="AM68" s="504" t="e">
        <f>AG68-AK68-AO68</f>
        <v>#DIV/0!</v>
      </c>
      <c r="AN68" s="503" t="e">
        <f t="shared" ref="AN68:AN131" si="62">AM68/AG68</f>
        <v>#DIV/0!</v>
      </c>
      <c r="AO68" s="502">
        <f t="shared" ref="AO68:AO131" si="63">Z68</f>
        <v>0</v>
      </c>
      <c r="AP68" s="503" t="e">
        <f t="shared" ref="AP68:AP131" si="64">AO68/AG68</f>
        <v>#DIV/0!</v>
      </c>
      <c r="AQ68" s="402"/>
      <c r="AR68" s="110">
        <v>46388</v>
      </c>
      <c r="AS68" s="98">
        <f t="shared" si="41"/>
        <v>0</v>
      </c>
      <c r="AT68" s="98">
        <f t="shared" si="42"/>
        <v>0</v>
      </c>
      <c r="AU68" s="98"/>
      <c r="AV68" s="308"/>
      <c r="AW68" s="308"/>
      <c r="AX68" s="308"/>
      <c r="AY68" s="403"/>
      <c r="AZ68" s="403"/>
      <c r="BA68" s="403"/>
      <c r="BB68" s="403"/>
      <c r="BD68" s="198"/>
      <c r="BE68" s="198"/>
      <c r="BF68" s="198"/>
      <c r="BG68" s="198"/>
      <c r="BH68" s="198"/>
      <c r="BI68" s="198"/>
      <c r="BJ68" s="679"/>
    </row>
    <row r="69" spans="1:62">
      <c r="A69" s="295">
        <v>45387</v>
      </c>
      <c r="B69" s="398">
        <f t="shared" si="46"/>
        <v>216695.07522914186</v>
      </c>
      <c r="C69" s="312">
        <f t="shared" si="47"/>
        <v>3.9362999122996421E-4</v>
      </c>
      <c r="D69" s="398">
        <f t="shared" si="48"/>
        <v>115173.95820032299</v>
      </c>
      <c r="E69" s="312">
        <f t="shared" si="49"/>
        <v>3.9365787155224682E-4</v>
      </c>
      <c r="F69" s="398">
        <f t="shared" si="50"/>
        <v>23341.706110343701</v>
      </c>
      <c r="G69" s="312">
        <f t="shared" si="51"/>
        <v>3.936328491550567E-4</v>
      </c>
      <c r="H69" s="398">
        <v>0</v>
      </c>
      <c r="I69" s="312">
        <f t="shared" si="52"/>
        <v>0</v>
      </c>
      <c r="J69" s="457" t="e">
        <f t="shared" ref="J69:J132" si="65">J68+J68*K68</f>
        <v>#DIV/0!</v>
      </c>
      <c r="K69" s="369" t="e">
        <f>(J69+60+421.01+125-1102.6+85-J68)/J68</f>
        <v>#DIV/0!</v>
      </c>
      <c r="L69" s="404" t="e">
        <f t="shared" ref="L69:L132" si="66">L68+L68*M68</f>
        <v>#DIV/0!</v>
      </c>
      <c r="M69" s="312" t="e">
        <f t="shared" ref="M69:M132" si="67">(L69-L68)/L68</f>
        <v>#DIV/0!</v>
      </c>
      <c r="N69" s="454">
        <f t="shared" ref="N69:N132" si="68">N68+N68*O68</f>
        <v>19499.645232346047</v>
      </c>
      <c r="O69" s="312">
        <f t="shared" ref="O69:O132" si="69">(N69-N68)/N68</f>
        <v>3.6104030966276529E-4</v>
      </c>
      <c r="P69" s="404" t="e">
        <f t="shared" ref="P69:P132" si="70">P68+P68*Q68</f>
        <v>#DIV/0!</v>
      </c>
      <c r="Q69" s="312" t="e">
        <f t="shared" si="33"/>
        <v>#DIV/0!</v>
      </c>
      <c r="R69" s="454" t="e">
        <f t="shared" ref="R69:R132" si="71">R68+R68*S68</f>
        <v>#DIV/0!</v>
      </c>
      <c r="S69" s="312" t="e">
        <f t="shared" ref="S69:S132" si="72">(R69-R68)/R68</f>
        <v>#DIV/0!</v>
      </c>
      <c r="T69" s="454" t="e">
        <f t="shared" ref="T69:T132" si="73">T68+T68*U68</f>
        <v>#DIV/0!</v>
      </c>
      <c r="U69" s="312" t="e">
        <f t="shared" ref="U69:U132" si="74">(T69-T68)/T68</f>
        <v>#DIV/0!</v>
      </c>
      <c r="V69" s="454">
        <f t="shared" ref="V69:V132" si="75">V68</f>
        <v>0</v>
      </c>
      <c r="W69" s="312">
        <f t="shared" si="45"/>
        <v>-1.0000008192088081</v>
      </c>
      <c r="X69" s="454">
        <f t="shared" ref="X69:X132" si="76">X68</f>
        <v>0</v>
      </c>
      <c r="Y69" s="312">
        <f t="shared" si="54"/>
        <v>-1</v>
      </c>
      <c r="Z69" s="674">
        <f t="shared" si="55"/>
        <v>0</v>
      </c>
      <c r="AA69" s="297"/>
      <c r="AB69" s="379">
        <f t="shared" si="55"/>
        <v>0</v>
      </c>
      <c r="AC69" s="297"/>
      <c r="AD69" s="413">
        <f t="shared" si="56"/>
        <v>0</v>
      </c>
      <c r="AE69" s="297"/>
      <c r="AF69" t="s">
        <v>176</v>
      </c>
      <c r="AG69" s="400" t="e">
        <f t="shared" si="57"/>
        <v>#DIV/0!</v>
      </c>
      <c r="AH69" s="401">
        <f t="shared" si="58"/>
        <v>0</v>
      </c>
      <c r="AI69" s="407">
        <f t="shared" si="59"/>
        <v>0</v>
      </c>
      <c r="AJ69" s="498"/>
      <c r="AK69" s="502">
        <f t="shared" si="60"/>
        <v>0</v>
      </c>
      <c r="AL69" s="503" t="e">
        <f t="shared" si="61"/>
        <v>#DIV/0!</v>
      </c>
      <c r="AM69" s="504" t="e">
        <f>AG69-AK69-AO69</f>
        <v>#DIV/0!</v>
      </c>
      <c r="AN69" s="503" t="e">
        <f t="shared" si="62"/>
        <v>#DIV/0!</v>
      </c>
      <c r="AO69" s="502">
        <f t="shared" si="63"/>
        <v>0</v>
      </c>
      <c r="AP69" s="503" t="e">
        <f t="shared" si="64"/>
        <v>#DIV/0!</v>
      </c>
      <c r="AQ69" s="402"/>
      <c r="AR69" s="110">
        <v>46419</v>
      </c>
      <c r="AS69" s="98">
        <f t="shared" si="41"/>
        <v>0</v>
      </c>
      <c r="AT69" s="98">
        <f t="shared" si="42"/>
        <v>0</v>
      </c>
      <c r="AU69" s="98"/>
      <c r="AV69" s="308"/>
      <c r="AW69" s="308"/>
      <c r="AX69" s="308"/>
      <c r="AY69" s="403"/>
      <c r="AZ69" s="403"/>
      <c r="BA69" s="403"/>
      <c r="BB69" s="403"/>
    </row>
    <row r="70" spans="1:62">
      <c r="A70" s="295">
        <v>45390</v>
      </c>
      <c r="B70" s="398">
        <f t="shared" si="46"/>
        <v>216780.37290970387</v>
      </c>
      <c r="C70" s="312">
        <f t="shared" si="47"/>
        <v>3.9362999122991477E-4</v>
      </c>
      <c r="D70" s="398">
        <f t="shared" si="48"/>
        <v>115219.29733556637</v>
      </c>
      <c r="E70" s="312">
        <f t="shared" si="49"/>
        <v>3.9365787155221365E-4</v>
      </c>
      <c r="F70" s="398">
        <f t="shared" si="50"/>
        <v>23350.894172624055</v>
      </c>
      <c r="G70" s="312">
        <f t="shared" si="51"/>
        <v>3.9363284915505908E-4</v>
      </c>
      <c r="H70" s="398">
        <v>0</v>
      </c>
      <c r="I70" s="312">
        <f t="shared" si="52"/>
        <v>0</v>
      </c>
      <c r="J70" s="457" t="e">
        <f t="shared" si="65"/>
        <v>#DIV/0!</v>
      </c>
      <c r="K70" s="369" t="e">
        <f>(J70-170-J69)/J69</f>
        <v>#DIV/0!</v>
      </c>
      <c r="L70" s="404" t="e">
        <f t="shared" si="66"/>
        <v>#DIV/0!</v>
      </c>
      <c r="M70" s="312" t="e">
        <f t="shared" si="67"/>
        <v>#DIV/0!</v>
      </c>
      <c r="N70" s="454">
        <f t="shared" si="68"/>
        <v>19506.685390299048</v>
      </c>
      <c r="O70" s="312">
        <f t="shared" si="69"/>
        <v>3.6104030966278898E-4</v>
      </c>
      <c r="P70" s="404" t="e">
        <f t="shared" si="70"/>
        <v>#DIV/0!</v>
      </c>
      <c r="Q70" s="312" t="e">
        <f t="shared" si="33"/>
        <v>#DIV/0!</v>
      </c>
      <c r="R70" s="454" t="e">
        <f t="shared" si="71"/>
        <v>#DIV/0!</v>
      </c>
      <c r="S70" s="312" t="e">
        <f t="shared" si="72"/>
        <v>#DIV/0!</v>
      </c>
      <c r="T70" s="454" t="e">
        <f t="shared" si="73"/>
        <v>#DIV/0!</v>
      </c>
      <c r="U70" s="312" t="e">
        <f t="shared" si="74"/>
        <v>#DIV/0!</v>
      </c>
      <c r="V70" s="454">
        <f t="shared" si="75"/>
        <v>0</v>
      </c>
      <c r="W70" s="312">
        <f t="shared" si="45"/>
        <v>-1.0000008192088081</v>
      </c>
      <c r="X70" s="454">
        <f t="shared" si="76"/>
        <v>0</v>
      </c>
      <c r="Y70" s="312">
        <f t="shared" si="54"/>
        <v>-1</v>
      </c>
      <c r="Z70" s="674">
        <f t="shared" si="55"/>
        <v>0</v>
      </c>
      <c r="AA70" s="329"/>
      <c r="AB70" s="379">
        <f t="shared" si="55"/>
        <v>0</v>
      </c>
      <c r="AC70" s="329"/>
      <c r="AD70" s="413">
        <f t="shared" si="56"/>
        <v>0</v>
      </c>
      <c r="AE70" s="329"/>
      <c r="AG70" s="400" t="e">
        <f t="shared" si="57"/>
        <v>#DIV/0!</v>
      </c>
      <c r="AH70" s="401">
        <f t="shared" si="58"/>
        <v>0</v>
      </c>
      <c r="AI70" s="407">
        <f t="shared" si="59"/>
        <v>0</v>
      </c>
      <c r="AJ70" s="498"/>
      <c r="AK70" s="502">
        <f t="shared" si="60"/>
        <v>0</v>
      </c>
      <c r="AL70" s="503" t="e">
        <f t="shared" si="61"/>
        <v>#DIV/0!</v>
      </c>
      <c r="AM70" s="504" t="e">
        <f>AG70-AK70-AO70</f>
        <v>#DIV/0!</v>
      </c>
      <c r="AN70" s="503" t="e">
        <f t="shared" si="62"/>
        <v>#DIV/0!</v>
      </c>
      <c r="AO70" s="502">
        <f t="shared" si="63"/>
        <v>0</v>
      </c>
      <c r="AP70" s="503" t="e">
        <f t="shared" si="64"/>
        <v>#DIV/0!</v>
      </c>
      <c r="AQ70" s="402"/>
      <c r="AR70" s="110">
        <v>46447</v>
      </c>
      <c r="AS70" s="98">
        <f t="shared" si="41"/>
        <v>0</v>
      </c>
      <c r="AT70" s="98">
        <f t="shared" si="42"/>
        <v>0</v>
      </c>
      <c r="AU70" s="98"/>
      <c r="AV70" s="308"/>
      <c r="AW70" s="308"/>
      <c r="AX70" s="308"/>
      <c r="AY70" s="403"/>
      <c r="AZ70" s="403"/>
      <c r="BA70" s="403"/>
      <c r="BB70" s="403"/>
    </row>
    <row r="71" spans="1:62">
      <c r="A71" s="295">
        <v>45391</v>
      </c>
      <c r="B71" s="398">
        <f t="shared" si="46"/>
        <v>216865.70416599113</v>
      </c>
      <c r="C71" s="312">
        <f t="shared" si="47"/>
        <v>3.9362999122989335E-4</v>
      </c>
      <c r="D71" s="398">
        <f t="shared" si="48"/>
        <v>115264.65431891724</v>
      </c>
      <c r="E71" s="312">
        <f t="shared" si="49"/>
        <v>3.9365787155226276E-4</v>
      </c>
      <c r="F71" s="398">
        <f t="shared" si="50"/>
        <v>23360.085851627544</v>
      </c>
      <c r="G71" s="312">
        <f t="shared" si="51"/>
        <v>3.9363284915506407E-4</v>
      </c>
      <c r="H71" s="398">
        <v>0</v>
      </c>
      <c r="I71" s="312">
        <f t="shared" si="52"/>
        <v>0</v>
      </c>
      <c r="J71" s="457" t="e">
        <f t="shared" si="65"/>
        <v>#DIV/0!</v>
      </c>
      <c r="K71" s="369" t="e">
        <f>(J71+1000-J70)/J70</f>
        <v>#DIV/0!</v>
      </c>
      <c r="L71" s="404" t="e">
        <f t="shared" si="66"/>
        <v>#DIV/0!</v>
      </c>
      <c r="M71" s="312" t="e">
        <f t="shared" si="67"/>
        <v>#DIV/0!</v>
      </c>
      <c r="N71" s="454">
        <f t="shared" si="68"/>
        <v>19513.728090032855</v>
      </c>
      <c r="O71" s="312">
        <f t="shared" si="69"/>
        <v>3.6104030966274128E-4</v>
      </c>
      <c r="P71" s="404" t="e">
        <f t="shared" si="70"/>
        <v>#DIV/0!</v>
      </c>
      <c r="Q71" s="312" t="e">
        <f t="shared" si="33"/>
        <v>#DIV/0!</v>
      </c>
      <c r="R71" s="454" t="e">
        <f t="shared" si="71"/>
        <v>#DIV/0!</v>
      </c>
      <c r="S71" s="312" t="e">
        <f t="shared" si="72"/>
        <v>#DIV/0!</v>
      </c>
      <c r="T71" s="454" t="e">
        <f t="shared" si="73"/>
        <v>#DIV/0!</v>
      </c>
      <c r="U71" s="312" t="e">
        <f t="shared" si="74"/>
        <v>#DIV/0!</v>
      </c>
      <c r="V71" s="454">
        <f t="shared" si="75"/>
        <v>0</v>
      </c>
      <c r="W71" s="312">
        <f t="shared" si="45"/>
        <v>-1.0000008192088081</v>
      </c>
      <c r="X71" s="454">
        <f t="shared" si="76"/>
        <v>0</v>
      </c>
      <c r="Y71" s="312">
        <f t="shared" si="54"/>
        <v>-1</v>
      </c>
      <c r="Z71" s="674">
        <f t="shared" si="55"/>
        <v>0</v>
      </c>
      <c r="AA71" s="297"/>
      <c r="AB71" s="379">
        <f t="shared" si="55"/>
        <v>0</v>
      </c>
      <c r="AC71" s="297"/>
      <c r="AD71" s="413">
        <f t="shared" si="56"/>
        <v>0</v>
      </c>
      <c r="AE71" s="297"/>
      <c r="AG71" s="400" t="e">
        <f t="shared" si="57"/>
        <v>#DIV/0!</v>
      </c>
      <c r="AH71" s="401">
        <f t="shared" si="58"/>
        <v>0</v>
      </c>
      <c r="AI71" s="407">
        <f t="shared" si="59"/>
        <v>0</v>
      </c>
      <c r="AJ71" s="498"/>
      <c r="AK71" s="502">
        <f t="shared" si="60"/>
        <v>0</v>
      </c>
      <c r="AL71" s="503" t="e">
        <f t="shared" si="61"/>
        <v>#DIV/0!</v>
      </c>
      <c r="AM71" s="504" t="e">
        <f>AG71-AK71-AO71</f>
        <v>#DIV/0!</v>
      </c>
      <c r="AN71" s="503" t="e">
        <f t="shared" si="62"/>
        <v>#DIV/0!</v>
      </c>
      <c r="AO71" s="502">
        <f t="shared" si="63"/>
        <v>0</v>
      </c>
      <c r="AP71" s="503" t="e">
        <f t="shared" si="64"/>
        <v>#DIV/0!</v>
      </c>
      <c r="AQ71" s="402"/>
      <c r="AR71" s="110">
        <v>46478</v>
      </c>
      <c r="AS71" s="98">
        <f t="shared" si="41"/>
        <v>0</v>
      </c>
      <c r="AT71" s="98">
        <f t="shared" si="42"/>
        <v>0</v>
      </c>
      <c r="AU71" s="98"/>
      <c r="AV71" s="308"/>
      <c r="AW71" s="308"/>
      <c r="AX71" s="308"/>
      <c r="AY71" s="403"/>
      <c r="AZ71" s="403"/>
      <c r="BA71" s="403"/>
      <c r="BB71" s="403"/>
    </row>
    <row r="72" spans="1:62">
      <c r="A72" s="543">
        <v>45392</v>
      </c>
      <c r="B72" s="457">
        <f t="shared" si="46"/>
        <v>216951.06901122007</v>
      </c>
      <c r="C72" s="312">
        <f t="shared" si="47"/>
        <v>3.9362999122994263E-4</v>
      </c>
      <c r="D72" s="457">
        <f t="shared" si="48"/>
        <v>115310.02915740163</v>
      </c>
      <c r="E72" s="312">
        <f t="shared" si="49"/>
        <v>3.9365787155226862E-4</v>
      </c>
      <c r="F72" s="457">
        <f t="shared" si="50"/>
        <v>23369.281148777827</v>
      </c>
      <c r="G72" s="312">
        <f t="shared" si="51"/>
        <v>3.9363284915507453E-4</v>
      </c>
      <c r="H72" s="398">
        <v>0</v>
      </c>
      <c r="I72" s="312">
        <f t="shared" si="52"/>
        <v>0</v>
      </c>
      <c r="J72" s="457" t="e">
        <f t="shared" si="65"/>
        <v>#DIV/0!</v>
      </c>
      <c r="K72" s="369" t="e">
        <f>(J72+88.04+1339.94+140-J71)/J71</f>
        <v>#DIV/0!</v>
      </c>
      <c r="L72" s="404" t="e">
        <f t="shared" si="66"/>
        <v>#DIV/0!</v>
      </c>
      <c r="M72" s="542" t="e">
        <f>(L72+3.06-L71)/L71</f>
        <v>#DIV/0!</v>
      </c>
      <c r="N72" s="454">
        <f t="shared" si="68"/>
        <v>19520.773332465156</v>
      </c>
      <c r="O72" s="312">
        <f t="shared" si="69"/>
        <v>3.6104030966280129E-4</v>
      </c>
      <c r="P72" s="404" t="e">
        <f t="shared" si="70"/>
        <v>#DIV/0!</v>
      </c>
      <c r="Q72" s="312" t="e">
        <f t="shared" si="33"/>
        <v>#DIV/0!</v>
      </c>
      <c r="R72" s="454" t="e">
        <f t="shared" si="71"/>
        <v>#DIV/0!</v>
      </c>
      <c r="S72" s="312" t="e">
        <f t="shared" si="72"/>
        <v>#DIV/0!</v>
      </c>
      <c r="T72" s="454" t="e">
        <f t="shared" si="73"/>
        <v>#DIV/0!</v>
      </c>
      <c r="U72" s="312" t="e">
        <f t="shared" si="74"/>
        <v>#DIV/0!</v>
      </c>
      <c r="V72" s="454">
        <f t="shared" si="75"/>
        <v>0</v>
      </c>
      <c r="W72" s="312">
        <f t="shared" si="45"/>
        <v>-1.0000008192088081</v>
      </c>
      <c r="X72" s="454">
        <f t="shared" si="76"/>
        <v>0</v>
      </c>
      <c r="Y72" s="312">
        <f t="shared" si="54"/>
        <v>-1</v>
      </c>
      <c r="Z72" s="674">
        <f t="shared" si="55"/>
        <v>0</v>
      </c>
      <c r="AA72" s="329"/>
      <c r="AB72" s="379">
        <f t="shared" si="55"/>
        <v>0</v>
      </c>
      <c r="AC72" s="329"/>
      <c r="AD72" s="413">
        <f t="shared" si="56"/>
        <v>0</v>
      </c>
      <c r="AE72" s="329"/>
      <c r="AG72" s="400" t="e">
        <f t="shared" si="57"/>
        <v>#DIV/0!</v>
      </c>
      <c r="AH72" s="401">
        <f t="shared" si="58"/>
        <v>0</v>
      </c>
      <c r="AI72" s="407">
        <f t="shared" si="59"/>
        <v>0</v>
      </c>
      <c r="AJ72" s="498"/>
      <c r="AK72" s="502">
        <f t="shared" si="60"/>
        <v>0</v>
      </c>
      <c r="AL72" s="503" t="e">
        <f t="shared" si="61"/>
        <v>#DIV/0!</v>
      </c>
      <c r="AM72" s="504" t="e">
        <f>AG72-AK72-AO72</f>
        <v>#DIV/0!</v>
      </c>
      <c r="AN72" s="503" t="e">
        <f t="shared" si="62"/>
        <v>#DIV/0!</v>
      </c>
      <c r="AO72" s="502">
        <f t="shared" si="63"/>
        <v>0</v>
      </c>
      <c r="AP72" s="503" t="e">
        <f t="shared" si="64"/>
        <v>#DIV/0!</v>
      </c>
      <c r="AQ72" s="402"/>
      <c r="AR72" s="110">
        <v>46508</v>
      </c>
      <c r="AS72" s="98">
        <f t="shared" si="41"/>
        <v>0</v>
      </c>
      <c r="AT72" s="98">
        <f t="shared" si="42"/>
        <v>0</v>
      </c>
      <c r="AU72" s="98"/>
      <c r="AV72" s="308"/>
      <c r="AW72" s="308"/>
      <c r="AX72" s="308"/>
      <c r="AY72" s="403"/>
      <c r="AZ72" s="403"/>
      <c r="BA72" s="403"/>
      <c r="BB72" s="403"/>
    </row>
    <row r="73" spans="1:62">
      <c r="A73" s="543">
        <v>45393</v>
      </c>
      <c r="B73" s="457">
        <f t="shared" si="46"/>
        <v>217036.46745861229</v>
      </c>
      <c r="C73" s="312">
        <f t="shared" si="47"/>
        <v>3.936299912299616E-4</v>
      </c>
      <c r="D73" s="457">
        <f t="shared" si="48"/>
        <v>115355.42185804836</v>
      </c>
      <c r="E73" s="312">
        <f t="shared" si="49"/>
        <v>3.936578715522227E-4</v>
      </c>
      <c r="F73" s="457">
        <f t="shared" si="50"/>
        <v>23378.480065499127</v>
      </c>
      <c r="G73" s="312">
        <f t="shared" si="51"/>
        <v>3.9363284915508402E-4</v>
      </c>
      <c r="H73" s="398">
        <v>0</v>
      </c>
      <c r="I73" s="312">
        <f t="shared" si="52"/>
        <v>0</v>
      </c>
      <c r="J73" s="457" t="e">
        <f t="shared" si="65"/>
        <v>#DIV/0!</v>
      </c>
      <c r="K73" s="369" t="e">
        <f t="shared" si="53"/>
        <v>#DIV/0!</v>
      </c>
      <c r="L73" s="404" t="e">
        <f t="shared" si="66"/>
        <v>#DIV/0!</v>
      </c>
      <c r="M73" s="312" t="e">
        <f t="shared" si="67"/>
        <v>#DIV/0!</v>
      </c>
      <c r="N73" s="454">
        <f t="shared" si="68"/>
        <v>19527.821118513966</v>
      </c>
      <c r="O73" s="312">
        <f t="shared" si="69"/>
        <v>3.6104030966276881E-4</v>
      </c>
      <c r="P73" s="404" t="e">
        <f t="shared" si="70"/>
        <v>#DIV/0!</v>
      </c>
      <c r="Q73" s="312" t="e">
        <f t="shared" si="33"/>
        <v>#DIV/0!</v>
      </c>
      <c r="R73" s="454" t="e">
        <f t="shared" si="71"/>
        <v>#DIV/0!</v>
      </c>
      <c r="S73" s="312" t="e">
        <f t="shared" si="72"/>
        <v>#DIV/0!</v>
      </c>
      <c r="T73" s="454" t="e">
        <f t="shared" si="73"/>
        <v>#DIV/0!</v>
      </c>
      <c r="U73" s="312" t="e">
        <f t="shared" si="74"/>
        <v>#DIV/0!</v>
      </c>
      <c r="V73" s="454">
        <f t="shared" si="75"/>
        <v>0</v>
      </c>
      <c r="W73" s="312">
        <f t="shared" si="45"/>
        <v>-1.0000008192088081</v>
      </c>
      <c r="X73" s="454">
        <f t="shared" si="76"/>
        <v>0</v>
      </c>
      <c r="Y73" s="312">
        <f t="shared" si="54"/>
        <v>-1</v>
      </c>
      <c r="Z73" s="674">
        <f t="shared" si="55"/>
        <v>0</v>
      </c>
      <c r="AA73" s="297"/>
      <c r="AB73" s="379">
        <f t="shared" si="55"/>
        <v>0</v>
      </c>
      <c r="AC73" s="297"/>
      <c r="AD73" s="413">
        <f t="shared" si="56"/>
        <v>0</v>
      </c>
      <c r="AE73" s="297"/>
      <c r="AG73" s="400" t="e">
        <f t="shared" si="57"/>
        <v>#DIV/0!</v>
      </c>
      <c r="AH73" s="401">
        <f t="shared" si="58"/>
        <v>0</v>
      </c>
      <c r="AI73" s="407">
        <f t="shared" si="59"/>
        <v>0</v>
      </c>
      <c r="AJ73" s="498"/>
      <c r="AK73" s="502">
        <f t="shared" si="60"/>
        <v>0</v>
      </c>
      <c r="AL73" s="503" t="e">
        <f t="shared" si="61"/>
        <v>#DIV/0!</v>
      </c>
      <c r="AM73" s="504" t="e">
        <f>AG73-AK73-AO73</f>
        <v>#DIV/0!</v>
      </c>
      <c r="AN73" s="503" t="e">
        <f t="shared" si="62"/>
        <v>#DIV/0!</v>
      </c>
      <c r="AO73" s="502">
        <f t="shared" si="63"/>
        <v>0</v>
      </c>
      <c r="AP73" s="503" t="e">
        <f t="shared" si="64"/>
        <v>#DIV/0!</v>
      </c>
      <c r="AQ73" s="402"/>
      <c r="AR73" s="110">
        <v>46539</v>
      </c>
      <c r="AS73" s="98">
        <f t="shared" si="41"/>
        <v>0</v>
      </c>
      <c r="AT73" s="98">
        <f t="shared" si="42"/>
        <v>0</v>
      </c>
      <c r="AU73" s="98"/>
      <c r="AV73" s="308"/>
      <c r="AW73" s="308"/>
      <c r="AX73" s="308"/>
      <c r="AY73" s="403"/>
      <c r="AZ73" s="403"/>
      <c r="BA73" s="403"/>
      <c r="BB73" s="403"/>
    </row>
    <row r="74" spans="1:62">
      <c r="A74" s="543">
        <v>45394</v>
      </c>
      <c r="B74" s="457">
        <v>217121.94</v>
      </c>
      <c r="C74" s="312">
        <f t="shared" si="47"/>
        <v>3.938164972391837E-4</v>
      </c>
      <c r="D74" s="457">
        <v>115400.82</v>
      </c>
      <c r="E74" s="312">
        <f t="shared" si="49"/>
        <v>3.93550135922649E-4</v>
      </c>
      <c r="F74" s="457">
        <f t="shared" si="50"/>
        <v>23387.682603216224</v>
      </c>
      <c r="G74" s="312">
        <f t="shared" si="51"/>
        <v>3.9363284915507665E-4</v>
      </c>
      <c r="H74" s="398">
        <v>0</v>
      </c>
      <c r="I74" s="312">
        <f t="shared" si="52"/>
        <v>0</v>
      </c>
      <c r="J74" s="457" t="e">
        <f t="shared" si="65"/>
        <v>#DIV/0!</v>
      </c>
      <c r="K74" s="369" t="e">
        <f>(J74+100-50.6-J73)/J73</f>
        <v>#DIV/0!</v>
      </c>
      <c r="L74" s="404" t="e">
        <f t="shared" si="66"/>
        <v>#DIV/0!</v>
      </c>
      <c r="M74" s="312" t="e">
        <f t="shared" si="67"/>
        <v>#DIV/0!</v>
      </c>
      <c r="N74" s="454">
        <f t="shared" si="68"/>
        <v>19534.871449097634</v>
      </c>
      <c r="O74" s="312">
        <f t="shared" si="69"/>
        <v>3.6104030966281067E-4</v>
      </c>
      <c r="P74" s="404" t="e">
        <f t="shared" si="70"/>
        <v>#DIV/0!</v>
      </c>
      <c r="Q74" s="312" t="e">
        <f t="shared" si="33"/>
        <v>#DIV/0!</v>
      </c>
      <c r="R74" s="454" t="e">
        <f t="shared" si="71"/>
        <v>#DIV/0!</v>
      </c>
      <c r="S74" s="312" t="e">
        <f t="shared" si="72"/>
        <v>#DIV/0!</v>
      </c>
      <c r="T74" s="454" t="e">
        <f t="shared" si="73"/>
        <v>#DIV/0!</v>
      </c>
      <c r="U74" s="312" t="e">
        <f t="shared" si="74"/>
        <v>#DIV/0!</v>
      </c>
      <c r="V74" s="454">
        <f t="shared" si="75"/>
        <v>0</v>
      </c>
      <c r="W74" s="312">
        <f t="shared" si="45"/>
        <v>-1.0000008192088081</v>
      </c>
      <c r="X74" s="454">
        <f t="shared" si="76"/>
        <v>0</v>
      </c>
      <c r="Y74" s="312">
        <f t="shared" si="54"/>
        <v>-1</v>
      </c>
      <c r="Z74" s="674">
        <f t="shared" si="55"/>
        <v>0</v>
      </c>
      <c r="AA74" s="329"/>
      <c r="AB74" s="379">
        <f t="shared" si="55"/>
        <v>0</v>
      </c>
      <c r="AC74" s="329"/>
      <c r="AD74" s="413">
        <f t="shared" si="56"/>
        <v>0</v>
      </c>
      <c r="AE74" s="329"/>
      <c r="AG74" s="400" t="e">
        <f t="shared" si="57"/>
        <v>#DIV/0!</v>
      </c>
      <c r="AH74" s="401">
        <f t="shared" si="58"/>
        <v>0</v>
      </c>
      <c r="AI74" s="407">
        <f t="shared" si="59"/>
        <v>0</v>
      </c>
      <c r="AJ74" s="498"/>
      <c r="AK74" s="502">
        <f t="shared" si="60"/>
        <v>0</v>
      </c>
      <c r="AL74" s="503" t="e">
        <f t="shared" si="61"/>
        <v>#DIV/0!</v>
      </c>
      <c r="AM74" s="504" t="e">
        <f>AG74-AK74-AO74</f>
        <v>#DIV/0!</v>
      </c>
      <c r="AN74" s="503" t="e">
        <f t="shared" si="62"/>
        <v>#DIV/0!</v>
      </c>
      <c r="AO74" s="502">
        <f t="shared" si="63"/>
        <v>0</v>
      </c>
      <c r="AP74" s="503" t="e">
        <f t="shared" si="64"/>
        <v>#DIV/0!</v>
      </c>
      <c r="AQ74" s="402"/>
      <c r="AR74" s="110">
        <v>46569</v>
      </c>
      <c r="AS74" s="98">
        <f t="shared" si="41"/>
        <v>0</v>
      </c>
      <c r="AT74" s="98">
        <f t="shared" si="42"/>
        <v>0</v>
      </c>
      <c r="AU74" s="98"/>
      <c r="AV74" s="308"/>
      <c r="AW74" s="308"/>
      <c r="AX74" s="308"/>
      <c r="AY74" s="403"/>
      <c r="AZ74" s="403"/>
      <c r="BA74" s="403"/>
      <c r="BB74" s="403"/>
    </row>
    <row r="75" spans="1:62">
      <c r="A75" s="295">
        <v>45397</v>
      </c>
      <c r="B75" s="398">
        <f t="shared" si="46"/>
        <v>217207.44620188457</v>
      </c>
      <c r="C75" s="312">
        <f t="shared" si="47"/>
        <v>3.9381649723912646E-4</v>
      </c>
      <c r="D75" s="398">
        <f t="shared" si="48"/>
        <v>115446.23600839659</v>
      </c>
      <c r="E75" s="312">
        <f t="shared" si="49"/>
        <v>3.9355013592263458E-4</v>
      </c>
      <c r="F75" s="398">
        <f t="shared" si="50"/>
        <v>23396.888763354462</v>
      </c>
      <c r="G75" s="312">
        <f t="shared" si="51"/>
        <v>3.9363284915502715E-4</v>
      </c>
      <c r="H75" s="398">
        <v>0</v>
      </c>
      <c r="I75" s="312">
        <f t="shared" si="52"/>
        <v>0</v>
      </c>
      <c r="J75" s="457" t="e">
        <f t="shared" si="65"/>
        <v>#DIV/0!</v>
      </c>
      <c r="K75" s="369" t="e">
        <f>(J75+5000-308-J74)/J74</f>
        <v>#DIV/0!</v>
      </c>
      <c r="L75" s="404" t="e">
        <f t="shared" si="66"/>
        <v>#DIV/0!</v>
      </c>
      <c r="M75" s="312" t="e">
        <f t="shared" si="67"/>
        <v>#DIV/0!</v>
      </c>
      <c r="N75" s="454">
        <f t="shared" si="68"/>
        <v>19541.924325134842</v>
      </c>
      <c r="O75" s="312">
        <f t="shared" si="69"/>
        <v>3.6104030966290082E-4</v>
      </c>
      <c r="P75" s="404" t="e">
        <f t="shared" si="70"/>
        <v>#DIV/0!</v>
      </c>
      <c r="Q75" s="312" t="e">
        <f t="shared" ref="Q75:Q138" si="77">(P75+2243.33-P74)/P74</f>
        <v>#DIV/0!</v>
      </c>
      <c r="R75" s="454" t="e">
        <f t="shared" si="71"/>
        <v>#DIV/0!</v>
      </c>
      <c r="S75" s="312" t="e">
        <f t="shared" si="72"/>
        <v>#DIV/0!</v>
      </c>
      <c r="T75" s="454" t="e">
        <f t="shared" si="73"/>
        <v>#DIV/0!</v>
      </c>
      <c r="U75" s="312" t="e">
        <f t="shared" si="74"/>
        <v>#DIV/0!</v>
      </c>
      <c r="V75" s="454">
        <f t="shared" si="75"/>
        <v>0</v>
      </c>
      <c r="W75" s="312">
        <f>(V75-(399.77+264.983+391.15+390.7+774.22+382.15+331.69+727.41+1508.85))/(399.77+264.98+391.15+390.7+774.22+382.15+331.69+727.41+1508.85)</f>
        <v>-1.0000005801675522</v>
      </c>
      <c r="X75" s="454">
        <f t="shared" si="76"/>
        <v>0</v>
      </c>
      <c r="Y75" s="312">
        <f t="shared" si="54"/>
        <v>-1</v>
      </c>
      <c r="Z75" s="674">
        <f t="shared" si="55"/>
        <v>0</v>
      </c>
      <c r="AA75" s="297"/>
      <c r="AB75" s="379">
        <f t="shared" si="55"/>
        <v>0</v>
      </c>
      <c r="AC75" s="297"/>
      <c r="AD75" s="413">
        <f t="shared" si="56"/>
        <v>0</v>
      </c>
      <c r="AE75" s="297"/>
      <c r="AG75" s="400" t="e">
        <f t="shared" si="57"/>
        <v>#DIV/0!</v>
      </c>
      <c r="AH75" s="401">
        <f t="shared" si="58"/>
        <v>0</v>
      </c>
      <c r="AI75" s="407">
        <f t="shared" si="59"/>
        <v>0</v>
      </c>
      <c r="AJ75" s="498"/>
      <c r="AK75" s="502">
        <f t="shared" si="60"/>
        <v>0</v>
      </c>
      <c r="AL75" s="503" t="e">
        <f t="shared" si="61"/>
        <v>#DIV/0!</v>
      </c>
      <c r="AM75" s="504" t="e">
        <f>AG75-AK75-AO75</f>
        <v>#DIV/0!</v>
      </c>
      <c r="AN75" s="503" t="e">
        <f t="shared" si="62"/>
        <v>#DIV/0!</v>
      </c>
      <c r="AO75" s="502">
        <f t="shared" si="63"/>
        <v>0</v>
      </c>
      <c r="AP75" s="503" t="e">
        <f t="shared" si="64"/>
        <v>#DIV/0!</v>
      </c>
      <c r="AQ75" s="402"/>
      <c r="AR75" s="110">
        <v>46600</v>
      </c>
      <c r="AS75" s="98">
        <f t="shared" si="41"/>
        <v>0</v>
      </c>
      <c r="AT75" s="98">
        <f t="shared" si="42"/>
        <v>0</v>
      </c>
      <c r="AU75" s="98"/>
      <c r="AV75" s="308"/>
      <c r="AW75" s="308"/>
      <c r="AX75" s="308"/>
      <c r="AY75" s="403"/>
      <c r="AZ75" s="403"/>
      <c r="BA75" s="403"/>
      <c r="BB75" s="403"/>
    </row>
    <row r="76" spans="1:62">
      <c r="A76" s="295">
        <v>45398</v>
      </c>
      <c r="B76" s="398">
        <f t="shared" si="46"/>
        <v>217292.98607752204</v>
      </c>
      <c r="C76" s="312">
        <f t="shared" si="47"/>
        <v>3.9381649723910705E-4</v>
      </c>
      <c r="D76" s="398">
        <f t="shared" si="48"/>
        <v>115491.66989026945</v>
      </c>
      <c r="E76" s="312">
        <f t="shared" si="49"/>
        <v>3.9355013592260363E-4</v>
      </c>
      <c r="F76" s="398">
        <f t="shared" si="50"/>
        <v>23406.098547339745</v>
      </c>
      <c r="G76" s="312">
        <f t="shared" si="51"/>
        <v>3.9363284915505632E-4</v>
      </c>
      <c r="H76" s="398">
        <v>0</v>
      </c>
      <c r="I76" s="312">
        <f t="shared" si="52"/>
        <v>0</v>
      </c>
      <c r="J76" s="457" t="e">
        <f t="shared" si="65"/>
        <v>#DIV/0!</v>
      </c>
      <c r="K76" s="369" t="e">
        <f>(J76+500+8511.05-J75)/J75</f>
        <v>#DIV/0!</v>
      </c>
      <c r="L76" s="404" t="e">
        <f t="shared" si="66"/>
        <v>#DIV/0!</v>
      </c>
      <c r="M76" s="312" t="e">
        <f t="shared" si="67"/>
        <v>#DIV/0!</v>
      </c>
      <c r="N76" s="454">
        <f t="shared" si="68"/>
        <v>19548.979747544596</v>
      </c>
      <c r="O76" s="312">
        <f t="shared" si="69"/>
        <v>3.6104030966282118E-4</v>
      </c>
      <c r="P76" s="404" t="e">
        <f t="shared" si="70"/>
        <v>#DIV/0!</v>
      </c>
      <c r="Q76" s="312" t="e">
        <f t="shared" si="77"/>
        <v>#DIV/0!</v>
      </c>
      <c r="R76" s="454" t="e">
        <f t="shared" si="71"/>
        <v>#DIV/0!</v>
      </c>
      <c r="S76" s="312" t="e">
        <f t="shared" si="72"/>
        <v>#DIV/0!</v>
      </c>
      <c r="T76" s="454" t="e">
        <f t="shared" si="73"/>
        <v>#DIV/0!</v>
      </c>
      <c r="U76" s="312" t="e">
        <f t="shared" si="74"/>
        <v>#DIV/0!</v>
      </c>
      <c r="V76" s="454">
        <f t="shared" si="75"/>
        <v>0</v>
      </c>
      <c r="W76" s="312">
        <f t="shared" ref="W76" si="78">(V76-(399.77+264.983+391.15+390.7+774.22+382.15+331.69+727.41+1508.85))/(399.77+264.98+391.15+390.7+774.22+382.15+331.69+727.41+1508.85)</f>
        <v>-1.0000005801675522</v>
      </c>
      <c r="X76" s="454">
        <f t="shared" si="76"/>
        <v>0</v>
      </c>
      <c r="Y76" s="312">
        <f t="shared" si="54"/>
        <v>-1</v>
      </c>
      <c r="Z76" s="674">
        <f t="shared" si="55"/>
        <v>0</v>
      </c>
      <c r="AA76" s="329"/>
      <c r="AB76" s="379">
        <f t="shared" si="55"/>
        <v>0</v>
      </c>
      <c r="AC76" s="329"/>
      <c r="AD76" s="413">
        <f t="shared" si="56"/>
        <v>0</v>
      </c>
      <c r="AE76" s="329"/>
      <c r="AG76" s="400" t="e">
        <f t="shared" si="57"/>
        <v>#DIV/0!</v>
      </c>
      <c r="AH76" s="401">
        <f t="shared" si="58"/>
        <v>0</v>
      </c>
      <c r="AI76" s="407">
        <f t="shared" si="59"/>
        <v>0</v>
      </c>
      <c r="AJ76" s="498"/>
      <c r="AK76" s="502">
        <f t="shared" si="60"/>
        <v>0</v>
      </c>
      <c r="AL76" s="503" t="e">
        <f t="shared" si="61"/>
        <v>#DIV/0!</v>
      </c>
      <c r="AM76" s="504" t="e">
        <f>AG76-AK76-AO76</f>
        <v>#DIV/0!</v>
      </c>
      <c r="AN76" s="503" t="e">
        <f t="shared" si="62"/>
        <v>#DIV/0!</v>
      </c>
      <c r="AO76" s="502">
        <f t="shared" si="63"/>
        <v>0</v>
      </c>
      <c r="AP76" s="503" t="e">
        <f t="shared" si="64"/>
        <v>#DIV/0!</v>
      </c>
      <c r="AQ76" s="402"/>
      <c r="AR76" s="110">
        <v>46631</v>
      </c>
      <c r="AS76" s="98">
        <f t="shared" si="41"/>
        <v>0</v>
      </c>
      <c r="AT76" s="98">
        <f t="shared" si="42"/>
        <v>0</v>
      </c>
      <c r="AU76" s="98"/>
      <c r="AV76" s="308"/>
      <c r="AW76" s="308"/>
      <c r="AX76" s="308"/>
      <c r="AY76" s="403"/>
      <c r="AZ76" s="403"/>
      <c r="BA76" s="403"/>
      <c r="BB76" s="403"/>
    </row>
    <row r="77" spans="1:62">
      <c r="A77" s="295">
        <v>45399</v>
      </c>
      <c r="B77" s="398">
        <f t="shared" si="46"/>
        <v>217378.55964017371</v>
      </c>
      <c r="C77" s="312">
        <f t="shared" si="47"/>
        <v>3.9381649723907539E-4</v>
      </c>
      <c r="D77" s="398">
        <f t="shared" si="48"/>
        <v>115537.1216526527</v>
      </c>
      <c r="E77" s="312">
        <f t="shared" si="49"/>
        <v>3.9355013592266201E-4</v>
      </c>
      <c r="F77" s="398">
        <f t="shared" si="50"/>
        <v>23415.31195659854</v>
      </c>
      <c r="G77" s="312">
        <f t="shared" si="51"/>
        <v>3.936328491551198E-4</v>
      </c>
      <c r="H77" s="398">
        <v>0</v>
      </c>
      <c r="I77" s="312">
        <f t="shared" si="52"/>
        <v>0</v>
      </c>
      <c r="J77" s="457" t="e">
        <f t="shared" si="65"/>
        <v>#DIV/0!</v>
      </c>
      <c r="K77" s="369" t="e">
        <f>(J77-6092+1960.57+5000-J76)/J76</f>
        <v>#DIV/0!</v>
      </c>
      <c r="L77" s="404" t="e">
        <f t="shared" si="66"/>
        <v>#DIV/0!</v>
      </c>
      <c r="M77" s="312" t="e">
        <f t="shared" si="67"/>
        <v>#DIV/0!</v>
      </c>
      <c r="N77" s="454">
        <f t="shared" si="68"/>
        <v>19556.037717246243</v>
      </c>
      <c r="O77" s="312">
        <f t="shared" si="69"/>
        <v>3.6104030966290607E-4</v>
      </c>
      <c r="P77" s="404" t="e">
        <f t="shared" si="70"/>
        <v>#DIV/0!</v>
      </c>
      <c r="Q77" s="312" t="e">
        <f t="shared" si="77"/>
        <v>#DIV/0!</v>
      </c>
      <c r="R77" s="454" t="e">
        <f t="shared" si="71"/>
        <v>#DIV/0!</v>
      </c>
      <c r="S77" s="312" t="e">
        <f t="shared" si="72"/>
        <v>#DIV/0!</v>
      </c>
      <c r="T77" s="454" t="e">
        <f t="shared" si="73"/>
        <v>#DIV/0!</v>
      </c>
      <c r="U77" s="312" t="e">
        <f t="shared" si="74"/>
        <v>#DIV/0!</v>
      </c>
      <c r="V77" s="454">
        <f t="shared" si="75"/>
        <v>0</v>
      </c>
      <c r="W77" s="312">
        <f>(V77-(399.77+264.983+391.15+390.7+774.22+382.15+331.69+727.41+1508.85+2454.73))/(399.77+264.98+391.15+390.7+774.22+382.15+331.69+727.41+1508.85+2454.73)</f>
        <v>-1.0000003934090864</v>
      </c>
      <c r="X77" s="454">
        <f t="shared" si="76"/>
        <v>0</v>
      </c>
      <c r="Y77" s="312">
        <f t="shared" si="54"/>
        <v>-1</v>
      </c>
      <c r="Z77" s="674">
        <f t="shared" si="55"/>
        <v>0</v>
      </c>
      <c r="AA77" s="297"/>
      <c r="AB77" s="379">
        <f t="shared" si="55"/>
        <v>0</v>
      </c>
      <c r="AC77" s="297"/>
      <c r="AD77" s="413">
        <f t="shared" si="56"/>
        <v>0</v>
      </c>
      <c r="AE77" s="297"/>
      <c r="AG77" s="400" t="e">
        <f t="shared" si="57"/>
        <v>#DIV/0!</v>
      </c>
      <c r="AH77" s="401">
        <f t="shared" si="58"/>
        <v>0</v>
      </c>
      <c r="AI77" s="407">
        <f t="shared" si="59"/>
        <v>0</v>
      </c>
      <c r="AJ77" s="498"/>
      <c r="AK77" s="502">
        <f t="shared" si="60"/>
        <v>0</v>
      </c>
      <c r="AL77" s="503" t="e">
        <f t="shared" si="61"/>
        <v>#DIV/0!</v>
      </c>
      <c r="AM77" s="504" t="e">
        <f>AG77-AK77-AO77</f>
        <v>#DIV/0!</v>
      </c>
      <c r="AN77" s="503" t="e">
        <f t="shared" si="62"/>
        <v>#DIV/0!</v>
      </c>
      <c r="AO77" s="502">
        <f t="shared" si="63"/>
        <v>0</v>
      </c>
      <c r="AP77" s="503" t="e">
        <f t="shared" si="64"/>
        <v>#DIV/0!</v>
      </c>
      <c r="AQ77" s="402"/>
      <c r="AR77" s="110">
        <v>46661</v>
      </c>
      <c r="AS77" s="98">
        <f t="shared" si="41"/>
        <v>0</v>
      </c>
      <c r="AT77" s="98">
        <f t="shared" si="42"/>
        <v>0</v>
      </c>
      <c r="AU77" s="98"/>
      <c r="AV77" s="308"/>
      <c r="AW77" s="308"/>
      <c r="AX77" s="308"/>
      <c r="AY77" s="403"/>
      <c r="AZ77" s="403"/>
      <c r="BA77" s="403"/>
      <c r="BB77" s="403"/>
    </row>
    <row r="78" spans="1:62">
      <c r="A78" s="295">
        <v>45400</v>
      </c>
      <c r="B78" s="398">
        <f t="shared" si="46"/>
        <v>217464.16690310609</v>
      </c>
      <c r="C78" s="312">
        <f t="shared" si="47"/>
        <v>3.9381649723910597E-4</v>
      </c>
      <c r="D78" s="398">
        <f t="shared" si="48"/>
        <v>115582.59130258321</v>
      </c>
      <c r="E78" s="312">
        <f t="shared" si="49"/>
        <v>3.9355013592265415E-4</v>
      </c>
      <c r="F78" s="398">
        <f t="shared" si="50"/>
        <v>23424.528992557873</v>
      </c>
      <c r="G78" s="312">
        <f t="shared" si="51"/>
        <v>3.9363284915516403E-4</v>
      </c>
      <c r="H78" s="398">
        <v>0</v>
      </c>
      <c r="I78" s="312">
        <f t="shared" si="52"/>
        <v>0</v>
      </c>
      <c r="J78" s="457" t="e">
        <f t="shared" si="65"/>
        <v>#DIV/0!</v>
      </c>
      <c r="K78" s="369" t="e">
        <f>(J78-5508+4211.66-J77)/J77</f>
        <v>#DIV/0!</v>
      </c>
      <c r="L78" s="404" t="e">
        <f t="shared" si="66"/>
        <v>#DIV/0!</v>
      </c>
      <c r="M78" s="312" t="e">
        <f t="shared" si="67"/>
        <v>#DIV/0!</v>
      </c>
      <c r="N78" s="454">
        <f t="shared" si="68"/>
        <v>19563.098235159458</v>
      </c>
      <c r="O78" s="312">
        <f t="shared" si="69"/>
        <v>3.6104030966292505E-4</v>
      </c>
      <c r="P78" s="404" t="e">
        <f t="shared" si="70"/>
        <v>#DIV/0!</v>
      </c>
      <c r="Q78" s="312" t="e">
        <f t="shared" si="77"/>
        <v>#DIV/0!</v>
      </c>
      <c r="R78" s="454" t="e">
        <f t="shared" si="71"/>
        <v>#DIV/0!</v>
      </c>
      <c r="S78" s="312" t="e">
        <f t="shared" si="72"/>
        <v>#DIV/0!</v>
      </c>
      <c r="T78" s="454" t="e">
        <f t="shared" si="73"/>
        <v>#DIV/0!</v>
      </c>
      <c r="U78" s="312" t="e">
        <f t="shared" si="74"/>
        <v>#DIV/0!</v>
      </c>
      <c r="V78" s="454">
        <f t="shared" si="75"/>
        <v>0</v>
      </c>
      <c r="W78" s="312">
        <f t="shared" ref="W78:W82" si="79">(V78-(399.77+264.983+391.15+390.7+774.22+382.15+331.69+727.41+1508.85+2454.73))/(399.77+264.98+391.15+390.7+774.22+382.15+331.69+727.41+1508.85+2454.73)</f>
        <v>-1.0000003934090864</v>
      </c>
      <c r="X78" s="454">
        <f t="shared" si="76"/>
        <v>0</v>
      </c>
      <c r="Y78" s="312">
        <f t="shared" si="54"/>
        <v>-1</v>
      </c>
      <c r="Z78" s="674">
        <f t="shared" si="55"/>
        <v>0</v>
      </c>
      <c r="AA78" s="329"/>
      <c r="AB78" s="379">
        <f t="shared" si="55"/>
        <v>0</v>
      </c>
      <c r="AC78" s="329"/>
      <c r="AD78" s="413">
        <f t="shared" si="56"/>
        <v>0</v>
      </c>
      <c r="AE78" s="329"/>
      <c r="AG78" s="400" t="e">
        <f t="shared" si="57"/>
        <v>#DIV/0!</v>
      </c>
      <c r="AH78" s="401">
        <f t="shared" si="58"/>
        <v>0</v>
      </c>
      <c r="AI78" s="407">
        <f t="shared" si="59"/>
        <v>0</v>
      </c>
      <c r="AJ78" s="498"/>
      <c r="AK78" s="502">
        <f t="shared" si="60"/>
        <v>0</v>
      </c>
      <c r="AL78" s="503" t="e">
        <f t="shared" si="61"/>
        <v>#DIV/0!</v>
      </c>
      <c r="AM78" s="504" t="e">
        <f>AG78-AK78-AO78</f>
        <v>#DIV/0!</v>
      </c>
      <c r="AN78" s="503" t="e">
        <f t="shared" si="62"/>
        <v>#DIV/0!</v>
      </c>
      <c r="AO78" s="502">
        <f t="shared" si="63"/>
        <v>0</v>
      </c>
      <c r="AP78" s="503" t="e">
        <f t="shared" si="64"/>
        <v>#DIV/0!</v>
      </c>
      <c r="AQ78" s="402"/>
      <c r="AR78" s="110">
        <v>46692</v>
      </c>
      <c r="AS78" s="98">
        <f t="shared" si="41"/>
        <v>0</v>
      </c>
      <c r="AT78" s="98">
        <f t="shared" si="42"/>
        <v>0</v>
      </c>
      <c r="AU78" s="98"/>
      <c r="AV78" s="308"/>
      <c r="AW78" s="308"/>
      <c r="AX78" s="308"/>
      <c r="AY78" s="403"/>
      <c r="AZ78" s="403"/>
      <c r="BA78" s="403"/>
      <c r="BB78" s="403"/>
    </row>
    <row r="79" spans="1:62">
      <c r="A79" s="295">
        <v>45401</v>
      </c>
      <c r="B79" s="398">
        <f t="shared" si="46"/>
        <v>217549.8078795909</v>
      </c>
      <c r="C79" s="312">
        <f t="shared" si="47"/>
        <v>3.9381649723912982E-4</v>
      </c>
      <c r="D79" s="398">
        <f t="shared" si="48"/>
        <v>115628.07884710064</v>
      </c>
      <c r="E79" s="312">
        <f t="shared" si="49"/>
        <v>3.9355013592266711E-4</v>
      </c>
      <c r="F79" s="398">
        <f t="shared" si="50"/>
        <v>23433.74965664533</v>
      </c>
      <c r="G79" s="312">
        <f t="shared" si="51"/>
        <v>3.9363284915512598E-4</v>
      </c>
      <c r="H79" s="398">
        <v>0</v>
      </c>
      <c r="I79" s="312">
        <f t="shared" si="52"/>
        <v>0</v>
      </c>
      <c r="J79" s="457" t="e">
        <f t="shared" si="65"/>
        <v>#DIV/0!</v>
      </c>
      <c r="K79" s="369" t="e">
        <f>(J79+100-3078-209.4-J78)/J78</f>
        <v>#DIV/0!</v>
      </c>
      <c r="L79" s="404" t="e">
        <f t="shared" si="66"/>
        <v>#DIV/0!</v>
      </c>
      <c r="M79" s="312" t="e">
        <f>(L79+3-L78)/L78</f>
        <v>#DIV/0!</v>
      </c>
      <c r="N79" s="454">
        <f t="shared" si="68"/>
        <v>19570.161302204247</v>
      </c>
      <c r="O79" s="312">
        <f t="shared" si="69"/>
        <v>3.6104030966301395E-4</v>
      </c>
      <c r="P79" s="404" t="e">
        <f t="shared" si="70"/>
        <v>#DIV/0!</v>
      </c>
      <c r="Q79" s="312" t="e">
        <f t="shared" si="77"/>
        <v>#DIV/0!</v>
      </c>
      <c r="R79" s="454" t="e">
        <f t="shared" si="71"/>
        <v>#DIV/0!</v>
      </c>
      <c r="S79" s="312" t="e">
        <f t="shared" si="72"/>
        <v>#DIV/0!</v>
      </c>
      <c r="T79" s="454" t="e">
        <f t="shared" si="73"/>
        <v>#DIV/0!</v>
      </c>
      <c r="U79" s="312" t="e">
        <f t="shared" si="74"/>
        <v>#DIV/0!</v>
      </c>
      <c r="V79" s="454">
        <f t="shared" si="75"/>
        <v>0</v>
      </c>
      <c r="W79" s="312">
        <f t="shared" si="79"/>
        <v>-1.0000003934090864</v>
      </c>
      <c r="X79" s="454">
        <f t="shared" si="76"/>
        <v>0</v>
      </c>
      <c r="Y79" s="312">
        <f t="shared" si="54"/>
        <v>-1</v>
      </c>
      <c r="Z79" s="674">
        <f t="shared" si="55"/>
        <v>0</v>
      </c>
      <c r="AA79" s="297"/>
      <c r="AB79" s="379">
        <f t="shared" si="55"/>
        <v>0</v>
      </c>
      <c r="AC79" s="297"/>
      <c r="AD79" s="413">
        <f t="shared" si="56"/>
        <v>0</v>
      </c>
      <c r="AE79" s="297"/>
      <c r="AG79" s="400" t="e">
        <f t="shared" si="57"/>
        <v>#DIV/0!</v>
      </c>
      <c r="AH79" s="401">
        <f t="shared" si="58"/>
        <v>0</v>
      </c>
      <c r="AI79" s="407">
        <f t="shared" si="59"/>
        <v>0</v>
      </c>
      <c r="AJ79" s="498"/>
      <c r="AK79" s="502">
        <f t="shared" si="60"/>
        <v>0</v>
      </c>
      <c r="AL79" s="503" t="e">
        <f t="shared" si="61"/>
        <v>#DIV/0!</v>
      </c>
      <c r="AM79" s="504" t="e">
        <f>AG79-AK79-AO79</f>
        <v>#DIV/0!</v>
      </c>
      <c r="AN79" s="503" t="e">
        <f t="shared" si="62"/>
        <v>#DIV/0!</v>
      </c>
      <c r="AO79" s="502">
        <f t="shared" si="63"/>
        <v>0</v>
      </c>
      <c r="AP79" s="503" t="e">
        <f t="shared" si="64"/>
        <v>#DIV/0!</v>
      </c>
      <c r="AQ79" s="402"/>
      <c r="AR79" s="110">
        <v>46722</v>
      </c>
      <c r="AS79" s="98">
        <f t="shared" si="41"/>
        <v>0</v>
      </c>
      <c r="AT79" s="98">
        <f t="shared" si="42"/>
        <v>0</v>
      </c>
      <c r="AU79" s="98"/>
      <c r="AV79" s="308"/>
      <c r="AW79" s="308"/>
      <c r="AX79" s="308"/>
      <c r="AY79" s="403"/>
      <c r="AZ79" s="403"/>
      <c r="BA79" s="403"/>
      <c r="BB79" s="403"/>
    </row>
    <row r="80" spans="1:62">
      <c r="A80" s="295">
        <v>45404</v>
      </c>
      <c r="B80" s="398">
        <f t="shared" si="46"/>
        <v>217635.48258290507</v>
      </c>
      <c r="C80" s="312">
        <f t="shared" si="47"/>
        <v>3.9381649723906856E-4</v>
      </c>
      <c r="D80" s="398">
        <f t="shared" si="48"/>
        <v>115673.58429324739</v>
      </c>
      <c r="E80" s="312">
        <f t="shared" si="49"/>
        <v>3.9355013592265253E-4</v>
      </c>
      <c r="F80" s="398">
        <f t="shared" si="50"/>
        <v>23442.973950289062</v>
      </c>
      <c r="G80" s="312">
        <f t="shared" si="51"/>
        <v>3.9363284915508863E-4</v>
      </c>
      <c r="H80" s="398">
        <v>0</v>
      </c>
      <c r="I80" s="312">
        <f t="shared" si="52"/>
        <v>0</v>
      </c>
      <c r="J80" s="457" t="e">
        <f t="shared" si="65"/>
        <v>#DIV/0!</v>
      </c>
      <c r="K80" s="369" t="e">
        <f>(J80-1000-1500-J79)/J79</f>
        <v>#DIV/0!</v>
      </c>
      <c r="L80" s="404" t="e">
        <f t="shared" si="66"/>
        <v>#DIV/0!</v>
      </c>
      <c r="M80" s="312" t="e">
        <f t="shared" si="67"/>
        <v>#DIV/0!</v>
      </c>
      <c r="N80" s="454">
        <f t="shared" si="68"/>
        <v>19577.226919300949</v>
      </c>
      <c r="O80" s="312">
        <f t="shared" si="69"/>
        <v>3.6104030966293031E-4</v>
      </c>
      <c r="P80" s="404" t="e">
        <f t="shared" si="70"/>
        <v>#DIV/0!</v>
      </c>
      <c r="Q80" s="312" t="e">
        <f t="shared" si="77"/>
        <v>#DIV/0!</v>
      </c>
      <c r="R80" s="454" t="e">
        <f t="shared" si="71"/>
        <v>#DIV/0!</v>
      </c>
      <c r="S80" s="312" t="e">
        <f t="shared" si="72"/>
        <v>#DIV/0!</v>
      </c>
      <c r="T80" s="454" t="e">
        <f t="shared" si="73"/>
        <v>#DIV/0!</v>
      </c>
      <c r="U80" s="312" t="e">
        <f t="shared" si="74"/>
        <v>#DIV/0!</v>
      </c>
      <c r="V80" s="454">
        <f t="shared" si="75"/>
        <v>0</v>
      </c>
      <c r="W80" s="312">
        <f t="shared" si="79"/>
        <v>-1.0000003934090864</v>
      </c>
      <c r="X80" s="454">
        <f t="shared" si="76"/>
        <v>0</v>
      </c>
      <c r="Y80" s="312">
        <f t="shared" si="54"/>
        <v>-1</v>
      </c>
      <c r="Z80" s="674">
        <f t="shared" si="55"/>
        <v>0</v>
      </c>
      <c r="AA80" s="329"/>
      <c r="AB80" s="379">
        <f t="shared" si="55"/>
        <v>0</v>
      </c>
      <c r="AC80" s="329"/>
      <c r="AD80" s="413">
        <f t="shared" si="56"/>
        <v>0</v>
      </c>
      <c r="AE80" s="329"/>
      <c r="AG80" s="400" t="e">
        <f t="shared" si="57"/>
        <v>#DIV/0!</v>
      </c>
      <c r="AH80" s="401">
        <f t="shared" si="58"/>
        <v>0</v>
      </c>
      <c r="AI80" s="407">
        <f t="shared" si="59"/>
        <v>0</v>
      </c>
      <c r="AJ80" s="498"/>
      <c r="AK80" s="502">
        <f t="shared" si="60"/>
        <v>0</v>
      </c>
      <c r="AL80" s="503" t="e">
        <f t="shared" si="61"/>
        <v>#DIV/0!</v>
      </c>
      <c r="AM80" s="504" t="e">
        <f>AG80-AK80-AO80</f>
        <v>#DIV/0!</v>
      </c>
      <c r="AN80" s="503" t="e">
        <f t="shared" si="62"/>
        <v>#DIV/0!</v>
      </c>
      <c r="AO80" s="502">
        <f t="shared" si="63"/>
        <v>0</v>
      </c>
      <c r="AP80" s="503" t="e">
        <f t="shared" si="64"/>
        <v>#DIV/0!</v>
      </c>
      <c r="AQ80" s="402"/>
      <c r="AR80" s="110">
        <v>46753</v>
      </c>
      <c r="AS80" s="98">
        <f t="shared" si="41"/>
        <v>0</v>
      </c>
      <c r="AT80" s="98">
        <f t="shared" si="42"/>
        <v>0</v>
      </c>
      <c r="AU80" s="98"/>
      <c r="AV80" s="308"/>
      <c r="AW80" s="308"/>
      <c r="AX80" s="308"/>
      <c r="AY80" s="403"/>
      <c r="AZ80" s="403"/>
      <c r="BA80" s="403"/>
      <c r="BB80" s="403"/>
    </row>
    <row r="81" spans="1:54">
      <c r="A81" s="295">
        <v>45405</v>
      </c>
      <c r="B81" s="398">
        <f t="shared" si="46"/>
        <v>217721.19102633081</v>
      </c>
      <c r="C81" s="312">
        <f t="shared" si="47"/>
        <v>3.9381649723910206E-4</v>
      </c>
      <c r="D81" s="398">
        <f t="shared" si="48"/>
        <v>115719.10764806866</v>
      </c>
      <c r="E81" s="312">
        <f t="shared" si="49"/>
        <v>3.9355013592267844E-4</v>
      </c>
      <c r="F81" s="398">
        <f t="shared" si="50"/>
        <v>23452.201874917784</v>
      </c>
      <c r="G81" s="312">
        <f t="shared" si="51"/>
        <v>3.9363284915512533E-4</v>
      </c>
      <c r="H81" s="398">
        <v>0</v>
      </c>
      <c r="I81" s="312">
        <f t="shared" si="52"/>
        <v>0</v>
      </c>
      <c r="J81" s="457" t="e">
        <f t="shared" si="65"/>
        <v>#DIV/0!</v>
      </c>
      <c r="K81" s="369" t="e">
        <f>(J81+5235.96-5570-J80)/J80</f>
        <v>#DIV/0!</v>
      </c>
      <c r="L81" s="404" t="e">
        <f t="shared" si="66"/>
        <v>#DIV/0!</v>
      </c>
      <c r="M81" s="312" t="e">
        <f t="shared" si="67"/>
        <v>#DIV/0!</v>
      </c>
      <c r="N81" s="454">
        <f t="shared" si="68"/>
        <v>19584.295087370236</v>
      </c>
      <c r="O81" s="312">
        <f t="shared" si="69"/>
        <v>3.6104030966298354E-4</v>
      </c>
      <c r="P81" s="404" t="e">
        <f t="shared" si="70"/>
        <v>#DIV/0!</v>
      </c>
      <c r="Q81" s="312" t="e">
        <f t="shared" si="77"/>
        <v>#DIV/0!</v>
      </c>
      <c r="R81" s="454" t="e">
        <f t="shared" si="71"/>
        <v>#DIV/0!</v>
      </c>
      <c r="S81" s="312" t="e">
        <f t="shared" si="72"/>
        <v>#DIV/0!</v>
      </c>
      <c r="T81" s="454" t="e">
        <f t="shared" si="73"/>
        <v>#DIV/0!</v>
      </c>
      <c r="U81" s="312" t="e">
        <f t="shared" si="74"/>
        <v>#DIV/0!</v>
      </c>
      <c r="V81" s="454">
        <f t="shared" si="75"/>
        <v>0</v>
      </c>
      <c r="W81" s="312">
        <f t="shared" si="79"/>
        <v>-1.0000003934090864</v>
      </c>
      <c r="X81" s="454">
        <f t="shared" si="76"/>
        <v>0</v>
      </c>
      <c r="Y81" s="312">
        <f t="shared" si="54"/>
        <v>-1</v>
      </c>
      <c r="Z81" s="674">
        <f t="shared" si="55"/>
        <v>0</v>
      </c>
      <c r="AA81" s="297"/>
      <c r="AB81" s="379">
        <f t="shared" si="55"/>
        <v>0</v>
      </c>
      <c r="AC81" s="297"/>
      <c r="AD81" s="413">
        <f t="shared" si="56"/>
        <v>0</v>
      </c>
      <c r="AE81" s="297"/>
      <c r="AG81" s="400" t="e">
        <f t="shared" si="57"/>
        <v>#DIV/0!</v>
      </c>
      <c r="AH81" s="401">
        <f t="shared" si="58"/>
        <v>0</v>
      </c>
      <c r="AI81" s="407">
        <f t="shared" si="59"/>
        <v>0</v>
      </c>
      <c r="AJ81" s="498"/>
      <c r="AK81" s="502">
        <f t="shared" si="60"/>
        <v>0</v>
      </c>
      <c r="AL81" s="503" t="e">
        <f t="shared" si="61"/>
        <v>#DIV/0!</v>
      </c>
      <c r="AM81" s="504" t="e">
        <f>AG81-AK81-AO81</f>
        <v>#DIV/0!</v>
      </c>
      <c r="AN81" s="503" t="e">
        <f t="shared" si="62"/>
        <v>#DIV/0!</v>
      </c>
      <c r="AO81" s="502">
        <f t="shared" si="63"/>
        <v>0</v>
      </c>
      <c r="AP81" s="503" t="e">
        <f t="shared" si="64"/>
        <v>#DIV/0!</v>
      </c>
      <c r="AQ81" s="402"/>
      <c r="AR81" s="110">
        <v>46784</v>
      </c>
      <c r="AS81" s="98">
        <f t="shared" si="41"/>
        <v>0</v>
      </c>
      <c r="AT81" s="98">
        <f t="shared" si="42"/>
        <v>0</v>
      </c>
      <c r="AU81" s="98"/>
      <c r="AV81" s="308"/>
      <c r="AW81" s="308"/>
      <c r="AX81" s="308"/>
      <c r="AY81" s="403"/>
      <c r="AZ81" s="403"/>
      <c r="BA81" s="403"/>
      <c r="BB81" s="403"/>
    </row>
    <row r="82" spans="1:54">
      <c r="A82" s="295">
        <v>45406</v>
      </c>
      <c r="B82" s="398">
        <f t="shared" si="46"/>
        <v>217806.93322315553</v>
      </c>
      <c r="C82" s="312">
        <f t="shared" si="47"/>
        <v>3.9381649723913302E-4</v>
      </c>
      <c r="D82" s="398">
        <f t="shared" si="48"/>
        <v>115764.64891861241</v>
      </c>
      <c r="E82" s="312">
        <f t="shared" si="49"/>
        <v>3.9355013592267773E-4</v>
      </c>
      <c r="F82" s="398">
        <f t="shared" si="50"/>
        <v>23461.43343196077</v>
      </c>
      <c r="G82" s="312">
        <f t="shared" si="51"/>
        <v>3.9363284915514473E-4</v>
      </c>
      <c r="H82" s="398">
        <v>0</v>
      </c>
      <c r="I82" s="312">
        <f t="shared" si="52"/>
        <v>0</v>
      </c>
      <c r="J82" s="457" t="e">
        <f t="shared" si="65"/>
        <v>#DIV/0!</v>
      </c>
      <c r="K82" s="369" t="e">
        <f>(J82-2199.18-3138-J81)/J81</f>
        <v>#DIV/0!</v>
      </c>
      <c r="L82" s="404" t="e">
        <f t="shared" si="66"/>
        <v>#DIV/0!</v>
      </c>
      <c r="M82" s="312" t="e">
        <f t="shared" si="67"/>
        <v>#DIV/0!</v>
      </c>
      <c r="N82" s="454">
        <f t="shared" si="68"/>
        <v>19591.36580733311</v>
      </c>
      <c r="O82" s="312">
        <f t="shared" si="69"/>
        <v>3.6104030966291914E-4</v>
      </c>
      <c r="P82" s="404" t="e">
        <f t="shared" si="70"/>
        <v>#DIV/0!</v>
      </c>
      <c r="Q82" s="312" t="e">
        <f t="shared" si="77"/>
        <v>#DIV/0!</v>
      </c>
      <c r="R82" s="454" t="e">
        <f t="shared" si="71"/>
        <v>#DIV/0!</v>
      </c>
      <c r="S82" s="312" t="e">
        <f t="shared" si="72"/>
        <v>#DIV/0!</v>
      </c>
      <c r="T82" s="454" t="e">
        <f t="shared" si="73"/>
        <v>#DIV/0!</v>
      </c>
      <c r="U82" s="312" t="e">
        <f t="shared" si="74"/>
        <v>#DIV/0!</v>
      </c>
      <c r="V82" s="454">
        <f t="shared" si="75"/>
        <v>0</v>
      </c>
      <c r="W82" s="312">
        <f t="shared" si="79"/>
        <v>-1.0000003934090864</v>
      </c>
      <c r="X82" s="454">
        <f t="shared" si="76"/>
        <v>0</v>
      </c>
      <c r="Y82" s="312">
        <f t="shared" si="54"/>
        <v>-1</v>
      </c>
      <c r="Z82" s="674">
        <f t="shared" si="55"/>
        <v>0</v>
      </c>
      <c r="AA82" s="329"/>
      <c r="AB82" s="379">
        <f t="shared" si="55"/>
        <v>0</v>
      </c>
      <c r="AC82" s="329"/>
      <c r="AD82" s="413">
        <f t="shared" si="56"/>
        <v>0</v>
      </c>
      <c r="AE82" s="329"/>
      <c r="AG82" s="400" t="e">
        <f t="shared" si="57"/>
        <v>#DIV/0!</v>
      </c>
      <c r="AH82" s="401">
        <f t="shared" si="58"/>
        <v>0</v>
      </c>
      <c r="AI82" s="407">
        <f t="shared" si="59"/>
        <v>0</v>
      </c>
      <c r="AJ82" s="498"/>
      <c r="AK82" s="502">
        <f t="shared" si="60"/>
        <v>0</v>
      </c>
      <c r="AL82" s="503" t="e">
        <f t="shared" si="61"/>
        <v>#DIV/0!</v>
      </c>
      <c r="AM82" s="504" t="e">
        <f>AG82-AK82-AO82</f>
        <v>#DIV/0!</v>
      </c>
      <c r="AN82" s="503" t="e">
        <f t="shared" si="62"/>
        <v>#DIV/0!</v>
      </c>
      <c r="AO82" s="502">
        <f t="shared" si="63"/>
        <v>0</v>
      </c>
      <c r="AP82" s="503" t="e">
        <f t="shared" si="64"/>
        <v>#DIV/0!</v>
      </c>
      <c r="AQ82" s="402"/>
      <c r="AR82" s="110">
        <v>46813</v>
      </c>
      <c r="AS82" s="98">
        <f t="shared" si="41"/>
        <v>0</v>
      </c>
      <c r="AT82" s="98">
        <f t="shared" si="42"/>
        <v>0</v>
      </c>
      <c r="AU82" s="98"/>
      <c r="AV82" s="308"/>
      <c r="AW82" s="308"/>
      <c r="AX82" s="308"/>
      <c r="AY82" s="403"/>
      <c r="AZ82" s="403"/>
      <c r="BA82" s="403"/>
      <c r="BB82" s="403"/>
    </row>
    <row r="83" spans="1:54">
      <c r="A83" s="295">
        <v>45407</v>
      </c>
      <c r="B83" s="398">
        <f t="shared" si="46"/>
        <v>217892.70918667188</v>
      </c>
      <c r="C83" s="312">
        <f t="shared" si="47"/>
        <v>3.9381649723918842E-4</v>
      </c>
      <c r="D83" s="398">
        <f t="shared" si="48"/>
        <v>115810.20811192937</v>
      </c>
      <c r="E83" s="312">
        <f t="shared" si="49"/>
        <v>3.9355013592269953E-4</v>
      </c>
      <c r="F83" s="398">
        <f t="shared" si="50"/>
        <v>23470.668622847857</v>
      </c>
      <c r="G83" s="312">
        <f t="shared" si="51"/>
        <v>3.9363284915520133E-4</v>
      </c>
      <c r="H83" s="398">
        <v>0</v>
      </c>
      <c r="I83" s="312">
        <f t="shared" si="52"/>
        <v>0</v>
      </c>
      <c r="J83" s="457" t="e">
        <f t="shared" si="65"/>
        <v>#DIV/0!</v>
      </c>
      <c r="K83" s="369" t="e">
        <f>(J83-3189-5500.11+2674.99-J82)/J82</f>
        <v>#DIV/0!</v>
      </c>
      <c r="L83" s="404" t="e">
        <f t="shared" si="66"/>
        <v>#DIV/0!</v>
      </c>
      <c r="M83" s="312" t="e">
        <f t="shared" si="67"/>
        <v>#DIV/0!</v>
      </c>
      <c r="N83" s="454">
        <f t="shared" si="68"/>
        <v>19598.439080110908</v>
      </c>
      <c r="O83" s="312">
        <f t="shared" si="69"/>
        <v>3.6104030966284829E-4</v>
      </c>
      <c r="P83" s="404" t="e">
        <f t="shared" si="70"/>
        <v>#DIV/0!</v>
      </c>
      <c r="Q83" s="312" t="e">
        <f t="shared" si="77"/>
        <v>#DIV/0!</v>
      </c>
      <c r="R83" s="454" t="e">
        <f t="shared" si="71"/>
        <v>#DIV/0!</v>
      </c>
      <c r="S83" s="312" t="e">
        <f t="shared" si="72"/>
        <v>#DIV/0!</v>
      </c>
      <c r="T83" s="454" t="e">
        <f t="shared" si="73"/>
        <v>#DIV/0!</v>
      </c>
      <c r="U83" s="312" t="e">
        <f t="shared" si="74"/>
        <v>#DIV/0!</v>
      </c>
      <c r="V83" s="454">
        <f t="shared" si="75"/>
        <v>0</v>
      </c>
      <c r="W83" s="312">
        <f>(V83-(399.77+264.983+391.15+390.7+774.22+382.15+331.69+727.41+1508.85+2454.73+3272.99))/(399.77+264.98+391.15+390.7+774.22+382.15+331.69+727.41+1508.85+2454.73+3272.99)</f>
        <v>-1.0000002752637027</v>
      </c>
      <c r="X83" s="454">
        <f t="shared" si="76"/>
        <v>0</v>
      </c>
      <c r="Y83" s="312">
        <f t="shared" si="54"/>
        <v>-1</v>
      </c>
      <c r="Z83" s="674">
        <f t="shared" si="55"/>
        <v>0</v>
      </c>
      <c r="AA83" s="297"/>
      <c r="AB83" s="379">
        <f t="shared" si="55"/>
        <v>0</v>
      </c>
      <c r="AC83" s="297"/>
      <c r="AD83" s="413">
        <f t="shared" si="56"/>
        <v>0</v>
      </c>
      <c r="AE83" s="297"/>
      <c r="AG83" s="400" t="e">
        <f t="shared" si="57"/>
        <v>#DIV/0!</v>
      </c>
      <c r="AH83" s="401">
        <f t="shared" si="58"/>
        <v>0</v>
      </c>
      <c r="AI83" s="407">
        <f t="shared" si="59"/>
        <v>0</v>
      </c>
      <c r="AJ83" s="498"/>
      <c r="AK83" s="502">
        <f t="shared" si="60"/>
        <v>0</v>
      </c>
      <c r="AL83" s="503" t="e">
        <f t="shared" si="61"/>
        <v>#DIV/0!</v>
      </c>
      <c r="AM83" s="504" t="e">
        <f>AG83-AK83-AO83</f>
        <v>#DIV/0!</v>
      </c>
      <c r="AN83" s="503" t="e">
        <f t="shared" si="62"/>
        <v>#DIV/0!</v>
      </c>
      <c r="AO83" s="502">
        <f t="shared" si="63"/>
        <v>0</v>
      </c>
      <c r="AP83" s="503" t="e">
        <f t="shared" si="64"/>
        <v>#DIV/0!</v>
      </c>
      <c r="AQ83" s="402"/>
      <c r="AR83" s="110">
        <v>46844</v>
      </c>
      <c r="AS83" s="98">
        <f t="shared" si="41"/>
        <v>0</v>
      </c>
      <c r="AT83" s="98">
        <f t="shared" si="42"/>
        <v>0</v>
      </c>
      <c r="AU83" s="98"/>
      <c r="AV83" s="308"/>
      <c r="AW83" s="308"/>
      <c r="AX83" s="308"/>
      <c r="AY83" s="403"/>
      <c r="AZ83" s="403"/>
      <c r="BA83" s="403"/>
      <c r="BB83" s="403"/>
    </row>
    <row r="84" spans="1:54">
      <c r="A84" s="295">
        <v>45408</v>
      </c>
      <c r="B84" s="398">
        <f t="shared" si="46"/>
        <v>217978.51893017773</v>
      </c>
      <c r="C84" s="312">
        <f t="shared" si="47"/>
        <v>3.9381649723915226E-4</v>
      </c>
      <c r="D84" s="398">
        <f t="shared" si="48"/>
        <v>115855.78523507305</v>
      </c>
      <c r="E84" s="312">
        <f t="shared" si="49"/>
        <v>3.9355013592265778E-4</v>
      </c>
      <c r="F84" s="398">
        <f t="shared" si="50"/>
        <v>23479.907449009446</v>
      </c>
      <c r="G84" s="312">
        <f t="shared" si="51"/>
        <v>3.9363284915518501E-4</v>
      </c>
      <c r="H84" s="398">
        <v>0</v>
      </c>
      <c r="I84" s="312">
        <f t="shared" si="52"/>
        <v>0</v>
      </c>
      <c r="J84" s="457" t="e">
        <f t="shared" si="65"/>
        <v>#DIV/0!</v>
      </c>
      <c r="K84" s="369" t="e">
        <f>(J84+10-5502.28+14.9+10214.2-J83)/J83</f>
        <v>#DIV/0!</v>
      </c>
      <c r="L84" s="404" t="e">
        <f t="shared" si="66"/>
        <v>#DIV/0!</v>
      </c>
      <c r="M84" s="312" t="e">
        <f t="shared" si="67"/>
        <v>#DIV/0!</v>
      </c>
      <c r="N84" s="454">
        <f t="shared" si="68"/>
        <v>19605.5149066253</v>
      </c>
      <c r="O84" s="312">
        <f t="shared" si="69"/>
        <v>3.6104030966287572E-4</v>
      </c>
      <c r="P84" s="404" t="e">
        <f t="shared" si="70"/>
        <v>#DIV/0!</v>
      </c>
      <c r="Q84" s="312" t="e">
        <f t="shared" si="77"/>
        <v>#DIV/0!</v>
      </c>
      <c r="R84" s="454" t="e">
        <f t="shared" si="71"/>
        <v>#DIV/0!</v>
      </c>
      <c r="S84" s="312" t="e">
        <f t="shared" si="72"/>
        <v>#DIV/0!</v>
      </c>
      <c r="T84" s="454" t="e">
        <f t="shared" si="73"/>
        <v>#DIV/0!</v>
      </c>
      <c r="U84" s="312" t="e">
        <f t="shared" si="74"/>
        <v>#DIV/0!</v>
      </c>
      <c r="V84" s="454">
        <f t="shared" si="75"/>
        <v>0</v>
      </c>
      <c r="W84" s="312">
        <f t="shared" ref="W84:W147" si="80">(V84-(399.77+264.983+391.15+390.7+774.22+382.15+331.69+727.41+1508.85+2454.73+3272.99))/(399.77+264.98+391.15+390.7+774.22+382.15+331.69+727.41+1508.85+2454.73+3272.99)</f>
        <v>-1.0000002752637027</v>
      </c>
      <c r="X84" s="454">
        <f t="shared" si="76"/>
        <v>0</v>
      </c>
      <c r="Y84" s="312">
        <f t="shared" si="54"/>
        <v>-1</v>
      </c>
      <c r="Z84" s="674">
        <f t="shared" si="55"/>
        <v>0</v>
      </c>
      <c r="AA84" s="329"/>
      <c r="AB84" s="379">
        <f t="shared" si="55"/>
        <v>0</v>
      </c>
      <c r="AC84" s="329"/>
      <c r="AD84" s="413">
        <f t="shared" si="56"/>
        <v>0</v>
      </c>
      <c r="AE84" s="329"/>
      <c r="AG84" s="400" t="e">
        <f t="shared" si="57"/>
        <v>#DIV/0!</v>
      </c>
      <c r="AH84" s="401">
        <f t="shared" si="58"/>
        <v>0</v>
      </c>
      <c r="AI84" s="407">
        <f t="shared" si="59"/>
        <v>0</v>
      </c>
      <c r="AJ84" s="498"/>
      <c r="AK84" s="502">
        <f t="shared" si="60"/>
        <v>0</v>
      </c>
      <c r="AL84" s="503" t="e">
        <f t="shared" si="61"/>
        <v>#DIV/0!</v>
      </c>
      <c r="AM84" s="504" t="e">
        <f>AG84-AK84-AO84</f>
        <v>#DIV/0!</v>
      </c>
      <c r="AN84" s="503" t="e">
        <f t="shared" si="62"/>
        <v>#DIV/0!</v>
      </c>
      <c r="AO84" s="502">
        <f t="shared" si="63"/>
        <v>0</v>
      </c>
      <c r="AP84" s="503" t="e">
        <f t="shared" si="64"/>
        <v>#DIV/0!</v>
      </c>
      <c r="AQ84" s="402"/>
      <c r="AR84" s="110">
        <v>46874</v>
      </c>
      <c r="AS84" s="98">
        <f t="shared" si="41"/>
        <v>0</v>
      </c>
      <c r="AT84" s="98">
        <f t="shared" si="42"/>
        <v>0</v>
      </c>
      <c r="AU84" s="98"/>
      <c r="AV84" s="308"/>
      <c r="AW84" s="308"/>
      <c r="AX84" s="308"/>
      <c r="AY84" s="403"/>
      <c r="AZ84" s="403"/>
      <c r="BA84" s="403"/>
      <c r="BB84" s="403"/>
    </row>
    <row r="85" spans="1:54">
      <c r="A85" s="295">
        <v>45411</v>
      </c>
      <c r="B85" s="398">
        <f t="shared" si="46"/>
        <v>218064.36246697619</v>
      </c>
      <c r="C85" s="312">
        <f t="shared" si="47"/>
        <v>3.938164972391663E-4</v>
      </c>
      <c r="D85" s="398">
        <f t="shared" si="48"/>
        <v>115901.38029509975</v>
      </c>
      <c r="E85" s="312">
        <f t="shared" si="49"/>
        <v>3.9355013592270858E-4</v>
      </c>
      <c r="F85" s="398">
        <f t="shared" si="50"/>
        <v>23489.149911876499</v>
      </c>
      <c r="G85" s="312">
        <f t="shared" si="51"/>
        <v>3.936328491551314E-4</v>
      </c>
      <c r="H85" s="398">
        <v>0</v>
      </c>
      <c r="I85" s="312">
        <f t="shared" si="52"/>
        <v>0</v>
      </c>
      <c r="J85" s="457" t="e">
        <f t="shared" si="65"/>
        <v>#DIV/0!</v>
      </c>
      <c r="K85" s="369" t="e">
        <f>(J85-111.03+1281.52-J84)/J84</f>
        <v>#DIV/0!</v>
      </c>
      <c r="L85" s="404" t="e">
        <f t="shared" si="66"/>
        <v>#DIV/0!</v>
      </c>
      <c r="M85" s="312" t="e">
        <f t="shared" si="67"/>
        <v>#DIV/0!</v>
      </c>
      <c r="N85" s="454">
        <f t="shared" si="68"/>
        <v>19612.593287798289</v>
      </c>
      <c r="O85" s="312">
        <f t="shared" si="69"/>
        <v>3.6104030966291448E-4</v>
      </c>
      <c r="P85" s="404" t="e">
        <f t="shared" si="70"/>
        <v>#DIV/0!</v>
      </c>
      <c r="Q85" s="312" t="e">
        <f t="shared" si="77"/>
        <v>#DIV/0!</v>
      </c>
      <c r="R85" s="454" t="e">
        <f t="shared" si="71"/>
        <v>#DIV/0!</v>
      </c>
      <c r="S85" s="312" t="e">
        <f t="shared" si="72"/>
        <v>#DIV/0!</v>
      </c>
      <c r="T85" s="454" t="e">
        <f t="shared" si="73"/>
        <v>#DIV/0!</v>
      </c>
      <c r="U85" s="312" t="e">
        <f t="shared" si="74"/>
        <v>#DIV/0!</v>
      </c>
      <c r="V85" s="454">
        <f t="shared" si="75"/>
        <v>0</v>
      </c>
      <c r="W85" s="312">
        <f t="shared" si="80"/>
        <v>-1.0000002752637027</v>
      </c>
      <c r="X85" s="454">
        <f t="shared" si="76"/>
        <v>0</v>
      </c>
      <c r="Y85" s="312">
        <f t="shared" si="54"/>
        <v>-1</v>
      </c>
      <c r="Z85" s="674">
        <f t="shared" si="55"/>
        <v>0</v>
      </c>
      <c r="AA85" s="297"/>
      <c r="AB85" s="379">
        <f t="shared" si="55"/>
        <v>0</v>
      </c>
      <c r="AC85" s="297"/>
      <c r="AD85" s="413">
        <f t="shared" si="56"/>
        <v>0</v>
      </c>
      <c r="AE85" s="297"/>
      <c r="AF85" s="287"/>
      <c r="AG85" s="400" t="e">
        <f t="shared" si="57"/>
        <v>#DIV/0!</v>
      </c>
      <c r="AH85" s="401">
        <f t="shared" si="58"/>
        <v>0</v>
      </c>
      <c r="AI85" s="407">
        <f t="shared" si="59"/>
        <v>0</v>
      </c>
      <c r="AJ85" s="498"/>
      <c r="AK85" s="502">
        <f t="shared" si="60"/>
        <v>0</v>
      </c>
      <c r="AL85" s="503" t="e">
        <f t="shared" si="61"/>
        <v>#DIV/0!</v>
      </c>
      <c r="AM85" s="504" t="e">
        <f>AG85-AK85-AO85</f>
        <v>#DIV/0!</v>
      </c>
      <c r="AN85" s="503" t="e">
        <f t="shared" si="62"/>
        <v>#DIV/0!</v>
      </c>
      <c r="AO85" s="502">
        <f t="shared" si="63"/>
        <v>0</v>
      </c>
      <c r="AP85" s="503" t="e">
        <f t="shared" si="64"/>
        <v>#DIV/0!</v>
      </c>
      <c r="AQ85" s="402"/>
      <c r="AR85" s="110">
        <v>46905</v>
      </c>
      <c r="AS85" s="98">
        <f t="shared" si="41"/>
        <v>0</v>
      </c>
      <c r="AT85" s="98">
        <f t="shared" si="42"/>
        <v>0</v>
      </c>
      <c r="AU85" s="98"/>
      <c r="AV85" s="308"/>
      <c r="AW85" s="308"/>
      <c r="AX85" s="308"/>
      <c r="AY85" s="403"/>
      <c r="AZ85" s="403"/>
      <c r="BA85" s="403"/>
      <c r="BB85" s="403"/>
    </row>
    <row r="86" spans="1:54">
      <c r="A86" s="295">
        <v>45412</v>
      </c>
      <c r="B86" s="398">
        <v>218149.79</v>
      </c>
      <c r="C86" s="312">
        <f t="shared" si="47"/>
        <v>3.9175375589742809E-4</v>
      </c>
      <c r="D86" s="398">
        <v>115947.12</v>
      </c>
      <c r="E86" s="312">
        <f t="shared" si="49"/>
        <v>3.9464331471969905E-4</v>
      </c>
      <c r="F86" s="398">
        <v>23498.41</v>
      </c>
      <c r="G86" s="312">
        <f t="shared" si="51"/>
        <v>3.9422832066047392E-4</v>
      </c>
      <c r="H86" s="398">
        <v>0</v>
      </c>
      <c r="I86" s="312">
        <f t="shared" si="52"/>
        <v>0</v>
      </c>
      <c r="J86" s="457" t="e">
        <f t="shared" si="65"/>
        <v>#DIV/0!</v>
      </c>
      <c r="K86" s="369" t="e">
        <f>(J86+5000-6607.94+2588-J85)/J85</f>
        <v>#DIV/0!</v>
      </c>
      <c r="L86" s="404" t="e">
        <f t="shared" si="66"/>
        <v>#DIV/0!</v>
      </c>
      <c r="M86" s="312" t="e">
        <f t="shared" si="67"/>
        <v>#DIV/0!</v>
      </c>
      <c r="N86" s="454">
        <v>19619.63</v>
      </c>
      <c r="O86" s="312">
        <f t="shared" si="69"/>
        <v>3.5878540376861628E-4</v>
      </c>
      <c r="P86" s="404" t="e">
        <f t="shared" si="70"/>
        <v>#DIV/0!</v>
      </c>
      <c r="Q86" s="312" t="e">
        <f t="shared" si="77"/>
        <v>#DIV/0!</v>
      </c>
      <c r="R86" s="454" t="e">
        <f t="shared" si="71"/>
        <v>#DIV/0!</v>
      </c>
      <c r="S86" s="312" t="e">
        <f t="shared" si="72"/>
        <v>#DIV/0!</v>
      </c>
      <c r="T86" s="454" t="e">
        <f t="shared" si="73"/>
        <v>#DIV/0!</v>
      </c>
      <c r="U86" s="312" t="e">
        <f t="shared" si="74"/>
        <v>#DIV/0!</v>
      </c>
      <c r="V86" s="454">
        <f t="shared" si="75"/>
        <v>0</v>
      </c>
      <c r="W86" s="312">
        <f t="shared" si="80"/>
        <v>-1.0000002752637027</v>
      </c>
      <c r="X86" s="454">
        <f t="shared" si="76"/>
        <v>0</v>
      </c>
      <c r="Y86" s="312">
        <f t="shared" si="54"/>
        <v>-1</v>
      </c>
      <c r="Z86" s="674">
        <f t="shared" si="55"/>
        <v>0</v>
      </c>
      <c r="AA86" s="329"/>
      <c r="AB86" s="379">
        <f t="shared" si="55"/>
        <v>0</v>
      </c>
      <c r="AC86" s="329"/>
      <c r="AD86" s="413">
        <f t="shared" si="56"/>
        <v>0</v>
      </c>
      <c r="AE86" s="329"/>
      <c r="AG86" s="400" t="e">
        <f t="shared" si="57"/>
        <v>#DIV/0!</v>
      </c>
      <c r="AH86" s="401">
        <f t="shared" si="58"/>
        <v>0</v>
      </c>
      <c r="AI86" s="407">
        <f t="shared" si="59"/>
        <v>0</v>
      </c>
      <c r="AJ86" s="498"/>
      <c r="AK86" s="502">
        <f t="shared" si="60"/>
        <v>0</v>
      </c>
      <c r="AL86" s="503" t="e">
        <f t="shared" si="61"/>
        <v>#DIV/0!</v>
      </c>
      <c r="AM86" s="504" t="e">
        <f>AG86-AK86-AO86</f>
        <v>#DIV/0!</v>
      </c>
      <c r="AN86" s="503" t="e">
        <f t="shared" si="62"/>
        <v>#DIV/0!</v>
      </c>
      <c r="AO86" s="502">
        <f t="shared" si="63"/>
        <v>0</v>
      </c>
      <c r="AP86" s="503" t="e">
        <f t="shared" si="64"/>
        <v>#DIV/0!</v>
      </c>
      <c r="AQ86" s="402"/>
      <c r="AR86" s="110">
        <v>46935</v>
      </c>
      <c r="AS86" s="98">
        <f t="shared" si="41"/>
        <v>0</v>
      </c>
      <c r="AT86" s="98">
        <f t="shared" si="42"/>
        <v>0</v>
      </c>
      <c r="AU86" s="98"/>
      <c r="AV86" s="308"/>
      <c r="AW86" s="308"/>
      <c r="AX86" s="308"/>
      <c r="AY86" s="403"/>
      <c r="AZ86" s="403"/>
      <c r="BA86" s="403"/>
      <c r="BB86" s="403"/>
    </row>
    <row r="87" spans="1:54">
      <c r="A87" s="295">
        <v>45414</v>
      </c>
      <c r="B87" s="398">
        <f t="shared" si="46"/>
        <v>218235.25099958075</v>
      </c>
      <c r="C87" s="312">
        <f t="shared" si="47"/>
        <v>3.9175375589745222E-4</v>
      </c>
      <c r="D87" s="398">
        <f t="shared" si="48"/>
        <v>115992.877755769</v>
      </c>
      <c r="E87" s="312">
        <f t="shared" si="49"/>
        <v>3.9464331471975533E-4</v>
      </c>
      <c r="F87" s="398">
        <f t="shared" si="50"/>
        <v>23507.673738712492</v>
      </c>
      <c r="G87" s="312">
        <f t="shared" si="51"/>
        <v>3.9422832066051875E-4</v>
      </c>
      <c r="H87" s="398">
        <v>0</v>
      </c>
      <c r="I87" s="312">
        <f t="shared" si="52"/>
        <v>0</v>
      </c>
      <c r="J87" s="457" t="e">
        <f t="shared" si="65"/>
        <v>#DIV/0!</v>
      </c>
      <c r="K87" s="369" t="e">
        <f>(J87-3300-J86)/J86</f>
        <v>#DIV/0!</v>
      </c>
      <c r="L87" s="404" t="e">
        <f t="shared" si="66"/>
        <v>#DIV/0!</v>
      </c>
      <c r="M87" s="312" t="e">
        <f t="shared" si="67"/>
        <v>#DIV/0!</v>
      </c>
      <c r="N87" s="454">
        <f t="shared" si="68"/>
        <v>19626.669236871341</v>
      </c>
      <c r="O87" s="312">
        <f t="shared" si="69"/>
        <v>3.5878540376857812E-4</v>
      </c>
      <c r="P87" s="404" t="e">
        <f t="shared" si="70"/>
        <v>#DIV/0!</v>
      </c>
      <c r="Q87" s="312" t="e">
        <f t="shared" si="77"/>
        <v>#DIV/0!</v>
      </c>
      <c r="R87" s="454" t="e">
        <f t="shared" si="71"/>
        <v>#DIV/0!</v>
      </c>
      <c r="S87" s="312" t="e">
        <f t="shared" si="72"/>
        <v>#DIV/0!</v>
      </c>
      <c r="T87" s="454" t="e">
        <f t="shared" si="73"/>
        <v>#DIV/0!</v>
      </c>
      <c r="U87" s="312" t="e">
        <f t="shared" si="74"/>
        <v>#DIV/0!</v>
      </c>
      <c r="V87" s="454">
        <f t="shared" si="75"/>
        <v>0</v>
      </c>
      <c r="W87" s="312">
        <f t="shared" si="80"/>
        <v>-1.0000002752637027</v>
      </c>
      <c r="X87" s="454">
        <f t="shared" si="76"/>
        <v>0</v>
      </c>
      <c r="Y87" s="312">
        <f t="shared" si="54"/>
        <v>-1</v>
      </c>
      <c r="Z87" s="674">
        <f t="shared" si="55"/>
        <v>0</v>
      </c>
      <c r="AA87" s="297"/>
      <c r="AB87" s="379">
        <f t="shared" si="55"/>
        <v>0</v>
      </c>
      <c r="AC87" s="297"/>
      <c r="AD87" s="413">
        <f t="shared" si="56"/>
        <v>0</v>
      </c>
      <c r="AE87" s="297"/>
      <c r="AG87" s="400" t="e">
        <f t="shared" si="57"/>
        <v>#DIV/0!</v>
      </c>
      <c r="AH87" s="401">
        <f t="shared" si="58"/>
        <v>0</v>
      </c>
      <c r="AI87" s="407">
        <f t="shared" si="59"/>
        <v>0</v>
      </c>
      <c r="AJ87" s="498"/>
      <c r="AK87" s="502">
        <f t="shared" si="60"/>
        <v>0</v>
      </c>
      <c r="AL87" s="503" t="e">
        <f t="shared" si="61"/>
        <v>#DIV/0!</v>
      </c>
      <c r="AM87" s="504" t="e">
        <f>AG87-AK87-AO87</f>
        <v>#DIV/0!</v>
      </c>
      <c r="AN87" s="503" t="e">
        <f t="shared" si="62"/>
        <v>#DIV/0!</v>
      </c>
      <c r="AO87" s="502">
        <f t="shared" si="63"/>
        <v>0</v>
      </c>
      <c r="AP87" s="503" t="e">
        <f t="shared" si="64"/>
        <v>#DIV/0!</v>
      </c>
      <c r="AQ87" s="402"/>
      <c r="AR87" s="110">
        <v>46966</v>
      </c>
      <c r="AS87" s="98">
        <f t="shared" si="41"/>
        <v>0</v>
      </c>
      <c r="AT87" s="98">
        <f t="shared" si="42"/>
        <v>0</v>
      </c>
      <c r="AU87" s="98"/>
      <c r="AV87" s="308"/>
      <c r="AW87" s="308"/>
      <c r="AX87" s="308"/>
      <c r="AY87" s="403"/>
      <c r="AZ87" s="403"/>
      <c r="BA87" s="403"/>
      <c r="BB87" s="403"/>
    </row>
    <row r="88" spans="1:54">
      <c r="A88" s="295">
        <v>45415</v>
      </c>
      <c r="B88" s="398">
        <f t="shared" si="46"/>
        <v>218320.74547882905</v>
      </c>
      <c r="C88" s="312">
        <f t="shared" si="47"/>
        <v>3.9175375589741199E-4</v>
      </c>
      <c r="D88" s="398">
        <f t="shared" si="48"/>
        <v>116038.65356953042</v>
      </c>
      <c r="E88" s="312">
        <f t="shared" si="49"/>
        <v>3.9464331471970838E-4</v>
      </c>
      <c r="F88" s="398">
        <f t="shared" si="50"/>
        <v>23516.941129453142</v>
      </c>
      <c r="G88" s="312">
        <f t="shared" si="51"/>
        <v>3.9422832066059161E-4</v>
      </c>
      <c r="H88" s="398">
        <v>0</v>
      </c>
      <c r="I88" s="312">
        <f t="shared" si="52"/>
        <v>0</v>
      </c>
      <c r="J88" s="457" t="e">
        <f t="shared" si="65"/>
        <v>#DIV/0!</v>
      </c>
      <c r="K88" s="369" t="e">
        <f t="shared" si="53"/>
        <v>#DIV/0!</v>
      </c>
      <c r="L88" s="404" t="e">
        <f t="shared" si="66"/>
        <v>#DIV/0!</v>
      </c>
      <c r="M88" s="312" t="e">
        <f t="shared" si="67"/>
        <v>#DIV/0!</v>
      </c>
      <c r="N88" s="454">
        <f t="shared" si="68"/>
        <v>19633.710999318126</v>
      </c>
      <c r="O88" s="312">
        <f t="shared" si="69"/>
        <v>3.5878540376864664E-4</v>
      </c>
      <c r="P88" s="404" t="e">
        <f t="shared" si="70"/>
        <v>#DIV/0!</v>
      </c>
      <c r="Q88" s="312" t="e">
        <f t="shared" si="77"/>
        <v>#DIV/0!</v>
      </c>
      <c r="R88" s="454" t="e">
        <f t="shared" si="71"/>
        <v>#DIV/0!</v>
      </c>
      <c r="S88" s="312" t="e">
        <f t="shared" si="72"/>
        <v>#DIV/0!</v>
      </c>
      <c r="T88" s="454" t="e">
        <f t="shared" si="73"/>
        <v>#DIV/0!</v>
      </c>
      <c r="U88" s="312" t="e">
        <f t="shared" si="74"/>
        <v>#DIV/0!</v>
      </c>
      <c r="V88" s="454">
        <f t="shared" si="75"/>
        <v>0</v>
      </c>
      <c r="W88" s="312">
        <f t="shared" si="80"/>
        <v>-1.0000002752637027</v>
      </c>
      <c r="X88" s="454">
        <f t="shared" si="76"/>
        <v>0</v>
      </c>
      <c r="Y88" s="312">
        <f t="shared" si="54"/>
        <v>-1</v>
      </c>
      <c r="Z88" s="674">
        <f t="shared" si="55"/>
        <v>0</v>
      </c>
      <c r="AA88" s="329"/>
      <c r="AB88" s="379">
        <f t="shared" si="55"/>
        <v>0</v>
      </c>
      <c r="AC88" s="329"/>
      <c r="AD88" s="413">
        <f t="shared" si="56"/>
        <v>0</v>
      </c>
      <c r="AE88" s="329"/>
      <c r="AG88" s="400" t="e">
        <f t="shared" si="57"/>
        <v>#DIV/0!</v>
      </c>
      <c r="AH88" s="401">
        <f t="shared" si="58"/>
        <v>0</v>
      </c>
      <c r="AI88" s="407">
        <f t="shared" si="59"/>
        <v>0</v>
      </c>
      <c r="AJ88" s="498"/>
      <c r="AK88" s="502">
        <f t="shared" si="60"/>
        <v>0</v>
      </c>
      <c r="AL88" s="503" t="e">
        <f t="shared" si="61"/>
        <v>#DIV/0!</v>
      </c>
      <c r="AM88" s="504" t="e">
        <f>AG88-AK88-AO88</f>
        <v>#DIV/0!</v>
      </c>
      <c r="AN88" s="503" t="e">
        <f t="shared" si="62"/>
        <v>#DIV/0!</v>
      </c>
      <c r="AO88" s="502">
        <f t="shared" si="63"/>
        <v>0</v>
      </c>
      <c r="AP88" s="503" t="e">
        <f t="shared" si="64"/>
        <v>#DIV/0!</v>
      </c>
      <c r="AQ88" s="402"/>
      <c r="AR88" s="110">
        <v>46997</v>
      </c>
      <c r="AS88" s="98">
        <f t="shared" si="41"/>
        <v>0</v>
      </c>
      <c r="AT88" s="98">
        <f t="shared" si="42"/>
        <v>0</v>
      </c>
      <c r="AU88" s="98"/>
      <c r="AV88" s="308"/>
      <c r="AW88" s="308"/>
      <c r="AX88" s="308"/>
      <c r="AY88" s="403"/>
      <c r="AZ88" s="403"/>
      <c r="BA88" s="403"/>
      <c r="BB88" s="403"/>
    </row>
    <row r="89" spans="1:54">
      <c r="A89" s="295">
        <v>45418</v>
      </c>
      <c r="B89" s="398">
        <f t="shared" si="46"/>
        <v>218406.2734508607</v>
      </c>
      <c r="C89" s="312">
        <f t="shared" si="47"/>
        <v>3.9175375589737735E-4</v>
      </c>
      <c r="D89" s="398">
        <f t="shared" si="48"/>
        <v>116084.4474484107</v>
      </c>
      <c r="E89" s="312">
        <f t="shared" si="49"/>
        <v>3.9464331471965986E-4</v>
      </c>
      <c r="F89" s="398">
        <f t="shared" si="50"/>
        <v>23526.212173661679</v>
      </c>
      <c r="G89" s="312">
        <f t="shared" si="51"/>
        <v>3.9422832066054466E-4</v>
      </c>
      <c r="H89" s="398">
        <v>0</v>
      </c>
      <c r="I89" s="312">
        <f t="shared" si="52"/>
        <v>0</v>
      </c>
      <c r="J89" s="457" t="e">
        <f t="shared" si="65"/>
        <v>#DIV/0!</v>
      </c>
      <c r="K89" s="369" t="e">
        <f t="shared" si="53"/>
        <v>#DIV/0!</v>
      </c>
      <c r="L89" s="404" t="e">
        <f t="shared" si="66"/>
        <v>#DIV/0!</v>
      </c>
      <c r="M89" s="312" t="e">
        <f t="shared" si="67"/>
        <v>#DIV/0!</v>
      </c>
      <c r="N89" s="454">
        <f t="shared" si="68"/>
        <v>19640.755288246492</v>
      </c>
      <c r="O89" s="312">
        <f t="shared" si="69"/>
        <v>3.5878540376857465E-4</v>
      </c>
      <c r="P89" s="404" t="e">
        <f t="shared" si="70"/>
        <v>#DIV/0!</v>
      </c>
      <c r="Q89" s="312" t="e">
        <f t="shared" si="77"/>
        <v>#DIV/0!</v>
      </c>
      <c r="R89" s="454" t="e">
        <f t="shared" si="71"/>
        <v>#DIV/0!</v>
      </c>
      <c r="S89" s="312" t="e">
        <f t="shared" si="72"/>
        <v>#DIV/0!</v>
      </c>
      <c r="T89" s="454" t="e">
        <f t="shared" si="73"/>
        <v>#DIV/0!</v>
      </c>
      <c r="U89" s="312" t="e">
        <f t="shared" si="74"/>
        <v>#DIV/0!</v>
      </c>
      <c r="V89" s="454">
        <f t="shared" si="75"/>
        <v>0</v>
      </c>
      <c r="W89" s="312">
        <f t="shared" si="80"/>
        <v>-1.0000002752637027</v>
      </c>
      <c r="X89" s="454">
        <f t="shared" si="76"/>
        <v>0</v>
      </c>
      <c r="Y89" s="312">
        <f t="shared" si="54"/>
        <v>-1</v>
      </c>
      <c r="Z89" s="674">
        <f t="shared" si="55"/>
        <v>0</v>
      </c>
      <c r="AA89" s="297"/>
      <c r="AB89" s="379">
        <f t="shared" si="55"/>
        <v>0</v>
      </c>
      <c r="AC89" s="297"/>
      <c r="AD89" s="413">
        <f t="shared" si="56"/>
        <v>0</v>
      </c>
      <c r="AE89" s="297"/>
      <c r="AG89" s="400" t="e">
        <f t="shared" si="57"/>
        <v>#DIV/0!</v>
      </c>
      <c r="AH89" s="401">
        <f t="shared" si="58"/>
        <v>0</v>
      </c>
      <c r="AI89" s="407">
        <f t="shared" si="59"/>
        <v>0</v>
      </c>
      <c r="AJ89" s="498"/>
      <c r="AK89" s="502">
        <f t="shared" si="60"/>
        <v>0</v>
      </c>
      <c r="AL89" s="503" t="e">
        <f t="shared" si="61"/>
        <v>#DIV/0!</v>
      </c>
      <c r="AM89" s="504" t="e">
        <f>AG89-AK89-AO89</f>
        <v>#DIV/0!</v>
      </c>
      <c r="AN89" s="503" t="e">
        <f t="shared" si="62"/>
        <v>#DIV/0!</v>
      </c>
      <c r="AO89" s="502">
        <f t="shared" si="63"/>
        <v>0</v>
      </c>
      <c r="AP89" s="503" t="e">
        <f t="shared" si="64"/>
        <v>#DIV/0!</v>
      </c>
      <c r="AQ89" s="402"/>
      <c r="AR89" s="110">
        <v>47027</v>
      </c>
      <c r="AS89" s="98">
        <f t="shared" si="41"/>
        <v>0</v>
      </c>
      <c r="AT89" s="98">
        <f t="shared" si="42"/>
        <v>0</v>
      </c>
      <c r="AU89" s="98"/>
      <c r="AV89" s="308"/>
      <c r="AW89" s="308"/>
      <c r="AX89" s="308"/>
      <c r="AY89" s="403"/>
      <c r="AZ89" s="403"/>
      <c r="BA89" s="403"/>
      <c r="BB89" s="403"/>
    </row>
    <row r="90" spans="1:54">
      <c r="A90" s="295">
        <v>45419</v>
      </c>
      <c r="B90" s="398">
        <f t="shared" si="46"/>
        <v>218491.83492879663</v>
      </c>
      <c r="C90" s="312">
        <f t="shared" si="47"/>
        <v>3.9175375589740874E-4</v>
      </c>
      <c r="D90" s="398">
        <f t="shared" si="48"/>
        <v>116130.25939953915</v>
      </c>
      <c r="E90" s="312">
        <f t="shared" si="49"/>
        <v>3.9464331471970155E-4</v>
      </c>
      <c r="F90" s="398">
        <f t="shared" si="50"/>
        <v>23535.486872778405</v>
      </c>
      <c r="G90" s="312">
        <f t="shared" si="51"/>
        <v>3.9422832066053035E-4</v>
      </c>
      <c r="H90" s="398">
        <v>0</v>
      </c>
      <c r="I90" s="312">
        <f t="shared" si="52"/>
        <v>0</v>
      </c>
      <c r="J90" s="457" t="e">
        <f t="shared" si="65"/>
        <v>#DIV/0!</v>
      </c>
      <c r="K90" s="369" t="e">
        <f>(J90-2431.72-87-J89)/J89</f>
        <v>#DIV/0!</v>
      </c>
      <c r="L90" s="404" t="e">
        <f t="shared" si="66"/>
        <v>#DIV/0!</v>
      </c>
      <c r="M90" s="312" t="e">
        <f t="shared" si="67"/>
        <v>#DIV/0!</v>
      </c>
      <c r="N90" s="454">
        <f t="shared" si="68"/>
        <v>19647.802104562907</v>
      </c>
      <c r="O90" s="312">
        <f t="shared" si="69"/>
        <v>3.5878540376866507E-4</v>
      </c>
      <c r="P90" s="404" t="e">
        <f t="shared" si="70"/>
        <v>#DIV/0!</v>
      </c>
      <c r="Q90" s="312" t="e">
        <f t="shared" si="77"/>
        <v>#DIV/0!</v>
      </c>
      <c r="R90" s="454" t="e">
        <f t="shared" si="71"/>
        <v>#DIV/0!</v>
      </c>
      <c r="S90" s="312" t="e">
        <f t="shared" si="72"/>
        <v>#DIV/0!</v>
      </c>
      <c r="T90" s="454" t="e">
        <f t="shared" si="73"/>
        <v>#DIV/0!</v>
      </c>
      <c r="U90" s="312" t="e">
        <f t="shared" si="74"/>
        <v>#DIV/0!</v>
      </c>
      <c r="V90" s="454">
        <f t="shared" si="75"/>
        <v>0</v>
      </c>
      <c r="W90" s="312">
        <f t="shared" si="80"/>
        <v>-1.0000002752637027</v>
      </c>
      <c r="X90" s="454">
        <f t="shared" si="76"/>
        <v>0</v>
      </c>
      <c r="Y90" s="312">
        <f t="shared" si="54"/>
        <v>-1</v>
      </c>
      <c r="Z90" s="674">
        <f t="shared" si="55"/>
        <v>0</v>
      </c>
      <c r="AA90" s="329"/>
      <c r="AB90" s="379">
        <f t="shared" si="55"/>
        <v>0</v>
      </c>
      <c r="AC90" s="329"/>
      <c r="AD90" s="413">
        <f t="shared" si="56"/>
        <v>0</v>
      </c>
      <c r="AE90" s="329"/>
      <c r="AG90" s="400" t="e">
        <f t="shared" si="57"/>
        <v>#DIV/0!</v>
      </c>
      <c r="AH90" s="401">
        <f t="shared" si="58"/>
        <v>0</v>
      </c>
      <c r="AI90" s="407">
        <f t="shared" si="59"/>
        <v>0</v>
      </c>
      <c r="AJ90" s="498"/>
      <c r="AK90" s="502">
        <f t="shared" si="60"/>
        <v>0</v>
      </c>
      <c r="AL90" s="503" t="e">
        <f t="shared" si="61"/>
        <v>#DIV/0!</v>
      </c>
      <c r="AM90" s="504" t="e">
        <f>AG90-AK90-AO90</f>
        <v>#DIV/0!</v>
      </c>
      <c r="AN90" s="503" t="e">
        <f t="shared" si="62"/>
        <v>#DIV/0!</v>
      </c>
      <c r="AO90" s="502">
        <f t="shared" si="63"/>
        <v>0</v>
      </c>
      <c r="AP90" s="503" t="e">
        <f t="shared" si="64"/>
        <v>#DIV/0!</v>
      </c>
      <c r="AQ90" s="402"/>
      <c r="AR90" s="110">
        <v>47058</v>
      </c>
      <c r="AS90" s="98">
        <f t="shared" si="41"/>
        <v>0</v>
      </c>
      <c r="AT90" s="98">
        <f t="shared" si="42"/>
        <v>0</v>
      </c>
      <c r="AU90" s="98"/>
      <c r="AV90" s="308"/>
      <c r="AW90" s="308"/>
      <c r="AX90" s="308"/>
      <c r="AY90" s="403"/>
      <c r="AZ90" s="403"/>
      <c r="BA90" s="403"/>
      <c r="BB90" s="403"/>
    </row>
    <row r="91" spans="1:54">
      <c r="A91" s="295">
        <v>45420</v>
      </c>
      <c r="B91" s="398">
        <f t="shared" si="46"/>
        <v>218577.4299257629</v>
      </c>
      <c r="C91" s="312">
        <f t="shared" si="47"/>
        <v>3.9175375589742414E-4</v>
      </c>
      <c r="D91" s="398">
        <f t="shared" si="48"/>
        <v>116176.08943004784</v>
      </c>
      <c r="E91" s="312">
        <f t="shared" si="49"/>
        <v>3.946433147196649E-4</v>
      </c>
      <c r="F91" s="398">
        <f t="shared" si="50"/>
        <v>23544.765228244189</v>
      </c>
      <c r="G91" s="312">
        <f t="shared" si="51"/>
        <v>3.9422832066053658E-4</v>
      </c>
      <c r="H91" s="398">
        <v>0</v>
      </c>
      <c r="I91" s="312">
        <f t="shared" si="52"/>
        <v>0</v>
      </c>
      <c r="J91" s="457" t="e">
        <f t="shared" si="65"/>
        <v>#DIV/0!</v>
      </c>
      <c r="K91" s="369" t="e">
        <f t="shared" si="53"/>
        <v>#DIV/0!</v>
      </c>
      <c r="L91" s="404" t="e">
        <f t="shared" si="66"/>
        <v>#DIV/0!</v>
      </c>
      <c r="M91" s="312" t="e">
        <f t="shared" si="67"/>
        <v>#DIV/0!</v>
      </c>
      <c r="N91" s="454">
        <f t="shared" si="68"/>
        <v>19654.851449174159</v>
      </c>
      <c r="O91" s="312">
        <f t="shared" si="69"/>
        <v>3.5878540376865889E-4</v>
      </c>
      <c r="P91" s="404" t="e">
        <f t="shared" si="70"/>
        <v>#DIV/0!</v>
      </c>
      <c r="Q91" s="312" t="e">
        <f t="shared" si="77"/>
        <v>#DIV/0!</v>
      </c>
      <c r="R91" s="454" t="e">
        <f t="shared" si="71"/>
        <v>#DIV/0!</v>
      </c>
      <c r="S91" s="312" t="e">
        <f t="shared" si="72"/>
        <v>#DIV/0!</v>
      </c>
      <c r="T91" s="454" t="e">
        <f t="shared" si="73"/>
        <v>#DIV/0!</v>
      </c>
      <c r="U91" s="312" t="e">
        <f t="shared" si="74"/>
        <v>#DIV/0!</v>
      </c>
      <c r="V91" s="454">
        <f t="shared" si="75"/>
        <v>0</v>
      </c>
      <c r="W91" s="312">
        <f t="shared" si="80"/>
        <v>-1.0000002752637027</v>
      </c>
      <c r="X91" s="454">
        <f t="shared" si="76"/>
        <v>0</v>
      </c>
      <c r="Y91" s="312">
        <f t="shared" si="54"/>
        <v>-1</v>
      </c>
      <c r="Z91" s="674">
        <f t="shared" si="55"/>
        <v>0</v>
      </c>
      <c r="AA91" s="297"/>
      <c r="AB91" s="379">
        <f t="shared" si="55"/>
        <v>0</v>
      </c>
      <c r="AC91" s="297"/>
      <c r="AD91" s="413">
        <f t="shared" si="56"/>
        <v>0</v>
      </c>
      <c r="AE91" s="297"/>
      <c r="AG91" s="400" t="e">
        <f t="shared" si="57"/>
        <v>#DIV/0!</v>
      </c>
      <c r="AH91" s="401">
        <f t="shared" si="58"/>
        <v>0</v>
      </c>
      <c r="AI91" s="407">
        <f t="shared" si="59"/>
        <v>0</v>
      </c>
      <c r="AJ91" s="498"/>
      <c r="AK91" s="502">
        <f t="shared" si="60"/>
        <v>0</v>
      </c>
      <c r="AL91" s="503" t="e">
        <f t="shared" si="61"/>
        <v>#DIV/0!</v>
      </c>
      <c r="AM91" s="504" t="e">
        <f>AG91-AK91-AO91</f>
        <v>#DIV/0!</v>
      </c>
      <c r="AN91" s="503" t="e">
        <f t="shared" si="62"/>
        <v>#DIV/0!</v>
      </c>
      <c r="AO91" s="502">
        <f t="shared" si="63"/>
        <v>0</v>
      </c>
      <c r="AP91" s="503" t="e">
        <f t="shared" si="64"/>
        <v>#DIV/0!</v>
      </c>
      <c r="AQ91" s="402"/>
      <c r="AR91" s="110">
        <v>47088</v>
      </c>
      <c r="AS91" s="98">
        <f t="shared" si="41"/>
        <v>0</v>
      </c>
      <c r="AT91" s="98">
        <f t="shared" si="42"/>
        <v>0</v>
      </c>
      <c r="AU91" s="98"/>
      <c r="AV91" s="308"/>
      <c r="AW91" s="308"/>
      <c r="AX91" s="308"/>
      <c r="AY91" s="403"/>
      <c r="AZ91" s="403"/>
      <c r="BA91" s="403"/>
      <c r="BB91" s="403"/>
    </row>
    <row r="92" spans="1:54">
      <c r="A92" s="295">
        <v>45421</v>
      </c>
      <c r="B92" s="398">
        <v>218665.54</v>
      </c>
      <c r="C92" s="312">
        <f t="shared" si="47"/>
        <v>4.0310691852782295E-4</v>
      </c>
      <c r="D92" s="398">
        <v>116221.25</v>
      </c>
      <c r="E92" s="312">
        <f t="shared" si="49"/>
        <v>3.8872516861012741E-4</v>
      </c>
      <c r="F92" s="398">
        <v>23553.96</v>
      </c>
      <c r="G92" s="312">
        <f t="shared" si="51"/>
        <v>3.9052297471118983E-4</v>
      </c>
      <c r="H92" s="398">
        <v>0</v>
      </c>
      <c r="I92" s="312">
        <f t="shared" si="52"/>
        <v>0</v>
      </c>
      <c r="J92" s="457" t="e">
        <f t="shared" si="65"/>
        <v>#DIV/0!</v>
      </c>
      <c r="K92" s="369" t="e">
        <f>(J92-3990+140+40-159+130+1000-J91)/J91</f>
        <v>#DIV/0!</v>
      </c>
      <c r="L92" s="404" t="e">
        <f t="shared" si="66"/>
        <v>#DIV/0!</v>
      </c>
      <c r="M92" s="312" t="e">
        <f t="shared" si="67"/>
        <v>#DIV/0!</v>
      </c>
      <c r="N92" s="454">
        <v>19662.16</v>
      </c>
      <c r="O92" s="312">
        <f t="shared" si="69"/>
        <v>3.7184462292886081E-4</v>
      </c>
      <c r="P92" s="404" t="e">
        <f t="shared" si="70"/>
        <v>#DIV/0!</v>
      </c>
      <c r="Q92" s="312" t="e">
        <f t="shared" si="77"/>
        <v>#DIV/0!</v>
      </c>
      <c r="R92" s="454" t="e">
        <f t="shared" si="71"/>
        <v>#DIV/0!</v>
      </c>
      <c r="S92" s="312" t="e">
        <f t="shared" si="72"/>
        <v>#DIV/0!</v>
      </c>
      <c r="T92" s="454" t="e">
        <f t="shared" si="73"/>
        <v>#DIV/0!</v>
      </c>
      <c r="U92" s="312" t="e">
        <f t="shared" si="74"/>
        <v>#DIV/0!</v>
      </c>
      <c r="V92" s="454">
        <f t="shared" si="75"/>
        <v>0</v>
      </c>
      <c r="W92" s="312">
        <f t="shared" si="80"/>
        <v>-1.0000002752637027</v>
      </c>
      <c r="X92" s="454">
        <f t="shared" si="76"/>
        <v>0</v>
      </c>
      <c r="Y92" s="312">
        <f t="shared" si="54"/>
        <v>-1</v>
      </c>
      <c r="Z92" s="674">
        <f t="shared" si="55"/>
        <v>0</v>
      </c>
      <c r="AA92" s="329"/>
      <c r="AB92" s="379">
        <f t="shared" si="55"/>
        <v>0</v>
      </c>
      <c r="AC92" s="329"/>
      <c r="AD92" s="413">
        <f t="shared" si="56"/>
        <v>0</v>
      </c>
      <c r="AE92" s="329"/>
      <c r="AG92" s="400" t="e">
        <f t="shared" si="57"/>
        <v>#DIV/0!</v>
      </c>
      <c r="AH92" s="401">
        <f t="shared" si="58"/>
        <v>0</v>
      </c>
      <c r="AI92" s="407">
        <f t="shared" si="59"/>
        <v>0</v>
      </c>
      <c r="AJ92" s="498"/>
      <c r="AK92" s="502">
        <f t="shared" si="60"/>
        <v>0</v>
      </c>
      <c r="AL92" s="503" t="e">
        <f t="shared" si="61"/>
        <v>#DIV/0!</v>
      </c>
      <c r="AM92" s="504" t="e">
        <f>AG92-AK92-AO92</f>
        <v>#DIV/0!</v>
      </c>
      <c r="AN92" s="503" t="e">
        <f t="shared" si="62"/>
        <v>#DIV/0!</v>
      </c>
      <c r="AO92" s="502">
        <f t="shared" si="63"/>
        <v>0</v>
      </c>
      <c r="AP92" s="503" t="e">
        <f t="shared" si="64"/>
        <v>#DIV/0!</v>
      </c>
      <c r="AQ92" s="402"/>
      <c r="AR92" s="110">
        <v>47119</v>
      </c>
      <c r="AS92" s="98">
        <f t="shared" si="41"/>
        <v>0</v>
      </c>
      <c r="AT92" s="98">
        <f t="shared" si="42"/>
        <v>0</v>
      </c>
      <c r="AU92" s="98"/>
      <c r="AV92" s="308"/>
      <c r="AW92" s="308"/>
      <c r="AX92" s="308"/>
      <c r="AY92" s="403"/>
      <c r="AZ92" s="403"/>
      <c r="BA92" s="403"/>
      <c r="BB92" s="403"/>
    </row>
    <row r="93" spans="1:54">
      <c r="A93" s="295">
        <v>45422</v>
      </c>
      <c r="B93" s="398">
        <v>218749.69</v>
      </c>
      <c r="C93" s="312">
        <f t="shared" si="47"/>
        <v>3.8483429990840889E-4</v>
      </c>
      <c r="D93" s="398">
        <v>116265.98</v>
      </c>
      <c r="E93" s="312">
        <f t="shared" si="49"/>
        <v>3.8486937629732883E-4</v>
      </c>
      <c r="F93" s="398">
        <v>23563.02</v>
      </c>
      <c r="G93" s="312">
        <f t="shared" si="51"/>
        <v>3.8464869601550269E-4</v>
      </c>
      <c r="H93" s="398">
        <v>0</v>
      </c>
      <c r="I93" s="312">
        <f t="shared" si="52"/>
        <v>0</v>
      </c>
      <c r="J93" s="457" t="e">
        <f t="shared" si="65"/>
        <v>#DIV/0!</v>
      </c>
      <c r="K93" s="369" t="e">
        <f>(J93+217.96+128.05+1337.23-J92)/J92</f>
        <v>#DIV/0!</v>
      </c>
      <c r="L93" s="404" t="e">
        <f t="shared" si="66"/>
        <v>#DIV/0!</v>
      </c>
      <c r="M93" s="312" t="e">
        <f t="shared" si="67"/>
        <v>#DIV/0!</v>
      </c>
      <c r="N93" s="454">
        <v>19669.25</v>
      </c>
      <c r="O93" s="312">
        <f t="shared" si="69"/>
        <v>3.6059110494473373E-4</v>
      </c>
      <c r="P93" s="404" t="e">
        <f t="shared" si="70"/>
        <v>#DIV/0!</v>
      </c>
      <c r="Q93" s="312" t="e">
        <f t="shared" si="77"/>
        <v>#DIV/0!</v>
      </c>
      <c r="R93" s="454" t="e">
        <f t="shared" si="71"/>
        <v>#DIV/0!</v>
      </c>
      <c r="S93" s="312" t="e">
        <f t="shared" si="72"/>
        <v>#DIV/0!</v>
      </c>
      <c r="T93" s="454" t="e">
        <f t="shared" si="73"/>
        <v>#DIV/0!</v>
      </c>
      <c r="U93" s="312" t="e">
        <f t="shared" si="74"/>
        <v>#DIV/0!</v>
      </c>
      <c r="V93" s="454">
        <f t="shared" si="75"/>
        <v>0</v>
      </c>
      <c r="W93" s="312">
        <f t="shared" si="80"/>
        <v>-1.0000002752637027</v>
      </c>
      <c r="X93" s="454">
        <f t="shared" si="76"/>
        <v>0</v>
      </c>
      <c r="Y93" s="312">
        <f t="shared" si="54"/>
        <v>-1</v>
      </c>
      <c r="Z93" s="674">
        <f t="shared" si="55"/>
        <v>0</v>
      </c>
      <c r="AA93" s="297"/>
      <c r="AB93" s="379">
        <f t="shared" si="55"/>
        <v>0</v>
      </c>
      <c r="AC93" s="297"/>
      <c r="AD93" s="413">
        <f t="shared" si="56"/>
        <v>0</v>
      </c>
      <c r="AE93" s="297"/>
      <c r="AG93" s="400" t="e">
        <f t="shared" si="57"/>
        <v>#DIV/0!</v>
      </c>
      <c r="AH93" s="401">
        <f t="shared" si="58"/>
        <v>0</v>
      </c>
      <c r="AI93" s="407">
        <f t="shared" si="59"/>
        <v>0</v>
      </c>
      <c r="AJ93" s="498"/>
      <c r="AK93" s="502">
        <f t="shared" si="60"/>
        <v>0</v>
      </c>
      <c r="AL93" s="503" t="e">
        <f t="shared" si="61"/>
        <v>#DIV/0!</v>
      </c>
      <c r="AM93" s="504" t="e">
        <f>AG93-AK93-AO93</f>
        <v>#DIV/0!</v>
      </c>
      <c r="AN93" s="503" t="e">
        <f t="shared" si="62"/>
        <v>#DIV/0!</v>
      </c>
      <c r="AO93" s="502">
        <f t="shared" si="63"/>
        <v>0</v>
      </c>
      <c r="AP93" s="503" t="e">
        <f t="shared" si="64"/>
        <v>#DIV/0!</v>
      </c>
      <c r="AQ93" s="402"/>
      <c r="AR93" s="110">
        <v>47150</v>
      </c>
      <c r="AS93" s="98">
        <f t="shared" si="41"/>
        <v>0</v>
      </c>
      <c r="AT93" s="98">
        <f t="shared" si="42"/>
        <v>0</v>
      </c>
      <c r="AU93" s="98"/>
      <c r="AV93" s="308"/>
      <c r="AW93" s="308"/>
      <c r="AX93" s="308"/>
      <c r="AY93" s="403"/>
      <c r="AZ93" s="403"/>
      <c r="BA93" s="403"/>
      <c r="BB93" s="403"/>
    </row>
    <row r="94" spans="1:54">
      <c r="A94" s="295">
        <v>45425</v>
      </c>
      <c r="B94" s="398">
        <f t="shared" si="46"/>
        <v>218833.87238380633</v>
      </c>
      <c r="C94" s="312">
        <f t="shared" si="47"/>
        <v>3.8483429990839431E-4</v>
      </c>
      <c r="D94" s="398">
        <f t="shared" si="48"/>
        <v>116310.7272152072</v>
      </c>
      <c r="E94" s="312">
        <f t="shared" si="49"/>
        <v>3.8486937629735285E-4</v>
      </c>
      <c r="F94" s="398">
        <f t="shared" si="50"/>
        <v>23572.083484917188</v>
      </c>
      <c r="G94" s="312">
        <f t="shared" si="51"/>
        <v>3.8464869601551293E-4</v>
      </c>
      <c r="H94" s="398">
        <v>0</v>
      </c>
      <c r="I94" s="312">
        <f t="shared" si="52"/>
        <v>0</v>
      </c>
      <c r="J94" s="457" t="e">
        <f t="shared" si="65"/>
        <v>#DIV/0!</v>
      </c>
      <c r="K94" s="369" t="e">
        <f t="shared" si="53"/>
        <v>#DIV/0!</v>
      </c>
      <c r="L94" s="404" t="e">
        <f t="shared" si="66"/>
        <v>#DIV/0!</v>
      </c>
      <c r="M94" s="312" t="e">
        <f t="shared" si="67"/>
        <v>#DIV/0!</v>
      </c>
      <c r="N94" s="454">
        <f t="shared" si="68"/>
        <v>19676.342556590935</v>
      </c>
      <c r="O94" s="312">
        <f t="shared" si="69"/>
        <v>3.6059110494475851E-4</v>
      </c>
      <c r="P94" s="404" t="e">
        <f t="shared" si="70"/>
        <v>#DIV/0!</v>
      </c>
      <c r="Q94" s="312" t="e">
        <f t="shared" si="77"/>
        <v>#DIV/0!</v>
      </c>
      <c r="R94" s="454" t="e">
        <f t="shared" si="71"/>
        <v>#DIV/0!</v>
      </c>
      <c r="S94" s="312" t="e">
        <f t="shared" si="72"/>
        <v>#DIV/0!</v>
      </c>
      <c r="T94" s="454" t="e">
        <f t="shared" si="73"/>
        <v>#DIV/0!</v>
      </c>
      <c r="U94" s="312" t="e">
        <f t="shared" si="74"/>
        <v>#DIV/0!</v>
      </c>
      <c r="V94" s="454">
        <f t="shared" si="75"/>
        <v>0</v>
      </c>
      <c r="W94" s="312">
        <f t="shared" si="80"/>
        <v>-1.0000002752637027</v>
      </c>
      <c r="X94" s="454">
        <f t="shared" si="76"/>
        <v>0</v>
      </c>
      <c r="Y94" s="312">
        <f t="shared" si="54"/>
        <v>-1</v>
      </c>
      <c r="Z94" s="674">
        <f t="shared" si="55"/>
        <v>0</v>
      </c>
      <c r="AA94" s="329"/>
      <c r="AB94" s="379">
        <f t="shared" si="55"/>
        <v>0</v>
      </c>
      <c r="AC94" s="329"/>
      <c r="AD94" s="413">
        <f t="shared" si="56"/>
        <v>0</v>
      </c>
      <c r="AE94" s="329"/>
      <c r="AG94" s="400" t="e">
        <f t="shared" si="57"/>
        <v>#DIV/0!</v>
      </c>
      <c r="AH94" s="401">
        <f t="shared" si="58"/>
        <v>0</v>
      </c>
      <c r="AI94" s="407">
        <f t="shared" si="59"/>
        <v>0</v>
      </c>
      <c r="AJ94" s="498"/>
      <c r="AK94" s="502">
        <f t="shared" si="60"/>
        <v>0</v>
      </c>
      <c r="AL94" s="503" t="e">
        <f t="shared" si="61"/>
        <v>#DIV/0!</v>
      </c>
      <c r="AM94" s="504" t="e">
        <f>AG94-AK94-AO94</f>
        <v>#DIV/0!</v>
      </c>
      <c r="AN94" s="503" t="e">
        <f t="shared" si="62"/>
        <v>#DIV/0!</v>
      </c>
      <c r="AO94" s="502">
        <f t="shared" si="63"/>
        <v>0</v>
      </c>
      <c r="AP94" s="503" t="e">
        <f t="shared" si="64"/>
        <v>#DIV/0!</v>
      </c>
      <c r="AQ94" s="402"/>
      <c r="AR94" s="110">
        <v>47178</v>
      </c>
      <c r="AS94" s="98">
        <f t="shared" si="41"/>
        <v>0</v>
      </c>
      <c r="AT94" s="98">
        <f t="shared" si="42"/>
        <v>0</v>
      </c>
      <c r="AU94" s="98"/>
      <c r="AV94" s="308"/>
      <c r="AW94" s="308"/>
      <c r="AX94" s="308"/>
      <c r="AY94" s="403"/>
      <c r="AZ94" s="403"/>
      <c r="BA94" s="403"/>
      <c r="BB94" s="403"/>
    </row>
    <row r="95" spans="1:54">
      <c r="A95" s="295">
        <v>45426</v>
      </c>
      <c r="B95" s="398">
        <f t="shared" si="46"/>
        <v>218918.0871638814</v>
      </c>
      <c r="C95" s="312">
        <f t="shared" si="47"/>
        <v>3.8483429990840851E-4</v>
      </c>
      <c r="D95" s="398">
        <f t="shared" si="48"/>
        <v>116355.4916522472</v>
      </c>
      <c r="E95" s="312">
        <f t="shared" si="49"/>
        <v>3.8486937629735415E-4</v>
      </c>
      <c r="F95" s="398">
        <f t="shared" si="50"/>
        <v>23581.150456092029</v>
      </c>
      <c r="G95" s="312">
        <f t="shared" si="51"/>
        <v>3.8464869601548116E-4</v>
      </c>
      <c r="H95" s="398">
        <v>0</v>
      </c>
      <c r="I95" s="312">
        <f t="shared" si="52"/>
        <v>0</v>
      </c>
      <c r="J95" s="457" t="e">
        <f t="shared" si="65"/>
        <v>#DIV/0!</v>
      </c>
      <c r="K95" s="369" t="e">
        <f>(J95+1246.37-J94)/J94</f>
        <v>#DIV/0!</v>
      </c>
      <c r="L95" s="404" t="e">
        <f t="shared" si="66"/>
        <v>#DIV/0!</v>
      </c>
      <c r="M95" s="312" t="e">
        <f t="shared" si="67"/>
        <v>#DIV/0!</v>
      </c>
      <c r="N95" s="454">
        <f t="shared" si="68"/>
        <v>19683.437670694686</v>
      </c>
      <c r="O95" s="312">
        <f t="shared" si="69"/>
        <v>3.6059110494468522E-4</v>
      </c>
      <c r="P95" s="404" t="e">
        <f t="shared" si="70"/>
        <v>#DIV/0!</v>
      </c>
      <c r="Q95" s="312" t="e">
        <f t="shared" si="77"/>
        <v>#DIV/0!</v>
      </c>
      <c r="R95" s="454" t="e">
        <f t="shared" si="71"/>
        <v>#DIV/0!</v>
      </c>
      <c r="S95" s="312" t="e">
        <f t="shared" si="72"/>
        <v>#DIV/0!</v>
      </c>
      <c r="T95" s="454" t="e">
        <f t="shared" si="73"/>
        <v>#DIV/0!</v>
      </c>
      <c r="U95" s="312" t="e">
        <f t="shared" si="74"/>
        <v>#DIV/0!</v>
      </c>
      <c r="V95" s="454">
        <f t="shared" si="75"/>
        <v>0</v>
      </c>
      <c r="W95" s="312">
        <f t="shared" si="80"/>
        <v>-1.0000002752637027</v>
      </c>
      <c r="X95" s="454">
        <f t="shared" si="76"/>
        <v>0</v>
      </c>
      <c r="Y95" s="312">
        <f t="shared" si="54"/>
        <v>-1</v>
      </c>
      <c r="Z95" s="674">
        <f t="shared" si="55"/>
        <v>0</v>
      </c>
      <c r="AA95" s="297"/>
      <c r="AB95" s="379">
        <f t="shared" si="55"/>
        <v>0</v>
      </c>
      <c r="AC95" s="297"/>
      <c r="AD95" s="413">
        <f t="shared" si="56"/>
        <v>0</v>
      </c>
      <c r="AE95" s="297"/>
      <c r="AG95" s="400" t="e">
        <f t="shared" si="57"/>
        <v>#DIV/0!</v>
      </c>
      <c r="AH95" s="401">
        <f t="shared" si="58"/>
        <v>0</v>
      </c>
      <c r="AI95" s="407">
        <f t="shared" si="59"/>
        <v>0</v>
      </c>
      <c r="AJ95" s="498"/>
      <c r="AK95" s="502">
        <f t="shared" si="60"/>
        <v>0</v>
      </c>
      <c r="AL95" s="503" t="e">
        <f t="shared" si="61"/>
        <v>#DIV/0!</v>
      </c>
      <c r="AM95" s="504" t="e">
        <f>AG95-AK95-AO95</f>
        <v>#DIV/0!</v>
      </c>
      <c r="AN95" s="503" t="e">
        <f t="shared" si="62"/>
        <v>#DIV/0!</v>
      </c>
      <c r="AO95" s="502">
        <f t="shared" si="63"/>
        <v>0</v>
      </c>
      <c r="AP95" s="503" t="e">
        <f t="shared" si="64"/>
        <v>#DIV/0!</v>
      </c>
      <c r="AQ95" s="402"/>
      <c r="AR95" s="110">
        <v>47209</v>
      </c>
      <c r="AS95" s="98">
        <f t="shared" si="41"/>
        <v>0</v>
      </c>
      <c r="AT95" s="98">
        <f t="shared" si="42"/>
        <v>0</v>
      </c>
      <c r="AU95" s="98"/>
      <c r="AV95" s="308"/>
      <c r="AW95" s="308"/>
      <c r="AX95" s="308"/>
      <c r="AY95" s="403"/>
      <c r="AZ95" s="403"/>
      <c r="BA95" s="403"/>
      <c r="BB95" s="403"/>
    </row>
    <row r="96" spans="1:54">
      <c r="A96" s="295">
        <v>45427</v>
      </c>
      <c r="B96" s="398">
        <f t="shared" si="46"/>
        <v>219002.33435269239</v>
      </c>
      <c r="C96" s="312">
        <f t="shared" si="47"/>
        <v>3.8483429990834661E-4</v>
      </c>
      <c r="D96" s="398">
        <f t="shared" si="48"/>
        <v>116400.27331774817</v>
      </c>
      <c r="E96" s="312">
        <f t="shared" si="49"/>
        <v>3.8486937629730346E-4</v>
      </c>
      <c r="F96" s="398">
        <f t="shared" si="50"/>
        <v>23590.220914865509</v>
      </c>
      <c r="G96" s="312">
        <f t="shared" si="51"/>
        <v>3.8464869601544918E-4</v>
      </c>
      <c r="H96" s="398">
        <v>0</v>
      </c>
      <c r="I96" s="312">
        <f t="shared" si="52"/>
        <v>0</v>
      </c>
      <c r="J96" s="457" t="e">
        <f t="shared" si="65"/>
        <v>#DIV/0!</v>
      </c>
      <c r="K96" s="369" t="e">
        <f t="shared" si="53"/>
        <v>#DIV/0!</v>
      </c>
      <c r="L96" s="404" t="e">
        <f t="shared" si="66"/>
        <v>#DIV/0!</v>
      </c>
      <c r="M96" s="312" t="e">
        <f t="shared" si="67"/>
        <v>#DIV/0!</v>
      </c>
      <c r="N96" s="454">
        <f t="shared" si="68"/>
        <v>19690.53534323347</v>
      </c>
      <c r="O96" s="312">
        <f t="shared" si="69"/>
        <v>3.6059110494462927E-4</v>
      </c>
      <c r="P96" s="404" t="e">
        <f t="shared" si="70"/>
        <v>#DIV/0!</v>
      </c>
      <c r="Q96" s="312" t="e">
        <f t="shared" si="77"/>
        <v>#DIV/0!</v>
      </c>
      <c r="R96" s="454" t="e">
        <f t="shared" si="71"/>
        <v>#DIV/0!</v>
      </c>
      <c r="S96" s="312" t="e">
        <f t="shared" si="72"/>
        <v>#DIV/0!</v>
      </c>
      <c r="T96" s="454" t="e">
        <f t="shared" si="73"/>
        <v>#DIV/0!</v>
      </c>
      <c r="U96" s="312" t="e">
        <f t="shared" si="74"/>
        <v>#DIV/0!</v>
      </c>
      <c r="V96" s="454">
        <f t="shared" si="75"/>
        <v>0</v>
      </c>
      <c r="W96" s="312">
        <f t="shared" si="80"/>
        <v>-1.0000002752637027</v>
      </c>
      <c r="X96" s="454">
        <f t="shared" si="76"/>
        <v>0</v>
      </c>
      <c r="Y96" s="312">
        <f t="shared" si="54"/>
        <v>-1</v>
      </c>
      <c r="Z96" s="674">
        <f t="shared" si="55"/>
        <v>0</v>
      </c>
      <c r="AA96" s="329"/>
      <c r="AB96" s="379">
        <f t="shared" si="55"/>
        <v>0</v>
      </c>
      <c r="AC96" s="329"/>
      <c r="AD96" s="413">
        <f t="shared" si="56"/>
        <v>0</v>
      </c>
      <c r="AE96" s="329"/>
      <c r="AG96" s="400" t="e">
        <f t="shared" si="57"/>
        <v>#DIV/0!</v>
      </c>
      <c r="AH96" s="401">
        <f t="shared" si="58"/>
        <v>0</v>
      </c>
      <c r="AI96" s="407">
        <f t="shared" si="59"/>
        <v>0</v>
      </c>
      <c r="AJ96" s="498"/>
      <c r="AK96" s="502">
        <f t="shared" si="60"/>
        <v>0</v>
      </c>
      <c r="AL96" s="503" t="e">
        <f t="shared" si="61"/>
        <v>#DIV/0!</v>
      </c>
      <c r="AM96" s="504" t="e">
        <f>AG96-AK96-AO96</f>
        <v>#DIV/0!</v>
      </c>
      <c r="AN96" s="503" t="e">
        <f t="shared" si="62"/>
        <v>#DIV/0!</v>
      </c>
      <c r="AO96" s="502">
        <f t="shared" si="63"/>
        <v>0</v>
      </c>
      <c r="AP96" s="503" t="e">
        <f t="shared" si="64"/>
        <v>#DIV/0!</v>
      </c>
      <c r="AQ96" s="402"/>
      <c r="AR96" s="110">
        <v>47239</v>
      </c>
      <c r="AS96" s="98">
        <f t="shared" si="41"/>
        <v>0</v>
      </c>
      <c r="AT96" s="98">
        <f t="shared" si="42"/>
        <v>0</v>
      </c>
      <c r="AU96" s="98"/>
      <c r="AV96" s="308"/>
      <c r="AW96" s="308"/>
      <c r="AX96" s="308"/>
      <c r="AY96" s="403"/>
      <c r="AZ96" s="403"/>
      <c r="BA96" s="403"/>
      <c r="BB96" s="403"/>
    </row>
    <row r="97" spans="1:54">
      <c r="A97" s="295">
        <v>45428</v>
      </c>
      <c r="B97" s="398">
        <f t="shared" si="46"/>
        <v>219086.6139627113</v>
      </c>
      <c r="C97" s="312">
        <f t="shared" si="47"/>
        <v>3.8483429990836141E-4</v>
      </c>
      <c r="D97" s="398">
        <f t="shared" si="48"/>
        <v>116445.07221834081</v>
      </c>
      <c r="E97" s="312">
        <f t="shared" si="49"/>
        <v>3.8486937629728823E-4</v>
      </c>
      <c r="F97" s="398">
        <f t="shared" si="50"/>
        <v>23599.294862579129</v>
      </c>
      <c r="G97" s="312">
        <f t="shared" si="51"/>
        <v>3.8464869601545016E-4</v>
      </c>
      <c r="H97" s="398">
        <v>0</v>
      </c>
      <c r="I97" s="312">
        <f t="shared" si="52"/>
        <v>0</v>
      </c>
      <c r="J97" s="457" t="e">
        <f t="shared" si="65"/>
        <v>#DIV/0!</v>
      </c>
      <c r="K97" s="369" t="e">
        <f t="shared" si="53"/>
        <v>#DIV/0!</v>
      </c>
      <c r="L97" s="404" t="e">
        <f t="shared" si="66"/>
        <v>#DIV/0!</v>
      </c>
      <c r="M97" s="312" t="e">
        <f t="shared" si="67"/>
        <v>#DIV/0!</v>
      </c>
      <c r="N97" s="454">
        <f t="shared" si="68"/>
        <v>19697.63557512984</v>
      </c>
      <c r="O97" s="312">
        <f t="shared" si="69"/>
        <v>3.6059110494469991E-4</v>
      </c>
      <c r="P97" s="404" t="e">
        <f t="shared" si="70"/>
        <v>#DIV/0!</v>
      </c>
      <c r="Q97" s="312" t="e">
        <f t="shared" si="77"/>
        <v>#DIV/0!</v>
      </c>
      <c r="R97" s="454" t="e">
        <f t="shared" si="71"/>
        <v>#DIV/0!</v>
      </c>
      <c r="S97" s="312" t="e">
        <f t="shared" si="72"/>
        <v>#DIV/0!</v>
      </c>
      <c r="T97" s="454" t="e">
        <f t="shared" si="73"/>
        <v>#DIV/0!</v>
      </c>
      <c r="U97" s="312" t="e">
        <f t="shared" si="74"/>
        <v>#DIV/0!</v>
      </c>
      <c r="V97" s="454">
        <f t="shared" si="75"/>
        <v>0</v>
      </c>
      <c r="W97" s="312">
        <f t="shared" si="80"/>
        <v>-1.0000002752637027</v>
      </c>
      <c r="X97" s="454">
        <f t="shared" si="76"/>
        <v>0</v>
      </c>
      <c r="Y97" s="312">
        <f t="shared" si="54"/>
        <v>-1</v>
      </c>
      <c r="Z97" s="674">
        <f t="shared" si="55"/>
        <v>0</v>
      </c>
      <c r="AA97" s="297"/>
      <c r="AB97" s="379">
        <f t="shared" si="55"/>
        <v>0</v>
      </c>
      <c r="AC97" s="297"/>
      <c r="AD97" s="413">
        <f t="shared" si="56"/>
        <v>0</v>
      </c>
      <c r="AE97" s="297"/>
      <c r="AG97" s="400" t="e">
        <f t="shared" si="57"/>
        <v>#DIV/0!</v>
      </c>
      <c r="AH97" s="401">
        <f t="shared" si="58"/>
        <v>0</v>
      </c>
      <c r="AI97" s="407">
        <f t="shared" si="59"/>
        <v>0</v>
      </c>
      <c r="AJ97" s="498"/>
      <c r="AK97" s="502">
        <f t="shared" si="60"/>
        <v>0</v>
      </c>
      <c r="AL97" s="503" t="e">
        <f t="shared" si="61"/>
        <v>#DIV/0!</v>
      </c>
      <c r="AM97" s="504" t="e">
        <f>AG97-AK97-AO97</f>
        <v>#DIV/0!</v>
      </c>
      <c r="AN97" s="503" t="e">
        <f t="shared" si="62"/>
        <v>#DIV/0!</v>
      </c>
      <c r="AO97" s="502">
        <f t="shared" si="63"/>
        <v>0</v>
      </c>
      <c r="AP97" s="503" t="e">
        <f t="shared" si="64"/>
        <v>#DIV/0!</v>
      </c>
      <c r="AQ97" s="402"/>
      <c r="AR97" s="110">
        <v>47270</v>
      </c>
      <c r="AS97" s="98">
        <f t="shared" si="41"/>
        <v>0</v>
      </c>
      <c r="AT97" s="98">
        <f t="shared" si="42"/>
        <v>0</v>
      </c>
      <c r="AU97" s="98"/>
      <c r="AV97" s="308"/>
      <c r="AW97" s="308"/>
      <c r="AX97" s="308"/>
      <c r="AY97" s="403"/>
      <c r="AZ97" s="403"/>
      <c r="BA97" s="403"/>
      <c r="BB97" s="403"/>
    </row>
    <row r="98" spans="1:54">
      <c r="A98" s="295">
        <v>45429</v>
      </c>
      <c r="B98" s="398">
        <f t="shared" si="46"/>
        <v>219170.92600641493</v>
      </c>
      <c r="C98" s="312">
        <f t="shared" si="47"/>
        <v>3.8483429990833126E-4</v>
      </c>
      <c r="D98" s="398">
        <f t="shared" si="48"/>
        <v>116489.88836065837</v>
      </c>
      <c r="E98" s="312">
        <f t="shared" si="49"/>
        <v>3.8486937629726221E-4</v>
      </c>
      <c r="F98" s="398">
        <f t="shared" si="50"/>
        <v>23608.372300574905</v>
      </c>
      <c r="G98" s="312">
        <f t="shared" si="51"/>
        <v>3.8464869601550903E-4</v>
      </c>
      <c r="H98" s="398">
        <v>0</v>
      </c>
      <c r="I98" s="312">
        <f t="shared" si="52"/>
        <v>0</v>
      </c>
      <c r="J98" s="457" t="e">
        <f t="shared" si="65"/>
        <v>#DIV/0!</v>
      </c>
      <c r="K98" s="369" t="e">
        <f t="shared" si="53"/>
        <v>#DIV/0!</v>
      </c>
      <c r="L98" s="404" t="e">
        <f t="shared" si="66"/>
        <v>#DIV/0!</v>
      </c>
      <c r="M98" s="312" t="e">
        <f t="shared" si="67"/>
        <v>#DIV/0!</v>
      </c>
      <c r="N98" s="454">
        <f t="shared" si="68"/>
        <v>19704.738367306672</v>
      </c>
      <c r="O98" s="312">
        <f t="shared" si="69"/>
        <v>3.6059110494463073E-4</v>
      </c>
      <c r="P98" s="404" t="e">
        <f t="shared" si="70"/>
        <v>#DIV/0!</v>
      </c>
      <c r="Q98" s="312" t="e">
        <f t="shared" si="77"/>
        <v>#DIV/0!</v>
      </c>
      <c r="R98" s="454" t="e">
        <f t="shared" si="71"/>
        <v>#DIV/0!</v>
      </c>
      <c r="S98" s="312" t="e">
        <f t="shared" si="72"/>
        <v>#DIV/0!</v>
      </c>
      <c r="T98" s="454" t="e">
        <f t="shared" si="73"/>
        <v>#DIV/0!</v>
      </c>
      <c r="U98" s="312" t="e">
        <f t="shared" si="74"/>
        <v>#DIV/0!</v>
      </c>
      <c r="V98" s="454">
        <f t="shared" si="75"/>
        <v>0</v>
      </c>
      <c r="W98" s="312">
        <f t="shared" si="80"/>
        <v>-1.0000002752637027</v>
      </c>
      <c r="X98" s="454">
        <f t="shared" si="76"/>
        <v>0</v>
      </c>
      <c r="Y98" s="312">
        <f t="shared" si="54"/>
        <v>-1</v>
      </c>
      <c r="Z98" s="674">
        <f t="shared" si="55"/>
        <v>0</v>
      </c>
      <c r="AA98" s="329"/>
      <c r="AB98" s="379">
        <f t="shared" si="55"/>
        <v>0</v>
      </c>
      <c r="AC98" s="329"/>
      <c r="AD98" s="413">
        <f t="shared" si="56"/>
        <v>0</v>
      </c>
      <c r="AE98" s="329"/>
      <c r="AG98" s="400" t="e">
        <f t="shared" si="57"/>
        <v>#DIV/0!</v>
      </c>
      <c r="AH98" s="401">
        <f t="shared" si="58"/>
        <v>0</v>
      </c>
      <c r="AI98" s="407">
        <f t="shared" si="59"/>
        <v>0</v>
      </c>
      <c r="AJ98" s="498"/>
      <c r="AK98" s="502">
        <f t="shared" si="60"/>
        <v>0</v>
      </c>
      <c r="AL98" s="503" t="e">
        <f t="shared" si="61"/>
        <v>#DIV/0!</v>
      </c>
      <c r="AM98" s="504" t="e">
        <f>AG98-AK98-AO98</f>
        <v>#DIV/0!</v>
      </c>
      <c r="AN98" s="503" t="e">
        <f t="shared" si="62"/>
        <v>#DIV/0!</v>
      </c>
      <c r="AO98" s="502">
        <f t="shared" si="63"/>
        <v>0</v>
      </c>
      <c r="AP98" s="503" t="e">
        <f t="shared" si="64"/>
        <v>#DIV/0!</v>
      </c>
      <c r="AQ98" s="402"/>
      <c r="AR98" s="110">
        <v>47300</v>
      </c>
      <c r="AS98" s="98">
        <f t="shared" si="41"/>
        <v>0</v>
      </c>
      <c r="AT98" s="98">
        <f t="shared" si="42"/>
        <v>0</v>
      </c>
      <c r="AU98" s="98"/>
      <c r="AV98" s="308"/>
      <c r="AW98" s="308"/>
      <c r="AX98" s="308"/>
      <c r="AY98" s="403"/>
      <c r="AZ98" s="403"/>
      <c r="BA98" s="403"/>
      <c r="BB98" s="403"/>
    </row>
    <row r="99" spans="1:54">
      <c r="A99" s="295">
        <v>45432</v>
      </c>
      <c r="B99" s="398">
        <f t="shared" si="46"/>
        <v>219255.27049628488</v>
      </c>
      <c r="C99" s="312">
        <f t="shared" si="47"/>
        <v>3.8483429990839198E-4</v>
      </c>
      <c r="D99" s="398">
        <f t="shared" si="48"/>
        <v>116534.72175133668</v>
      </c>
      <c r="E99" s="312">
        <f t="shared" si="49"/>
        <v>3.8486937629729582E-4</v>
      </c>
      <c r="F99" s="398">
        <f t="shared" si="50"/>
        <v>23617.45323019537</v>
      </c>
      <c r="G99" s="312">
        <f t="shared" si="51"/>
        <v>3.84648696015488E-4</v>
      </c>
      <c r="H99" s="398">
        <v>0</v>
      </c>
      <c r="I99" s="312">
        <f t="shared" si="52"/>
        <v>0</v>
      </c>
      <c r="J99" s="457" t="e">
        <f t="shared" si="65"/>
        <v>#DIV/0!</v>
      </c>
      <c r="K99" s="369" t="e">
        <f t="shared" si="53"/>
        <v>#DIV/0!</v>
      </c>
      <c r="L99" s="404" t="e">
        <f t="shared" si="66"/>
        <v>#DIV/0!</v>
      </c>
      <c r="M99" s="312" t="e">
        <f t="shared" si="67"/>
        <v>#DIV/0!</v>
      </c>
      <c r="N99" s="454">
        <f t="shared" si="68"/>
        <v>19711.843720687186</v>
      </c>
      <c r="O99" s="312">
        <f t="shared" si="69"/>
        <v>3.6059110494470354E-4</v>
      </c>
      <c r="P99" s="404" t="e">
        <f t="shared" si="70"/>
        <v>#DIV/0!</v>
      </c>
      <c r="Q99" s="312" t="e">
        <f t="shared" si="77"/>
        <v>#DIV/0!</v>
      </c>
      <c r="R99" s="454" t="e">
        <f t="shared" si="71"/>
        <v>#DIV/0!</v>
      </c>
      <c r="S99" s="312" t="e">
        <f t="shared" si="72"/>
        <v>#DIV/0!</v>
      </c>
      <c r="T99" s="454" t="e">
        <f t="shared" si="73"/>
        <v>#DIV/0!</v>
      </c>
      <c r="U99" s="312" t="e">
        <f t="shared" si="74"/>
        <v>#DIV/0!</v>
      </c>
      <c r="V99" s="454">
        <f t="shared" si="75"/>
        <v>0</v>
      </c>
      <c r="W99" s="312">
        <f t="shared" si="80"/>
        <v>-1.0000002752637027</v>
      </c>
      <c r="X99" s="454">
        <f t="shared" si="76"/>
        <v>0</v>
      </c>
      <c r="Y99" s="312">
        <f t="shared" si="54"/>
        <v>-1</v>
      </c>
      <c r="Z99" s="674">
        <f t="shared" si="55"/>
        <v>0</v>
      </c>
      <c r="AA99" s="297"/>
      <c r="AB99" s="379">
        <f t="shared" si="55"/>
        <v>0</v>
      </c>
      <c r="AC99" s="297"/>
      <c r="AD99" s="413">
        <f t="shared" si="56"/>
        <v>0</v>
      </c>
      <c r="AE99" s="297"/>
      <c r="AF99" s="287"/>
      <c r="AG99" s="400" t="e">
        <f t="shared" si="57"/>
        <v>#DIV/0!</v>
      </c>
      <c r="AH99" s="401">
        <f t="shared" si="58"/>
        <v>0</v>
      </c>
      <c r="AI99" s="407">
        <f t="shared" si="59"/>
        <v>0</v>
      </c>
      <c r="AJ99" s="498"/>
      <c r="AK99" s="502">
        <f t="shared" si="60"/>
        <v>0</v>
      </c>
      <c r="AL99" s="503" t="e">
        <f t="shared" si="61"/>
        <v>#DIV/0!</v>
      </c>
      <c r="AM99" s="504" t="e">
        <f>AG99-AK99-AO99</f>
        <v>#DIV/0!</v>
      </c>
      <c r="AN99" s="503" t="e">
        <f t="shared" si="62"/>
        <v>#DIV/0!</v>
      </c>
      <c r="AO99" s="502">
        <f t="shared" si="63"/>
        <v>0</v>
      </c>
      <c r="AP99" s="503" t="e">
        <f t="shared" si="64"/>
        <v>#DIV/0!</v>
      </c>
      <c r="AQ99" s="402"/>
      <c r="AR99" s="110">
        <v>47331</v>
      </c>
      <c r="AS99" s="98">
        <f t="shared" si="41"/>
        <v>0</v>
      </c>
      <c r="AT99" s="98">
        <f t="shared" si="42"/>
        <v>0</v>
      </c>
      <c r="AU99" s="98"/>
      <c r="AV99" s="308"/>
      <c r="AW99" s="308"/>
      <c r="AX99" s="308"/>
      <c r="AY99" s="403"/>
      <c r="AZ99" s="403"/>
      <c r="BA99" s="403"/>
      <c r="BB99" s="403"/>
    </row>
    <row r="100" spans="1:54">
      <c r="A100" s="295">
        <v>45433</v>
      </c>
      <c r="B100" s="398">
        <f t="shared" si="46"/>
        <v>219339.64744480755</v>
      </c>
      <c r="C100" s="312">
        <f t="shared" si="47"/>
        <v>3.8483429990840504E-4</v>
      </c>
      <c r="D100" s="398">
        <f t="shared" si="48"/>
        <v>116579.5723970141</v>
      </c>
      <c r="E100" s="312">
        <f t="shared" si="49"/>
        <v>3.8486937629732601E-4</v>
      </c>
      <c r="F100" s="398">
        <f t="shared" si="50"/>
        <v>23626.537652783572</v>
      </c>
      <c r="G100" s="312">
        <f t="shared" si="51"/>
        <v>3.846486960155492E-4</v>
      </c>
      <c r="H100" s="398">
        <v>0</v>
      </c>
      <c r="I100" s="312">
        <f t="shared" si="52"/>
        <v>0</v>
      </c>
      <c r="J100" s="457" t="e">
        <f t="shared" si="65"/>
        <v>#DIV/0!</v>
      </c>
      <c r="K100" s="369" t="e">
        <f t="shared" si="53"/>
        <v>#DIV/0!</v>
      </c>
      <c r="L100" s="404" t="e">
        <f t="shared" si="66"/>
        <v>#DIV/0!</v>
      </c>
      <c r="M100" s="312" t="e">
        <f t="shared" si="67"/>
        <v>#DIV/0!</v>
      </c>
      <c r="N100" s="454">
        <f t="shared" si="68"/>
        <v>19718.951636194925</v>
      </c>
      <c r="O100" s="312">
        <f t="shared" si="69"/>
        <v>3.6059110494463984E-4</v>
      </c>
      <c r="P100" s="404" t="e">
        <f t="shared" si="70"/>
        <v>#DIV/0!</v>
      </c>
      <c r="Q100" s="312" t="e">
        <f t="shared" si="77"/>
        <v>#DIV/0!</v>
      </c>
      <c r="R100" s="454" t="e">
        <f t="shared" si="71"/>
        <v>#DIV/0!</v>
      </c>
      <c r="S100" s="312" t="e">
        <f t="shared" si="72"/>
        <v>#DIV/0!</v>
      </c>
      <c r="T100" s="454" t="e">
        <f t="shared" si="73"/>
        <v>#DIV/0!</v>
      </c>
      <c r="U100" s="312" t="e">
        <f t="shared" si="74"/>
        <v>#DIV/0!</v>
      </c>
      <c r="V100" s="454">
        <f t="shared" si="75"/>
        <v>0</v>
      </c>
      <c r="W100" s="312">
        <f t="shared" si="80"/>
        <v>-1.0000002752637027</v>
      </c>
      <c r="X100" s="454">
        <f t="shared" si="76"/>
        <v>0</v>
      </c>
      <c r="Y100" s="312">
        <f t="shared" si="54"/>
        <v>-1</v>
      </c>
      <c r="Z100" s="674">
        <f t="shared" si="55"/>
        <v>0</v>
      </c>
      <c r="AA100" s="329"/>
      <c r="AB100" s="379">
        <f t="shared" si="55"/>
        <v>0</v>
      </c>
      <c r="AC100" s="329"/>
      <c r="AD100" s="413">
        <f t="shared" si="56"/>
        <v>0</v>
      </c>
      <c r="AE100" s="329"/>
      <c r="AG100" s="400" t="e">
        <f t="shared" si="57"/>
        <v>#DIV/0!</v>
      </c>
      <c r="AH100" s="401">
        <f t="shared" si="58"/>
        <v>0</v>
      </c>
      <c r="AI100" s="407">
        <f t="shared" si="59"/>
        <v>0</v>
      </c>
      <c r="AJ100" s="498"/>
      <c r="AK100" s="502">
        <f t="shared" si="60"/>
        <v>0</v>
      </c>
      <c r="AL100" s="503" t="e">
        <f t="shared" si="61"/>
        <v>#DIV/0!</v>
      </c>
      <c r="AM100" s="504" t="e">
        <f>AG100-AK100-AO100</f>
        <v>#DIV/0!</v>
      </c>
      <c r="AN100" s="503" t="e">
        <f t="shared" si="62"/>
        <v>#DIV/0!</v>
      </c>
      <c r="AO100" s="502">
        <f t="shared" si="63"/>
        <v>0</v>
      </c>
      <c r="AP100" s="503" t="e">
        <f t="shared" si="64"/>
        <v>#DIV/0!</v>
      </c>
      <c r="AQ100" s="402"/>
      <c r="AR100" s="110">
        <v>47362</v>
      </c>
      <c r="AS100" s="98">
        <f t="shared" si="41"/>
        <v>0</v>
      </c>
      <c r="AT100" s="98">
        <f t="shared" si="42"/>
        <v>0</v>
      </c>
      <c r="AU100" s="98"/>
      <c r="AV100" s="308"/>
      <c r="AW100" s="308"/>
      <c r="AX100" s="308"/>
      <c r="AY100" s="403"/>
      <c r="AZ100" s="403"/>
      <c r="BA100" s="403"/>
      <c r="BB100" s="403"/>
    </row>
    <row r="101" spans="1:54">
      <c r="A101" s="295">
        <v>45434</v>
      </c>
      <c r="B101" s="398">
        <f t="shared" si="46"/>
        <v>219424.05686447411</v>
      </c>
      <c r="C101" s="312">
        <f t="shared" si="47"/>
        <v>3.8483429990835664E-4</v>
      </c>
      <c r="D101" s="398">
        <f t="shared" si="48"/>
        <v>116624.44030433154</v>
      </c>
      <c r="E101" s="312">
        <f t="shared" si="49"/>
        <v>3.8486937629728145E-4</v>
      </c>
      <c r="F101" s="398">
        <f t="shared" si="50"/>
        <v>23635.625569683078</v>
      </c>
      <c r="G101" s="312">
        <f t="shared" si="51"/>
        <v>3.8464869601553825E-4</v>
      </c>
      <c r="H101" s="398">
        <v>0</v>
      </c>
      <c r="I101" s="312">
        <f t="shared" si="52"/>
        <v>0</v>
      </c>
      <c r="J101" s="457" t="e">
        <f t="shared" si="65"/>
        <v>#DIV/0!</v>
      </c>
      <c r="K101" s="369" t="e">
        <f t="shared" si="53"/>
        <v>#DIV/0!</v>
      </c>
      <c r="L101" s="404" t="e">
        <f t="shared" si="66"/>
        <v>#DIV/0!</v>
      </c>
      <c r="M101" s="312" t="e">
        <f t="shared" si="67"/>
        <v>#DIV/0!</v>
      </c>
      <c r="N101" s="454">
        <f t="shared" si="68"/>
        <v>19726.062114753771</v>
      </c>
      <c r="O101" s="312">
        <f t="shared" si="69"/>
        <v>3.6059110494470912E-4</v>
      </c>
      <c r="P101" s="404" t="e">
        <f t="shared" si="70"/>
        <v>#DIV/0!</v>
      </c>
      <c r="Q101" s="312" t="e">
        <f t="shared" si="77"/>
        <v>#DIV/0!</v>
      </c>
      <c r="R101" s="454" t="e">
        <f t="shared" si="71"/>
        <v>#DIV/0!</v>
      </c>
      <c r="S101" s="312" t="e">
        <f t="shared" si="72"/>
        <v>#DIV/0!</v>
      </c>
      <c r="T101" s="454" t="e">
        <f t="shared" si="73"/>
        <v>#DIV/0!</v>
      </c>
      <c r="U101" s="312" t="e">
        <f t="shared" si="74"/>
        <v>#DIV/0!</v>
      </c>
      <c r="V101" s="454">
        <f t="shared" si="75"/>
        <v>0</v>
      </c>
      <c r="W101" s="312">
        <f t="shared" si="80"/>
        <v>-1.0000002752637027</v>
      </c>
      <c r="X101" s="454">
        <f t="shared" si="76"/>
        <v>0</v>
      </c>
      <c r="Y101" s="312">
        <f t="shared" si="54"/>
        <v>-1</v>
      </c>
      <c r="Z101" s="674">
        <f t="shared" si="55"/>
        <v>0</v>
      </c>
      <c r="AA101" s="297"/>
      <c r="AB101" s="379">
        <f t="shared" si="55"/>
        <v>0</v>
      </c>
      <c r="AC101" s="297"/>
      <c r="AD101" s="413">
        <f t="shared" si="56"/>
        <v>0</v>
      </c>
      <c r="AE101" s="297"/>
      <c r="AG101" s="400" t="e">
        <f t="shared" si="57"/>
        <v>#DIV/0!</v>
      </c>
      <c r="AH101" s="401">
        <f t="shared" si="58"/>
        <v>0</v>
      </c>
      <c r="AI101" s="407">
        <f t="shared" si="59"/>
        <v>0</v>
      </c>
      <c r="AJ101" s="498"/>
      <c r="AK101" s="502">
        <f t="shared" si="60"/>
        <v>0</v>
      </c>
      <c r="AL101" s="503" t="e">
        <f t="shared" si="61"/>
        <v>#DIV/0!</v>
      </c>
      <c r="AM101" s="504" t="e">
        <f>AG101-AK101-AO101</f>
        <v>#DIV/0!</v>
      </c>
      <c r="AN101" s="503" t="e">
        <f t="shared" si="62"/>
        <v>#DIV/0!</v>
      </c>
      <c r="AO101" s="502">
        <f t="shared" si="63"/>
        <v>0</v>
      </c>
      <c r="AP101" s="503" t="e">
        <f t="shared" si="64"/>
        <v>#DIV/0!</v>
      </c>
      <c r="AQ101" s="402"/>
      <c r="AR101" s="110">
        <v>47392</v>
      </c>
      <c r="AS101" s="98">
        <f t="shared" ref="AS101:AS164" si="81">AS100*0.9%+AS100</f>
        <v>0</v>
      </c>
      <c r="AT101" s="98">
        <f t="shared" ref="AT101:AT164" si="82">AT100*1%+AT100</f>
        <v>0</v>
      </c>
      <c r="AU101" s="98"/>
      <c r="AV101" s="308"/>
      <c r="AW101" s="308"/>
      <c r="AX101" s="308"/>
      <c r="AY101" s="403"/>
      <c r="AZ101" s="403"/>
      <c r="BA101" s="403"/>
      <c r="BB101" s="403"/>
    </row>
    <row r="102" spans="1:54">
      <c r="A102" s="295">
        <v>45435</v>
      </c>
      <c r="B102" s="398">
        <f t="shared" si="46"/>
        <v>219508.49876778061</v>
      </c>
      <c r="C102" s="312">
        <f t="shared" si="47"/>
        <v>3.8483429990835712E-4</v>
      </c>
      <c r="D102" s="398">
        <f t="shared" si="48"/>
        <v>116669.32547993249</v>
      </c>
      <c r="E102" s="312">
        <f t="shared" si="49"/>
        <v>3.8486937629733208E-4</v>
      </c>
      <c r="F102" s="398">
        <f t="shared" si="50"/>
        <v>23644.716982237969</v>
      </c>
      <c r="G102" s="312">
        <f t="shared" si="51"/>
        <v>3.8464869601560032E-4</v>
      </c>
      <c r="H102" s="398">
        <v>0</v>
      </c>
      <c r="I102" s="312">
        <f t="shared" si="52"/>
        <v>0</v>
      </c>
      <c r="J102" s="457" t="e">
        <f t="shared" si="65"/>
        <v>#DIV/0!</v>
      </c>
      <c r="K102" s="369" t="e">
        <f t="shared" si="53"/>
        <v>#DIV/0!</v>
      </c>
      <c r="L102" s="404" t="e">
        <f t="shared" si="66"/>
        <v>#DIV/0!</v>
      </c>
      <c r="M102" s="312" t="e">
        <f t="shared" si="67"/>
        <v>#DIV/0!</v>
      </c>
      <c r="N102" s="454">
        <f t="shared" si="68"/>
        <v>19733.175157287937</v>
      </c>
      <c r="O102" s="312">
        <f t="shared" si="69"/>
        <v>3.6059110494462092E-4</v>
      </c>
      <c r="P102" s="404" t="e">
        <f t="shared" si="70"/>
        <v>#DIV/0!</v>
      </c>
      <c r="Q102" s="312" t="e">
        <f t="shared" si="77"/>
        <v>#DIV/0!</v>
      </c>
      <c r="R102" s="454" t="e">
        <f t="shared" si="71"/>
        <v>#DIV/0!</v>
      </c>
      <c r="S102" s="312" t="e">
        <f t="shared" si="72"/>
        <v>#DIV/0!</v>
      </c>
      <c r="T102" s="454" t="e">
        <f t="shared" si="73"/>
        <v>#DIV/0!</v>
      </c>
      <c r="U102" s="312" t="e">
        <f t="shared" si="74"/>
        <v>#DIV/0!</v>
      </c>
      <c r="V102" s="454">
        <f t="shared" si="75"/>
        <v>0</v>
      </c>
      <c r="W102" s="312">
        <f t="shared" si="80"/>
        <v>-1.0000002752637027</v>
      </c>
      <c r="X102" s="454">
        <f t="shared" si="76"/>
        <v>0</v>
      </c>
      <c r="Y102" s="312">
        <f t="shared" si="54"/>
        <v>-1</v>
      </c>
      <c r="Z102" s="674">
        <f t="shared" si="55"/>
        <v>0</v>
      </c>
      <c r="AA102" s="329"/>
      <c r="AB102" s="379">
        <f t="shared" si="55"/>
        <v>0</v>
      </c>
      <c r="AC102" s="329"/>
      <c r="AD102" s="413">
        <f t="shared" si="56"/>
        <v>0</v>
      </c>
      <c r="AE102" s="329"/>
      <c r="AG102" s="400" t="e">
        <f t="shared" si="57"/>
        <v>#DIV/0!</v>
      </c>
      <c r="AH102" s="401">
        <f t="shared" si="58"/>
        <v>0</v>
      </c>
      <c r="AI102" s="407">
        <f t="shared" si="59"/>
        <v>0</v>
      </c>
      <c r="AJ102" s="498"/>
      <c r="AK102" s="502">
        <f t="shared" si="60"/>
        <v>0</v>
      </c>
      <c r="AL102" s="503" t="e">
        <f t="shared" si="61"/>
        <v>#DIV/0!</v>
      </c>
      <c r="AM102" s="504" t="e">
        <f>AG102-AK102-AO102</f>
        <v>#DIV/0!</v>
      </c>
      <c r="AN102" s="503" t="e">
        <f t="shared" si="62"/>
        <v>#DIV/0!</v>
      </c>
      <c r="AO102" s="502">
        <f t="shared" si="63"/>
        <v>0</v>
      </c>
      <c r="AP102" s="503" t="e">
        <f t="shared" si="64"/>
        <v>#DIV/0!</v>
      </c>
      <c r="AQ102" s="402"/>
      <c r="AR102" s="110">
        <v>47423</v>
      </c>
      <c r="AS102" s="98">
        <f t="shared" si="81"/>
        <v>0</v>
      </c>
      <c r="AT102" s="98">
        <f t="shared" si="82"/>
        <v>0</v>
      </c>
      <c r="AU102" s="98"/>
      <c r="AV102" s="308"/>
      <c r="AW102" s="308"/>
      <c r="AX102" s="308"/>
      <c r="AY102" s="403"/>
      <c r="AZ102" s="403"/>
      <c r="BA102" s="403"/>
      <c r="BB102" s="403"/>
    </row>
    <row r="103" spans="1:54">
      <c r="A103" s="295">
        <v>45436</v>
      </c>
      <c r="B103" s="398">
        <f t="shared" si="46"/>
        <v>219592.97316722784</v>
      </c>
      <c r="C103" s="312">
        <f t="shared" si="47"/>
        <v>3.8483429990837561E-4</v>
      </c>
      <c r="D103" s="398">
        <f t="shared" si="48"/>
        <v>116714.22793046299</v>
      </c>
      <c r="E103" s="312">
        <f t="shared" si="49"/>
        <v>3.8486937629738955E-4</v>
      </c>
      <c r="F103" s="398">
        <f t="shared" si="50"/>
        <v>23653.811891792844</v>
      </c>
      <c r="G103" s="312">
        <f t="shared" si="51"/>
        <v>3.8464869601556427E-4</v>
      </c>
      <c r="H103" s="398">
        <v>0</v>
      </c>
      <c r="I103" s="312">
        <f t="shared" si="52"/>
        <v>0</v>
      </c>
      <c r="J103" s="457" t="e">
        <f t="shared" si="65"/>
        <v>#DIV/0!</v>
      </c>
      <c r="K103" s="369" t="e">
        <f t="shared" si="53"/>
        <v>#DIV/0!</v>
      </c>
      <c r="L103" s="404" t="e">
        <f t="shared" si="66"/>
        <v>#DIV/0!</v>
      </c>
      <c r="M103" s="312" t="e">
        <f t="shared" si="67"/>
        <v>#DIV/0!</v>
      </c>
      <c r="N103" s="454">
        <f t="shared" si="68"/>
        <v>19740.290764721969</v>
      </c>
      <c r="O103" s="312">
        <f t="shared" si="69"/>
        <v>3.6059110494463236E-4</v>
      </c>
      <c r="P103" s="404" t="e">
        <f t="shared" si="70"/>
        <v>#DIV/0!</v>
      </c>
      <c r="Q103" s="312" t="e">
        <f t="shared" si="77"/>
        <v>#DIV/0!</v>
      </c>
      <c r="R103" s="454" t="e">
        <f t="shared" si="71"/>
        <v>#DIV/0!</v>
      </c>
      <c r="S103" s="312" t="e">
        <f t="shared" si="72"/>
        <v>#DIV/0!</v>
      </c>
      <c r="T103" s="454" t="e">
        <f t="shared" si="73"/>
        <v>#DIV/0!</v>
      </c>
      <c r="U103" s="312" t="e">
        <f t="shared" si="74"/>
        <v>#DIV/0!</v>
      </c>
      <c r="V103" s="454">
        <f t="shared" si="75"/>
        <v>0</v>
      </c>
      <c r="W103" s="312">
        <f t="shared" si="80"/>
        <v>-1.0000002752637027</v>
      </c>
      <c r="X103" s="454">
        <f t="shared" si="76"/>
        <v>0</v>
      </c>
      <c r="Y103" s="312">
        <f t="shared" si="54"/>
        <v>-1</v>
      </c>
      <c r="Z103" s="674">
        <f t="shared" si="55"/>
        <v>0</v>
      </c>
      <c r="AA103" s="297"/>
      <c r="AB103" s="379">
        <f t="shared" si="55"/>
        <v>0</v>
      </c>
      <c r="AC103" s="297"/>
      <c r="AD103" s="413">
        <f t="shared" si="56"/>
        <v>0</v>
      </c>
      <c r="AE103" s="297"/>
      <c r="AG103" s="400" t="e">
        <f t="shared" si="57"/>
        <v>#DIV/0!</v>
      </c>
      <c r="AH103" s="401">
        <f t="shared" si="58"/>
        <v>0</v>
      </c>
      <c r="AI103" s="407">
        <f t="shared" si="59"/>
        <v>0</v>
      </c>
      <c r="AJ103" s="498"/>
      <c r="AK103" s="502">
        <f t="shared" si="60"/>
        <v>0</v>
      </c>
      <c r="AL103" s="503" t="e">
        <f t="shared" si="61"/>
        <v>#DIV/0!</v>
      </c>
      <c r="AM103" s="504" t="e">
        <f>AG103-AK103-AO103</f>
        <v>#DIV/0!</v>
      </c>
      <c r="AN103" s="503" t="e">
        <f t="shared" si="62"/>
        <v>#DIV/0!</v>
      </c>
      <c r="AO103" s="502">
        <f t="shared" si="63"/>
        <v>0</v>
      </c>
      <c r="AP103" s="503" t="e">
        <f t="shared" si="64"/>
        <v>#DIV/0!</v>
      </c>
      <c r="AQ103" s="402"/>
      <c r="AR103" s="110">
        <v>47453</v>
      </c>
      <c r="AS103" s="98">
        <f t="shared" si="81"/>
        <v>0</v>
      </c>
      <c r="AT103" s="98">
        <f t="shared" si="82"/>
        <v>0</v>
      </c>
      <c r="AU103" s="98"/>
      <c r="AV103" s="308"/>
      <c r="AW103" s="308"/>
      <c r="AX103" s="308"/>
      <c r="AY103" s="403"/>
      <c r="AZ103" s="403"/>
      <c r="BA103" s="403"/>
      <c r="BB103" s="403"/>
    </row>
    <row r="104" spans="1:54">
      <c r="A104" s="295">
        <v>45439</v>
      </c>
      <c r="B104" s="398">
        <f t="shared" si="46"/>
        <v>219677.48007532145</v>
      </c>
      <c r="C104" s="312">
        <f t="shared" si="47"/>
        <v>3.8483429990837279E-4</v>
      </c>
      <c r="D104" s="398">
        <f t="shared" si="48"/>
        <v>116759.14766257162</v>
      </c>
      <c r="E104" s="312">
        <f t="shared" si="49"/>
        <v>3.8486937629735724E-4</v>
      </c>
      <c r="F104" s="398">
        <f t="shared" si="50"/>
        <v>23662.91029969282</v>
      </c>
      <c r="G104" s="312">
        <f t="shared" si="51"/>
        <v>3.8464869601555847E-4</v>
      </c>
      <c r="H104" s="398">
        <v>0</v>
      </c>
      <c r="I104" s="312">
        <f t="shared" si="52"/>
        <v>0</v>
      </c>
      <c r="J104" s="457" t="e">
        <f t="shared" si="65"/>
        <v>#DIV/0!</v>
      </c>
      <c r="K104" s="369" t="e">
        <f t="shared" si="53"/>
        <v>#DIV/0!</v>
      </c>
      <c r="L104" s="404" t="e">
        <f t="shared" si="66"/>
        <v>#DIV/0!</v>
      </c>
      <c r="M104" s="312" t="e">
        <f t="shared" si="67"/>
        <v>#DIV/0!</v>
      </c>
      <c r="N104" s="454">
        <f t="shared" si="68"/>
        <v>19747.408937980748</v>
      </c>
      <c r="O104" s="312">
        <f t="shared" si="69"/>
        <v>3.6059110494462542E-4</v>
      </c>
      <c r="P104" s="404" t="e">
        <f t="shared" si="70"/>
        <v>#DIV/0!</v>
      </c>
      <c r="Q104" s="312" t="e">
        <f t="shared" si="77"/>
        <v>#DIV/0!</v>
      </c>
      <c r="R104" s="454" t="e">
        <f t="shared" si="71"/>
        <v>#DIV/0!</v>
      </c>
      <c r="S104" s="312" t="e">
        <f t="shared" si="72"/>
        <v>#DIV/0!</v>
      </c>
      <c r="T104" s="454" t="e">
        <f t="shared" si="73"/>
        <v>#DIV/0!</v>
      </c>
      <c r="U104" s="312" t="e">
        <f t="shared" si="74"/>
        <v>#DIV/0!</v>
      </c>
      <c r="V104" s="454">
        <f t="shared" si="75"/>
        <v>0</v>
      </c>
      <c r="W104" s="312">
        <f t="shared" si="80"/>
        <v>-1.0000002752637027</v>
      </c>
      <c r="X104" s="454">
        <f t="shared" si="76"/>
        <v>0</v>
      </c>
      <c r="Y104" s="312">
        <f t="shared" si="54"/>
        <v>-1</v>
      </c>
      <c r="Z104" s="674">
        <f t="shared" si="55"/>
        <v>0</v>
      </c>
      <c r="AA104" s="329"/>
      <c r="AB104" s="379">
        <f t="shared" si="55"/>
        <v>0</v>
      </c>
      <c r="AC104" s="329"/>
      <c r="AD104" s="413">
        <f t="shared" si="56"/>
        <v>0</v>
      </c>
      <c r="AE104" s="329"/>
      <c r="AG104" s="400" t="e">
        <f t="shared" si="57"/>
        <v>#DIV/0!</v>
      </c>
      <c r="AH104" s="401">
        <f t="shared" si="58"/>
        <v>0</v>
      </c>
      <c r="AI104" s="407">
        <f t="shared" si="59"/>
        <v>0</v>
      </c>
      <c r="AJ104" s="498"/>
      <c r="AK104" s="502">
        <f t="shared" si="60"/>
        <v>0</v>
      </c>
      <c r="AL104" s="503" t="e">
        <f t="shared" si="61"/>
        <v>#DIV/0!</v>
      </c>
      <c r="AM104" s="504" t="e">
        <f>AG104-AK104-AO104</f>
        <v>#DIV/0!</v>
      </c>
      <c r="AN104" s="503" t="e">
        <f t="shared" si="62"/>
        <v>#DIV/0!</v>
      </c>
      <c r="AO104" s="502">
        <f t="shared" si="63"/>
        <v>0</v>
      </c>
      <c r="AP104" s="503" t="e">
        <f t="shared" si="64"/>
        <v>#DIV/0!</v>
      </c>
      <c r="AQ104" s="402"/>
      <c r="AR104" s="110">
        <v>47484</v>
      </c>
      <c r="AS104" s="98">
        <f t="shared" si="81"/>
        <v>0</v>
      </c>
      <c r="AT104" s="98">
        <f t="shared" si="82"/>
        <v>0</v>
      </c>
      <c r="AU104" s="98"/>
      <c r="AV104" s="308"/>
      <c r="AW104" s="308"/>
      <c r="AX104" s="308"/>
      <c r="AY104" s="403"/>
      <c r="AZ104" s="403"/>
      <c r="BA104" s="403"/>
      <c r="BB104" s="403"/>
    </row>
    <row r="105" spans="1:54">
      <c r="A105" s="295">
        <v>45440</v>
      </c>
      <c r="B105" s="398">
        <f t="shared" si="46"/>
        <v>219762.01950457189</v>
      </c>
      <c r="C105" s="312">
        <f t="shared" si="47"/>
        <v>3.8483429990843361E-4</v>
      </c>
      <c r="D105" s="398">
        <f t="shared" si="48"/>
        <v>116804.08468290952</v>
      </c>
      <c r="E105" s="312">
        <f t="shared" si="49"/>
        <v>3.8486937629737968E-4</v>
      </c>
      <c r="F105" s="398">
        <f t="shared" si="50"/>
        <v>23672.012207283529</v>
      </c>
      <c r="G105" s="312">
        <f t="shared" si="51"/>
        <v>3.8464869601554882E-4</v>
      </c>
      <c r="H105" s="398">
        <v>0</v>
      </c>
      <c r="I105" s="312">
        <f t="shared" si="52"/>
        <v>0</v>
      </c>
      <c r="J105" s="457" t="e">
        <f t="shared" si="65"/>
        <v>#DIV/0!</v>
      </c>
      <c r="K105" s="369" t="e">
        <f t="shared" si="53"/>
        <v>#DIV/0!</v>
      </c>
      <c r="L105" s="404" t="e">
        <f t="shared" si="66"/>
        <v>#DIV/0!</v>
      </c>
      <c r="M105" s="312" t="e">
        <f t="shared" si="67"/>
        <v>#DIV/0!</v>
      </c>
      <c r="N105" s="454">
        <f t="shared" si="68"/>
        <v>19754.529677989489</v>
      </c>
      <c r="O105" s="312">
        <f t="shared" si="69"/>
        <v>3.6059110494466039E-4</v>
      </c>
      <c r="P105" s="404" t="e">
        <f t="shared" si="70"/>
        <v>#DIV/0!</v>
      </c>
      <c r="Q105" s="312" t="e">
        <f t="shared" si="77"/>
        <v>#DIV/0!</v>
      </c>
      <c r="R105" s="454" t="e">
        <f t="shared" si="71"/>
        <v>#DIV/0!</v>
      </c>
      <c r="S105" s="312" t="e">
        <f t="shared" si="72"/>
        <v>#DIV/0!</v>
      </c>
      <c r="T105" s="454" t="e">
        <f t="shared" si="73"/>
        <v>#DIV/0!</v>
      </c>
      <c r="U105" s="312" t="e">
        <f t="shared" si="74"/>
        <v>#DIV/0!</v>
      </c>
      <c r="V105" s="454">
        <f t="shared" si="75"/>
        <v>0</v>
      </c>
      <c r="W105" s="312">
        <f t="shared" si="80"/>
        <v>-1.0000002752637027</v>
      </c>
      <c r="X105" s="454">
        <f t="shared" si="76"/>
        <v>0</v>
      </c>
      <c r="Y105" s="312">
        <f t="shared" si="54"/>
        <v>-1</v>
      </c>
      <c r="Z105" s="674">
        <f t="shared" si="55"/>
        <v>0</v>
      </c>
      <c r="AA105" s="297"/>
      <c r="AB105" s="379">
        <f t="shared" si="55"/>
        <v>0</v>
      </c>
      <c r="AC105" s="297"/>
      <c r="AD105" s="413">
        <f t="shared" si="56"/>
        <v>0</v>
      </c>
      <c r="AE105" s="297"/>
      <c r="AG105" s="400" t="e">
        <f t="shared" si="57"/>
        <v>#DIV/0!</v>
      </c>
      <c r="AH105" s="401">
        <f t="shared" si="58"/>
        <v>0</v>
      </c>
      <c r="AI105" s="407">
        <f t="shared" si="59"/>
        <v>0</v>
      </c>
      <c r="AJ105" s="498"/>
      <c r="AK105" s="502">
        <f t="shared" si="60"/>
        <v>0</v>
      </c>
      <c r="AL105" s="503" t="e">
        <f t="shared" si="61"/>
        <v>#DIV/0!</v>
      </c>
      <c r="AM105" s="504" t="e">
        <f>AG105-AK105-AO105</f>
        <v>#DIV/0!</v>
      </c>
      <c r="AN105" s="503" t="e">
        <f t="shared" si="62"/>
        <v>#DIV/0!</v>
      </c>
      <c r="AO105" s="502">
        <f t="shared" si="63"/>
        <v>0</v>
      </c>
      <c r="AP105" s="503" t="e">
        <f t="shared" si="64"/>
        <v>#DIV/0!</v>
      </c>
      <c r="AQ105" s="402"/>
      <c r="AR105" s="110">
        <v>47515</v>
      </c>
      <c r="AS105" s="98">
        <f t="shared" si="81"/>
        <v>0</v>
      </c>
      <c r="AT105" s="98">
        <f t="shared" si="82"/>
        <v>0</v>
      </c>
      <c r="AU105" s="98"/>
      <c r="AV105" s="308"/>
      <c r="AW105" s="308"/>
      <c r="AX105" s="308"/>
      <c r="AY105" s="403"/>
      <c r="AZ105" s="403"/>
      <c r="BA105" s="403"/>
      <c r="BB105" s="403"/>
    </row>
    <row r="106" spans="1:54">
      <c r="A106" s="295">
        <v>45441</v>
      </c>
      <c r="B106" s="398">
        <f t="shared" si="46"/>
        <v>219846.59146749438</v>
      </c>
      <c r="C106" s="312">
        <f t="shared" si="47"/>
        <v>3.8483429990836948E-4</v>
      </c>
      <c r="D106" s="398">
        <f t="shared" si="48"/>
        <v>116849.03899813042</v>
      </c>
      <c r="E106" s="312">
        <f t="shared" si="49"/>
        <v>3.8486937629734347E-4</v>
      </c>
      <c r="F106" s="398">
        <f t="shared" si="50"/>
        <v>23681.117615911124</v>
      </c>
      <c r="G106" s="312">
        <f t="shared" si="51"/>
        <v>3.8464869601549304E-4</v>
      </c>
      <c r="H106" s="398">
        <v>0</v>
      </c>
      <c r="I106" s="312">
        <f t="shared" si="52"/>
        <v>0</v>
      </c>
      <c r="J106" s="457" t="e">
        <f t="shared" si="65"/>
        <v>#DIV/0!</v>
      </c>
      <c r="K106" s="369" t="e">
        <f t="shared" si="53"/>
        <v>#DIV/0!</v>
      </c>
      <c r="L106" s="404" t="e">
        <f t="shared" si="66"/>
        <v>#DIV/0!</v>
      </c>
      <c r="M106" s="312" t="e">
        <f t="shared" si="67"/>
        <v>#DIV/0!</v>
      </c>
      <c r="N106" s="454">
        <f t="shared" si="68"/>
        <v>19761.652985673736</v>
      </c>
      <c r="O106" s="312">
        <f t="shared" si="69"/>
        <v>3.6059110494460721E-4</v>
      </c>
      <c r="P106" s="404" t="e">
        <f t="shared" si="70"/>
        <v>#DIV/0!</v>
      </c>
      <c r="Q106" s="312" t="e">
        <f t="shared" si="77"/>
        <v>#DIV/0!</v>
      </c>
      <c r="R106" s="454" t="e">
        <f t="shared" si="71"/>
        <v>#DIV/0!</v>
      </c>
      <c r="S106" s="312" t="e">
        <f t="shared" si="72"/>
        <v>#DIV/0!</v>
      </c>
      <c r="T106" s="454" t="e">
        <f t="shared" si="73"/>
        <v>#DIV/0!</v>
      </c>
      <c r="U106" s="312" t="e">
        <f t="shared" si="74"/>
        <v>#DIV/0!</v>
      </c>
      <c r="V106" s="454">
        <f t="shared" si="75"/>
        <v>0</v>
      </c>
      <c r="W106" s="312">
        <f t="shared" si="80"/>
        <v>-1.0000002752637027</v>
      </c>
      <c r="X106" s="454">
        <f t="shared" si="76"/>
        <v>0</v>
      </c>
      <c r="Y106" s="312">
        <f t="shared" si="54"/>
        <v>-1</v>
      </c>
      <c r="Z106" s="674">
        <f t="shared" si="55"/>
        <v>0</v>
      </c>
      <c r="AA106" s="329"/>
      <c r="AB106" s="379">
        <f t="shared" si="55"/>
        <v>0</v>
      </c>
      <c r="AC106" s="329"/>
      <c r="AD106" s="413">
        <f t="shared" si="56"/>
        <v>0</v>
      </c>
      <c r="AE106" s="329"/>
      <c r="AG106" s="400" t="e">
        <f t="shared" si="57"/>
        <v>#DIV/0!</v>
      </c>
      <c r="AH106" s="401">
        <f t="shared" si="58"/>
        <v>0</v>
      </c>
      <c r="AI106" s="407">
        <f t="shared" si="59"/>
        <v>0</v>
      </c>
      <c r="AJ106" s="498"/>
      <c r="AK106" s="502">
        <f t="shared" si="60"/>
        <v>0</v>
      </c>
      <c r="AL106" s="503" t="e">
        <f t="shared" si="61"/>
        <v>#DIV/0!</v>
      </c>
      <c r="AM106" s="504" t="e">
        <f>AG106-AK106-AO106</f>
        <v>#DIV/0!</v>
      </c>
      <c r="AN106" s="503" t="e">
        <f t="shared" si="62"/>
        <v>#DIV/0!</v>
      </c>
      <c r="AO106" s="502">
        <f t="shared" si="63"/>
        <v>0</v>
      </c>
      <c r="AP106" s="503" t="e">
        <f t="shared" si="64"/>
        <v>#DIV/0!</v>
      </c>
      <c r="AQ106" s="402"/>
      <c r="AR106" s="110">
        <v>47543</v>
      </c>
      <c r="AS106" s="98">
        <f t="shared" si="81"/>
        <v>0</v>
      </c>
      <c r="AT106" s="98">
        <f t="shared" si="82"/>
        <v>0</v>
      </c>
      <c r="AU106" s="98"/>
      <c r="AV106" s="308"/>
      <c r="AW106" s="308"/>
      <c r="AX106" s="308"/>
      <c r="AY106" s="403"/>
      <c r="AZ106" s="403"/>
      <c r="BA106" s="403"/>
      <c r="BB106" s="403"/>
    </row>
    <row r="107" spans="1:54">
      <c r="A107" s="295">
        <v>45443</v>
      </c>
      <c r="B107" s="398">
        <f t="shared" si="46"/>
        <v>219931.19597660901</v>
      </c>
      <c r="C107" s="312">
        <f t="shared" si="47"/>
        <v>3.8483429990838098E-4</v>
      </c>
      <c r="D107" s="398">
        <f t="shared" si="48"/>
        <v>116894.01061489058</v>
      </c>
      <c r="E107" s="312">
        <f t="shared" si="49"/>
        <v>3.8486937629737594E-4</v>
      </c>
      <c r="F107" s="398">
        <f t="shared" si="50"/>
        <v>23690.226526922273</v>
      </c>
      <c r="G107" s="312">
        <f t="shared" si="51"/>
        <v>3.8464869601549401E-4</v>
      </c>
      <c r="H107" s="398">
        <v>0</v>
      </c>
      <c r="I107" s="312">
        <f t="shared" si="52"/>
        <v>0</v>
      </c>
      <c r="J107" s="457" t="e">
        <f t="shared" si="65"/>
        <v>#DIV/0!</v>
      </c>
      <c r="K107" s="369" t="e">
        <f t="shared" si="53"/>
        <v>#DIV/0!</v>
      </c>
      <c r="L107" s="404" t="e">
        <f t="shared" si="66"/>
        <v>#DIV/0!</v>
      </c>
      <c r="M107" s="312" t="e">
        <f t="shared" si="67"/>
        <v>#DIV/0!</v>
      </c>
      <c r="N107" s="454">
        <f t="shared" si="68"/>
        <v>19768.778861959374</v>
      </c>
      <c r="O107" s="312">
        <f t="shared" si="69"/>
        <v>3.6059110494469823E-4</v>
      </c>
      <c r="P107" s="404" t="e">
        <f t="shared" si="70"/>
        <v>#DIV/0!</v>
      </c>
      <c r="Q107" s="312" t="e">
        <f t="shared" si="77"/>
        <v>#DIV/0!</v>
      </c>
      <c r="R107" s="454" t="e">
        <f t="shared" si="71"/>
        <v>#DIV/0!</v>
      </c>
      <c r="S107" s="312" t="e">
        <f t="shared" si="72"/>
        <v>#DIV/0!</v>
      </c>
      <c r="T107" s="454" t="e">
        <f t="shared" si="73"/>
        <v>#DIV/0!</v>
      </c>
      <c r="U107" s="312" t="e">
        <f t="shared" si="74"/>
        <v>#DIV/0!</v>
      </c>
      <c r="V107" s="454">
        <f t="shared" si="75"/>
        <v>0</v>
      </c>
      <c r="W107" s="312">
        <f t="shared" si="80"/>
        <v>-1.0000002752637027</v>
      </c>
      <c r="X107" s="454">
        <f t="shared" si="76"/>
        <v>0</v>
      </c>
      <c r="Y107" s="312">
        <f t="shared" si="54"/>
        <v>-1</v>
      </c>
      <c r="Z107" s="674">
        <f t="shared" si="55"/>
        <v>0</v>
      </c>
      <c r="AA107" s="297"/>
      <c r="AB107" s="379">
        <f t="shared" si="55"/>
        <v>0</v>
      </c>
      <c r="AC107" s="297"/>
      <c r="AD107" s="413">
        <f t="shared" si="56"/>
        <v>0</v>
      </c>
      <c r="AE107" s="297"/>
      <c r="AF107" s="287"/>
      <c r="AG107" s="400" t="e">
        <f t="shared" si="57"/>
        <v>#DIV/0!</v>
      </c>
      <c r="AH107" s="401">
        <f t="shared" si="58"/>
        <v>0</v>
      </c>
      <c r="AI107" s="407">
        <f t="shared" si="59"/>
        <v>0</v>
      </c>
      <c r="AJ107" s="498"/>
      <c r="AK107" s="502">
        <f t="shared" si="60"/>
        <v>0</v>
      </c>
      <c r="AL107" s="503" t="e">
        <f t="shared" si="61"/>
        <v>#DIV/0!</v>
      </c>
      <c r="AM107" s="504" t="e">
        <f>AG107-AK107-AO107</f>
        <v>#DIV/0!</v>
      </c>
      <c r="AN107" s="503" t="e">
        <f t="shared" si="62"/>
        <v>#DIV/0!</v>
      </c>
      <c r="AO107" s="502">
        <f t="shared" si="63"/>
        <v>0</v>
      </c>
      <c r="AP107" s="503" t="e">
        <f t="shared" si="64"/>
        <v>#DIV/0!</v>
      </c>
      <c r="AQ107" s="402"/>
      <c r="AR107" s="110">
        <v>47574</v>
      </c>
      <c r="AS107" s="98">
        <f t="shared" si="81"/>
        <v>0</v>
      </c>
      <c r="AT107" s="98">
        <f t="shared" si="82"/>
        <v>0</v>
      </c>
      <c r="AU107" s="98"/>
      <c r="AV107" s="308"/>
      <c r="AW107" s="308"/>
      <c r="AX107" s="308"/>
      <c r="AY107" s="403"/>
      <c r="AZ107" s="403"/>
      <c r="BA107" s="403"/>
      <c r="BB107" s="403"/>
    </row>
    <row r="108" spans="1:54">
      <c r="A108" s="295">
        <v>45446</v>
      </c>
      <c r="B108" s="296">
        <f t="shared" si="46"/>
        <v>220015.83304444069</v>
      </c>
      <c r="C108" s="312">
        <f t="shared" si="47"/>
        <v>3.8483429990839502E-4</v>
      </c>
      <c r="D108" s="296">
        <f t="shared" si="48"/>
        <v>116938.99953984882</v>
      </c>
      <c r="E108" s="312">
        <f t="shared" si="49"/>
        <v>3.8486937629734694E-4</v>
      </c>
      <c r="F108" s="296">
        <f t="shared" si="50"/>
        <v>23699.338941664166</v>
      </c>
      <c r="G108" s="312">
        <f t="shared" si="51"/>
        <v>3.8464869601549244E-4</v>
      </c>
      <c r="H108" s="398">
        <v>0</v>
      </c>
      <c r="I108" s="312">
        <f t="shared" si="52"/>
        <v>0</v>
      </c>
      <c r="J108" s="457" t="e">
        <f t="shared" si="65"/>
        <v>#DIV/0!</v>
      </c>
      <c r="K108" s="369" t="e">
        <f t="shared" si="53"/>
        <v>#DIV/0!</v>
      </c>
      <c r="L108" s="404" t="e">
        <f t="shared" si="66"/>
        <v>#DIV/0!</v>
      </c>
      <c r="M108" s="312" t="e">
        <f t="shared" si="67"/>
        <v>#DIV/0!</v>
      </c>
      <c r="N108" s="298">
        <f t="shared" si="68"/>
        <v>19775.907307772613</v>
      </c>
      <c r="O108" s="312">
        <f t="shared" si="69"/>
        <v>3.605911049446071E-4</v>
      </c>
      <c r="P108" s="404" t="e">
        <f t="shared" si="70"/>
        <v>#DIV/0!</v>
      </c>
      <c r="Q108" s="312" t="e">
        <f t="shared" si="77"/>
        <v>#DIV/0!</v>
      </c>
      <c r="R108" s="454" t="e">
        <f t="shared" si="71"/>
        <v>#DIV/0!</v>
      </c>
      <c r="S108" s="312" t="e">
        <f t="shared" si="72"/>
        <v>#DIV/0!</v>
      </c>
      <c r="T108" s="454" t="e">
        <f t="shared" si="73"/>
        <v>#DIV/0!</v>
      </c>
      <c r="U108" s="312" t="e">
        <f t="shared" si="74"/>
        <v>#DIV/0!</v>
      </c>
      <c r="V108" s="454">
        <f t="shared" si="75"/>
        <v>0</v>
      </c>
      <c r="W108" s="312">
        <f t="shared" si="80"/>
        <v>-1.0000002752637027</v>
      </c>
      <c r="X108" s="454">
        <f t="shared" si="76"/>
        <v>0</v>
      </c>
      <c r="Y108" s="312">
        <f t="shared" si="54"/>
        <v>-1</v>
      </c>
      <c r="Z108" s="674">
        <f t="shared" si="55"/>
        <v>0</v>
      </c>
      <c r="AA108" s="329"/>
      <c r="AB108" s="379">
        <f t="shared" si="55"/>
        <v>0</v>
      </c>
      <c r="AC108" s="329"/>
      <c r="AD108" s="413">
        <f t="shared" si="56"/>
        <v>0</v>
      </c>
      <c r="AE108" s="329"/>
      <c r="AG108" s="400" t="e">
        <f t="shared" si="57"/>
        <v>#DIV/0!</v>
      </c>
      <c r="AH108" s="401">
        <f t="shared" si="58"/>
        <v>0</v>
      </c>
      <c r="AI108" s="407">
        <f t="shared" si="59"/>
        <v>0</v>
      </c>
      <c r="AJ108" s="498"/>
      <c r="AK108" s="502">
        <f t="shared" si="60"/>
        <v>0</v>
      </c>
      <c r="AL108" s="503" t="e">
        <f t="shared" si="61"/>
        <v>#DIV/0!</v>
      </c>
      <c r="AM108" s="504" t="e">
        <f>AG108-AK108-AO108</f>
        <v>#DIV/0!</v>
      </c>
      <c r="AN108" s="503" t="e">
        <f t="shared" si="62"/>
        <v>#DIV/0!</v>
      </c>
      <c r="AO108" s="502">
        <f t="shared" si="63"/>
        <v>0</v>
      </c>
      <c r="AP108" s="503" t="e">
        <f t="shared" si="64"/>
        <v>#DIV/0!</v>
      </c>
      <c r="AQ108" s="402"/>
      <c r="AR108" s="110">
        <v>47604</v>
      </c>
      <c r="AS108" s="98">
        <f t="shared" si="81"/>
        <v>0</v>
      </c>
      <c r="AT108" s="98">
        <f t="shared" si="82"/>
        <v>0</v>
      </c>
      <c r="AU108" s="98"/>
      <c r="AV108" s="308"/>
      <c r="AW108" s="308"/>
      <c r="AX108" s="308"/>
      <c r="AY108" s="403"/>
      <c r="AZ108" s="403"/>
      <c r="BA108" s="403"/>
      <c r="BB108" s="403"/>
    </row>
    <row r="109" spans="1:54">
      <c r="A109" s="295">
        <v>45447</v>
      </c>
      <c r="B109" s="296">
        <f t="shared" si="46"/>
        <v>220100.50268351909</v>
      </c>
      <c r="C109" s="312">
        <f t="shared" si="47"/>
        <v>3.8483429990833045E-4</v>
      </c>
      <c r="D109" s="296">
        <f t="shared" si="48"/>
        <v>116984.00577966656</v>
      </c>
      <c r="E109" s="312">
        <f t="shared" si="49"/>
        <v>3.8486937629736694E-4</v>
      </c>
      <c r="F109" s="296">
        <f t="shared" si="50"/>
        <v>23708.454861484504</v>
      </c>
      <c r="G109" s="312">
        <f t="shared" si="51"/>
        <v>3.8464869601542077E-4</v>
      </c>
      <c r="H109" s="398">
        <v>0</v>
      </c>
      <c r="I109" s="312">
        <f t="shared" si="52"/>
        <v>0</v>
      </c>
      <c r="J109" s="457" t="e">
        <f t="shared" si="65"/>
        <v>#DIV/0!</v>
      </c>
      <c r="K109" s="369" t="e">
        <f t="shared" si="53"/>
        <v>#DIV/0!</v>
      </c>
      <c r="L109" s="404" t="e">
        <f t="shared" si="66"/>
        <v>#DIV/0!</v>
      </c>
      <c r="M109" s="312" t="e">
        <f t="shared" si="67"/>
        <v>#DIV/0!</v>
      </c>
      <c r="N109" s="298">
        <f t="shared" si="68"/>
        <v>19783.038324040004</v>
      </c>
      <c r="O109" s="312">
        <f t="shared" si="69"/>
        <v>3.6059110494455392E-4</v>
      </c>
      <c r="P109" s="404" t="e">
        <f t="shared" si="70"/>
        <v>#DIV/0!</v>
      </c>
      <c r="Q109" s="312" t="e">
        <f t="shared" si="77"/>
        <v>#DIV/0!</v>
      </c>
      <c r="R109" s="454" t="e">
        <f t="shared" si="71"/>
        <v>#DIV/0!</v>
      </c>
      <c r="S109" s="312" t="e">
        <f t="shared" si="72"/>
        <v>#DIV/0!</v>
      </c>
      <c r="T109" s="454" t="e">
        <f t="shared" si="73"/>
        <v>#DIV/0!</v>
      </c>
      <c r="U109" s="312" t="e">
        <f t="shared" si="74"/>
        <v>#DIV/0!</v>
      </c>
      <c r="V109" s="454">
        <f t="shared" si="75"/>
        <v>0</v>
      </c>
      <c r="W109" s="312">
        <f t="shared" si="80"/>
        <v>-1.0000002752637027</v>
      </c>
      <c r="X109" s="454">
        <f t="shared" si="76"/>
        <v>0</v>
      </c>
      <c r="Y109" s="312">
        <f t="shared" si="54"/>
        <v>-1</v>
      </c>
      <c r="Z109" s="674">
        <f t="shared" si="55"/>
        <v>0</v>
      </c>
      <c r="AA109" s="297"/>
      <c r="AB109" s="379">
        <f t="shared" si="55"/>
        <v>0</v>
      </c>
      <c r="AC109" s="297"/>
      <c r="AD109" s="413">
        <f t="shared" si="56"/>
        <v>0</v>
      </c>
      <c r="AE109" s="297"/>
      <c r="AG109" s="400" t="e">
        <f t="shared" si="57"/>
        <v>#DIV/0!</v>
      </c>
      <c r="AH109" s="401">
        <f t="shared" si="58"/>
        <v>0</v>
      </c>
      <c r="AI109" s="407">
        <f t="shared" si="59"/>
        <v>0</v>
      </c>
      <c r="AJ109" s="498"/>
      <c r="AK109" s="502">
        <f t="shared" si="60"/>
        <v>0</v>
      </c>
      <c r="AL109" s="503" t="e">
        <f t="shared" si="61"/>
        <v>#DIV/0!</v>
      </c>
      <c r="AM109" s="504" t="e">
        <f>AG109-AK109-AO109</f>
        <v>#DIV/0!</v>
      </c>
      <c r="AN109" s="503" t="e">
        <f t="shared" si="62"/>
        <v>#DIV/0!</v>
      </c>
      <c r="AO109" s="502">
        <f t="shared" si="63"/>
        <v>0</v>
      </c>
      <c r="AP109" s="503" t="e">
        <f t="shared" si="64"/>
        <v>#DIV/0!</v>
      </c>
      <c r="AQ109" s="402"/>
      <c r="AR109" s="110">
        <v>47635</v>
      </c>
      <c r="AS109" s="98">
        <f t="shared" si="81"/>
        <v>0</v>
      </c>
      <c r="AT109" s="98">
        <f t="shared" si="82"/>
        <v>0</v>
      </c>
      <c r="AU109" s="98"/>
      <c r="AV109" s="308"/>
      <c r="AW109" s="308"/>
      <c r="AX109" s="308"/>
      <c r="AY109" s="403"/>
      <c r="AZ109" s="403"/>
      <c r="BA109" s="403"/>
      <c r="BB109" s="403"/>
    </row>
    <row r="110" spans="1:54">
      <c r="A110" s="295">
        <v>45448</v>
      </c>
      <c r="B110" s="296">
        <f t="shared" si="46"/>
        <v>220185.20490637879</v>
      </c>
      <c r="C110" s="312">
        <f t="shared" si="47"/>
        <v>3.8483429990836216E-4</v>
      </c>
      <c r="D110" s="296">
        <f t="shared" si="48"/>
        <v>117029.02934100776</v>
      </c>
      <c r="E110" s="312">
        <f t="shared" si="49"/>
        <v>3.848693762974134E-4</v>
      </c>
      <c r="F110" s="296">
        <f t="shared" si="50"/>
        <v>23717.574287731513</v>
      </c>
      <c r="G110" s="312">
        <f t="shared" si="51"/>
        <v>3.8464869601535675E-4</v>
      </c>
      <c r="H110" s="398">
        <v>0</v>
      </c>
      <c r="I110" s="312">
        <f t="shared" si="52"/>
        <v>0</v>
      </c>
      <c r="J110" s="457" t="e">
        <f t="shared" si="65"/>
        <v>#DIV/0!</v>
      </c>
      <c r="K110" s="369" t="e">
        <f t="shared" si="53"/>
        <v>#DIV/0!</v>
      </c>
      <c r="L110" s="404" t="e">
        <f t="shared" si="66"/>
        <v>#DIV/0!</v>
      </c>
      <c r="M110" s="312" t="e">
        <f t="shared" si="67"/>
        <v>#DIV/0!</v>
      </c>
      <c r="N110" s="298">
        <f t="shared" si="68"/>
        <v>19790.171911688431</v>
      </c>
      <c r="O110" s="312">
        <f t="shared" si="69"/>
        <v>3.6059110494456839E-4</v>
      </c>
      <c r="P110" s="404" t="e">
        <f t="shared" si="70"/>
        <v>#DIV/0!</v>
      </c>
      <c r="Q110" s="312" t="e">
        <f t="shared" si="77"/>
        <v>#DIV/0!</v>
      </c>
      <c r="R110" s="454" t="e">
        <f t="shared" si="71"/>
        <v>#DIV/0!</v>
      </c>
      <c r="S110" s="312" t="e">
        <f t="shared" si="72"/>
        <v>#DIV/0!</v>
      </c>
      <c r="T110" s="454" t="e">
        <f t="shared" si="73"/>
        <v>#DIV/0!</v>
      </c>
      <c r="U110" s="312" t="e">
        <f t="shared" si="74"/>
        <v>#DIV/0!</v>
      </c>
      <c r="V110" s="454">
        <f t="shared" si="75"/>
        <v>0</v>
      </c>
      <c r="W110" s="312">
        <f t="shared" si="80"/>
        <v>-1.0000002752637027</v>
      </c>
      <c r="X110" s="454">
        <f t="shared" si="76"/>
        <v>0</v>
      </c>
      <c r="Y110" s="312">
        <f t="shared" si="54"/>
        <v>-1</v>
      </c>
      <c r="Z110" s="674">
        <f t="shared" si="55"/>
        <v>0</v>
      </c>
      <c r="AA110" s="329"/>
      <c r="AB110" s="379">
        <f t="shared" si="55"/>
        <v>0</v>
      </c>
      <c r="AC110" s="329"/>
      <c r="AD110" s="413">
        <f t="shared" si="56"/>
        <v>0</v>
      </c>
      <c r="AE110" s="329"/>
      <c r="AG110" s="400" t="e">
        <f t="shared" si="57"/>
        <v>#DIV/0!</v>
      </c>
      <c r="AH110" s="401">
        <f t="shared" si="58"/>
        <v>0</v>
      </c>
      <c r="AI110" s="407">
        <f t="shared" si="59"/>
        <v>0</v>
      </c>
      <c r="AJ110" s="498"/>
      <c r="AK110" s="502">
        <f t="shared" si="60"/>
        <v>0</v>
      </c>
      <c r="AL110" s="503" t="e">
        <f t="shared" si="61"/>
        <v>#DIV/0!</v>
      </c>
      <c r="AM110" s="504" t="e">
        <f>AG110-AK110-AO110</f>
        <v>#DIV/0!</v>
      </c>
      <c r="AN110" s="503" t="e">
        <f t="shared" si="62"/>
        <v>#DIV/0!</v>
      </c>
      <c r="AO110" s="502">
        <f t="shared" si="63"/>
        <v>0</v>
      </c>
      <c r="AP110" s="503" t="e">
        <f t="shared" si="64"/>
        <v>#DIV/0!</v>
      </c>
      <c r="AQ110" s="314"/>
      <c r="AR110" s="110">
        <v>47665</v>
      </c>
      <c r="AS110" s="98">
        <f t="shared" si="81"/>
        <v>0</v>
      </c>
      <c r="AT110" s="98">
        <f t="shared" si="82"/>
        <v>0</v>
      </c>
      <c r="AU110" s="98"/>
      <c r="AV110" s="308"/>
      <c r="AW110" s="308"/>
      <c r="AX110" s="308"/>
      <c r="AY110" s="313"/>
      <c r="AZ110" s="313"/>
      <c r="BA110" s="313"/>
      <c r="BB110" s="313"/>
    </row>
    <row r="111" spans="1:54">
      <c r="A111" s="295">
        <v>45449</v>
      </c>
      <c r="B111" s="296">
        <f t="shared" si="46"/>
        <v>220269.93972555912</v>
      </c>
      <c r="C111" s="312">
        <f t="shared" si="47"/>
        <v>3.8483429990839203E-4</v>
      </c>
      <c r="D111" s="296">
        <f t="shared" si="48"/>
        <v>117074.07023053893</v>
      </c>
      <c r="E111" s="312">
        <f t="shared" si="49"/>
        <v>3.848693762974553E-4</v>
      </c>
      <c r="F111" s="296">
        <f t="shared" si="50"/>
        <v>23726.697221753937</v>
      </c>
      <c r="G111" s="312">
        <f t="shared" si="51"/>
        <v>3.8464869601536933E-4</v>
      </c>
      <c r="H111" s="398">
        <v>0</v>
      </c>
      <c r="I111" s="312">
        <f t="shared" si="52"/>
        <v>0</v>
      </c>
      <c r="J111" s="457" t="e">
        <f t="shared" si="65"/>
        <v>#DIV/0!</v>
      </c>
      <c r="K111" s="369" t="e">
        <f t="shared" si="53"/>
        <v>#DIV/0!</v>
      </c>
      <c r="L111" s="404" t="e">
        <f t="shared" si="66"/>
        <v>#DIV/0!</v>
      </c>
      <c r="M111" s="312" t="e">
        <f t="shared" si="67"/>
        <v>#DIV/0!</v>
      </c>
      <c r="N111" s="298">
        <f t="shared" si="68"/>
        <v>19797.308071645108</v>
      </c>
      <c r="O111" s="312">
        <f t="shared" si="69"/>
        <v>3.6059110494449033E-4</v>
      </c>
      <c r="P111" s="404" t="e">
        <f t="shared" si="70"/>
        <v>#DIV/0!</v>
      </c>
      <c r="Q111" s="312" t="e">
        <f t="shared" si="77"/>
        <v>#DIV/0!</v>
      </c>
      <c r="R111" s="454" t="e">
        <f t="shared" si="71"/>
        <v>#DIV/0!</v>
      </c>
      <c r="S111" s="312" t="e">
        <f t="shared" si="72"/>
        <v>#DIV/0!</v>
      </c>
      <c r="T111" s="454" t="e">
        <f t="shared" si="73"/>
        <v>#DIV/0!</v>
      </c>
      <c r="U111" s="312" t="e">
        <f t="shared" si="74"/>
        <v>#DIV/0!</v>
      </c>
      <c r="V111" s="454">
        <f t="shared" si="75"/>
        <v>0</v>
      </c>
      <c r="W111" s="312">
        <f t="shared" si="80"/>
        <v>-1.0000002752637027</v>
      </c>
      <c r="X111" s="454">
        <f t="shared" si="76"/>
        <v>0</v>
      </c>
      <c r="Y111" s="312">
        <f t="shared" si="54"/>
        <v>-1</v>
      </c>
      <c r="Z111" s="674">
        <f t="shared" si="55"/>
        <v>0</v>
      </c>
      <c r="AA111" s="297"/>
      <c r="AB111" s="379">
        <f t="shared" si="55"/>
        <v>0</v>
      </c>
      <c r="AC111" s="297"/>
      <c r="AD111" s="413">
        <f t="shared" si="56"/>
        <v>0</v>
      </c>
      <c r="AE111" s="297"/>
      <c r="AG111" s="400" t="e">
        <f t="shared" si="57"/>
        <v>#DIV/0!</v>
      </c>
      <c r="AH111" s="401">
        <f t="shared" si="58"/>
        <v>0</v>
      </c>
      <c r="AI111" s="407">
        <f t="shared" si="59"/>
        <v>0</v>
      </c>
      <c r="AJ111" s="498"/>
      <c r="AK111" s="502">
        <f t="shared" si="60"/>
        <v>0</v>
      </c>
      <c r="AL111" s="503" t="e">
        <f t="shared" si="61"/>
        <v>#DIV/0!</v>
      </c>
      <c r="AM111" s="504" t="e">
        <f>AG111-AK111-AO111</f>
        <v>#DIV/0!</v>
      </c>
      <c r="AN111" s="503" t="e">
        <f t="shared" si="62"/>
        <v>#DIV/0!</v>
      </c>
      <c r="AO111" s="502">
        <f t="shared" si="63"/>
        <v>0</v>
      </c>
      <c r="AP111" s="503" t="e">
        <f t="shared" si="64"/>
        <v>#DIV/0!</v>
      </c>
      <c r="AQ111" s="314"/>
      <c r="AR111" s="110">
        <v>47696</v>
      </c>
      <c r="AS111" s="98">
        <f t="shared" si="81"/>
        <v>0</v>
      </c>
      <c r="AT111" s="98">
        <f t="shared" si="82"/>
        <v>0</v>
      </c>
      <c r="AU111" s="98"/>
      <c r="AV111" s="308"/>
      <c r="AW111" s="308"/>
      <c r="AX111" s="308"/>
      <c r="AY111" s="313"/>
      <c r="AZ111" s="313"/>
      <c r="BA111" s="313"/>
      <c r="BB111" s="313"/>
    </row>
    <row r="112" spans="1:54">
      <c r="A112" s="295">
        <v>45450</v>
      </c>
      <c r="B112" s="296">
        <f t="shared" si="46"/>
        <v>220354.70715360428</v>
      </c>
      <c r="C112" s="312">
        <f t="shared" si="47"/>
        <v>3.8483429990844565E-4</v>
      </c>
      <c r="D112" s="296">
        <f t="shared" si="48"/>
        <v>117119.12845492916</v>
      </c>
      <c r="E112" s="312">
        <f t="shared" si="49"/>
        <v>3.8486937629745341E-4</v>
      </c>
      <c r="F112" s="296">
        <f t="shared" si="50"/>
        <v>23735.823664901036</v>
      </c>
      <c r="G112" s="312">
        <f t="shared" si="51"/>
        <v>3.8464869601536575E-4</v>
      </c>
      <c r="H112" s="398">
        <v>0</v>
      </c>
      <c r="I112" s="312">
        <f t="shared" si="52"/>
        <v>0</v>
      </c>
      <c r="J112" s="457" t="e">
        <f t="shared" si="65"/>
        <v>#DIV/0!</v>
      </c>
      <c r="K112" s="369" t="e">
        <f t="shared" si="53"/>
        <v>#DIV/0!</v>
      </c>
      <c r="L112" s="404" t="e">
        <f t="shared" si="66"/>
        <v>#DIV/0!</v>
      </c>
      <c r="M112" s="312" t="e">
        <f t="shared" si="67"/>
        <v>#DIV/0!</v>
      </c>
      <c r="N112" s="298">
        <f t="shared" si="68"/>
        <v>19804.446804837589</v>
      </c>
      <c r="O112" s="312">
        <f t="shared" si="69"/>
        <v>3.6059110494452107E-4</v>
      </c>
      <c r="P112" s="404" t="e">
        <f t="shared" si="70"/>
        <v>#DIV/0!</v>
      </c>
      <c r="Q112" s="312" t="e">
        <f t="shared" si="77"/>
        <v>#DIV/0!</v>
      </c>
      <c r="R112" s="454" t="e">
        <f t="shared" si="71"/>
        <v>#DIV/0!</v>
      </c>
      <c r="S112" s="312" t="e">
        <f t="shared" si="72"/>
        <v>#DIV/0!</v>
      </c>
      <c r="T112" s="454" t="e">
        <f t="shared" si="73"/>
        <v>#DIV/0!</v>
      </c>
      <c r="U112" s="312" t="e">
        <f t="shared" si="74"/>
        <v>#DIV/0!</v>
      </c>
      <c r="V112" s="454">
        <f t="shared" si="75"/>
        <v>0</v>
      </c>
      <c r="W112" s="312">
        <f t="shared" si="80"/>
        <v>-1.0000002752637027</v>
      </c>
      <c r="X112" s="454">
        <f t="shared" si="76"/>
        <v>0</v>
      </c>
      <c r="Y112" s="312">
        <f t="shared" si="54"/>
        <v>-1</v>
      </c>
      <c r="Z112" s="674">
        <f t="shared" si="55"/>
        <v>0</v>
      </c>
      <c r="AA112" s="329"/>
      <c r="AB112" s="379">
        <f t="shared" si="55"/>
        <v>0</v>
      </c>
      <c r="AC112" s="329"/>
      <c r="AD112" s="413">
        <f t="shared" si="56"/>
        <v>0</v>
      </c>
      <c r="AE112" s="329"/>
      <c r="AG112" s="400" t="e">
        <f t="shared" si="57"/>
        <v>#DIV/0!</v>
      </c>
      <c r="AH112" s="401">
        <f t="shared" si="58"/>
        <v>0</v>
      </c>
      <c r="AI112" s="407">
        <f t="shared" si="59"/>
        <v>0</v>
      </c>
      <c r="AJ112" s="498"/>
      <c r="AK112" s="502">
        <f t="shared" si="60"/>
        <v>0</v>
      </c>
      <c r="AL112" s="503" t="e">
        <f t="shared" si="61"/>
        <v>#DIV/0!</v>
      </c>
      <c r="AM112" s="504" t="e">
        <f>AG112-AK112-AO112</f>
        <v>#DIV/0!</v>
      </c>
      <c r="AN112" s="503" t="e">
        <f t="shared" si="62"/>
        <v>#DIV/0!</v>
      </c>
      <c r="AO112" s="502">
        <f t="shared" si="63"/>
        <v>0</v>
      </c>
      <c r="AP112" s="503" t="e">
        <f t="shared" si="64"/>
        <v>#DIV/0!</v>
      </c>
      <c r="AQ112" s="314"/>
      <c r="AR112" s="110">
        <v>47727</v>
      </c>
      <c r="AS112" s="98">
        <f t="shared" si="81"/>
        <v>0</v>
      </c>
      <c r="AT112" s="98">
        <f t="shared" si="82"/>
        <v>0</v>
      </c>
      <c r="AU112" s="98"/>
      <c r="AV112" s="308"/>
      <c r="AW112" s="308"/>
      <c r="AX112" s="308"/>
      <c r="AY112" s="313"/>
      <c r="AZ112" s="313"/>
      <c r="BA112" s="313"/>
      <c r="BB112" s="313"/>
    </row>
    <row r="113" spans="1:54">
      <c r="A113" s="295">
        <v>45453</v>
      </c>
      <c r="B113" s="296">
        <f t="shared" si="46"/>
        <v>220439.50720306326</v>
      </c>
      <c r="C113" s="312">
        <f t="shared" si="47"/>
        <v>3.848342999084083E-4</v>
      </c>
      <c r="D113" s="296">
        <f t="shared" si="48"/>
        <v>117164.20402085011</v>
      </c>
      <c r="E113" s="312">
        <f t="shared" si="49"/>
        <v>3.848693762974842E-4</v>
      </c>
      <c r="F113" s="296">
        <f t="shared" si="50"/>
        <v>23744.953618522592</v>
      </c>
      <c r="G113" s="312">
        <f t="shared" si="51"/>
        <v>3.8464869601539822E-4</v>
      </c>
      <c r="H113" s="398">
        <v>0</v>
      </c>
      <c r="I113" s="312">
        <f t="shared" si="52"/>
        <v>0</v>
      </c>
      <c r="J113" s="457" t="e">
        <f t="shared" si="65"/>
        <v>#DIV/0!</v>
      </c>
      <c r="K113" s="369" t="e">
        <f t="shared" si="53"/>
        <v>#DIV/0!</v>
      </c>
      <c r="L113" s="404" t="e">
        <f t="shared" si="66"/>
        <v>#DIV/0!</v>
      </c>
      <c r="M113" s="312" t="e">
        <f t="shared" si="67"/>
        <v>#DIV/0!</v>
      </c>
      <c r="N113" s="298">
        <f t="shared" si="68"/>
        <v>19811.58811219376</v>
      </c>
      <c r="O113" s="312">
        <f t="shared" si="69"/>
        <v>3.6059110494448832E-4</v>
      </c>
      <c r="P113" s="404" t="e">
        <f t="shared" si="70"/>
        <v>#DIV/0!</v>
      </c>
      <c r="Q113" s="312" t="e">
        <f t="shared" si="77"/>
        <v>#DIV/0!</v>
      </c>
      <c r="R113" s="454" t="e">
        <f t="shared" si="71"/>
        <v>#DIV/0!</v>
      </c>
      <c r="S113" s="312" t="e">
        <f t="shared" si="72"/>
        <v>#DIV/0!</v>
      </c>
      <c r="T113" s="454" t="e">
        <f t="shared" si="73"/>
        <v>#DIV/0!</v>
      </c>
      <c r="U113" s="312" t="e">
        <f t="shared" si="74"/>
        <v>#DIV/0!</v>
      </c>
      <c r="V113" s="454">
        <f t="shared" si="75"/>
        <v>0</v>
      </c>
      <c r="W113" s="312">
        <f t="shared" si="80"/>
        <v>-1.0000002752637027</v>
      </c>
      <c r="X113" s="454">
        <f t="shared" si="76"/>
        <v>0</v>
      </c>
      <c r="Y113" s="312">
        <f t="shared" si="54"/>
        <v>-1</v>
      </c>
      <c r="Z113" s="674">
        <f t="shared" si="55"/>
        <v>0</v>
      </c>
      <c r="AA113" s="297"/>
      <c r="AB113" s="379">
        <f t="shared" si="55"/>
        <v>0</v>
      </c>
      <c r="AC113" s="297"/>
      <c r="AD113" s="413">
        <f t="shared" si="56"/>
        <v>0</v>
      </c>
      <c r="AE113" s="297"/>
      <c r="AG113" s="400" t="e">
        <f t="shared" si="57"/>
        <v>#DIV/0!</v>
      </c>
      <c r="AH113" s="401">
        <f t="shared" si="58"/>
        <v>0</v>
      </c>
      <c r="AI113" s="407">
        <f t="shared" si="59"/>
        <v>0</v>
      </c>
      <c r="AJ113" s="498"/>
      <c r="AK113" s="502">
        <f t="shared" si="60"/>
        <v>0</v>
      </c>
      <c r="AL113" s="503" t="e">
        <f t="shared" si="61"/>
        <v>#DIV/0!</v>
      </c>
      <c r="AM113" s="504" t="e">
        <f>AG113-AK113-AO113</f>
        <v>#DIV/0!</v>
      </c>
      <c r="AN113" s="503" t="e">
        <f t="shared" si="62"/>
        <v>#DIV/0!</v>
      </c>
      <c r="AO113" s="502">
        <f t="shared" si="63"/>
        <v>0</v>
      </c>
      <c r="AP113" s="503" t="e">
        <f t="shared" si="64"/>
        <v>#DIV/0!</v>
      </c>
      <c r="AQ113" s="314"/>
      <c r="AR113" s="110">
        <v>47757</v>
      </c>
      <c r="AS113" s="98">
        <f t="shared" si="81"/>
        <v>0</v>
      </c>
      <c r="AT113" s="98">
        <f t="shared" si="82"/>
        <v>0</v>
      </c>
      <c r="AU113" s="98"/>
      <c r="AV113" s="308"/>
      <c r="AW113" s="308"/>
      <c r="AX113" s="308"/>
      <c r="AY113" s="313"/>
      <c r="AZ113" s="313"/>
      <c r="BA113" s="313"/>
      <c r="BB113" s="313"/>
    </row>
    <row r="114" spans="1:54">
      <c r="A114" s="295">
        <v>45454</v>
      </c>
      <c r="B114" s="296">
        <f t="shared" si="46"/>
        <v>220524.33988648991</v>
      </c>
      <c r="C114" s="312">
        <f t="shared" si="47"/>
        <v>3.8483429990842087E-4</v>
      </c>
      <c r="D114" s="296">
        <f t="shared" si="48"/>
        <v>117209.29693497601</v>
      </c>
      <c r="E114" s="312">
        <f t="shared" si="49"/>
        <v>3.8486937629749162E-4</v>
      </c>
      <c r="F114" s="296">
        <f t="shared" si="50"/>
        <v>23754.087083968901</v>
      </c>
      <c r="G114" s="312">
        <f t="shared" si="51"/>
        <v>3.8464869601535735E-4</v>
      </c>
      <c r="H114" s="398">
        <v>0</v>
      </c>
      <c r="I114" s="312">
        <f t="shared" si="52"/>
        <v>0</v>
      </c>
      <c r="J114" s="457" t="e">
        <f t="shared" si="65"/>
        <v>#DIV/0!</v>
      </c>
      <c r="K114" s="369" t="e">
        <f t="shared" si="53"/>
        <v>#DIV/0!</v>
      </c>
      <c r="L114" s="404" t="e">
        <f t="shared" si="66"/>
        <v>#DIV/0!</v>
      </c>
      <c r="M114" s="312" t="e">
        <f t="shared" si="67"/>
        <v>#DIV/0!</v>
      </c>
      <c r="N114" s="298">
        <f t="shared" si="68"/>
        <v>19818.731994641839</v>
      </c>
      <c r="O114" s="312">
        <f t="shared" si="69"/>
        <v>3.6059110494439758E-4</v>
      </c>
      <c r="P114" s="404" t="e">
        <f t="shared" si="70"/>
        <v>#DIV/0!</v>
      </c>
      <c r="Q114" s="312" t="e">
        <f t="shared" si="77"/>
        <v>#DIV/0!</v>
      </c>
      <c r="R114" s="454" t="e">
        <f t="shared" si="71"/>
        <v>#DIV/0!</v>
      </c>
      <c r="S114" s="312" t="e">
        <f t="shared" si="72"/>
        <v>#DIV/0!</v>
      </c>
      <c r="T114" s="454" t="e">
        <f t="shared" si="73"/>
        <v>#DIV/0!</v>
      </c>
      <c r="U114" s="312" t="e">
        <f t="shared" si="74"/>
        <v>#DIV/0!</v>
      </c>
      <c r="V114" s="454">
        <f t="shared" si="75"/>
        <v>0</v>
      </c>
      <c r="W114" s="312">
        <f t="shared" si="80"/>
        <v>-1.0000002752637027</v>
      </c>
      <c r="X114" s="454">
        <f t="shared" si="76"/>
        <v>0</v>
      </c>
      <c r="Y114" s="312">
        <f t="shared" si="54"/>
        <v>-1</v>
      </c>
      <c r="Z114" s="674">
        <f t="shared" si="55"/>
        <v>0</v>
      </c>
      <c r="AA114" s="329"/>
      <c r="AB114" s="379">
        <f t="shared" si="55"/>
        <v>0</v>
      </c>
      <c r="AC114" s="329"/>
      <c r="AD114" s="413">
        <f t="shared" si="56"/>
        <v>0</v>
      </c>
      <c r="AE114" s="329"/>
      <c r="AG114" s="400" t="e">
        <f t="shared" si="57"/>
        <v>#DIV/0!</v>
      </c>
      <c r="AH114" s="401">
        <f t="shared" si="58"/>
        <v>0</v>
      </c>
      <c r="AI114" s="407">
        <f t="shared" si="59"/>
        <v>0</v>
      </c>
      <c r="AJ114" s="498"/>
      <c r="AK114" s="502">
        <f t="shared" si="60"/>
        <v>0</v>
      </c>
      <c r="AL114" s="503" t="e">
        <f t="shared" si="61"/>
        <v>#DIV/0!</v>
      </c>
      <c r="AM114" s="504" t="e">
        <f>AG114-AK114-AO114</f>
        <v>#DIV/0!</v>
      </c>
      <c r="AN114" s="503" t="e">
        <f t="shared" si="62"/>
        <v>#DIV/0!</v>
      </c>
      <c r="AO114" s="502">
        <f t="shared" si="63"/>
        <v>0</v>
      </c>
      <c r="AP114" s="503" t="e">
        <f t="shared" si="64"/>
        <v>#DIV/0!</v>
      </c>
      <c r="AQ114" s="314"/>
      <c r="AR114" s="110">
        <v>47788</v>
      </c>
      <c r="AS114" s="98">
        <f t="shared" si="81"/>
        <v>0</v>
      </c>
      <c r="AT114" s="98">
        <f t="shared" si="82"/>
        <v>0</v>
      </c>
      <c r="AU114" s="98"/>
      <c r="AV114" s="308"/>
      <c r="AW114" s="308"/>
      <c r="AX114" s="308"/>
      <c r="AY114" s="313"/>
      <c r="AZ114" s="313"/>
      <c r="BA114" s="313"/>
      <c r="BB114" s="313"/>
    </row>
    <row r="115" spans="1:54">
      <c r="A115" s="295">
        <v>45455</v>
      </c>
      <c r="B115" s="296">
        <f t="shared" si="46"/>
        <v>220609.2052164429</v>
      </c>
      <c r="C115" s="312">
        <f t="shared" si="47"/>
        <v>3.848342999084837E-4</v>
      </c>
      <c r="D115" s="296">
        <f t="shared" si="48"/>
        <v>117254.40720398365</v>
      </c>
      <c r="E115" s="312">
        <f t="shared" si="49"/>
        <v>3.8486937629753516E-4</v>
      </c>
      <c r="F115" s="296">
        <f t="shared" si="50"/>
        <v>23763.224062590787</v>
      </c>
      <c r="G115" s="312">
        <f t="shared" si="51"/>
        <v>3.8464869601543167E-4</v>
      </c>
      <c r="H115" s="398">
        <v>0</v>
      </c>
      <c r="I115" s="312">
        <f t="shared" si="52"/>
        <v>0</v>
      </c>
      <c r="J115" s="457" t="e">
        <f t="shared" si="65"/>
        <v>#DIV/0!</v>
      </c>
      <c r="K115" s="369" t="e">
        <f t="shared" si="53"/>
        <v>#DIV/0!</v>
      </c>
      <c r="L115" s="404" t="e">
        <f t="shared" si="66"/>
        <v>#DIV/0!</v>
      </c>
      <c r="M115" s="312" t="e">
        <f t="shared" si="67"/>
        <v>#DIV/0!</v>
      </c>
      <c r="N115" s="298">
        <f t="shared" si="68"/>
        <v>19825.878453110385</v>
      </c>
      <c r="O115" s="312">
        <f t="shared" si="69"/>
        <v>3.6059110494443168E-4</v>
      </c>
      <c r="P115" s="404" t="e">
        <f t="shared" si="70"/>
        <v>#DIV/0!</v>
      </c>
      <c r="Q115" s="312" t="e">
        <f t="shared" si="77"/>
        <v>#DIV/0!</v>
      </c>
      <c r="R115" s="454" t="e">
        <f t="shared" si="71"/>
        <v>#DIV/0!</v>
      </c>
      <c r="S115" s="312" t="e">
        <f t="shared" si="72"/>
        <v>#DIV/0!</v>
      </c>
      <c r="T115" s="454" t="e">
        <f t="shared" si="73"/>
        <v>#DIV/0!</v>
      </c>
      <c r="U115" s="312" t="e">
        <f t="shared" si="74"/>
        <v>#DIV/0!</v>
      </c>
      <c r="V115" s="454">
        <f t="shared" si="75"/>
        <v>0</v>
      </c>
      <c r="W115" s="312">
        <f t="shared" si="80"/>
        <v>-1.0000002752637027</v>
      </c>
      <c r="X115" s="454">
        <f t="shared" si="76"/>
        <v>0</v>
      </c>
      <c r="Y115" s="312">
        <f t="shared" si="54"/>
        <v>-1</v>
      </c>
      <c r="Z115" s="674">
        <f t="shared" si="55"/>
        <v>0</v>
      </c>
      <c r="AA115" s="297"/>
      <c r="AB115" s="379">
        <f t="shared" si="55"/>
        <v>0</v>
      </c>
      <c r="AC115" s="297"/>
      <c r="AD115" s="413">
        <f t="shared" si="56"/>
        <v>0</v>
      </c>
      <c r="AE115" s="297"/>
      <c r="AG115" s="400" t="e">
        <f t="shared" si="57"/>
        <v>#DIV/0!</v>
      </c>
      <c r="AH115" s="401">
        <f t="shared" si="58"/>
        <v>0</v>
      </c>
      <c r="AI115" s="407">
        <f t="shared" si="59"/>
        <v>0</v>
      </c>
      <c r="AJ115" s="498"/>
      <c r="AK115" s="502">
        <f t="shared" si="60"/>
        <v>0</v>
      </c>
      <c r="AL115" s="503" t="e">
        <f t="shared" si="61"/>
        <v>#DIV/0!</v>
      </c>
      <c r="AM115" s="504" t="e">
        <f>AG115-AK115-AO115</f>
        <v>#DIV/0!</v>
      </c>
      <c r="AN115" s="503" t="e">
        <f t="shared" si="62"/>
        <v>#DIV/0!</v>
      </c>
      <c r="AO115" s="502">
        <f t="shared" si="63"/>
        <v>0</v>
      </c>
      <c r="AP115" s="503" t="e">
        <f t="shared" si="64"/>
        <v>#DIV/0!</v>
      </c>
      <c r="AQ115" s="314"/>
      <c r="AR115" s="110">
        <v>47818</v>
      </c>
      <c r="AS115" s="98">
        <f t="shared" si="81"/>
        <v>0</v>
      </c>
      <c r="AT115" s="98">
        <f t="shared" si="82"/>
        <v>0</v>
      </c>
      <c r="AU115" s="98"/>
      <c r="AV115" s="308"/>
      <c r="AW115" s="308"/>
      <c r="AX115" s="308"/>
      <c r="AY115" s="313"/>
      <c r="AZ115" s="313"/>
      <c r="BA115" s="313"/>
      <c r="BB115" s="313"/>
    </row>
    <row r="116" spans="1:54">
      <c r="A116" s="295">
        <v>45456</v>
      </c>
      <c r="B116" s="296">
        <f t="shared" si="46"/>
        <v>220694.10320548574</v>
      </c>
      <c r="C116" s="312">
        <f t="shared" si="47"/>
        <v>3.8483429990845682E-4</v>
      </c>
      <c r="D116" s="296">
        <f t="shared" si="48"/>
        <v>117299.53483455238</v>
      </c>
      <c r="E116" s="312">
        <f t="shared" si="49"/>
        <v>3.8486937629754188E-4</v>
      </c>
      <c r="F116" s="296">
        <f t="shared" si="50"/>
        <v>23772.364555739587</v>
      </c>
      <c r="G116" s="312">
        <f t="shared" si="51"/>
        <v>3.8464869601549493E-4</v>
      </c>
      <c r="H116" s="398">
        <v>0</v>
      </c>
      <c r="I116" s="312">
        <f t="shared" si="52"/>
        <v>0</v>
      </c>
      <c r="J116" s="457" t="e">
        <f t="shared" si="65"/>
        <v>#DIV/0!</v>
      </c>
      <c r="K116" s="369" t="e">
        <f t="shared" si="53"/>
        <v>#DIV/0!</v>
      </c>
      <c r="L116" s="404" t="e">
        <f t="shared" si="66"/>
        <v>#DIV/0!</v>
      </c>
      <c r="M116" s="312" t="e">
        <f t="shared" si="67"/>
        <v>#DIV/0!</v>
      </c>
      <c r="N116" s="298">
        <f t="shared" si="68"/>
        <v>19833.027488528285</v>
      </c>
      <c r="O116" s="312">
        <f t="shared" si="69"/>
        <v>3.6059110494440023E-4</v>
      </c>
      <c r="P116" s="404" t="e">
        <f t="shared" si="70"/>
        <v>#DIV/0!</v>
      </c>
      <c r="Q116" s="312" t="e">
        <f t="shared" si="77"/>
        <v>#DIV/0!</v>
      </c>
      <c r="R116" s="454" t="e">
        <f t="shared" si="71"/>
        <v>#DIV/0!</v>
      </c>
      <c r="S116" s="312" t="e">
        <f t="shared" si="72"/>
        <v>#DIV/0!</v>
      </c>
      <c r="T116" s="454" t="e">
        <f t="shared" si="73"/>
        <v>#DIV/0!</v>
      </c>
      <c r="U116" s="312" t="e">
        <f t="shared" si="74"/>
        <v>#DIV/0!</v>
      </c>
      <c r="V116" s="454">
        <f t="shared" si="75"/>
        <v>0</v>
      </c>
      <c r="W116" s="312">
        <f t="shared" si="80"/>
        <v>-1.0000002752637027</v>
      </c>
      <c r="X116" s="454">
        <f t="shared" si="76"/>
        <v>0</v>
      </c>
      <c r="Y116" s="312">
        <f t="shared" si="54"/>
        <v>-1</v>
      </c>
      <c r="Z116" s="674">
        <f t="shared" si="55"/>
        <v>0</v>
      </c>
      <c r="AA116" s="329"/>
      <c r="AB116" s="379">
        <f t="shared" si="55"/>
        <v>0</v>
      </c>
      <c r="AC116" s="329"/>
      <c r="AD116" s="413">
        <f t="shared" si="56"/>
        <v>0</v>
      </c>
      <c r="AE116" s="329"/>
      <c r="AG116" s="400" t="e">
        <f t="shared" si="57"/>
        <v>#DIV/0!</v>
      </c>
      <c r="AH116" s="401">
        <f t="shared" si="58"/>
        <v>0</v>
      </c>
      <c r="AI116" s="407">
        <f t="shared" si="59"/>
        <v>0</v>
      </c>
      <c r="AJ116" s="498"/>
      <c r="AK116" s="502">
        <f t="shared" si="60"/>
        <v>0</v>
      </c>
      <c r="AL116" s="503" t="e">
        <f t="shared" si="61"/>
        <v>#DIV/0!</v>
      </c>
      <c r="AM116" s="504" t="e">
        <f>AG116-AK116-AO116</f>
        <v>#DIV/0!</v>
      </c>
      <c r="AN116" s="503" t="e">
        <f t="shared" si="62"/>
        <v>#DIV/0!</v>
      </c>
      <c r="AO116" s="502">
        <f t="shared" si="63"/>
        <v>0</v>
      </c>
      <c r="AP116" s="503" t="e">
        <f t="shared" si="64"/>
        <v>#DIV/0!</v>
      </c>
      <c r="AQ116" s="314"/>
      <c r="AR116" s="110">
        <v>47849</v>
      </c>
      <c r="AS116" s="98">
        <f t="shared" si="81"/>
        <v>0</v>
      </c>
      <c r="AT116" s="98">
        <f t="shared" si="82"/>
        <v>0</v>
      </c>
      <c r="AU116" s="98"/>
      <c r="AV116" s="308"/>
      <c r="AW116" s="308"/>
      <c r="AX116" s="308"/>
      <c r="AY116" s="313"/>
      <c r="AZ116" s="313"/>
      <c r="BA116" s="313"/>
      <c r="BB116" s="313"/>
    </row>
    <row r="117" spans="1:54">
      <c r="A117" s="295">
        <v>45457</v>
      </c>
      <c r="B117" s="296">
        <f t="shared" si="46"/>
        <v>220779.03386618674</v>
      </c>
      <c r="C117" s="312">
        <f t="shared" si="47"/>
        <v>3.8483429990845573E-4</v>
      </c>
      <c r="D117" s="296">
        <f t="shared" si="48"/>
        <v>117344.67983336415</v>
      </c>
      <c r="E117" s="312">
        <f t="shared" si="49"/>
        <v>3.8486937629755445E-4</v>
      </c>
      <c r="F117" s="296">
        <f t="shared" si="50"/>
        <v>23781.508564767159</v>
      </c>
      <c r="G117" s="312">
        <f t="shared" si="51"/>
        <v>3.8464869601556562E-4</v>
      </c>
      <c r="H117" s="398">
        <v>0</v>
      </c>
      <c r="I117" s="312">
        <f t="shared" si="52"/>
        <v>0</v>
      </c>
      <c r="J117" s="457" t="e">
        <f t="shared" si="65"/>
        <v>#DIV/0!</v>
      </c>
      <c r="K117" s="369" t="e">
        <f t="shared" si="53"/>
        <v>#DIV/0!</v>
      </c>
      <c r="L117" s="404" t="e">
        <f t="shared" si="66"/>
        <v>#DIV/0!</v>
      </c>
      <c r="M117" s="312" t="e">
        <f t="shared" si="67"/>
        <v>#DIV/0!</v>
      </c>
      <c r="N117" s="298">
        <f t="shared" si="68"/>
        <v>19840.179101824768</v>
      </c>
      <c r="O117" s="312">
        <f t="shared" si="69"/>
        <v>3.6059110494447385E-4</v>
      </c>
      <c r="P117" s="404" t="e">
        <f t="shared" si="70"/>
        <v>#DIV/0!</v>
      </c>
      <c r="Q117" s="312" t="e">
        <f t="shared" si="77"/>
        <v>#DIV/0!</v>
      </c>
      <c r="R117" s="454" t="e">
        <f t="shared" si="71"/>
        <v>#DIV/0!</v>
      </c>
      <c r="S117" s="312" t="e">
        <f t="shared" si="72"/>
        <v>#DIV/0!</v>
      </c>
      <c r="T117" s="454" t="e">
        <f t="shared" si="73"/>
        <v>#DIV/0!</v>
      </c>
      <c r="U117" s="312" t="e">
        <f t="shared" si="74"/>
        <v>#DIV/0!</v>
      </c>
      <c r="V117" s="454">
        <f t="shared" si="75"/>
        <v>0</v>
      </c>
      <c r="W117" s="312">
        <f t="shared" si="80"/>
        <v>-1.0000002752637027</v>
      </c>
      <c r="X117" s="454">
        <f t="shared" si="76"/>
        <v>0</v>
      </c>
      <c r="Y117" s="312">
        <f t="shared" si="54"/>
        <v>-1</v>
      </c>
      <c r="Z117" s="674">
        <f t="shared" si="55"/>
        <v>0</v>
      </c>
      <c r="AA117" s="297"/>
      <c r="AB117" s="379">
        <f t="shared" si="55"/>
        <v>0</v>
      </c>
      <c r="AC117" s="297"/>
      <c r="AD117" s="413">
        <f t="shared" si="56"/>
        <v>0</v>
      </c>
      <c r="AE117" s="297"/>
      <c r="AG117" s="400" t="e">
        <f t="shared" si="57"/>
        <v>#DIV/0!</v>
      </c>
      <c r="AH117" s="401">
        <f t="shared" si="58"/>
        <v>0</v>
      </c>
      <c r="AI117" s="407">
        <f t="shared" si="59"/>
        <v>0</v>
      </c>
      <c r="AJ117" s="498"/>
      <c r="AK117" s="502">
        <f t="shared" si="60"/>
        <v>0</v>
      </c>
      <c r="AL117" s="503" t="e">
        <f t="shared" si="61"/>
        <v>#DIV/0!</v>
      </c>
      <c r="AM117" s="504" t="e">
        <f>AG117-AK117-AO117</f>
        <v>#DIV/0!</v>
      </c>
      <c r="AN117" s="503" t="e">
        <f t="shared" si="62"/>
        <v>#DIV/0!</v>
      </c>
      <c r="AO117" s="502">
        <f t="shared" si="63"/>
        <v>0</v>
      </c>
      <c r="AP117" s="503" t="e">
        <f t="shared" si="64"/>
        <v>#DIV/0!</v>
      </c>
      <c r="AQ117" s="314"/>
      <c r="AR117" s="110">
        <v>47880</v>
      </c>
      <c r="AS117" s="98">
        <f t="shared" si="81"/>
        <v>0</v>
      </c>
      <c r="AT117" s="98">
        <f t="shared" si="82"/>
        <v>0</v>
      </c>
      <c r="AU117" s="98"/>
      <c r="AV117" s="308"/>
      <c r="AW117" s="308"/>
      <c r="AX117" s="308"/>
      <c r="AY117" s="313"/>
      <c r="AZ117" s="313"/>
      <c r="BA117" s="313"/>
      <c r="BB117" s="313"/>
    </row>
    <row r="118" spans="1:54">
      <c r="A118" s="295">
        <v>45460</v>
      </c>
      <c r="B118" s="296">
        <f t="shared" si="46"/>
        <v>220863.9972111191</v>
      </c>
      <c r="C118" s="312">
        <f t="shared" si="47"/>
        <v>3.8483429990845557E-4</v>
      </c>
      <c r="D118" s="296">
        <f t="shared" si="48"/>
        <v>117389.84220710346</v>
      </c>
      <c r="E118" s="312">
        <f t="shared" si="49"/>
        <v>3.8486937629760715E-4</v>
      </c>
      <c r="F118" s="296">
        <f t="shared" si="50"/>
        <v>23790.656091025878</v>
      </c>
      <c r="G118" s="312">
        <f t="shared" si="51"/>
        <v>3.846486960155009E-4</v>
      </c>
      <c r="H118" s="398">
        <v>0</v>
      </c>
      <c r="I118" s="312">
        <f t="shared" si="52"/>
        <v>0</v>
      </c>
      <c r="J118" s="457" t="e">
        <f t="shared" si="65"/>
        <v>#DIV/0!</v>
      </c>
      <c r="K118" s="369" t="e">
        <f t="shared" si="53"/>
        <v>#DIV/0!</v>
      </c>
      <c r="L118" s="404" t="e">
        <f t="shared" si="66"/>
        <v>#DIV/0!</v>
      </c>
      <c r="M118" s="312" t="e">
        <f t="shared" si="67"/>
        <v>#DIV/0!</v>
      </c>
      <c r="N118" s="298">
        <f t="shared" si="68"/>
        <v>19847.33329392939</v>
      </c>
      <c r="O118" s="312">
        <f t="shared" si="69"/>
        <v>3.6059110494445005E-4</v>
      </c>
      <c r="P118" s="404" t="e">
        <f t="shared" si="70"/>
        <v>#DIV/0!</v>
      </c>
      <c r="Q118" s="312" t="e">
        <f t="shared" si="77"/>
        <v>#DIV/0!</v>
      </c>
      <c r="R118" s="454" t="e">
        <f t="shared" si="71"/>
        <v>#DIV/0!</v>
      </c>
      <c r="S118" s="312" t="e">
        <f t="shared" si="72"/>
        <v>#DIV/0!</v>
      </c>
      <c r="T118" s="454" t="e">
        <f t="shared" si="73"/>
        <v>#DIV/0!</v>
      </c>
      <c r="U118" s="312" t="e">
        <f t="shared" si="74"/>
        <v>#DIV/0!</v>
      </c>
      <c r="V118" s="454">
        <f t="shared" si="75"/>
        <v>0</v>
      </c>
      <c r="W118" s="312">
        <f t="shared" si="80"/>
        <v>-1.0000002752637027</v>
      </c>
      <c r="X118" s="454">
        <f t="shared" si="76"/>
        <v>0</v>
      </c>
      <c r="Y118" s="312">
        <f t="shared" si="54"/>
        <v>-1</v>
      </c>
      <c r="Z118" s="674">
        <f t="shared" si="55"/>
        <v>0</v>
      </c>
      <c r="AA118" s="329"/>
      <c r="AB118" s="379">
        <f t="shared" si="55"/>
        <v>0</v>
      </c>
      <c r="AC118" s="329"/>
      <c r="AD118" s="413">
        <f t="shared" si="56"/>
        <v>0</v>
      </c>
      <c r="AE118" s="329"/>
      <c r="AG118" s="400" t="e">
        <f t="shared" si="57"/>
        <v>#DIV/0!</v>
      </c>
      <c r="AH118" s="401">
        <f t="shared" si="58"/>
        <v>0</v>
      </c>
      <c r="AI118" s="407">
        <f t="shared" si="59"/>
        <v>0</v>
      </c>
      <c r="AJ118" s="498"/>
      <c r="AK118" s="502">
        <f t="shared" si="60"/>
        <v>0</v>
      </c>
      <c r="AL118" s="503" t="e">
        <f t="shared" si="61"/>
        <v>#DIV/0!</v>
      </c>
      <c r="AM118" s="504" t="e">
        <f>AG118-AK118-AO118</f>
        <v>#DIV/0!</v>
      </c>
      <c r="AN118" s="503" t="e">
        <f t="shared" si="62"/>
        <v>#DIV/0!</v>
      </c>
      <c r="AO118" s="502">
        <f t="shared" si="63"/>
        <v>0</v>
      </c>
      <c r="AP118" s="503" t="e">
        <f t="shared" si="64"/>
        <v>#DIV/0!</v>
      </c>
      <c r="AQ118" s="314"/>
      <c r="AR118" s="110">
        <v>47908</v>
      </c>
      <c r="AS118" s="98">
        <f t="shared" si="81"/>
        <v>0</v>
      </c>
      <c r="AT118" s="98">
        <f t="shared" si="82"/>
        <v>0</v>
      </c>
      <c r="AU118" s="98"/>
      <c r="AV118" s="308"/>
      <c r="AW118" s="308"/>
      <c r="AX118" s="308"/>
      <c r="AY118" s="313"/>
      <c r="AZ118" s="313"/>
      <c r="BA118" s="313"/>
      <c r="BB118" s="313"/>
    </row>
    <row r="119" spans="1:54">
      <c r="A119" s="295">
        <v>45461</v>
      </c>
      <c r="B119" s="296">
        <f t="shared" si="46"/>
        <v>220948.99325286082</v>
      </c>
      <c r="C119" s="312">
        <f t="shared" si="47"/>
        <v>3.8483429990842299E-4</v>
      </c>
      <c r="D119" s="296">
        <f t="shared" si="48"/>
        <v>117435.02196245738</v>
      </c>
      <c r="E119" s="312">
        <f t="shared" si="49"/>
        <v>3.8486937629760173E-4</v>
      </c>
      <c r="F119" s="296">
        <f t="shared" si="50"/>
        <v>23799.807135868643</v>
      </c>
      <c r="G119" s="312">
        <f t="shared" si="51"/>
        <v>3.8464869601545558E-4</v>
      </c>
      <c r="H119" s="398">
        <v>0</v>
      </c>
      <c r="I119" s="312">
        <f t="shared" si="52"/>
        <v>0</v>
      </c>
      <c r="J119" s="457" t="e">
        <f t="shared" si="65"/>
        <v>#DIV/0!</v>
      </c>
      <c r="K119" s="369" t="e">
        <f t="shared" si="53"/>
        <v>#DIV/0!</v>
      </c>
      <c r="L119" s="404" t="e">
        <f t="shared" si="66"/>
        <v>#DIV/0!</v>
      </c>
      <c r="M119" s="312" t="e">
        <f t="shared" si="67"/>
        <v>#DIV/0!</v>
      </c>
      <c r="N119" s="298">
        <f t="shared" si="68"/>
        <v>19854.49006577205</v>
      </c>
      <c r="O119" s="312">
        <f t="shared" si="69"/>
        <v>3.6059110494448729E-4</v>
      </c>
      <c r="P119" s="404" t="e">
        <f t="shared" si="70"/>
        <v>#DIV/0!</v>
      </c>
      <c r="Q119" s="312" t="e">
        <f t="shared" si="77"/>
        <v>#DIV/0!</v>
      </c>
      <c r="R119" s="454" t="e">
        <f t="shared" si="71"/>
        <v>#DIV/0!</v>
      </c>
      <c r="S119" s="312" t="e">
        <f t="shared" si="72"/>
        <v>#DIV/0!</v>
      </c>
      <c r="T119" s="454" t="e">
        <f t="shared" si="73"/>
        <v>#DIV/0!</v>
      </c>
      <c r="U119" s="312" t="e">
        <f t="shared" si="74"/>
        <v>#DIV/0!</v>
      </c>
      <c r="V119" s="454">
        <f t="shared" si="75"/>
        <v>0</v>
      </c>
      <c r="W119" s="312">
        <f t="shared" si="80"/>
        <v>-1.0000002752637027</v>
      </c>
      <c r="X119" s="454">
        <f t="shared" si="76"/>
        <v>0</v>
      </c>
      <c r="Y119" s="312">
        <f t="shared" si="54"/>
        <v>-1</v>
      </c>
      <c r="Z119" s="674">
        <f t="shared" si="55"/>
        <v>0</v>
      </c>
      <c r="AA119" s="297"/>
      <c r="AB119" s="379">
        <f t="shared" si="55"/>
        <v>0</v>
      </c>
      <c r="AC119" s="297"/>
      <c r="AD119" s="413">
        <f t="shared" si="56"/>
        <v>0</v>
      </c>
      <c r="AE119" s="297"/>
      <c r="AG119" s="400" t="e">
        <f t="shared" si="57"/>
        <v>#DIV/0!</v>
      </c>
      <c r="AH119" s="401">
        <f t="shared" si="58"/>
        <v>0</v>
      </c>
      <c r="AI119" s="407">
        <f t="shared" si="59"/>
        <v>0</v>
      </c>
      <c r="AJ119" s="498"/>
      <c r="AK119" s="502">
        <f t="shared" si="60"/>
        <v>0</v>
      </c>
      <c r="AL119" s="503" t="e">
        <f t="shared" si="61"/>
        <v>#DIV/0!</v>
      </c>
      <c r="AM119" s="504" t="e">
        <f>AG119-AK119-AO119</f>
        <v>#DIV/0!</v>
      </c>
      <c r="AN119" s="503" t="e">
        <f t="shared" si="62"/>
        <v>#DIV/0!</v>
      </c>
      <c r="AO119" s="502">
        <f t="shared" si="63"/>
        <v>0</v>
      </c>
      <c r="AP119" s="503" t="e">
        <f t="shared" si="64"/>
        <v>#DIV/0!</v>
      </c>
      <c r="AQ119" s="314"/>
      <c r="AR119" s="110">
        <v>47939</v>
      </c>
      <c r="AS119" s="98">
        <f t="shared" si="81"/>
        <v>0</v>
      </c>
      <c r="AT119" s="98">
        <f t="shared" si="82"/>
        <v>0</v>
      </c>
      <c r="AU119" s="98"/>
      <c r="AV119" s="308"/>
      <c r="AW119" s="308"/>
      <c r="AX119" s="308"/>
      <c r="AY119" s="313"/>
      <c r="AZ119" s="313"/>
      <c r="BA119" s="313"/>
      <c r="BB119" s="313"/>
    </row>
    <row r="120" spans="1:54">
      <c r="A120" s="295">
        <v>45462</v>
      </c>
      <c r="B120" s="296">
        <f t="shared" si="46"/>
        <v>221034.02200399476</v>
      </c>
      <c r="C120" s="312">
        <f t="shared" si="47"/>
        <v>3.8483429990844809E-4</v>
      </c>
      <c r="D120" s="296">
        <f t="shared" si="48"/>
        <v>117480.21910611556</v>
      </c>
      <c r="E120" s="312">
        <f t="shared" si="49"/>
        <v>3.8486937629755565E-4</v>
      </c>
      <c r="F120" s="296">
        <f t="shared" si="50"/>
        <v>23808.961700648873</v>
      </c>
      <c r="G120" s="312">
        <f t="shared" si="51"/>
        <v>3.8464869601542289E-4</v>
      </c>
      <c r="H120" s="398">
        <v>0</v>
      </c>
      <c r="I120" s="312">
        <f t="shared" si="52"/>
        <v>0</v>
      </c>
      <c r="J120" s="457" t="e">
        <f t="shared" si="65"/>
        <v>#DIV/0!</v>
      </c>
      <c r="K120" s="369" t="e">
        <f t="shared" si="53"/>
        <v>#DIV/0!</v>
      </c>
      <c r="L120" s="404" t="e">
        <f t="shared" si="66"/>
        <v>#DIV/0!</v>
      </c>
      <c r="M120" s="312" t="e">
        <f t="shared" si="67"/>
        <v>#DIV/0!</v>
      </c>
      <c r="N120" s="298">
        <f t="shared" si="68"/>
        <v>19861.649418282977</v>
      </c>
      <c r="O120" s="312">
        <f t="shared" si="69"/>
        <v>3.605911049445543E-4</v>
      </c>
      <c r="P120" s="404" t="e">
        <f t="shared" si="70"/>
        <v>#DIV/0!</v>
      </c>
      <c r="Q120" s="312" t="e">
        <f t="shared" si="77"/>
        <v>#DIV/0!</v>
      </c>
      <c r="R120" s="454" t="e">
        <f t="shared" si="71"/>
        <v>#DIV/0!</v>
      </c>
      <c r="S120" s="312" t="e">
        <f t="shared" si="72"/>
        <v>#DIV/0!</v>
      </c>
      <c r="T120" s="454" t="e">
        <f t="shared" si="73"/>
        <v>#DIV/0!</v>
      </c>
      <c r="U120" s="312" t="e">
        <f t="shared" si="74"/>
        <v>#DIV/0!</v>
      </c>
      <c r="V120" s="454">
        <f t="shared" si="75"/>
        <v>0</v>
      </c>
      <c r="W120" s="312">
        <f t="shared" si="80"/>
        <v>-1.0000002752637027</v>
      </c>
      <c r="X120" s="454">
        <f t="shared" si="76"/>
        <v>0</v>
      </c>
      <c r="Y120" s="312">
        <f t="shared" si="54"/>
        <v>-1</v>
      </c>
      <c r="Z120" s="674">
        <f t="shared" si="55"/>
        <v>0</v>
      </c>
      <c r="AA120" s="329"/>
      <c r="AB120" s="379">
        <f t="shared" si="55"/>
        <v>0</v>
      </c>
      <c r="AC120" s="329"/>
      <c r="AD120" s="413">
        <f t="shared" si="56"/>
        <v>0</v>
      </c>
      <c r="AE120" s="329"/>
      <c r="AG120" s="400" t="e">
        <f t="shared" si="57"/>
        <v>#DIV/0!</v>
      </c>
      <c r="AH120" s="401">
        <f t="shared" si="58"/>
        <v>0</v>
      </c>
      <c r="AI120" s="407">
        <f t="shared" si="59"/>
        <v>0</v>
      </c>
      <c r="AJ120" s="498"/>
      <c r="AK120" s="502">
        <f t="shared" si="60"/>
        <v>0</v>
      </c>
      <c r="AL120" s="503" t="e">
        <f t="shared" si="61"/>
        <v>#DIV/0!</v>
      </c>
      <c r="AM120" s="504" t="e">
        <f>AG120-AK120-AO120</f>
        <v>#DIV/0!</v>
      </c>
      <c r="AN120" s="503" t="e">
        <f t="shared" si="62"/>
        <v>#DIV/0!</v>
      </c>
      <c r="AO120" s="502">
        <f t="shared" si="63"/>
        <v>0</v>
      </c>
      <c r="AP120" s="503" t="e">
        <f t="shared" si="64"/>
        <v>#DIV/0!</v>
      </c>
      <c r="AQ120" s="314"/>
      <c r="AR120" s="110">
        <v>47969</v>
      </c>
      <c r="AS120" s="98">
        <f t="shared" si="81"/>
        <v>0</v>
      </c>
      <c r="AT120" s="98">
        <f t="shared" si="82"/>
        <v>0</v>
      </c>
      <c r="AU120" s="98"/>
      <c r="AV120" s="308"/>
      <c r="AW120" s="308"/>
      <c r="AX120" s="308"/>
      <c r="AY120" s="313"/>
      <c r="AZ120" s="313"/>
      <c r="BA120" s="313"/>
      <c r="BB120" s="313"/>
    </row>
    <row r="121" spans="1:54">
      <c r="A121" s="295">
        <v>45463</v>
      </c>
      <c r="B121" s="296">
        <f t="shared" si="46"/>
        <v>221119.08347710862</v>
      </c>
      <c r="C121" s="312">
        <f t="shared" si="47"/>
        <v>3.8483429990848067E-4</v>
      </c>
      <c r="D121" s="296">
        <f t="shared" si="48"/>
        <v>117525.43364477024</v>
      </c>
      <c r="E121" s="312">
        <f t="shared" si="49"/>
        <v>3.8486937629760173E-4</v>
      </c>
      <c r="F121" s="296">
        <f t="shared" si="50"/>
        <v>23818.119786720508</v>
      </c>
      <c r="G121" s="312">
        <f t="shared" si="51"/>
        <v>3.8464869601538776E-4</v>
      </c>
      <c r="H121" s="398">
        <v>0</v>
      </c>
      <c r="I121" s="312">
        <f t="shared" si="52"/>
        <v>0</v>
      </c>
      <c r="J121" s="457" t="e">
        <f t="shared" si="65"/>
        <v>#DIV/0!</v>
      </c>
      <c r="K121" s="369" t="e">
        <f t="shared" si="53"/>
        <v>#DIV/0!</v>
      </c>
      <c r="L121" s="404" t="e">
        <f t="shared" si="66"/>
        <v>#DIV/0!</v>
      </c>
      <c r="M121" s="312" t="e">
        <f t="shared" si="67"/>
        <v>#DIV/0!</v>
      </c>
      <c r="N121" s="298">
        <f t="shared" si="68"/>
        <v>19868.811352392739</v>
      </c>
      <c r="O121" s="312">
        <f t="shared" si="69"/>
        <v>3.6059110494461382E-4</v>
      </c>
      <c r="P121" s="404" t="e">
        <f t="shared" si="70"/>
        <v>#DIV/0!</v>
      </c>
      <c r="Q121" s="312" t="e">
        <f t="shared" si="77"/>
        <v>#DIV/0!</v>
      </c>
      <c r="R121" s="454" t="e">
        <f t="shared" si="71"/>
        <v>#DIV/0!</v>
      </c>
      <c r="S121" s="312" t="e">
        <f t="shared" si="72"/>
        <v>#DIV/0!</v>
      </c>
      <c r="T121" s="454" t="e">
        <f t="shared" si="73"/>
        <v>#DIV/0!</v>
      </c>
      <c r="U121" s="312" t="e">
        <f t="shared" si="74"/>
        <v>#DIV/0!</v>
      </c>
      <c r="V121" s="454">
        <f t="shared" si="75"/>
        <v>0</v>
      </c>
      <c r="W121" s="312">
        <f t="shared" si="80"/>
        <v>-1.0000002752637027</v>
      </c>
      <c r="X121" s="454">
        <f t="shared" si="76"/>
        <v>0</v>
      </c>
      <c r="Y121" s="312">
        <f t="shared" si="54"/>
        <v>-1</v>
      </c>
      <c r="Z121" s="674">
        <f t="shared" si="55"/>
        <v>0</v>
      </c>
      <c r="AA121" s="297"/>
      <c r="AB121" s="379">
        <f t="shared" si="55"/>
        <v>0</v>
      </c>
      <c r="AC121" s="297"/>
      <c r="AD121" s="413">
        <f t="shared" si="56"/>
        <v>0</v>
      </c>
      <c r="AE121" s="297"/>
      <c r="AG121" s="400" t="e">
        <f t="shared" si="57"/>
        <v>#DIV/0!</v>
      </c>
      <c r="AH121" s="401">
        <f t="shared" si="58"/>
        <v>0</v>
      </c>
      <c r="AI121" s="407">
        <f t="shared" si="59"/>
        <v>0</v>
      </c>
      <c r="AJ121" s="498"/>
      <c r="AK121" s="502">
        <f t="shared" si="60"/>
        <v>0</v>
      </c>
      <c r="AL121" s="503" t="e">
        <f t="shared" si="61"/>
        <v>#DIV/0!</v>
      </c>
      <c r="AM121" s="504" t="e">
        <f>AG121-AK121-AO121</f>
        <v>#DIV/0!</v>
      </c>
      <c r="AN121" s="503" t="e">
        <f t="shared" si="62"/>
        <v>#DIV/0!</v>
      </c>
      <c r="AO121" s="502">
        <f t="shared" si="63"/>
        <v>0</v>
      </c>
      <c r="AP121" s="503" t="e">
        <f t="shared" si="64"/>
        <v>#DIV/0!</v>
      </c>
      <c r="AQ121" s="314"/>
      <c r="AR121" s="110">
        <v>48000</v>
      </c>
      <c r="AS121" s="98">
        <f t="shared" si="81"/>
        <v>0</v>
      </c>
      <c r="AT121" s="98">
        <f t="shared" si="82"/>
        <v>0</v>
      </c>
      <c r="AU121" s="98"/>
      <c r="AV121" s="308"/>
      <c r="AW121" s="308"/>
      <c r="AX121" s="308"/>
      <c r="AY121" s="313"/>
      <c r="AZ121" s="313"/>
      <c r="BA121" s="313"/>
      <c r="BB121" s="313"/>
    </row>
    <row r="122" spans="1:54">
      <c r="A122" s="295">
        <v>45464</v>
      </c>
      <c r="B122" s="296">
        <f t="shared" si="46"/>
        <v>221204.17768479494</v>
      </c>
      <c r="C122" s="312">
        <f t="shared" si="47"/>
        <v>3.8483429990846213E-4</v>
      </c>
      <c r="D122" s="296">
        <f t="shared" si="48"/>
        <v>117570.66558511621</v>
      </c>
      <c r="E122" s="312">
        <f t="shared" si="49"/>
        <v>3.8486937629761647E-4</v>
      </c>
      <c r="F122" s="296">
        <f t="shared" si="50"/>
        <v>23827.281395438007</v>
      </c>
      <c r="G122" s="312">
        <f t="shared" si="51"/>
        <v>3.8464869601532667E-4</v>
      </c>
      <c r="H122" s="398">
        <v>0</v>
      </c>
      <c r="I122" s="312">
        <f t="shared" si="52"/>
        <v>0</v>
      </c>
      <c r="J122" s="457" t="e">
        <f t="shared" si="65"/>
        <v>#DIV/0!</v>
      </c>
      <c r="K122" s="369" t="e">
        <f t="shared" si="53"/>
        <v>#DIV/0!</v>
      </c>
      <c r="L122" s="404" t="e">
        <f t="shared" si="66"/>
        <v>#DIV/0!</v>
      </c>
      <c r="M122" s="312" t="e">
        <f t="shared" si="67"/>
        <v>#DIV/0!</v>
      </c>
      <c r="N122" s="298">
        <f t="shared" si="68"/>
        <v>19875.975869032234</v>
      </c>
      <c r="O122" s="312">
        <f t="shared" si="69"/>
        <v>3.605911049446226E-4</v>
      </c>
      <c r="P122" s="404" t="e">
        <f t="shared" si="70"/>
        <v>#DIV/0!</v>
      </c>
      <c r="Q122" s="312" t="e">
        <f t="shared" si="77"/>
        <v>#DIV/0!</v>
      </c>
      <c r="R122" s="454" t="e">
        <f t="shared" si="71"/>
        <v>#DIV/0!</v>
      </c>
      <c r="S122" s="312" t="e">
        <f t="shared" si="72"/>
        <v>#DIV/0!</v>
      </c>
      <c r="T122" s="454" t="e">
        <f t="shared" si="73"/>
        <v>#DIV/0!</v>
      </c>
      <c r="U122" s="312" t="e">
        <f t="shared" si="74"/>
        <v>#DIV/0!</v>
      </c>
      <c r="V122" s="454">
        <f t="shared" si="75"/>
        <v>0</v>
      </c>
      <c r="W122" s="312">
        <f t="shared" si="80"/>
        <v>-1.0000002752637027</v>
      </c>
      <c r="X122" s="454">
        <f t="shared" si="76"/>
        <v>0</v>
      </c>
      <c r="Y122" s="312">
        <f t="shared" si="54"/>
        <v>-1</v>
      </c>
      <c r="Z122" s="674">
        <f t="shared" si="55"/>
        <v>0</v>
      </c>
      <c r="AA122" s="329"/>
      <c r="AB122" s="379">
        <f t="shared" si="55"/>
        <v>0</v>
      </c>
      <c r="AC122" s="329"/>
      <c r="AD122" s="413">
        <f t="shared" si="56"/>
        <v>0</v>
      </c>
      <c r="AE122" s="329"/>
      <c r="AG122" s="400" t="e">
        <f t="shared" si="57"/>
        <v>#DIV/0!</v>
      </c>
      <c r="AH122" s="401">
        <f t="shared" si="58"/>
        <v>0</v>
      </c>
      <c r="AI122" s="407">
        <f t="shared" si="59"/>
        <v>0</v>
      </c>
      <c r="AJ122" s="498"/>
      <c r="AK122" s="502">
        <f t="shared" si="60"/>
        <v>0</v>
      </c>
      <c r="AL122" s="503" t="e">
        <f t="shared" si="61"/>
        <v>#DIV/0!</v>
      </c>
      <c r="AM122" s="504" t="e">
        <f>AG122-AK122-AO122</f>
        <v>#DIV/0!</v>
      </c>
      <c r="AN122" s="503" t="e">
        <f t="shared" si="62"/>
        <v>#DIV/0!</v>
      </c>
      <c r="AO122" s="502">
        <f t="shared" si="63"/>
        <v>0</v>
      </c>
      <c r="AP122" s="503" t="e">
        <f t="shared" si="64"/>
        <v>#DIV/0!</v>
      </c>
      <c r="AQ122" s="314"/>
      <c r="AR122" s="110">
        <v>48030</v>
      </c>
      <c r="AS122" s="98">
        <f t="shared" si="81"/>
        <v>0</v>
      </c>
      <c r="AT122" s="98">
        <f t="shared" si="82"/>
        <v>0</v>
      </c>
      <c r="AU122" s="98"/>
      <c r="AV122" s="308"/>
      <c r="AW122" s="308"/>
      <c r="AX122" s="308"/>
      <c r="AY122" s="313"/>
      <c r="AZ122" s="313"/>
      <c r="BA122" s="313"/>
      <c r="BB122" s="313"/>
    </row>
    <row r="123" spans="1:54">
      <c r="A123" s="295">
        <v>45467</v>
      </c>
      <c r="B123" s="296">
        <f t="shared" si="46"/>
        <v>221289.30463965109</v>
      </c>
      <c r="C123" s="312">
        <f t="shared" si="47"/>
        <v>3.8483429990845725E-4</v>
      </c>
      <c r="D123" s="296">
        <f t="shared" si="48"/>
        <v>117615.91493385084</v>
      </c>
      <c r="E123" s="312">
        <f t="shared" si="49"/>
        <v>3.8486937629759202E-4</v>
      </c>
      <c r="F123" s="296">
        <f t="shared" si="50"/>
        <v>23836.446528156353</v>
      </c>
      <c r="G123" s="312">
        <f t="shared" si="51"/>
        <v>3.8464869601536038E-4</v>
      </c>
      <c r="H123" s="398">
        <v>0</v>
      </c>
      <c r="I123" s="312">
        <f t="shared" si="52"/>
        <v>0</v>
      </c>
      <c r="J123" s="457" t="e">
        <f t="shared" si="65"/>
        <v>#DIV/0!</v>
      </c>
      <c r="K123" s="369" t="e">
        <f t="shared" si="53"/>
        <v>#DIV/0!</v>
      </c>
      <c r="L123" s="404" t="e">
        <f t="shared" si="66"/>
        <v>#DIV/0!</v>
      </c>
      <c r="M123" s="312" t="e">
        <f t="shared" si="67"/>
        <v>#DIV/0!</v>
      </c>
      <c r="N123" s="298">
        <f t="shared" si="68"/>
        <v>19883.142969132699</v>
      </c>
      <c r="O123" s="312">
        <f t="shared" si="69"/>
        <v>3.6059110494453148E-4</v>
      </c>
      <c r="P123" s="404" t="e">
        <f t="shared" si="70"/>
        <v>#DIV/0!</v>
      </c>
      <c r="Q123" s="312" t="e">
        <f t="shared" si="77"/>
        <v>#DIV/0!</v>
      </c>
      <c r="R123" s="454" t="e">
        <f t="shared" si="71"/>
        <v>#DIV/0!</v>
      </c>
      <c r="S123" s="312" t="e">
        <f t="shared" si="72"/>
        <v>#DIV/0!</v>
      </c>
      <c r="T123" s="454" t="e">
        <f t="shared" si="73"/>
        <v>#DIV/0!</v>
      </c>
      <c r="U123" s="312" t="e">
        <f t="shared" si="74"/>
        <v>#DIV/0!</v>
      </c>
      <c r="V123" s="454">
        <f t="shared" si="75"/>
        <v>0</v>
      </c>
      <c r="W123" s="312">
        <f t="shared" si="80"/>
        <v>-1.0000002752637027</v>
      </c>
      <c r="X123" s="454">
        <f t="shared" si="76"/>
        <v>0</v>
      </c>
      <c r="Y123" s="312">
        <f t="shared" si="54"/>
        <v>-1</v>
      </c>
      <c r="Z123" s="674">
        <f t="shared" si="55"/>
        <v>0</v>
      </c>
      <c r="AA123" s="297"/>
      <c r="AB123" s="379">
        <f t="shared" si="55"/>
        <v>0</v>
      </c>
      <c r="AC123" s="297"/>
      <c r="AD123" s="413">
        <f t="shared" si="56"/>
        <v>0</v>
      </c>
      <c r="AE123" s="297"/>
      <c r="AG123" s="400" t="e">
        <f t="shared" si="57"/>
        <v>#DIV/0!</v>
      </c>
      <c r="AH123" s="401">
        <f t="shared" si="58"/>
        <v>0</v>
      </c>
      <c r="AI123" s="407">
        <f t="shared" si="59"/>
        <v>0</v>
      </c>
      <c r="AJ123" s="498"/>
      <c r="AK123" s="502">
        <f t="shared" si="60"/>
        <v>0</v>
      </c>
      <c r="AL123" s="503" t="e">
        <f t="shared" si="61"/>
        <v>#DIV/0!</v>
      </c>
      <c r="AM123" s="504" t="e">
        <f>AG123-AK123-AO123</f>
        <v>#DIV/0!</v>
      </c>
      <c r="AN123" s="503" t="e">
        <f t="shared" si="62"/>
        <v>#DIV/0!</v>
      </c>
      <c r="AO123" s="502">
        <f t="shared" si="63"/>
        <v>0</v>
      </c>
      <c r="AP123" s="503" t="e">
        <f t="shared" si="64"/>
        <v>#DIV/0!</v>
      </c>
      <c r="AQ123" s="314"/>
      <c r="AR123" s="110">
        <v>48061</v>
      </c>
      <c r="AS123" s="98">
        <f t="shared" si="81"/>
        <v>0</v>
      </c>
      <c r="AT123" s="98">
        <f t="shared" si="82"/>
        <v>0</v>
      </c>
      <c r="AU123" s="98"/>
      <c r="AV123" s="308"/>
      <c r="AW123" s="308"/>
      <c r="AX123" s="308"/>
      <c r="AY123" s="313"/>
      <c r="AZ123" s="313"/>
      <c r="BA123" s="313"/>
      <c r="BB123" s="313"/>
    </row>
    <row r="124" spans="1:54">
      <c r="A124" s="295">
        <v>45468</v>
      </c>
      <c r="B124" s="296">
        <f t="shared" si="46"/>
        <v>221374.46435427933</v>
      </c>
      <c r="C124" s="312">
        <f t="shared" si="47"/>
        <v>3.8483429990852219E-4</v>
      </c>
      <c r="D124" s="296">
        <f t="shared" si="48"/>
        <v>117661.18169767411</v>
      </c>
      <c r="E124" s="312">
        <f t="shared" si="49"/>
        <v>3.8486937629763577E-4</v>
      </c>
      <c r="F124" s="296">
        <f t="shared" si="50"/>
        <v>23845.615186231047</v>
      </c>
      <c r="G124" s="312">
        <f t="shared" si="51"/>
        <v>3.8464869601529582E-4</v>
      </c>
      <c r="H124" s="398">
        <v>0</v>
      </c>
      <c r="I124" s="312">
        <f t="shared" si="52"/>
        <v>0</v>
      </c>
      <c r="J124" s="457" t="e">
        <f t="shared" si="65"/>
        <v>#DIV/0!</v>
      </c>
      <c r="K124" s="369" t="e">
        <f t="shared" si="53"/>
        <v>#DIV/0!</v>
      </c>
      <c r="L124" s="404" t="e">
        <f t="shared" si="66"/>
        <v>#DIV/0!</v>
      </c>
      <c r="M124" s="312" t="e">
        <f t="shared" si="67"/>
        <v>#DIV/0!</v>
      </c>
      <c r="N124" s="298">
        <f t="shared" si="68"/>
        <v>19890.312653625708</v>
      </c>
      <c r="O124" s="312">
        <f t="shared" si="69"/>
        <v>3.60591104944468E-4</v>
      </c>
      <c r="P124" s="404" t="e">
        <f t="shared" si="70"/>
        <v>#DIV/0!</v>
      </c>
      <c r="Q124" s="312" t="e">
        <f t="shared" si="77"/>
        <v>#DIV/0!</v>
      </c>
      <c r="R124" s="454" t="e">
        <f t="shared" si="71"/>
        <v>#DIV/0!</v>
      </c>
      <c r="S124" s="312" t="e">
        <f t="shared" si="72"/>
        <v>#DIV/0!</v>
      </c>
      <c r="T124" s="454" t="e">
        <f t="shared" si="73"/>
        <v>#DIV/0!</v>
      </c>
      <c r="U124" s="312" t="e">
        <f t="shared" si="74"/>
        <v>#DIV/0!</v>
      </c>
      <c r="V124" s="454">
        <f t="shared" si="75"/>
        <v>0</v>
      </c>
      <c r="W124" s="312">
        <f t="shared" si="80"/>
        <v>-1.0000002752637027</v>
      </c>
      <c r="X124" s="454">
        <f t="shared" si="76"/>
        <v>0</v>
      </c>
      <c r="Y124" s="312">
        <f t="shared" si="54"/>
        <v>-1</v>
      </c>
      <c r="Z124" s="674">
        <f t="shared" si="55"/>
        <v>0</v>
      </c>
      <c r="AA124" s="329"/>
      <c r="AB124" s="379">
        <f t="shared" si="55"/>
        <v>0</v>
      </c>
      <c r="AC124" s="329"/>
      <c r="AD124" s="413">
        <f t="shared" si="56"/>
        <v>0</v>
      </c>
      <c r="AE124" s="329"/>
      <c r="AG124" s="400" t="e">
        <f t="shared" si="57"/>
        <v>#DIV/0!</v>
      </c>
      <c r="AH124" s="401">
        <f t="shared" si="58"/>
        <v>0</v>
      </c>
      <c r="AI124" s="407">
        <f t="shared" si="59"/>
        <v>0</v>
      </c>
      <c r="AJ124" s="498"/>
      <c r="AK124" s="502">
        <f t="shared" si="60"/>
        <v>0</v>
      </c>
      <c r="AL124" s="503" t="e">
        <f t="shared" si="61"/>
        <v>#DIV/0!</v>
      </c>
      <c r="AM124" s="504" t="e">
        <f>AG124-AK124-AO124</f>
        <v>#DIV/0!</v>
      </c>
      <c r="AN124" s="503" t="e">
        <f t="shared" si="62"/>
        <v>#DIV/0!</v>
      </c>
      <c r="AO124" s="502">
        <f t="shared" si="63"/>
        <v>0</v>
      </c>
      <c r="AP124" s="503" t="e">
        <f t="shared" si="64"/>
        <v>#DIV/0!</v>
      </c>
      <c r="AQ124" s="314"/>
      <c r="AR124" s="110">
        <v>48092</v>
      </c>
      <c r="AS124" s="98">
        <f t="shared" si="81"/>
        <v>0</v>
      </c>
      <c r="AT124" s="98">
        <f t="shared" si="82"/>
        <v>0</v>
      </c>
      <c r="AU124" s="98"/>
      <c r="AV124" s="308"/>
      <c r="AW124" s="308"/>
      <c r="AX124" s="308"/>
      <c r="AY124" s="313"/>
      <c r="AZ124" s="313"/>
      <c r="BA124" s="313"/>
      <c r="BB124" s="313"/>
    </row>
    <row r="125" spans="1:54">
      <c r="A125" s="295">
        <v>45469</v>
      </c>
      <c r="B125" s="296">
        <f t="shared" si="46"/>
        <v>221459.65684128675</v>
      </c>
      <c r="C125" s="312">
        <f t="shared" si="47"/>
        <v>3.848342999085731E-4</v>
      </c>
      <c r="D125" s="296">
        <f t="shared" si="48"/>
        <v>117706.46588328853</v>
      </c>
      <c r="E125" s="312">
        <f t="shared" si="49"/>
        <v>3.8486937629759907E-4</v>
      </c>
      <c r="F125" s="296">
        <f t="shared" si="50"/>
        <v>23854.787371018112</v>
      </c>
      <c r="G125" s="312">
        <f t="shared" si="51"/>
        <v>3.8464869601523711E-4</v>
      </c>
      <c r="H125" s="398">
        <v>0</v>
      </c>
      <c r="I125" s="312">
        <f t="shared" si="52"/>
        <v>0</v>
      </c>
      <c r="J125" s="457" t="e">
        <f t="shared" si="65"/>
        <v>#DIV/0!</v>
      </c>
      <c r="K125" s="369" t="e">
        <f t="shared" si="53"/>
        <v>#DIV/0!</v>
      </c>
      <c r="L125" s="404" t="e">
        <f t="shared" si="66"/>
        <v>#DIV/0!</v>
      </c>
      <c r="M125" s="312" t="e">
        <f t="shared" si="67"/>
        <v>#DIV/0!</v>
      </c>
      <c r="N125" s="298">
        <f t="shared" si="68"/>
        <v>19897.484923443171</v>
      </c>
      <c r="O125" s="312">
        <f t="shared" si="69"/>
        <v>3.6059110494455359E-4</v>
      </c>
      <c r="P125" s="404" t="e">
        <f t="shared" si="70"/>
        <v>#DIV/0!</v>
      </c>
      <c r="Q125" s="312" t="e">
        <f t="shared" si="77"/>
        <v>#DIV/0!</v>
      </c>
      <c r="R125" s="454" t="e">
        <f t="shared" si="71"/>
        <v>#DIV/0!</v>
      </c>
      <c r="S125" s="312" t="e">
        <f t="shared" si="72"/>
        <v>#DIV/0!</v>
      </c>
      <c r="T125" s="454" t="e">
        <f t="shared" si="73"/>
        <v>#DIV/0!</v>
      </c>
      <c r="U125" s="312" t="e">
        <f t="shared" si="74"/>
        <v>#DIV/0!</v>
      </c>
      <c r="V125" s="454">
        <f t="shared" si="75"/>
        <v>0</v>
      </c>
      <c r="W125" s="312">
        <f t="shared" si="80"/>
        <v>-1.0000002752637027</v>
      </c>
      <c r="X125" s="454">
        <f t="shared" si="76"/>
        <v>0</v>
      </c>
      <c r="Y125" s="312">
        <f t="shared" si="54"/>
        <v>-1</v>
      </c>
      <c r="Z125" s="674">
        <f t="shared" si="55"/>
        <v>0</v>
      </c>
      <c r="AA125" s="297"/>
      <c r="AB125" s="379">
        <f t="shared" si="55"/>
        <v>0</v>
      </c>
      <c r="AC125" s="297"/>
      <c r="AD125" s="413">
        <f t="shared" si="56"/>
        <v>0</v>
      </c>
      <c r="AE125" s="297"/>
      <c r="AG125" s="400" t="e">
        <f t="shared" si="57"/>
        <v>#DIV/0!</v>
      </c>
      <c r="AH125" s="401">
        <f t="shared" si="58"/>
        <v>0</v>
      </c>
      <c r="AI125" s="407">
        <f t="shared" si="59"/>
        <v>0</v>
      </c>
      <c r="AJ125" s="498"/>
      <c r="AK125" s="502">
        <f t="shared" si="60"/>
        <v>0</v>
      </c>
      <c r="AL125" s="503" t="e">
        <f t="shared" si="61"/>
        <v>#DIV/0!</v>
      </c>
      <c r="AM125" s="504" t="e">
        <f>AG125-AK125-AO125</f>
        <v>#DIV/0!</v>
      </c>
      <c r="AN125" s="503" t="e">
        <f t="shared" si="62"/>
        <v>#DIV/0!</v>
      </c>
      <c r="AO125" s="502">
        <f t="shared" si="63"/>
        <v>0</v>
      </c>
      <c r="AP125" s="503" t="e">
        <f t="shared" si="64"/>
        <v>#DIV/0!</v>
      </c>
      <c r="AQ125" s="314"/>
      <c r="AR125" s="110">
        <v>48122</v>
      </c>
      <c r="AS125" s="98">
        <f t="shared" si="81"/>
        <v>0</v>
      </c>
      <c r="AT125" s="98">
        <f t="shared" si="82"/>
        <v>0</v>
      </c>
      <c r="AU125" s="98"/>
      <c r="AV125" s="308"/>
      <c r="AW125" s="308"/>
      <c r="AX125" s="308"/>
      <c r="AY125" s="313"/>
      <c r="AZ125" s="313"/>
      <c r="BA125" s="313"/>
      <c r="BB125" s="313"/>
    </row>
    <row r="126" spans="1:54">
      <c r="A126" s="295">
        <v>45470</v>
      </c>
      <c r="B126" s="296">
        <f t="shared" si="46"/>
        <v>221544.88211328525</v>
      </c>
      <c r="C126" s="312">
        <f t="shared" si="47"/>
        <v>3.8483429990851786E-4</v>
      </c>
      <c r="D126" s="296">
        <f t="shared" si="48"/>
        <v>117751.76749739923</v>
      </c>
      <c r="E126" s="312">
        <f t="shared" si="49"/>
        <v>3.8486937629757251E-4</v>
      </c>
      <c r="F126" s="296">
        <f t="shared" si="50"/>
        <v>23863.963083874096</v>
      </c>
      <c r="G126" s="312">
        <f t="shared" si="51"/>
        <v>3.846486960152795E-4</v>
      </c>
      <c r="H126" s="398">
        <v>0</v>
      </c>
      <c r="I126" s="312">
        <f t="shared" si="52"/>
        <v>0</v>
      </c>
      <c r="J126" s="457" t="e">
        <f t="shared" si="65"/>
        <v>#DIV/0!</v>
      </c>
      <c r="K126" s="369" t="e">
        <f t="shared" si="53"/>
        <v>#DIV/0!</v>
      </c>
      <c r="L126" s="404" t="e">
        <f t="shared" si="66"/>
        <v>#DIV/0!</v>
      </c>
      <c r="M126" s="312" t="e">
        <f t="shared" si="67"/>
        <v>#DIV/0!</v>
      </c>
      <c r="N126" s="298">
        <f t="shared" si="68"/>
        <v>19904.659779517333</v>
      </c>
      <c r="O126" s="312">
        <f t="shared" si="69"/>
        <v>3.6059110494453771E-4</v>
      </c>
      <c r="P126" s="404" t="e">
        <f t="shared" si="70"/>
        <v>#DIV/0!</v>
      </c>
      <c r="Q126" s="312" t="e">
        <f t="shared" si="77"/>
        <v>#DIV/0!</v>
      </c>
      <c r="R126" s="454" t="e">
        <f t="shared" si="71"/>
        <v>#DIV/0!</v>
      </c>
      <c r="S126" s="312" t="e">
        <f t="shared" si="72"/>
        <v>#DIV/0!</v>
      </c>
      <c r="T126" s="454" t="e">
        <f t="shared" si="73"/>
        <v>#DIV/0!</v>
      </c>
      <c r="U126" s="312" t="e">
        <f t="shared" si="74"/>
        <v>#DIV/0!</v>
      </c>
      <c r="V126" s="454">
        <f t="shared" si="75"/>
        <v>0</v>
      </c>
      <c r="W126" s="312">
        <f t="shared" si="80"/>
        <v>-1.0000002752637027</v>
      </c>
      <c r="X126" s="454">
        <f t="shared" si="76"/>
        <v>0</v>
      </c>
      <c r="Y126" s="312">
        <f t="shared" si="54"/>
        <v>-1</v>
      </c>
      <c r="Z126" s="674">
        <f t="shared" si="55"/>
        <v>0</v>
      </c>
      <c r="AA126" s="329"/>
      <c r="AB126" s="379">
        <f t="shared" si="55"/>
        <v>0</v>
      </c>
      <c r="AC126" s="329"/>
      <c r="AD126" s="413">
        <f t="shared" si="56"/>
        <v>0</v>
      </c>
      <c r="AE126" s="329"/>
      <c r="AG126" s="400" t="e">
        <f t="shared" si="57"/>
        <v>#DIV/0!</v>
      </c>
      <c r="AH126" s="401">
        <f t="shared" si="58"/>
        <v>0</v>
      </c>
      <c r="AI126" s="407">
        <f t="shared" si="59"/>
        <v>0</v>
      </c>
      <c r="AJ126" s="498"/>
      <c r="AK126" s="502">
        <f t="shared" si="60"/>
        <v>0</v>
      </c>
      <c r="AL126" s="503" t="e">
        <f t="shared" si="61"/>
        <v>#DIV/0!</v>
      </c>
      <c r="AM126" s="504" t="e">
        <f>AG126-AK126-AO126</f>
        <v>#DIV/0!</v>
      </c>
      <c r="AN126" s="503" t="e">
        <f t="shared" si="62"/>
        <v>#DIV/0!</v>
      </c>
      <c r="AO126" s="502">
        <f t="shared" si="63"/>
        <v>0</v>
      </c>
      <c r="AP126" s="503" t="e">
        <f t="shared" si="64"/>
        <v>#DIV/0!</v>
      </c>
      <c r="AQ126" s="314"/>
      <c r="AR126" s="110">
        <v>48153</v>
      </c>
      <c r="AS126" s="98">
        <f t="shared" si="81"/>
        <v>0</v>
      </c>
      <c r="AT126" s="98">
        <f t="shared" si="82"/>
        <v>0</v>
      </c>
      <c r="AU126" s="98"/>
      <c r="AV126" s="308"/>
      <c r="AW126" s="308"/>
      <c r="AX126" s="308"/>
      <c r="AY126" s="313"/>
      <c r="AZ126" s="313"/>
      <c r="BA126" s="313"/>
      <c r="BB126" s="313"/>
    </row>
    <row r="127" spans="1:54">
      <c r="A127" s="295">
        <v>45471</v>
      </c>
      <c r="B127" s="296">
        <f t="shared" si="46"/>
        <v>221630.14018289163</v>
      </c>
      <c r="C127" s="312">
        <f t="shared" si="47"/>
        <v>3.8483429990851883E-4</v>
      </c>
      <c r="D127" s="296">
        <f t="shared" si="48"/>
        <v>117797.08654671388</v>
      </c>
      <c r="E127" s="312">
        <f t="shared" si="49"/>
        <v>3.8486937629751439E-4</v>
      </c>
      <c r="F127" s="296">
        <f t="shared" si="50"/>
        <v>23873.142326156063</v>
      </c>
      <c r="G127" s="312">
        <f t="shared" si="51"/>
        <v>3.8464869601520507E-4</v>
      </c>
      <c r="H127" s="398">
        <v>0</v>
      </c>
      <c r="I127" s="312">
        <f t="shared" si="52"/>
        <v>0</v>
      </c>
      <c r="J127" s="457" t="e">
        <f t="shared" si="65"/>
        <v>#DIV/0!</v>
      </c>
      <c r="K127" s="369" t="e">
        <f t="shared" si="53"/>
        <v>#DIV/0!</v>
      </c>
      <c r="L127" s="404" t="e">
        <f t="shared" si="66"/>
        <v>#DIV/0!</v>
      </c>
      <c r="M127" s="312" t="e">
        <f t="shared" si="67"/>
        <v>#DIV/0!</v>
      </c>
      <c r="N127" s="298">
        <f t="shared" si="68"/>
        <v>19911.837222780774</v>
      </c>
      <c r="O127" s="312">
        <f t="shared" si="69"/>
        <v>3.6059110494452958E-4</v>
      </c>
      <c r="P127" s="404" t="e">
        <f t="shared" si="70"/>
        <v>#DIV/0!</v>
      </c>
      <c r="Q127" s="312" t="e">
        <f t="shared" si="77"/>
        <v>#DIV/0!</v>
      </c>
      <c r="R127" s="454" t="e">
        <f t="shared" si="71"/>
        <v>#DIV/0!</v>
      </c>
      <c r="S127" s="312" t="e">
        <f t="shared" si="72"/>
        <v>#DIV/0!</v>
      </c>
      <c r="T127" s="454" t="e">
        <f t="shared" si="73"/>
        <v>#DIV/0!</v>
      </c>
      <c r="U127" s="312" t="e">
        <f t="shared" si="74"/>
        <v>#DIV/0!</v>
      </c>
      <c r="V127" s="454">
        <f t="shared" si="75"/>
        <v>0</v>
      </c>
      <c r="W127" s="312">
        <f t="shared" si="80"/>
        <v>-1.0000002752637027</v>
      </c>
      <c r="X127" s="454">
        <f t="shared" si="76"/>
        <v>0</v>
      </c>
      <c r="Y127" s="312">
        <f t="shared" si="54"/>
        <v>-1</v>
      </c>
      <c r="Z127" s="674">
        <f t="shared" si="55"/>
        <v>0</v>
      </c>
      <c r="AA127" s="297"/>
      <c r="AB127" s="379">
        <f t="shared" si="55"/>
        <v>0</v>
      </c>
      <c r="AC127" s="297"/>
      <c r="AD127" s="413">
        <f t="shared" si="56"/>
        <v>0</v>
      </c>
      <c r="AE127" s="297"/>
      <c r="AF127" s="287"/>
      <c r="AG127" s="400" t="e">
        <f t="shared" si="57"/>
        <v>#DIV/0!</v>
      </c>
      <c r="AH127" s="401">
        <f t="shared" si="58"/>
        <v>0</v>
      </c>
      <c r="AI127" s="407">
        <f t="shared" si="59"/>
        <v>0</v>
      </c>
      <c r="AJ127" s="498"/>
      <c r="AK127" s="502">
        <f t="shared" si="60"/>
        <v>0</v>
      </c>
      <c r="AL127" s="503" t="e">
        <f t="shared" si="61"/>
        <v>#DIV/0!</v>
      </c>
      <c r="AM127" s="504" t="e">
        <f>AG127-AK127-AO127</f>
        <v>#DIV/0!</v>
      </c>
      <c r="AN127" s="503" t="e">
        <f t="shared" si="62"/>
        <v>#DIV/0!</v>
      </c>
      <c r="AO127" s="502">
        <f t="shared" si="63"/>
        <v>0</v>
      </c>
      <c r="AP127" s="503" t="e">
        <f t="shared" si="64"/>
        <v>#DIV/0!</v>
      </c>
      <c r="AQ127" s="313"/>
      <c r="AR127" s="110">
        <v>48183</v>
      </c>
      <c r="AS127" s="98">
        <f t="shared" si="81"/>
        <v>0</v>
      </c>
      <c r="AT127" s="98">
        <f t="shared" si="82"/>
        <v>0</v>
      </c>
      <c r="AU127" s="98"/>
      <c r="AV127" s="308"/>
      <c r="AW127" s="308"/>
      <c r="AX127" s="308"/>
      <c r="AY127" s="313"/>
      <c r="AZ127" s="313"/>
      <c r="BA127" s="313"/>
      <c r="BB127" s="313"/>
    </row>
    <row r="128" spans="1:54">
      <c r="A128" s="295">
        <v>45474</v>
      </c>
      <c r="B128" s="296">
        <f t="shared" si="46"/>
        <v>221715.43106272753</v>
      </c>
      <c r="C128" s="312">
        <f t="shared" si="47"/>
        <v>3.8483429990846712E-4</v>
      </c>
      <c r="D128" s="296">
        <f t="shared" si="48"/>
        <v>117842.42303794278</v>
      </c>
      <c r="E128" s="312">
        <f t="shared" si="49"/>
        <v>3.8486937629749824E-4</v>
      </c>
      <c r="F128" s="296">
        <f t="shared" si="50"/>
        <v>23882.325099221605</v>
      </c>
      <c r="G128" s="312">
        <f t="shared" si="51"/>
        <v>3.8464869601524481E-4</v>
      </c>
      <c r="H128" s="398">
        <v>0</v>
      </c>
      <c r="I128" s="312">
        <f t="shared" si="52"/>
        <v>0</v>
      </c>
      <c r="J128" s="457" t="e">
        <f t="shared" si="65"/>
        <v>#DIV/0!</v>
      </c>
      <c r="K128" s="369" t="e">
        <f t="shared" si="53"/>
        <v>#DIV/0!</v>
      </c>
      <c r="L128" s="404" t="e">
        <f t="shared" si="66"/>
        <v>#DIV/0!</v>
      </c>
      <c r="M128" s="312" t="e">
        <f t="shared" si="67"/>
        <v>#DIV/0!</v>
      </c>
      <c r="N128" s="298">
        <f t="shared" si="68"/>
        <v>19919.017254166411</v>
      </c>
      <c r="O128" s="312">
        <f t="shared" si="69"/>
        <v>3.6059110494444956E-4</v>
      </c>
      <c r="P128" s="404" t="e">
        <f t="shared" si="70"/>
        <v>#DIV/0!</v>
      </c>
      <c r="Q128" s="312" t="e">
        <f t="shared" si="77"/>
        <v>#DIV/0!</v>
      </c>
      <c r="R128" s="454" t="e">
        <f t="shared" si="71"/>
        <v>#DIV/0!</v>
      </c>
      <c r="S128" s="312" t="e">
        <f t="shared" si="72"/>
        <v>#DIV/0!</v>
      </c>
      <c r="T128" s="454" t="e">
        <f t="shared" si="73"/>
        <v>#DIV/0!</v>
      </c>
      <c r="U128" s="312" t="e">
        <f t="shared" si="74"/>
        <v>#DIV/0!</v>
      </c>
      <c r="V128" s="454">
        <f t="shared" si="75"/>
        <v>0</v>
      </c>
      <c r="W128" s="312">
        <f t="shared" si="80"/>
        <v>-1.0000002752637027</v>
      </c>
      <c r="X128" s="454">
        <f t="shared" si="76"/>
        <v>0</v>
      </c>
      <c r="Y128" s="312">
        <f t="shared" si="54"/>
        <v>-1</v>
      </c>
      <c r="Z128" s="674">
        <f t="shared" si="55"/>
        <v>0</v>
      </c>
      <c r="AA128" s="329"/>
      <c r="AB128" s="379">
        <f t="shared" si="55"/>
        <v>0</v>
      </c>
      <c r="AC128" s="329"/>
      <c r="AD128" s="413">
        <f t="shared" si="56"/>
        <v>0</v>
      </c>
      <c r="AE128" s="329"/>
      <c r="AG128" s="400" t="e">
        <f t="shared" si="57"/>
        <v>#DIV/0!</v>
      </c>
      <c r="AH128" s="401">
        <f t="shared" si="58"/>
        <v>0</v>
      </c>
      <c r="AI128" s="407">
        <f t="shared" si="59"/>
        <v>0</v>
      </c>
      <c r="AJ128" s="498"/>
      <c r="AK128" s="502">
        <f t="shared" si="60"/>
        <v>0</v>
      </c>
      <c r="AL128" s="503" t="e">
        <f t="shared" si="61"/>
        <v>#DIV/0!</v>
      </c>
      <c r="AM128" s="504" t="e">
        <f>AG128-AK128-AO128</f>
        <v>#DIV/0!</v>
      </c>
      <c r="AN128" s="503" t="e">
        <f t="shared" si="62"/>
        <v>#DIV/0!</v>
      </c>
      <c r="AO128" s="502">
        <f t="shared" si="63"/>
        <v>0</v>
      </c>
      <c r="AP128" s="503" t="e">
        <f t="shared" si="64"/>
        <v>#DIV/0!</v>
      </c>
      <c r="AQ128" s="314"/>
      <c r="AR128" s="110">
        <v>48214</v>
      </c>
      <c r="AS128" s="98">
        <f t="shared" si="81"/>
        <v>0</v>
      </c>
      <c r="AT128" s="98">
        <f t="shared" si="82"/>
        <v>0</v>
      </c>
      <c r="AU128" s="98"/>
      <c r="AV128" s="308"/>
      <c r="AW128" s="308"/>
      <c r="AX128" s="308"/>
      <c r="AY128" s="313"/>
      <c r="AZ128" s="313"/>
      <c r="BA128" s="313"/>
      <c r="BB128" s="313"/>
    </row>
    <row r="129" spans="1:54">
      <c r="A129" s="295">
        <v>45475</v>
      </c>
      <c r="B129" s="296">
        <f t="shared" si="46"/>
        <v>221800.75476541946</v>
      </c>
      <c r="C129" s="312">
        <f t="shared" si="47"/>
        <v>3.8483429990850794E-4</v>
      </c>
      <c r="D129" s="296">
        <f t="shared" si="48"/>
        <v>117887.77697779877</v>
      </c>
      <c r="E129" s="312">
        <f t="shared" si="49"/>
        <v>3.8486937629746555E-4</v>
      </c>
      <c r="F129" s="296">
        <f t="shared" si="50"/>
        <v>23891.511404428835</v>
      </c>
      <c r="G129" s="312">
        <f t="shared" si="51"/>
        <v>3.8464869601531642E-4</v>
      </c>
      <c r="H129" s="398">
        <v>0</v>
      </c>
      <c r="I129" s="312">
        <f t="shared" si="52"/>
        <v>0</v>
      </c>
      <c r="J129" s="457" t="e">
        <f t="shared" si="65"/>
        <v>#DIV/0!</v>
      </c>
      <c r="K129" s="369" t="e">
        <f t="shared" si="53"/>
        <v>#DIV/0!</v>
      </c>
      <c r="L129" s="404" t="e">
        <f t="shared" si="66"/>
        <v>#DIV/0!</v>
      </c>
      <c r="M129" s="312" t="e">
        <f t="shared" si="67"/>
        <v>#DIV/0!</v>
      </c>
      <c r="N129" s="298">
        <f t="shared" si="68"/>
        <v>19926.199874607497</v>
      </c>
      <c r="O129" s="312">
        <f t="shared" si="69"/>
        <v>3.6059110494439465E-4</v>
      </c>
      <c r="P129" s="404" t="e">
        <f t="shared" si="70"/>
        <v>#DIV/0!</v>
      </c>
      <c r="Q129" s="312" t="e">
        <f t="shared" si="77"/>
        <v>#DIV/0!</v>
      </c>
      <c r="R129" s="454" t="e">
        <f t="shared" si="71"/>
        <v>#DIV/0!</v>
      </c>
      <c r="S129" s="312" t="e">
        <f t="shared" si="72"/>
        <v>#DIV/0!</v>
      </c>
      <c r="T129" s="454" t="e">
        <f t="shared" si="73"/>
        <v>#DIV/0!</v>
      </c>
      <c r="U129" s="312" t="e">
        <f t="shared" si="74"/>
        <v>#DIV/0!</v>
      </c>
      <c r="V129" s="454">
        <f t="shared" si="75"/>
        <v>0</v>
      </c>
      <c r="W129" s="312">
        <f t="shared" si="80"/>
        <v>-1.0000002752637027</v>
      </c>
      <c r="X129" s="454">
        <f t="shared" si="76"/>
        <v>0</v>
      </c>
      <c r="Y129" s="312">
        <f t="shared" si="54"/>
        <v>-1</v>
      </c>
      <c r="Z129" s="674">
        <f t="shared" si="55"/>
        <v>0</v>
      </c>
      <c r="AA129" s="297"/>
      <c r="AB129" s="379">
        <f t="shared" si="55"/>
        <v>0</v>
      </c>
      <c r="AC129" s="297"/>
      <c r="AD129" s="413">
        <f t="shared" si="56"/>
        <v>0</v>
      </c>
      <c r="AE129" s="297"/>
      <c r="AG129" s="400" t="e">
        <f t="shared" si="57"/>
        <v>#DIV/0!</v>
      </c>
      <c r="AH129" s="401">
        <f t="shared" si="58"/>
        <v>0</v>
      </c>
      <c r="AI129" s="407">
        <f t="shared" si="59"/>
        <v>0</v>
      </c>
      <c r="AJ129" s="498"/>
      <c r="AK129" s="502">
        <f t="shared" si="60"/>
        <v>0</v>
      </c>
      <c r="AL129" s="503" t="e">
        <f t="shared" si="61"/>
        <v>#DIV/0!</v>
      </c>
      <c r="AM129" s="504" t="e">
        <f>AG129-AK129-AO129</f>
        <v>#DIV/0!</v>
      </c>
      <c r="AN129" s="503" t="e">
        <f t="shared" si="62"/>
        <v>#DIV/0!</v>
      </c>
      <c r="AO129" s="502">
        <f t="shared" si="63"/>
        <v>0</v>
      </c>
      <c r="AP129" s="503" t="e">
        <f t="shared" si="64"/>
        <v>#DIV/0!</v>
      </c>
      <c r="AQ129" s="314"/>
      <c r="AR129" s="110">
        <v>48245</v>
      </c>
      <c r="AS129" s="98">
        <f t="shared" si="81"/>
        <v>0</v>
      </c>
      <c r="AT129" s="98">
        <f t="shared" si="82"/>
        <v>0</v>
      </c>
      <c r="AU129" s="98"/>
      <c r="AV129" s="308"/>
      <c r="AW129" s="308"/>
      <c r="AX129" s="308"/>
      <c r="AY129" s="313"/>
      <c r="AZ129" s="313"/>
      <c r="BA129" s="313"/>
      <c r="BB129" s="313"/>
    </row>
    <row r="130" spans="1:54">
      <c r="A130" s="295">
        <v>45476</v>
      </c>
      <c r="B130" s="296">
        <f t="shared" si="46"/>
        <v>221886.11130359879</v>
      </c>
      <c r="C130" s="312">
        <f t="shared" si="47"/>
        <v>3.8483429990851547E-4</v>
      </c>
      <c r="D130" s="296">
        <f t="shared" si="48"/>
        <v>117933.14837299731</v>
      </c>
      <c r="E130" s="312">
        <f t="shared" si="49"/>
        <v>3.8486937629747287E-4</v>
      </c>
      <c r="F130" s="296">
        <f t="shared" si="50"/>
        <v>23900.701243136384</v>
      </c>
      <c r="G130" s="312">
        <f t="shared" si="51"/>
        <v>3.8464869601532911E-4</v>
      </c>
      <c r="H130" s="398">
        <v>0</v>
      </c>
      <c r="I130" s="312">
        <f t="shared" si="52"/>
        <v>0</v>
      </c>
      <c r="J130" s="457" t="e">
        <f t="shared" si="65"/>
        <v>#DIV/0!</v>
      </c>
      <c r="K130" s="369" t="e">
        <f t="shared" si="53"/>
        <v>#DIV/0!</v>
      </c>
      <c r="L130" s="404" t="e">
        <f t="shared" si="66"/>
        <v>#DIV/0!</v>
      </c>
      <c r="M130" s="312" t="e">
        <f t="shared" si="67"/>
        <v>#DIV/0!</v>
      </c>
      <c r="N130" s="298">
        <f t="shared" si="68"/>
        <v>19933.385085037626</v>
      </c>
      <c r="O130" s="312">
        <f t="shared" si="69"/>
        <v>3.6059110494445564E-4</v>
      </c>
      <c r="P130" s="404" t="e">
        <f t="shared" si="70"/>
        <v>#DIV/0!</v>
      </c>
      <c r="Q130" s="312" t="e">
        <f t="shared" si="77"/>
        <v>#DIV/0!</v>
      </c>
      <c r="R130" s="454" t="e">
        <f t="shared" si="71"/>
        <v>#DIV/0!</v>
      </c>
      <c r="S130" s="312" t="e">
        <f t="shared" si="72"/>
        <v>#DIV/0!</v>
      </c>
      <c r="T130" s="454" t="e">
        <f t="shared" si="73"/>
        <v>#DIV/0!</v>
      </c>
      <c r="U130" s="312" t="e">
        <f t="shared" si="74"/>
        <v>#DIV/0!</v>
      </c>
      <c r="V130" s="454">
        <f t="shared" si="75"/>
        <v>0</v>
      </c>
      <c r="W130" s="312">
        <f t="shared" si="80"/>
        <v>-1.0000002752637027</v>
      </c>
      <c r="X130" s="454">
        <f t="shared" si="76"/>
        <v>0</v>
      </c>
      <c r="Y130" s="312">
        <f t="shared" si="54"/>
        <v>-1</v>
      </c>
      <c r="Z130" s="674">
        <f t="shared" si="55"/>
        <v>0</v>
      </c>
      <c r="AA130" s="329"/>
      <c r="AB130" s="379">
        <f t="shared" si="55"/>
        <v>0</v>
      </c>
      <c r="AC130" s="329"/>
      <c r="AD130" s="413">
        <f t="shared" si="56"/>
        <v>0</v>
      </c>
      <c r="AE130" s="329"/>
      <c r="AG130" s="400" t="e">
        <f t="shared" si="57"/>
        <v>#DIV/0!</v>
      </c>
      <c r="AH130" s="401">
        <f t="shared" si="58"/>
        <v>0</v>
      </c>
      <c r="AI130" s="407">
        <f t="shared" si="59"/>
        <v>0</v>
      </c>
      <c r="AJ130" s="498"/>
      <c r="AK130" s="502">
        <f t="shared" si="60"/>
        <v>0</v>
      </c>
      <c r="AL130" s="503" t="e">
        <f t="shared" si="61"/>
        <v>#DIV/0!</v>
      </c>
      <c r="AM130" s="504" t="e">
        <f>AG130-AK130-AO130</f>
        <v>#DIV/0!</v>
      </c>
      <c r="AN130" s="503" t="e">
        <f t="shared" si="62"/>
        <v>#DIV/0!</v>
      </c>
      <c r="AO130" s="502">
        <f t="shared" si="63"/>
        <v>0</v>
      </c>
      <c r="AP130" s="503" t="e">
        <f t="shared" si="64"/>
        <v>#DIV/0!</v>
      </c>
      <c r="AQ130" s="314"/>
      <c r="AR130" s="110">
        <v>48274</v>
      </c>
      <c r="AS130" s="98">
        <f t="shared" si="81"/>
        <v>0</v>
      </c>
      <c r="AT130" s="98">
        <f t="shared" si="82"/>
        <v>0</v>
      </c>
      <c r="AU130" s="98"/>
      <c r="AV130" s="308"/>
      <c r="AW130" s="308"/>
      <c r="AX130" s="308"/>
      <c r="AY130" s="313"/>
      <c r="AZ130" s="313"/>
      <c r="BA130" s="313"/>
      <c r="BB130" s="313"/>
    </row>
    <row r="131" spans="1:54">
      <c r="A131" s="295">
        <v>45477</v>
      </c>
      <c r="B131" s="296">
        <f t="shared" si="46"/>
        <v>221971.50068990173</v>
      </c>
      <c r="C131" s="312">
        <f t="shared" si="47"/>
        <v>3.8483429990848696E-4</v>
      </c>
      <c r="D131" s="296">
        <f t="shared" si="48"/>
        <v>117978.53723025642</v>
      </c>
      <c r="E131" s="312">
        <f t="shared" si="49"/>
        <v>3.8486937629744484E-4</v>
      </c>
      <c r="F131" s="296">
        <f t="shared" si="50"/>
        <v>23909.894616703408</v>
      </c>
      <c r="G131" s="312">
        <f t="shared" si="51"/>
        <v>3.8464869601533626E-4</v>
      </c>
      <c r="H131" s="398">
        <v>0</v>
      </c>
      <c r="I131" s="312">
        <f t="shared" si="52"/>
        <v>0</v>
      </c>
      <c r="J131" s="457" t="e">
        <f t="shared" si="65"/>
        <v>#DIV/0!</v>
      </c>
      <c r="K131" s="369" t="e">
        <f t="shared" si="53"/>
        <v>#DIV/0!</v>
      </c>
      <c r="L131" s="404" t="e">
        <f t="shared" si="66"/>
        <v>#DIV/0!</v>
      </c>
      <c r="M131" s="312" t="e">
        <f t="shared" si="67"/>
        <v>#DIV/0!</v>
      </c>
      <c r="N131" s="298">
        <f t="shared" si="68"/>
        <v>19940.572886390724</v>
      </c>
      <c r="O131" s="312">
        <f t="shared" si="69"/>
        <v>3.6059110494453446E-4</v>
      </c>
      <c r="P131" s="404" t="e">
        <f t="shared" si="70"/>
        <v>#DIV/0!</v>
      </c>
      <c r="Q131" s="312" t="e">
        <f t="shared" si="77"/>
        <v>#DIV/0!</v>
      </c>
      <c r="R131" s="454" t="e">
        <f t="shared" si="71"/>
        <v>#DIV/0!</v>
      </c>
      <c r="S131" s="312" t="e">
        <f t="shared" si="72"/>
        <v>#DIV/0!</v>
      </c>
      <c r="T131" s="454" t="e">
        <f t="shared" si="73"/>
        <v>#DIV/0!</v>
      </c>
      <c r="U131" s="312" t="e">
        <f t="shared" si="74"/>
        <v>#DIV/0!</v>
      </c>
      <c r="V131" s="454">
        <f t="shared" si="75"/>
        <v>0</v>
      </c>
      <c r="W131" s="312">
        <f t="shared" si="80"/>
        <v>-1.0000002752637027</v>
      </c>
      <c r="X131" s="454">
        <f t="shared" si="76"/>
        <v>0</v>
      </c>
      <c r="Y131" s="312">
        <f t="shared" si="54"/>
        <v>-1</v>
      </c>
      <c r="Z131" s="674">
        <f t="shared" si="55"/>
        <v>0</v>
      </c>
      <c r="AA131" s="297"/>
      <c r="AB131" s="379">
        <f t="shared" si="55"/>
        <v>0</v>
      </c>
      <c r="AC131" s="297"/>
      <c r="AD131" s="413">
        <f t="shared" si="56"/>
        <v>0</v>
      </c>
      <c r="AE131" s="297"/>
      <c r="AG131" s="400" t="e">
        <f t="shared" si="57"/>
        <v>#DIV/0!</v>
      </c>
      <c r="AH131" s="401">
        <f t="shared" si="58"/>
        <v>0</v>
      </c>
      <c r="AI131" s="407">
        <f t="shared" si="59"/>
        <v>0</v>
      </c>
      <c r="AJ131" s="498"/>
      <c r="AK131" s="502">
        <f t="shared" si="60"/>
        <v>0</v>
      </c>
      <c r="AL131" s="503" t="e">
        <f t="shared" si="61"/>
        <v>#DIV/0!</v>
      </c>
      <c r="AM131" s="504" t="e">
        <f>AG131-AK131-AO131</f>
        <v>#DIV/0!</v>
      </c>
      <c r="AN131" s="503" t="e">
        <f t="shared" si="62"/>
        <v>#DIV/0!</v>
      </c>
      <c r="AO131" s="502">
        <f t="shared" si="63"/>
        <v>0</v>
      </c>
      <c r="AP131" s="503" t="e">
        <f t="shared" si="64"/>
        <v>#DIV/0!</v>
      </c>
      <c r="AQ131" s="314"/>
      <c r="AR131" s="110">
        <v>48305</v>
      </c>
      <c r="AS131" s="98">
        <f t="shared" si="81"/>
        <v>0</v>
      </c>
      <c r="AT131" s="98">
        <f t="shared" si="82"/>
        <v>0</v>
      </c>
      <c r="AU131" s="98"/>
      <c r="AV131" s="308"/>
      <c r="AW131" s="308"/>
      <c r="AX131" s="308"/>
      <c r="AY131" s="313"/>
      <c r="AZ131" s="313"/>
      <c r="BA131" s="313"/>
      <c r="BB131" s="313"/>
    </row>
    <row r="132" spans="1:54">
      <c r="A132" s="295">
        <v>45478</v>
      </c>
      <c r="B132" s="296">
        <f t="shared" ref="B132:B195" si="83">B131+B131*C131</f>
        <v>222056.92293696938</v>
      </c>
      <c r="C132" s="312">
        <f t="shared" ref="C132:C195" si="84">(B132-B131)/B131</f>
        <v>3.848342999085422E-4</v>
      </c>
      <c r="D132" s="296">
        <f t="shared" ref="D132:D195" si="85">D131+D131*E131</f>
        <v>118023.94355629671</v>
      </c>
      <c r="E132" s="312">
        <f t="shared" ref="E132:E195" si="86">(D132-D131)/D131</f>
        <v>3.8486937629742121E-4</v>
      </c>
      <c r="F132" s="296">
        <f t="shared" ref="F132:F195" si="87">F131+F131*G131</f>
        <v>23919.091526489588</v>
      </c>
      <c r="G132" s="312">
        <f t="shared" ref="G132:G195" si="88">(F132-F131)/F131</f>
        <v>3.8464869601538272E-4</v>
      </c>
      <c r="H132" s="398">
        <v>0</v>
      </c>
      <c r="I132" s="312">
        <f t="shared" ref="I132:I195" si="89">H132/(8993.1+10.04)</f>
        <v>0</v>
      </c>
      <c r="J132" s="457" t="e">
        <f t="shared" si="65"/>
        <v>#DIV/0!</v>
      </c>
      <c r="K132" s="369" t="e">
        <f t="shared" ref="K132:K195" si="90">(J132-J131)/J131</f>
        <v>#DIV/0!</v>
      </c>
      <c r="L132" s="404" t="e">
        <f t="shared" si="66"/>
        <v>#DIV/0!</v>
      </c>
      <c r="M132" s="312" t="e">
        <f t="shared" si="67"/>
        <v>#DIV/0!</v>
      </c>
      <c r="N132" s="298">
        <f t="shared" si="68"/>
        <v>19947.763279601055</v>
      </c>
      <c r="O132" s="312">
        <f t="shared" si="69"/>
        <v>3.6059110494452725E-4</v>
      </c>
      <c r="P132" s="404" t="e">
        <f t="shared" si="70"/>
        <v>#DIV/0!</v>
      </c>
      <c r="Q132" s="312" t="e">
        <f t="shared" si="77"/>
        <v>#DIV/0!</v>
      </c>
      <c r="R132" s="454" t="e">
        <f t="shared" si="71"/>
        <v>#DIV/0!</v>
      </c>
      <c r="S132" s="312" t="e">
        <f t="shared" si="72"/>
        <v>#DIV/0!</v>
      </c>
      <c r="T132" s="454" t="e">
        <f t="shared" si="73"/>
        <v>#DIV/0!</v>
      </c>
      <c r="U132" s="312" t="e">
        <f t="shared" si="74"/>
        <v>#DIV/0!</v>
      </c>
      <c r="V132" s="454">
        <f t="shared" si="75"/>
        <v>0</v>
      </c>
      <c r="W132" s="312">
        <f t="shared" si="80"/>
        <v>-1.0000002752637027</v>
      </c>
      <c r="X132" s="454">
        <f t="shared" si="76"/>
        <v>0</v>
      </c>
      <c r="Y132" s="312">
        <f t="shared" ref="Y132:Y195" si="91">(X132-(10))/(10)</f>
        <v>-1</v>
      </c>
      <c r="Z132" s="674">
        <f t="shared" ref="Z132:AB195" si="92">Z131</f>
        <v>0</v>
      </c>
      <c r="AA132" s="329"/>
      <c r="AB132" s="379">
        <f t="shared" si="92"/>
        <v>0</v>
      </c>
      <c r="AC132" s="329"/>
      <c r="AD132" s="413">
        <f t="shared" ref="AD132:AD195" si="93">AD131</f>
        <v>0</v>
      </c>
      <c r="AE132" s="329"/>
      <c r="AG132" s="400" t="e">
        <f t="shared" ref="AG132:AG195" si="94">B132+D132+F132+H132+J132+L132+N132+P132+R132+T132+V132+X132</f>
        <v>#DIV/0!</v>
      </c>
      <c r="AH132" s="401">
        <f t="shared" ref="AH132:AH195" si="95">AB132</f>
        <v>0</v>
      </c>
      <c r="AI132" s="407">
        <f t="shared" ref="AI132:AI195" si="96">AD132</f>
        <v>0</v>
      </c>
      <c r="AJ132" s="498"/>
      <c r="AK132" s="502">
        <f t="shared" ref="AK132:AK195" si="97">V132+X132</f>
        <v>0</v>
      </c>
      <c r="AL132" s="503" t="e">
        <f t="shared" ref="AL132:AL195" si="98">AK132/AG132</f>
        <v>#DIV/0!</v>
      </c>
      <c r="AM132" s="504" t="e">
        <f>AG132-AK132-AO132</f>
        <v>#DIV/0!</v>
      </c>
      <c r="AN132" s="503" t="e">
        <f t="shared" ref="AN132:AN195" si="99">AM132/AG132</f>
        <v>#DIV/0!</v>
      </c>
      <c r="AO132" s="502">
        <f t="shared" ref="AO132:AO195" si="100">Z132</f>
        <v>0</v>
      </c>
      <c r="AP132" s="503" t="e">
        <f t="shared" ref="AP132:AP195" si="101">AO132/AG132</f>
        <v>#DIV/0!</v>
      </c>
      <c r="AQ132" s="314"/>
      <c r="AR132" s="110">
        <v>48335</v>
      </c>
      <c r="AS132" s="98">
        <f t="shared" si="81"/>
        <v>0</v>
      </c>
      <c r="AT132" s="98">
        <f t="shared" si="82"/>
        <v>0</v>
      </c>
      <c r="AU132" s="98"/>
      <c r="AV132" s="308"/>
      <c r="AW132" s="308"/>
      <c r="AX132" s="308"/>
      <c r="AY132" s="313"/>
      <c r="AZ132" s="313"/>
      <c r="BA132" s="313"/>
      <c r="BB132" s="313"/>
    </row>
    <row r="133" spans="1:54">
      <c r="A133" s="295">
        <v>45481</v>
      </c>
      <c r="B133" s="296">
        <f t="shared" si="83"/>
        <v>222142.37805744767</v>
      </c>
      <c r="C133" s="312">
        <f t="shared" si="84"/>
        <v>3.8483429990853027E-4</v>
      </c>
      <c r="D133" s="296">
        <f t="shared" si="85"/>
        <v>118069.36735784139</v>
      </c>
      <c r="E133" s="312">
        <f t="shared" si="86"/>
        <v>3.8486937629743313E-4</v>
      </c>
      <c r="F133" s="296">
        <f t="shared" si="87"/>
        <v>23928.291973855125</v>
      </c>
      <c r="G133" s="312">
        <f t="shared" si="88"/>
        <v>3.8464869601535269E-4</v>
      </c>
      <c r="H133" s="398">
        <v>0</v>
      </c>
      <c r="I133" s="312">
        <f t="shared" si="89"/>
        <v>0</v>
      </c>
      <c r="J133" s="457" t="e">
        <f t="shared" ref="J133:J196" si="102">J132+J132*K132</f>
        <v>#DIV/0!</v>
      </c>
      <c r="K133" s="369" t="e">
        <f t="shared" si="90"/>
        <v>#DIV/0!</v>
      </c>
      <c r="L133" s="404" t="e">
        <f t="shared" ref="L133:L196" si="103">L132+L132*M132</f>
        <v>#DIV/0!</v>
      </c>
      <c r="M133" s="312" t="e">
        <f t="shared" ref="M133:M196" si="104">(L133-L132)/L132</f>
        <v>#DIV/0!</v>
      </c>
      <c r="N133" s="298">
        <f t="shared" ref="N133:N196" si="105">N132+N132*O132</f>
        <v>19954.956265603218</v>
      </c>
      <c r="O133" s="312">
        <f t="shared" ref="O133:O196" si="106">(N133-N132)/N132</f>
        <v>3.6059110494450654E-4</v>
      </c>
      <c r="P133" s="404" t="e">
        <f t="shared" ref="P133:P196" si="107">P132+P132*Q132</f>
        <v>#DIV/0!</v>
      </c>
      <c r="Q133" s="312" t="e">
        <f t="shared" si="77"/>
        <v>#DIV/0!</v>
      </c>
      <c r="R133" s="454" t="e">
        <f t="shared" ref="R133:R176" si="108">R132+R132*S132</f>
        <v>#DIV/0!</v>
      </c>
      <c r="S133" s="312" t="e">
        <f t="shared" ref="S133:S175" si="109">(R133-R132)/R132</f>
        <v>#DIV/0!</v>
      </c>
      <c r="T133" s="454" t="e">
        <f t="shared" ref="T133:T184" si="110">T132+T132*U132</f>
        <v>#DIV/0!</v>
      </c>
      <c r="U133" s="312" t="e">
        <f t="shared" ref="U133:U183" si="111">(T133-T132)/T132</f>
        <v>#DIV/0!</v>
      </c>
      <c r="V133" s="454">
        <f t="shared" ref="V133:V196" si="112">V132</f>
        <v>0</v>
      </c>
      <c r="W133" s="312">
        <f t="shared" si="80"/>
        <v>-1.0000002752637027</v>
      </c>
      <c r="X133" s="454">
        <f t="shared" ref="X133:X196" si="113">X132</f>
        <v>0</v>
      </c>
      <c r="Y133" s="312">
        <f t="shared" si="91"/>
        <v>-1</v>
      </c>
      <c r="Z133" s="674">
        <f t="shared" si="92"/>
        <v>0</v>
      </c>
      <c r="AA133" s="297"/>
      <c r="AB133" s="379">
        <f t="shared" si="92"/>
        <v>0</v>
      </c>
      <c r="AC133" s="297"/>
      <c r="AD133" s="413">
        <f t="shared" si="93"/>
        <v>0</v>
      </c>
      <c r="AE133" s="297"/>
      <c r="AF133" s="287"/>
      <c r="AG133" s="400" t="e">
        <f t="shared" si="94"/>
        <v>#DIV/0!</v>
      </c>
      <c r="AH133" s="401">
        <f t="shared" si="95"/>
        <v>0</v>
      </c>
      <c r="AI133" s="407">
        <f t="shared" si="96"/>
        <v>0</v>
      </c>
      <c r="AJ133" s="498"/>
      <c r="AK133" s="502">
        <f t="shared" si="97"/>
        <v>0</v>
      </c>
      <c r="AL133" s="503" t="e">
        <f t="shared" si="98"/>
        <v>#DIV/0!</v>
      </c>
      <c r="AM133" s="504" t="e">
        <f>AG133-AK133-AO133</f>
        <v>#DIV/0!</v>
      </c>
      <c r="AN133" s="503" t="e">
        <f t="shared" si="99"/>
        <v>#DIV/0!</v>
      </c>
      <c r="AO133" s="502">
        <f t="shared" si="100"/>
        <v>0</v>
      </c>
      <c r="AP133" s="503" t="e">
        <f t="shared" si="101"/>
        <v>#DIV/0!</v>
      </c>
      <c r="AQ133" s="314"/>
      <c r="AR133" s="110">
        <v>48366</v>
      </c>
      <c r="AS133" s="98">
        <f t="shared" si="81"/>
        <v>0</v>
      </c>
      <c r="AT133" s="98">
        <f t="shared" si="82"/>
        <v>0</v>
      </c>
      <c r="AU133" s="98"/>
      <c r="AV133" s="308"/>
      <c r="AW133" s="308"/>
      <c r="AX133" s="308"/>
      <c r="AY133" s="313"/>
      <c r="AZ133" s="313"/>
      <c r="BA133" s="313"/>
      <c r="BB133" s="313"/>
    </row>
    <row r="134" spans="1:54">
      <c r="A134" s="295">
        <v>45482</v>
      </c>
      <c r="B134" s="296">
        <f t="shared" si="83"/>
        <v>222227.86606398743</v>
      </c>
      <c r="C134" s="312">
        <f t="shared" si="84"/>
        <v>3.8483429990855412E-4</v>
      </c>
      <c r="D134" s="296">
        <f t="shared" si="85"/>
        <v>118114.80864161623</v>
      </c>
      <c r="E134" s="312">
        <f t="shared" si="86"/>
        <v>3.8486937629738011E-4</v>
      </c>
      <c r="F134" s="296">
        <f t="shared" si="87"/>
        <v>23937.495960160744</v>
      </c>
      <c r="G134" s="312">
        <f t="shared" si="88"/>
        <v>3.846486960154263E-4</v>
      </c>
      <c r="H134" s="398">
        <v>0</v>
      </c>
      <c r="I134" s="312">
        <f t="shared" si="89"/>
        <v>0</v>
      </c>
      <c r="J134" s="457" t="e">
        <f t="shared" si="102"/>
        <v>#DIV/0!</v>
      </c>
      <c r="K134" s="369" t="e">
        <f t="shared" si="90"/>
        <v>#DIV/0!</v>
      </c>
      <c r="L134" s="404" t="e">
        <f t="shared" si="103"/>
        <v>#DIV/0!</v>
      </c>
      <c r="M134" s="312" t="e">
        <f t="shared" si="104"/>
        <v>#DIV/0!</v>
      </c>
      <c r="N134" s="298">
        <f t="shared" si="105"/>
        <v>19962.151845332151</v>
      </c>
      <c r="O134" s="312">
        <f t="shared" si="106"/>
        <v>3.6059110494453858E-4</v>
      </c>
      <c r="P134" s="404" t="e">
        <f t="shared" si="107"/>
        <v>#DIV/0!</v>
      </c>
      <c r="Q134" s="312" t="e">
        <f t="shared" si="77"/>
        <v>#DIV/0!</v>
      </c>
      <c r="R134" s="454" t="e">
        <f t="shared" si="108"/>
        <v>#DIV/0!</v>
      </c>
      <c r="S134" s="312" t="e">
        <f t="shared" si="109"/>
        <v>#DIV/0!</v>
      </c>
      <c r="T134" s="454" t="e">
        <f t="shared" si="110"/>
        <v>#DIV/0!</v>
      </c>
      <c r="U134" s="312" t="e">
        <f t="shared" si="111"/>
        <v>#DIV/0!</v>
      </c>
      <c r="V134" s="454">
        <f t="shared" si="112"/>
        <v>0</v>
      </c>
      <c r="W134" s="312">
        <f t="shared" si="80"/>
        <v>-1.0000002752637027</v>
      </c>
      <c r="X134" s="454">
        <f t="shared" si="113"/>
        <v>0</v>
      </c>
      <c r="Y134" s="312">
        <f t="shared" si="91"/>
        <v>-1</v>
      </c>
      <c r="Z134" s="674">
        <f t="shared" si="92"/>
        <v>0</v>
      </c>
      <c r="AA134" s="329"/>
      <c r="AB134" s="379">
        <f t="shared" si="92"/>
        <v>0</v>
      </c>
      <c r="AC134" s="329"/>
      <c r="AD134" s="413">
        <f t="shared" si="93"/>
        <v>0</v>
      </c>
      <c r="AE134" s="329"/>
      <c r="AG134" s="400" t="e">
        <f t="shared" si="94"/>
        <v>#DIV/0!</v>
      </c>
      <c r="AH134" s="401">
        <f t="shared" si="95"/>
        <v>0</v>
      </c>
      <c r="AI134" s="407">
        <f t="shared" si="96"/>
        <v>0</v>
      </c>
      <c r="AJ134" s="498"/>
      <c r="AK134" s="502">
        <f t="shared" si="97"/>
        <v>0</v>
      </c>
      <c r="AL134" s="503" t="e">
        <f t="shared" si="98"/>
        <v>#DIV/0!</v>
      </c>
      <c r="AM134" s="504" t="e">
        <f>AG134-AK134-AO134</f>
        <v>#DIV/0!</v>
      </c>
      <c r="AN134" s="503" t="e">
        <f t="shared" si="99"/>
        <v>#DIV/0!</v>
      </c>
      <c r="AO134" s="502">
        <f t="shared" si="100"/>
        <v>0</v>
      </c>
      <c r="AP134" s="503" t="e">
        <f t="shared" si="101"/>
        <v>#DIV/0!</v>
      </c>
      <c r="AQ134" s="314"/>
      <c r="AR134" s="110">
        <v>48396</v>
      </c>
      <c r="AS134" s="98">
        <f t="shared" si="81"/>
        <v>0</v>
      </c>
      <c r="AT134" s="98">
        <f t="shared" si="82"/>
        <v>0</v>
      </c>
      <c r="AU134" s="98"/>
      <c r="AV134" s="308"/>
      <c r="AW134" s="308"/>
      <c r="AX134" s="308"/>
      <c r="AY134" s="313"/>
      <c r="AZ134" s="313"/>
      <c r="BA134" s="313"/>
      <c r="BB134" s="313"/>
    </row>
    <row r="135" spans="1:54">
      <c r="A135" s="295">
        <v>45483</v>
      </c>
      <c r="B135" s="296">
        <f t="shared" si="83"/>
        <v>222313.38696924434</v>
      </c>
      <c r="C135" s="312">
        <f t="shared" si="84"/>
        <v>3.8483429990857711E-4</v>
      </c>
      <c r="D135" s="296">
        <f t="shared" si="85"/>
        <v>118160.26741434961</v>
      </c>
      <c r="E135" s="312">
        <f t="shared" si="86"/>
        <v>3.8486937629739974E-4</v>
      </c>
      <c r="F135" s="296">
        <f t="shared" si="87"/>
        <v>23946.703486767696</v>
      </c>
      <c r="G135" s="312">
        <f t="shared" si="88"/>
        <v>3.8464869601547092E-4</v>
      </c>
      <c r="H135" s="398">
        <v>0</v>
      </c>
      <c r="I135" s="312">
        <f t="shared" si="89"/>
        <v>0</v>
      </c>
      <c r="J135" s="457" t="e">
        <f t="shared" si="102"/>
        <v>#DIV/0!</v>
      </c>
      <c r="K135" s="369" t="e">
        <f t="shared" si="90"/>
        <v>#DIV/0!</v>
      </c>
      <c r="L135" s="404" t="e">
        <f t="shared" si="103"/>
        <v>#DIV/0!</v>
      </c>
      <c r="M135" s="312" t="e">
        <f t="shared" si="104"/>
        <v>#DIV/0!</v>
      </c>
      <c r="N135" s="298">
        <f t="shared" si="105"/>
        <v>19969.35001972313</v>
      </c>
      <c r="O135" s="312">
        <f t="shared" si="106"/>
        <v>3.6059110494450139E-4</v>
      </c>
      <c r="P135" s="404" t="e">
        <f t="shared" si="107"/>
        <v>#DIV/0!</v>
      </c>
      <c r="Q135" s="312" t="e">
        <f t="shared" si="77"/>
        <v>#DIV/0!</v>
      </c>
      <c r="R135" s="454" t="e">
        <f t="shared" si="108"/>
        <v>#DIV/0!</v>
      </c>
      <c r="S135" s="312" t="e">
        <f t="shared" si="109"/>
        <v>#DIV/0!</v>
      </c>
      <c r="T135" s="454" t="e">
        <f t="shared" si="110"/>
        <v>#DIV/0!</v>
      </c>
      <c r="U135" s="312" t="e">
        <f t="shared" si="111"/>
        <v>#DIV/0!</v>
      </c>
      <c r="V135" s="454">
        <f t="shared" si="112"/>
        <v>0</v>
      </c>
      <c r="W135" s="312">
        <f t="shared" si="80"/>
        <v>-1.0000002752637027</v>
      </c>
      <c r="X135" s="454">
        <f t="shared" si="113"/>
        <v>0</v>
      </c>
      <c r="Y135" s="312">
        <f t="shared" si="91"/>
        <v>-1</v>
      </c>
      <c r="Z135" s="674">
        <f t="shared" si="92"/>
        <v>0</v>
      </c>
      <c r="AA135" s="297"/>
      <c r="AB135" s="379">
        <f t="shared" si="92"/>
        <v>0</v>
      </c>
      <c r="AC135" s="297"/>
      <c r="AD135" s="413">
        <f t="shared" si="93"/>
        <v>0</v>
      </c>
      <c r="AE135" s="297"/>
      <c r="AG135" s="400" t="e">
        <f t="shared" si="94"/>
        <v>#DIV/0!</v>
      </c>
      <c r="AH135" s="401">
        <f t="shared" si="95"/>
        <v>0</v>
      </c>
      <c r="AI135" s="407">
        <f t="shared" si="96"/>
        <v>0</v>
      </c>
      <c r="AJ135" s="498"/>
      <c r="AK135" s="502">
        <f t="shared" si="97"/>
        <v>0</v>
      </c>
      <c r="AL135" s="503" t="e">
        <f t="shared" si="98"/>
        <v>#DIV/0!</v>
      </c>
      <c r="AM135" s="504" t="e">
        <f>AG135-AK135-AO135</f>
        <v>#DIV/0!</v>
      </c>
      <c r="AN135" s="503" t="e">
        <f t="shared" si="99"/>
        <v>#DIV/0!</v>
      </c>
      <c r="AO135" s="502">
        <f t="shared" si="100"/>
        <v>0</v>
      </c>
      <c r="AP135" s="503" t="e">
        <f t="shared" si="101"/>
        <v>#DIV/0!</v>
      </c>
      <c r="AQ135" s="314"/>
      <c r="AR135" s="110">
        <v>48427</v>
      </c>
      <c r="AS135" s="98">
        <f t="shared" si="81"/>
        <v>0</v>
      </c>
      <c r="AT135" s="98">
        <f t="shared" si="82"/>
        <v>0</v>
      </c>
      <c r="AU135" s="98"/>
      <c r="AV135" s="308"/>
      <c r="AW135" s="308"/>
      <c r="AX135" s="308"/>
      <c r="AY135" s="313"/>
      <c r="AZ135" s="313"/>
      <c r="BA135" s="313"/>
      <c r="BB135" s="313"/>
    </row>
    <row r="136" spans="1:54">
      <c r="A136" s="295">
        <v>45484</v>
      </c>
      <c r="B136" s="296">
        <f t="shared" si="83"/>
        <v>222398.94078587895</v>
      </c>
      <c r="C136" s="312">
        <f t="shared" si="84"/>
        <v>3.8483429990855429E-4</v>
      </c>
      <c r="D136" s="296">
        <f t="shared" si="85"/>
        <v>118205.7436827725</v>
      </c>
      <c r="E136" s="312">
        <f t="shared" si="86"/>
        <v>3.8486937629737464E-4</v>
      </c>
      <c r="F136" s="296">
        <f t="shared" si="87"/>
        <v>23955.914555037751</v>
      </c>
      <c r="G136" s="312">
        <f t="shared" si="88"/>
        <v>3.846486960154977E-4</v>
      </c>
      <c r="H136" s="398">
        <v>0</v>
      </c>
      <c r="I136" s="312">
        <f t="shared" si="89"/>
        <v>0</v>
      </c>
      <c r="J136" s="457" t="e">
        <f t="shared" si="102"/>
        <v>#DIV/0!</v>
      </c>
      <c r="K136" s="369" t="e">
        <f t="shared" si="90"/>
        <v>#DIV/0!</v>
      </c>
      <c r="L136" s="404" t="e">
        <f t="shared" si="103"/>
        <v>#DIV/0!</v>
      </c>
      <c r="M136" s="312" t="e">
        <f t="shared" si="104"/>
        <v>#DIV/0!</v>
      </c>
      <c r="N136" s="298">
        <f t="shared" si="105"/>
        <v>19976.550789711764</v>
      </c>
      <c r="O136" s="312">
        <f t="shared" si="106"/>
        <v>3.6059110494444913E-4</v>
      </c>
      <c r="P136" s="404" t="e">
        <f t="shared" si="107"/>
        <v>#DIV/0!</v>
      </c>
      <c r="Q136" s="312" t="e">
        <f t="shared" si="77"/>
        <v>#DIV/0!</v>
      </c>
      <c r="R136" s="454" t="e">
        <f t="shared" si="108"/>
        <v>#DIV/0!</v>
      </c>
      <c r="S136" s="312" t="e">
        <f t="shared" si="109"/>
        <v>#DIV/0!</v>
      </c>
      <c r="T136" s="454" t="e">
        <f t="shared" si="110"/>
        <v>#DIV/0!</v>
      </c>
      <c r="U136" s="312" t="e">
        <f t="shared" si="111"/>
        <v>#DIV/0!</v>
      </c>
      <c r="V136" s="454">
        <f t="shared" si="112"/>
        <v>0</v>
      </c>
      <c r="W136" s="312">
        <f t="shared" si="80"/>
        <v>-1.0000002752637027</v>
      </c>
      <c r="X136" s="454">
        <f t="shared" si="113"/>
        <v>0</v>
      </c>
      <c r="Y136" s="312">
        <f t="shared" si="91"/>
        <v>-1</v>
      </c>
      <c r="Z136" s="674">
        <f t="shared" si="92"/>
        <v>0</v>
      </c>
      <c r="AA136" s="329"/>
      <c r="AB136" s="379">
        <f t="shared" si="92"/>
        <v>0</v>
      </c>
      <c r="AC136" s="329"/>
      <c r="AD136" s="413">
        <f t="shared" si="93"/>
        <v>0</v>
      </c>
      <c r="AE136" s="329"/>
      <c r="AG136" s="400" t="e">
        <f t="shared" si="94"/>
        <v>#DIV/0!</v>
      </c>
      <c r="AH136" s="401">
        <f t="shared" si="95"/>
        <v>0</v>
      </c>
      <c r="AI136" s="407">
        <f t="shared" si="96"/>
        <v>0</v>
      </c>
      <c r="AJ136" s="498"/>
      <c r="AK136" s="502">
        <f t="shared" si="97"/>
        <v>0</v>
      </c>
      <c r="AL136" s="503" t="e">
        <f t="shared" si="98"/>
        <v>#DIV/0!</v>
      </c>
      <c r="AM136" s="504" t="e">
        <f>AG136-AK136-AO136</f>
        <v>#DIV/0!</v>
      </c>
      <c r="AN136" s="503" t="e">
        <f t="shared" si="99"/>
        <v>#DIV/0!</v>
      </c>
      <c r="AO136" s="502">
        <f t="shared" si="100"/>
        <v>0</v>
      </c>
      <c r="AP136" s="503" t="e">
        <f t="shared" si="101"/>
        <v>#DIV/0!</v>
      </c>
      <c r="AQ136" s="314"/>
      <c r="AR136" s="110">
        <v>48458</v>
      </c>
      <c r="AS136" s="98">
        <f t="shared" si="81"/>
        <v>0</v>
      </c>
      <c r="AT136" s="98">
        <f t="shared" si="82"/>
        <v>0</v>
      </c>
      <c r="AU136" s="98"/>
      <c r="AV136" s="308"/>
      <c r="AW136" s="308"/>
      <c r="AX136" s="308"/>
      <c r="AY136" s="313"/>
      <c r="AZ136" s="313"/>
      <c r="BA136" s="313"/>
      <c r="BB136" s="313"/>
    </row>
    <row r="137" spans="1:54">
      <c r="A137" s="295">
        <v>45485</v>
      </c>
      <c r="B137" s="296">
        <f t="shared" si="83"/>
        <v>222484.52752655669</v>
      </c>
      <c r="C137" s="312">
        <f t="shared" si="84"/>
        <v>3.8483429990856318E-4</v>
      </c>
      <c r="D137" s="296">
        <f t="shared" si="85"/>
        <v>118251.23745361847</v>
      </c>
      <c r="E137" s="312">
        <f t="shared" si="86"/>
        <v>3.8486937629742543E-4</v>
      </c>
      <c r="F137" s="296">
        <f t="shared" si="87"/>
        <v>23965.129166333205</v>
      </c>
      <c r="G137" s="312">
        <f t="shared" si="88"/>
        <v>3.8464869601550941E-4</v>
      </c>
      <c r="H137" s="398">
        <v>0</v>
      </c>
      <c r="I137" s="312">
        <f t="shared" si="89"/>
        <v>0</v>
      </c>
      <c r="J137" s="457" t="e">
        <f t="shared" si="102"/>
        <v>#DIV/0!</v>
      </c>
      <c r="K137" s="369" t="e">
        <f t="shared" si="90"/>
        <v>#DIV/0!</v>
      </c>
      <c r="L137" s="404" t="e">
        <f t="shared" si="103"/>
        <v>#DIV/0!</v>
      </c>
      <c r="M137" s="312" t="e">
        <f t="shared" si="104"/>
        <v>#DIV/0!</v>
      </c>
      <c r="N137" s="298">
        <f t="shared" si="105"/>
        <v>19983.754156234005</v>
      </c>
      <c r="O137" s="312">
        <f t="shared" si="106"/>
        <v>3.6059110494442972E-4</v>
      </c>
      <c r="P137" s="404" t="e">
        <f t="shared" si="107"/>
        <v>#DIV/0!</v>
      </c>
      <c r="Q137" s="312" t="e">
        <f t="shared" si="77"/>
        <v>#DIV/0!</v>
      </c>
      <c r="R137" s="454" t="e">
        <f t="shared" si="108"/>
        <v>#DIV/0!</v>
      </c>
      <c r="S137" s="312" t="e">
        <f t="shared" si="109"/>
        <v>#DIV/0!</v>
      </c>
      <c r="T137" s="454" t="e">
        <f t="shared" si="110"/>
        <v>#DIV/0!</v>
      </c>
      <c r="U137" s="312" t="e">
        <f t="shared" si="111"/>
        <v>#DIV/0!</v>
      </c>
      <c r="V137" s="454">
        <f t="shared" si="112"/>
        <v>0</v>
      </c>
      <c r="W137" s="312">
        <f t="shared" si="80"/>
        <v>-1.0000002752637027</v>
      </c>
      <c r="X137" s="454">
        <f t="shared" si="113"/>
        <v>0</v>
      </c>
      <c r="Y137" s="312">
        <f t="shared" si="91"/>
        <v>-1</v>
      </c>
      <c r="Z137" s="674">
        <f t="shared" si="92"/>
        <v>0</v>
      </c>
      <c r="AA137" s="297"/>
      <c r="AB137" s="379">
        <f t="shared" si="92"/>
        <v>0</v>
      </c>
      <c r="AC137" s="297"/>
      <c r="AD137" s="413">
        <f t="shared" si="93"/>
        <v>0</v>
      </c>
      <c r="AE137" s="297"/>
      <c r="AG137" s="400" t="e">
        <f t="shared" si="94"/>
        <v>#DIV/0!</v>
      </c>
      <c r="AH137" s="401">
        <f t="shared" si="95"/>
        <v>0</v>
      </c>
      <c r="AI137" s="407">
        <f t="shared" si="96"/>
        <v>0</v>
      </c>
      <c r="AJ137" s="498"/>
      <c r="AK137" s="502">
        <f t="shared" si="97"/>
        <v>0</v>
      </c>
      <c r="AL137" s="503" t="e">
        <f t="shared" si="98"/>
        <v>#DIV/0!</v>
      </c>
      <c r="AM137" s="504" t="e">
        <f>AG137-AK137-AO137</f>
        <v>#DIV/0!</v>
      </c>
      <c r="AN137" s="503" t="e">
        <f t="shared" si="99"/>
        <v>#DIV/0!</v>
      </c>
      <c r="AO137" s="502">
        <f t="shared" si="100"/>
        <v>0</v>
      </c>
      <c r="AP137" s="503" t="e">
        <f t="shared" si="101"/>
        <v>#DIV/0!</v>
      </c>
      <c r="AQ137" s="314"/>
      <c r="AR137" s="110">
        <v>48488</v>
      </c>
      <c r="AS137" s="98">
        <f t="shared" si="81"/>
        <v>0</v>
      </c>
      <c r="AT137" s="98">
        <f t="shared" si="82"/>
        <v>0</v>
      </c>
      <c r="AU137" s="98"/>
      <c r="AV137" s="308"/>
      <c r="AW137" s="308"/>
      <c r="AX137" s="308"/>
      <c r="AY137" s="313"/>
      <c r="AZ137" s="313"/>
      <c r="BA137" s="313"/>
      <c r="BB137" s="313"/>
    </row>
    <row r="138" spans="1:54">
      <c r="A138" s="295">
        <v>45488</v>
      </c>
      <c r="B138" s="296">
        <f t="shared" si="83"/>
        <v>222570.14720394785</v>
      </c>
      <c r="C138" s="312">
        <f t="shared" si="84"/>
        <v>3.8483429990854193E-4</v>
      </c>
      <c r="D138" s="296">
        <f t="shared" si="85"/>
        <v>118296.74873362364</v>
      </c>
      <c r="E138" s="312">
        <f t="shared" si="86"/>
        <v>3.8486937629741795E-4</v>
      </c>
      <c r="F138" s="296">
        <f t="shared" si="87"/>
        <v>23974.347322016878</v>
      </c>
      <c r="G138" s="312">
        <f t="shared" si="88"/>
        <v>3.8464869601550041E-4</v>
      </c>
      <c r="H138" s="398">
        <v>0</v>
      </c>
      <c r="I138" s="312">
        <f t="shared" si="89"/>
        <v>0</v>
      </c>
      <c r="J138" s="457" t="e">
        <f t="shared" si="102"/>
        <v>#DIV/0!</v>
      </c>
      <c r="K138" s="369" t="e">
        <f t="shared" si="90"/>
        <v>#DIV/0!</v>
      </c>
      <c r="L138" s="404" t="e">
        <f t="shared" si="103"/>
        <v>#DIV/0!</v>
      </c>
      <c r="M138" s="312" t="e">
        <f t="shared" si="104"/>
        <v>#DIV/0!</v>
      </c>
      <c r="N138" s="298">
        <f t="shared" si="105"/>
        <v>19990.96012022614</v>
      </c>
      <c r="O138" s="312">
        <f t="shared" si="106"/>
        <v>3.6059110494448513E-4</v>
      </c>
      <c r="P138" s="404" t="e">
        <f t="shared" si="107"/>
        <v>#DIV/0!</v>
      </c>
      <c r="Q138" s="312" t="e">
        <f t="shared" si="77"/>
        <v>#DIV/0!</v>
      </c>
      <c r="R138" s="454" t="e">
        <f t="shared" si="108"/>
        <v>#DIV/0!</v>
      </c>
      <c r="S138" s="312" t="e">
        <f t="shared" si="109"/>
        <v>#DIV/0!</v>
      </c>
      <c r="T138" s="454" t="e">
        <f t="shared" si="110"/>
        <v>#DIV/0!</v>
      </c>
      <c r="U138" s="312" t="e">
        <f t="shared" si="111"/>
        <v>#DIV/0!</v>
      </c>
      <c r="V138" s="454">
        <f t="shared" si="112"/>
        <v>0</v>
      </c>
      <c r="W138" s="312">
        <f t="shared" si="80"/>
        <v>-1.0000002752637027</v>
      </c>
      <c r="X138" s="454">
        <f t="shared" si="113"/>
        <v>0</v>
      </c>
      <c r="Y138" s="312">
        <f t="shared" si="91"/>
        <v>-1</v>
      </c>
      <c r="Z138" s="674">
        <f t="shared" si="92"/>
        <v>0</v>
      </c>
      <c r="AA138" s="329"/>
      <c r="AB138" s="379">
        <f t="shared" si="92"/>
        <v>0</v>
      </c>
      <c r="AC138" s="329"/>
      <c r="AD138" s="413">
        <f t="shared" si="93"/>
        <v>0</v>
      </c>
      <c r="AE138" s="329"/>
      <c r="AG138" s="400" t="e">
        <f t="shared" si="94"/>
        <v>#DIV/0!</v>
      </c>
      <c r="AH138" s="401">
        <f t="shared" si="95"/>
        <v>0</v>
      </c>
      <c r="AI138" s="407">
        <f t="shared" si="96"/>
        <v>0</v>
      </c>
      <c r="AJ138" s="498"/>
      <c r="AK138" s="502">
        <f t="shared" si="97"/>
        <v>0</v>
      </c>
      <c r="AL138" s="503" t="e">
        <f t="shared" si="98"/>
        <v>#DIV/0!</v>
      </c>
      <c r="AM138" s="504" t="e">
        <f>AG138-AK138-AO138</f>
        <v>#DIV/0!</v>
      </c>
      <c r="AN138" s="503" t="e">
        <f t="shared" si="99"/>
        <v>#DIV/0!</v>
      </c>
      <c r="AO138" s="502">
        <f t="shared" si="100"/>
        <v>0</v>
      </c>
      <c r="AP138" s="503" t="e">
        <f t="shared" si="101"/>
        <v>#DIV/0!</v>
      </c>
      <c r="AQ138" s="314"/>
      <c r="AR138" s="110">
        <v>48519</v>
      </c>
      <c r="AS138" s="98">
        <f t="shared" si="81"/>
        <v>0</v>
      </c>
      <c r="AT138" s="98">
        <f t="shared" si="82"/>
        <v>0</v>
      </c>
      <c r="AU138" s="98"/>
      <c r="AV138" s="308"/>
      <c r="AW138" s="308"/>
      <c r="AX138" s="308"/>
      <c r="AY138" s="313"/>
      <c r="AZ138" s="313"/>
      <c r="BA138" s="313"/>
      <c r="BB138" s="313"/>
    </row>
    <row r="139" spans="1:54">
      <c r="A139" s="295">
        <v>45489</v>
      </c>
      <c r="B139" s="296">
        <f t="shared" si="83"/>
        <v>222655.79983072763</v>
      </c>
      <c r="C139" s="312">
        <f t="shared" si="84"/>
        <v>3.8483429990855109E-4</v>
      </c>
      <c r="D139" s="296">
        <f t="shared" si="85"/>
        <v>118342.27752952676</v>
      </c>
      <c r="E139" s="312">
        <f t="shared" si="86"/>
        <v>3.8486937629745595E-4</v>
      </c>
      <c r="F139" s="296">
        <f t="shared" si="87"/>
        <v>23983.569023452113</v>
      </c>
      <c r="G139" s="312">
        <f t="shared" si="88"/>
        <v>3.8464869601545655E-4</v>
      </c>
      <c r="H139" s="398">
        <v>0</v>
      </c>
      <c r="I139" s="312">
        <f t="shared" si="89"/>
        <v>0</v>
      </c>
      <c r="J139" s="457" t="e">
        <f t="shared" si="102"/>
        <v>#DIV/0!</v>
      </c>
      <c r="K139" s="369" t="e">
        <f t="shared" si="90"/>
        <v>#DIV/0!</v>
      </c>
      <c r="L139" s="404" t="e">
        <f t="shared" si="103"/>
        <v>#DIV/0!</v>
      </c>
      <c r="M139" s="312" t="e">
        <f t="shared" si="104"/>
        <v>#DIV/0!</v>
      </c>
      <c r="N139" s="298">
        <f t="shared" si="105"/>
        <v>19998.168682624793</v>
      </c>
      <c r="O139" s="312">
        <f t="shared" si="106"/>
        <v>3.6059110494446892E-4</v>
      </c>
      <c r="P139" s="404" t="e">
        <f t="shared" si="107"/>
        <v>#DIV/0!</v>
      </c>
      <c r="Q139" s="312" t="e">
        <f t="shared" ref="Q139:Q202" si="114">(P139+2243.33-P138)/P138</f>
        <v>#DIV/0!</v>
      </c>
      <c r="R139" s="454" t="e">
        <f t="shared" si="108"/>
        <v>#DIV/0!</v>
      </c>
      <c r="S139" s="312" t="e">
        <f t="shared" si="109"/>
        <v>#DIV/0!</v>
      </c>
      <c r="T139" s="454" t="e">
        <f t="shared" si="110"/>
        <v>#DIV/0!</v>
      </c>
      <c r="U139" s="312" t="e">
        <f t="shared" si="111"/>
        <v>#DIV/0!</v>
      </c>
      <c r="V139" s="454">
        <f t="shared" si="112"/>
        <v>0</v>
      </c>
      <c r="W139" s="312">
        <f t="shared" si="80"/>
        <v>-1.0000002752637027</v>
      </c>
      <c r="X139" s="454">
        <f t="shared" si="113"/>
        <v>0</v>
      </c>
      <c r="Y139" s="312">
        <f t="shared" si="91"/>
        <v>-1</v>
      </c>
      <c r="Z139" s="674">
        <f t="shared" si="92"/>
        <v>0</v>
      </c>
      <c r="AA139" s="297"/>
      <c r="AB139" s="379">
        <f t="shared" si="92"/>
        <v>0</v>
      </c>
      <c r="AC139" s="297"/>
      <c r="AD139" s="413">
        <f t="shared" si="93"/>
        <v>0</v>
      </c>
      <c r="AE139" s="297"/>
      <c r="AG139" s="400" t="e">
        <f t="shared" si="94"/>
        <v>#DIV/0!</v>
      </c>
      <c r="AH139" s="401">
        <f t="shared" si="95"/>
        <v>0</v>
      </c>
      <c r="AI139" s="407">
        <f t="shared" si="96"/>
        <v>0</v>
      </c>
      <c r="AJ139" s="498"/>
      <c r="AK139" s="502">
        <f t="shared" si="97"/>
        <v>0</v>
      </c>
      <c r="AL139" s="503" t="e">
        <f t="shared" si="98"/>
        <v>#DIV/0!</v>
      </c>
      <c r="AM139" s="504" t="e">
        <f>AG139-AK139-AO139</f>
        <v>#DIV/0!</v>
      </c>
      <c r="AN139" s="503" t="e">
        <f t="shared" si="99"/>
        <v>#DIV/0!</v>
      </c>
      <c r="AO139" s="502">
        <f t="shared" si="100"/>
        <v>0</v>
      </c>
      <c r="AP139" s="503" t="e">
        <f t="shared" si="101"/>
        <v>#DIV/0!</v>
      </c>
      <c r="AQ139" s="314"/>
      <c r="AR139" s="110">
        <v>48549</v>
      </c>
      <c r="AS139" s="98">
        <f t="shared" si="81"/>
        <v>0</v>
      </c>
      <c r="AT139" s="98">
        <f t="shared" si="82"/>
        <v>0</v>
      </c>
      <c r="AU139" s="98"/>
      <c r="AV139" s="308"/>
      <c r="AW139" s="308"/>
      <c r="AX139" s="308"/>
      <c r="AY139" s="313"/>
      <c r="AZ139" s="313"/>
      <c r="BA139" s="313"/>
      <c r="BB139" s="313"/>
    </row>
    <row r="140" spans="1:54">
      <c r="A140" s="295">
        <v>45490</v>
      </c>
      <c r="B140" s="296">
        <f t="shared" si="83"/>
        <v>222741.48541957606</v>
      </c>
      <c r="C140" s="312">
        <f t="shared" si="84"/>
        <v>3.8483429990851206E-4</v>
      </c>
      <c r="D140" s="296">
        <f t="shared" si="85"/>
        <v>118387.82384806918</v>
      </c>
      <c r="E140" s="312">
        <f t="shared" si="86"/>
        <v>3.8486937629751147E-4</v>
      </c>
      <c r="F140" s="296">
        <f t="shared" si="87"/>
        <v>23992.794272002782</v>
      </c>
      <c r="G140" s="312">
        <f t="shared" si="88"/>
        <v>3.8464869601550719E-4</v>
      </c>
      <c r="H140" s="398">
        <v>0</v>
      </c>
      <c r="I140" s="312">
        <f t="shared" si="89"/>
        <v>0</v>
      </c>
      <c r="J140" s="457" t="e">
        <f t="shared" si="102"/>
        <v>#DIV/0!</v>
      </c>
      <c r="K140" s="369" t="e">
        <f t="shared" si="90"/>
        <v>#DIV/0!</v>
      </c>
      <c r="L140" s="404" t="e">
        <f t="shared" si="103"/>
        <v>#DIV/0!</v>
      </c>
      <c r="M140" s="312" t="e">
        <f t="shared" si="104"/>
        <v>#DIV/0!</v>
      </c>
      <c r="N140" s="298">
        <f t="shared" si="105"/>
        <v>20005.379844366926</v>
      </c>
      <c r="O140" s="312">
        <f t="shared" si="106"/>
        <v>3.6059110494441097E-4</v>
      </c>
      <c r="P140" s="404" t="e">
        <f t="shared" si="107"/>
        <v>#DIV/0!</v>
      </c>
      <c r="Q140" s="312" t="e">
        <f t="shared" si="114"/>
        <v>#DIV/0!</v>
      </c>
      <c r="R140" s="454" t="e">
        <f t="shared" si="108"/>
        <v>#DIV/0!</v>
      </c>
      <c r="S140" s="312" t="e">
        <f t="shared" si="109"/>
        <v>#DIV/0!</v>
      </c>
      <c r="T140" s="454" t="e">
        <f t="shared" si="110"/>
        <v>#DIV/0!</v>
      </c>
      <c r="U140" s="312" t="e">
        <f t="shared" si="111"/>
        <v>#DIV/0!</v>
      </c>
      <c r="V140" s="454">
        <f t="shared" si="112"/>
        <v>0</v>
      </c>
      <c r="W140" s="312">
        <f t="shared" si="80"/>
        <v>-1.0000002752637027</v>
      </c>
      <c r="X140" s="454">
        <f t="shared" si="113"/>
        <v>0</v>
      </c>
      <c r="Y140" s="312">
        <f t="shared" si="91"/>
        <v>-1</v>
      </c>
      <c r="Z140" s="674">
        <f t="shared" si="92"/>
        <v>0</v>
      </c>
      <c r="AA140" s="329"/>
      <c r="AB140" s="379">
        <f t="shared" si="92"/>
        <v>0</v>
      </c>
      <c r="AC140" s="329"/>
      <c r="AD140" s="413">
        <f t="shared" si="93"/>
        <v>0</v>
      </c>
      <c r="AE140" s="329"/>
      <c r="AG140" s="400" t="e">
        <f t="shared" si="94"/>
        <v>#DIV/0!</v>
      </c>
      <c r="AH140" s="401">
        <f t="shared" si="95"/>
        <v>0</v>
      </c>
      <c r="AI140" s="407">
        <f t="shared" si="96"/>
        <v>0</v>
      </c>
      <c r="AJ140" s="498"/>
      <c r="AK140" s="502">
        <f t="shared" si="97"/>
        <v>0</v>
      </c>
      <c r="AL140" s="503" t="e">
        <f t="shared" si="98"/>
        <v>#DIV/0!</v>
      </c>
      <c r="AM140" s="504" t="e">
        <f>AG140-AK140-AO140</f>
        <v>#DIV/0!</v>
      </c>
      <c r="AN140" s="503" t="e">
        <f t="shared" si="99"/>
        <v>#DIV/0!</v>
      </c>
      <c r="AO140" s="502">
        <f t="shared" si="100"/>
        <v>0</v>
      </c>
      <c r="AP140" s="503" t="e">
        <f t="shared" si="101"/>
        <v>#DIV/0!</v>
      </c>
      <c r="AQ140" s="314"/>
      <c r="AR140" s="110">
        <v>48580</v>
      </c>
      <c r="AS140" s="98">
        <f t="shared" si="81"/>
        <v>0</v>
      </c>
      <c r="AT140" s="98">
        <f t="shared" si="82"/>
        <v>0</v>
      </c>
      <c r="AU140" s="98"/>
      <c r="AV140" s="308"/>
      <c r="AW140" s="308"/>
      <c r="AX140" s="308"/>
      <c r="AY140" s="313"/>
      <c r="AZ140" s="313"/>
      <c r="BA140" s="313"/>
      <c r="BB140" s="313"/>
    </row>
    <row r="141" spans="1:54">
      <c r="A141" s="295">
        <v>45491</v>
      </c>
      <c r="B141" s="296">
        <f t="shared" si="83"/>
        <v>222827.20398317807</v>
      </c>
      <c r="C141" s="312">
        <f t="shared" si="84"/>
        <v>3.8483429990846858E-4</v>
      </c>
      <c r="D141" s="296">
        <f t="shared" si="85"/>
        <v>118433.38769599481</v>
      </c>
      <c r="E141" s="312">
        <f t="shared" si="86"/>
        <v>3.8486937629754827E-4</v>
      </c>
      <c r="F141" s="296">
        <f t="shared" si="87"/>
        <v>24002.023069033276</v>
      </c>
      <c r="G141" s="312">
        <f t="shared" si="88"/>
        <v>3.8464869601546956E-4</v>
      </c>
      <c r="H141" s="398">
        <v>0</v>
      </c>
      <c r="I141" s="312">
        <f t="shared" si="89"/>
        <v>0</v>
      </c>
      <c r="J141" s="457" t="e">
        <f t="shared" si="102"/>
        <v>#DIV/0!</v>
      </c>
      <c r="K141" s="369" t="e">
        <f t="shared" si="90"/>
        <v>#DIV/0!</v>
      </c>
      <c r="L141" s="404" t="e">
        <f t="shared" si="103"/>
        <v>#DIV/0!</v>
      </c>
      <c r="M141" s="312" t="e">
        <f t="shared" si="104"/>
        <v>#DIV/0!</v>
      </c>
      <c r="N141" s="298">
        <f t="shared" si="105"/>
        <v>20012.593606389837</v>
      </c>
      <c r="O141" s="312">
        <f t="shared" si="106"/>
        <v>3.6059110494433491E-4</v>
      </c>
      <c r="P141" s="404" t="e">
        <f t="shared" si="107"/>
        <v>#DIV/0!</v>
      </c>
      <c r="Q141" s="312" t="e">
        <f t="shared" si="114"/>
        <v>#DIV/0!</v>
      </c>
      <c r="R141" s="454" t="e">
        <f t="shared" si="108"/>
        <v>#DIV/0!</v>
      </c>
      <c r="S141" s="312" t="e">
        <f t="shared" si="109"/>
        <v>#DIV/0!</v>
      </c>
      <c r="T141" s="454" t="e">
        <f t="shared" si="110"/>
        <v>#DIV/0!</v>
      </c>
      <c r="U141" s="312" t="e">
        <f t="shared" si="111"/>
        <v>#DIV/0!</v>
      </c>
      <c r="V141" s="454">
        <f t="shared" si="112"/>
        <v>0</v>
      </c>
      <c r="W141" s="312">
        <f t="shared" si="80"/>
        <v>-1.0000002752637027</v>
      </c>
      <c r="X141" s="454">
        <f t="shared" si="113"/>
        <v>0</v>
      </c>
      <c r="Y141" s="312">
        <f t="shared" si="91"/>
        <v>-1</v>
      </c>
      <c r="Z141" s="674">
        <f t="shared" si="92"/>
        <v>0</v>
      </c>
      <c r="AA141" s="297"/>
      <c r="AB141" s="379">
        <f t="shared" si="92"/>
        <v>0</v>
      </c>
      <c r="AC141" s="297"/>
      <c r="AD141" s="413">
        <f t="shared" si="93"/>
        <v>0</v>
      </c>
      <c r="AE141" s="297"/>
      <c r="AG141" s="400" t="e">
        <f t="shared" si="94"/>
        <v>#DIV/0!</v>
      </c>
      <c r="AH141" s="401">
        <f t="shared" si="95"/>
        <v>0</v>
      </c>
      <c r="AI141" s="407">
        <f t="shared" si="96"/>
        <v>0</v>
      </c>
      <c r="AJ141" s="498"/>
      <c r="AK141" s="502">
        <f t="shared" si="97"/>
        <v>0</v>
      </c>
      <c r="AL141" s="503" t="e">
        <f t="shared" si="98"/>
        <v>#DIV/0!</v>
      </c>
      <c r="AM141" s="504" t="e">
        <f>AG141-AK141-AO141</f>
        <v>#DIV/0!</v>
      </c>
      <c r="AN141" s="503" t="e">
        <f t="shared" si="99"/>
        <v>#DIV/0!</v>
      </c>
      <c r="AO141" s="502">
        <f t="shared" si="100"/>
        <v>0</v>
      </c>
      <c r="AP141" s="503" t="e">
        <f t="shared" si="101"/>
        <v>#DIV/0!</v>
      </c>
      <c r="AQ141" s="314"/>
      <c r="AR141" s="110">
        <v>48611</v>
      </c>
      <c r="AS141" s="98">
        <f t="shared" si="81"/>
        <v>0</v>
      </c>
      <c r="AT141" s="98">
        <f t="shared" si="82"/>
        <v>0</v>
      </c>
      <c r="AU141" s="98"/>
      <c r="AV141" s="308"/>
      <c r="AW141" s="308"/>
      <c r="AX141" s="308"/>
      <c r="AY141" s="313"/>
      <c r="AZ141" s="313"/>
      <c r="BA141" s="313"/>
      <c r="BB141" s="313"/>
    </row>
    <row r="142" spans="1:54">
      <c r="A142" s="295">
        <v>45492</v>
      </c>
      <c r="B142" s="296">
        <f t="shared" si="83"/>
        <v>222912.9555342235</v>
      </c>
      <c r="C142" s="312">
        <f t="shared" si="84"/>
        <v>3.8483429990845579E-4</v>
      </c>
      <c r="D142" s="296">
        <f t="shared" si="85"/>
        <v>118478.96908005017</v>
      </c>
      <c r="E142" s="312">
        <f t="shared" si="86"/>
        <v>3.8486937629752171E-4</v>
      </c>
      <c r="F142" s="296">
        <f t="shared" si="87"/>
        <v>24011.255415908512</v>
      </c>
      <c r="G142" s="312">
        <f t="shared" si="88"/>
        <v>3.8464869601545607E-4</v>
      </c>
      <c r="H142" s="398">
        <v>0</v>
      </c>
      <c r="I142" s="312">
        <f t="shared" si="89"/>
        <v>0</v>
      </c>
      <c r="J142" s="457" t="e">
        <f t="shared" si="102"/>
        <v>#DIV/0!</v>
      </c>
      <c r="K142" s="369" t="e">
        <f t="shared" si="90"/>
        <v>#DIV/0!</v>
      </c>
      <c r="L142" s="404" t="e">
        <f t="shared" si="103"/>
        <v>#DIV/0!</v>
      </c>
      <c r="M142" s="312" t="e">
        <f t="shared" si="104"/>
        <v>#DIV/0!</v>
      </c>
      <c r="N142" s="298">
        <f t="shared" si="105"/>
        <v>20019.809969631166</v>
      </c>
      <c r="O142" s="312">
        <f t="shared" si="106"/>
        <v>3.605911049442582E-4</v>
      </c>
      <c r="P142" s="404" t="e">
        <f t="shared" si="107"/>
        <v>#DIV/0!</v>
      </c>
      <c r="Q142" s="312" t="e">
        <f t="shared" si="114"/>
        <v>#DIV/0!</v>
      </c>
      <c r="R142" s="454" t="e">
        <f t="shared" si="108"/>
        <v>#DIV/0!</v>
      </c>
      <c r="S142" s="312" t="e">
        <f t="shared" si="109"/>
        <v>#DIV/0!</v>
      </c>
      <c r="T142" s="454" t="e">
        <f t="shared" si="110"/>
        <v>#DIV/0!</v>
      </c>
      <c r="U142" s="312" t="e">
        <f t="shared" si="111"/>
        <v>#DIV/0!</v>
      </c>
      <c r="V142" s="454">
        <f t="shared" si="112"/>
        <v>0</v>
      </c>
      <c r="W142" s="312">
        <f t="shared" si="80"/>
        <v>-1.0000002752637027</v>
      </c>
      <c r="X142" s="454">
        <f t="shared" si="113"/>
        <v>0</v>
      </c>
      <c r="Y142" s="312">
        <f t="shared" si="91"/>
        <v>-1</v>
      </c>
      <c r="Z142" s="674">
        <f t="shared" si="92"/>
        <v>0</v>
      </c>
      <c r="AA142" s="329"/>
      <c r="AB142" s="379">
        <f t="shared" si="92"/>
        <v>0</v>
      </c>
      <c r="AC142" s="329"/>
      <c r="AD142" s="413">
        <f t="shared" si="93"/>
        <v>0</v>
      </c>
      <c r="AE142" s="329"/>
      <c r="AG142" s="400" t="e">
        <f t="shared" si="94"/>
        <v>#DIV/0!</v>
      </c>
      <c r="AH142" s="401">
        <f t="shared" si="95"/>
        <v>0</v>
      </c>
      <c r="AI142" s="407">
        <f t="shared" si="96"/>
        <v>0</v>
      </c>
      <c r="AJ142" s="498"/>
      <c r="AK142" s="502">
        <f t="shared" si="97"/>
        <v>0</v>
      </c>
      <c r="AL142" s="503" t="e">
        <f t="shared" si="98"/>
        <v>#DIV/0!</v>
      </c>
      <c r="AM142" s="504" t="e">
        <f>AG142-AK142-AO142</f>
        <v>#DIV/0!</v>
      </c>
      <c r="AN142" s="503" t="e">
        <f t="shared" si="99"/>
        <v>#DIV/0!</v>
      </c>
      <c r="AO142" s="502">
        <f t="shared" si="100"/>
        <v>0</v>
      </c>
      <c r="AP142" s="503" t="e">
        <f t="shared" si="101"/>
        <v>#DIV/0!</v>
      </c>
      <c r="AQ142" s="314"/>
      <c r="AR142" s="110">
        <v>48639</v>
      </c>
      <c r="AS142" s="98">
        <f t="shared" si="81"/>
        <v>0</v>
      </c>
      <c r="AT142" s="98">
        <f t="shared" si="82"/>
        <v>0</v>
      </c>
      <c r="AU142" s="98"/>
      <c r="AV142" s="308"/>
      <c r="AW142" s="308"/>
      <c r="AX142" s="308"/>
      <c r="AY142" s="313"/>
      <c r="AZ142" s="313"/>
      <c r="BA142" s="313"/>
      <c r="BB142" s="313"/>
    </row>
    <row r="143" spans="1:54">
      <c r="A143" s="295">
        <v>45495</v>
      </c>
      <c r="B143" s="296">
        <f t="shared" si="83"/>
        <v>222998.74008540704</v>
      </c>
      <c r="C143" s="312">
        <f t="shared" si="84"/>
        <v>3.8483429990850045E-4</v>
      </c>
      <c r="D143" s="296">
        <f t="shared" si="85"/>
        <v>118524.56800698438</v>
      </c>
      <c r="E143" s="312">
        <f t="shared" si="86"/>
        <v>3.848693762975016E-4</v>
      </c>
      <c r="F143" s="296">
        <f t="shared" si="87"/>
        <v>24020.491313993934</v>
      </c>
      <c r="G143" s="312">
        <f t="shared" si="88"/>
        <v>3.8464869601541904E-4</v>
      </c>
      <c r="H143" s="398">
        <v>0</v>
      </c>
      <c r="I143" s="312">
        <f t="shared" si="89"/>
        <v>0</v>
      </c>
      <c r="J143" s="457" t="e">
        <f t="shared" si="102"/>
        <v>#DIV/0!</v>
      </c>
      <c r="K143" s="369" t="e">
        <f t="shared" si="90"/>
        <v>#DIV/0!</v>
      </c>
      <c r="L143" s="404" t="e">
        <f t="shared" si="103"/>
        <v>#DIV/0!</v>
      </c>
      <c r="M143" s="312" t="e">
        <f t="shared" si="104"/>
        <v>#DIV/0!</v>
      </c>
      <c r="N143" s="298">
        <f t="shared" si="105"/>
        <v>20027.028935028888</v>
      </c>
      <c r="O143" s="312">
        <f t="shared" si="106"/>
        <v>3.6059110494419228E-4</v>
      </c>
      <c r="P143" s="404" t="e">
        <f t="shared" si="107"/>
        <v>#DIV/0!</v>
      </c>
      <c r="Q143" s="312" t="e">
        <f t="shared" si="114"/>
        <v>#DIV/0!</v>
      </c>
      <c r="R143" s="454" t="e">
        <f t="shared" si="108"/>
        <v>#DIV/0!</v>
      </c>
      <c r="S143" s="312" t="e">
        <f t="shared" si="109"/>
        <v>#DIV/0!</v>
      </c>
      <c r="T143" s="454" t="e">
        <f t="shared" si="110"/>
        <v>#DIV/0!</v>
      </c>
      <c r="U143" s="312" t="e">
        <f t="shared" si="111"/>
        <v>#DIV/0!</v>
      </c>
      <c r="V143" s="454">
        <f t="shared" si="112"/>
        <v>0</v>
      </c>
      <c r="W143" s="312">
        <f t="shared" si="80"/>
        <v>-1.0000002752637027</v>
      </c>
      <c r="X143" s="454">
        <f t="shared" si="113"/>
        <v>0</v>
      </c>
      <c r="Y143" s="312">
        <f t="shared" si="91"/>
        <v>-1</v>
      </c>
      <c r="Z143" s="674">
        <f t="shared" si="92"/>
        <v>0</v>
      </c>
      <c r="AA143" s="297"/>
      <c r="AB143" s="379">
        <f t="shared" si="92"/>
        <v>0</v>
      </c>
      <c r="AC143" s="297"/>
      <c r="AD143" s="413">
        <f t="shared" si="93"/>
        <v>0</v>
      </c>
      <c r="AE143" s="297"/>
      <c r="AG143" s="400" t="e">
        <f t="shared" si="94"/>
        <v>#DIV/0!</v>
      </c>
      <c r="AH143" s="401">
        <f t="shared" si="95"/>
        <v>0</v>
      </c>
      <c r="AI143" s="407">
        <f t="shared" si="96"/>
        <v>0</v>
      </c>
      <c r="AJ143" s="498"/>
      <c r="AK143" s="502">
        <f t="shared" si="97"/>
        <v>0</v>
      </c>
      <c r="AL143" s="503" t="e">
        <f t="shared" si="98"/>
        <v>#DIV/0!</v>
      </c>
      <c r="AM143" s="504" t="e">
        <f>AG143-AK143-AO143</f>
        <v>#DIV/0!</v>
      </c>
      <c r="AN143" s="503" t="e">
        <f t="shared" si="99"/>
        <v>#DIV/0!</v>
      </c>
      <c r="AO143" s="502">
        <f t="shared" si="100"/>
        <v>0</v>
      </c>
      <c r="AP143" s="503" t="e">
        <f t="shared" si="101"/>
        <v>#DIV/0!</v>
      </c>
      <c r="AQ143" s="314"/>
      <c r="AR143" s="110">
        <v>48670</v>
      </c>
      <c r="AS143" s="98">
        <f t="shared" si="81"/>
        <v>0</v>
      </c>
      <c r="AT143" s="98">
        <f t="shared" si="82"/>
        <v>0</v>
      </c>
      <c r="AU143" s="98"/>
      <c r="AV143" s="308"/>
      <c r="AW143" s="308"/>
      <c r="AX143" s="308"/>
      <c r="AY143" s="313"/>
      <c r="AZ143" s="313"/>
      <c r="BA143" s="313"/>
      <c r="BB143" s="313"/>
    </row>
    <row r="144" spans="1:54">
      <c r="A144" s="295">
        <v>45496</v>
      </c>
      <c r="B144" s="296">
        <f t="shared" si="83"/>
        <v>223084.55764942829</v>
      </c>
      <c r="C144" s="312">
        <f t="shared" si="84"/>
        <v>3.8483429990849032E-4</v>
      </c>
      <c r="D144" s="296">
        <f t="shared" si="85"/>
        <v>118570.18448354916</v>
      </c>
      <c r="E144" s="312">
        <f t="shared" si="86"/>
        <v>3.848693762975492E-4</v>
      </c>
      <c r="F144" s="296">
        <f t="shared" si="87"/>
        <v>24029.730764655513</v>
      </c>
      <c r="G144" s="312">
        <f t="shared" si="88"/>
        <v>3.8464869601545384E-4</v>
      </c>
      <c r="H144" s="398">
        <v>0</v>
      </c>
      <c r="I144" s="312">
        <f t="shared" si="89"/>
        <v>0</v>
      </c>
      <c r="J144" s="457" t="e">
        <f t="shared" si="102"/>
        <v>#DIV/0!</v>
      </c>
      <c r="K144" s="369" t="e">
        <f t="shared" si="90"/>
        <v>#DIV/0!</v>
      </c>
      <c r="L144" s="404" t="e">
        <f t="shared" si="103"/>
        <v>#DIV/0!</v>
      </c>
      <c r="M144" s="312" t="e">
        <f t="shared" si="104"/>
        <v>#DIV/0!</v>
      </c>
      <c r="N144" s="298">
        <f t="shared" si="105"/>
        <v>20034.250503521318</v>
      </c>
      <c r="O144" s="312">
        <f t="shared" si="106"/>
        <v>3.6059110494414241E-4</v>
      </c>
      <c r="P144" s="404" t="e">
        <f t="shared" si="107"/>
        <v>#DIV/0!</v>
      </c>
      <c r="Q144" s="312" t="e">
        <f t="shared" si="114"/>
        <v>#DIV/0!</v>
      </c>
      <c r="R144" s="454" t="e">
        <f t="shared" si="108"/>
        <v>#DIV/0!</v>
      </c>
      <c r="S144" s="312" t="e">
        <f t="shared" si="109"/>
        <v>#DIV/0!</v>
      </c>
      <c r="T144" s="454" t="e">
        <f t="shared" si="110"/>
        <v>#DIV/0!</v>
      </c>
      <c r="U144" s="312" t="e">
        <f t="shared" si="111"/>
        <v>#DIV/0!</v>
      </c>
      <c r="V144" s="454">
        <f t="shared" si="112"/>
        <v>0</v>
      </c>
      <c r="W144" s="312">
        <f t="shared" si="80"/>
        <v>-1.0000002752637027</v>
      </c>
      <c r="X144" s="454">
        <f t="shared" si="113"/>
        <v>0</v>
      </c>
      <c r="Y144" s="312">
        <f t="shared" si="91"/>
        <v>-1</v>
      </c>
      <c r="Z144" s="674">
        <f t="shared" si="92"/>
        <v>0</v>
      </c>
      <c r="AA144" s="329"/>
      <c r="AB144" s="379">
        <f t="shared" si="92"/>
        <v>0</v>
      </c>
      <c r="AC144" s="329"/>
      <c r="AD144" s="413">
        <f t="shared" si="93"/>
        <v>0</v>
      </c>
      <c r="AE144" s="329"/>
      <c r="AG144" s="400" t="e">
        <f t="shared" si="94"/>
        <v>#DIV/0!</v>
      </c>
      <c r="AH144" s="401">
        <f t="shared" si="95"/>
        <v>0</v>
      </c>
      <c r="AI144" s="407">
        <f t="shared" si="96"/>
        <v>0</v>
      </c>
      <c r="AJ144" s="498"/>
      <c r="AK144" s="502">
        <f t="shared" si="97"/>
        <v>0</v>
      </c>
      <c r="AL144" s="503" t="e">
        <f t="shared" si="98"/>
        <v>#DIV/0!</v>
      </c>
      <c r="AM144" s="504" t="e">
        <f>AG144-AK144-AO144</f>
        <v>#DIV/0!</v>
      </c>
      <c r="AN144" s="503" t="e">
        <f t="shared" si="99"/>
        <v>#DIV/0!</v>
      </c>
      <c r="AO144" s="502">
        <f t="shared" si="100"/>
        <v>0</v>
      </c>
      <c r="AP144" s="503" t="e">
        <f t="shared" si="101"/>
        <v>#DIV/0!</v>
      </c>
      <c r="AQ144" s="314"/>
      <c r="AR144" s="110">
        <v>48700</v>
      </c>
      <c r="AS144" s="98">
        <f t="shared" si="81"/>
        <v>0</v>
      </c>
      <c r="AT144" s="98">
        <f t="shared" si="82"/>
        <v>0</v>
      </c>
      <c r="AU144" s="98"/>
      <c r="AV144" s="308"/>
      <c r="AW144" s="308"/>
      <c r="AX144" s="308"/>
      <c r="AY144" s="313"/>
      <c r="AZ144" s="313"/>
      <c r="BA144" s="313"/>
      <c r="BB144" s="313"/>
    </row>
    <row r="145" spans="1:54">
      <c r="A145" s="295">
        <v>45497</v>
      </c>
      <c r="B145" s="296">
        <f t="shared" si="83"/>
        <v>223170.40823899169</v>
      </c>
      <c r="C145" s="312">
        <f t="shared" si="84"/>
        <v>3.8483429990843535E-4</v>
      </c>
      <c r="D145" s="296">
        <f t="shared" si="85"/>
        <v>118615.81851649884</v>
      </c>
      <c r="E145" s="312">
        <f t="shared" si="86"/>
        <v>3.8486937629759457E-4</v>
      </c>
      <c r="F145" s="296">
        <f t="shared" si="87"/>
        <v>24038.973769259741</v>
      </c>
      <c r="G145" s="312">
        <f t="shared" si="88"/>
        <v>3.8464869601549596E-4</v>
      </c>
      <c r="H145" s="398">
        <v>0</v>
      </c>
      <c r="I145" s="312">
        <f t="shared" si="89"/>
        <v>0</v>
      </c>
      <c r="J145" s="457" t="e">
        <f t="shared" si="102"/>
        <v>#DIV/0!</v>
      </c>
      <c r="K145" s="369" t="e">
        <f t="shared" si="90"/>
        <v>#DIV/0!</v>
      </c>
      <c r="L145" s="404" t="e">
        <f t="shared" si="103"/>
        <v>#DIV/0!</v>
      </c>
      <c r="M145" s="312" t="e">
        <f t="shared" si="104"/>
        <v>#DIV/0!</v>
      </c>
      <c r="N145" s="298">
        <f t="shared" si="105"/>
        <v>20041.47467604711</v>
      </c>
      <c r="O145" s="312">
        <f t="shared" si="106"/>
        <v>3.6059110494410782E-4</v>
      </c>
      <c r="P145" s="404" t="e">
        <f t="shared" si="107"/>
        <v>#DIV/0!</v>
      </c>
      <c r="Q145" s="312" t="e">
        <f t="shared" si="114"/>
        <v>#DIV/0!</v>
      </c>
      <c r="R145" s="454" t="e">
        <f t="shared" si="108"/>
        <v>#DIV/0!</v>
      </c>
      <c r="S145" s="312" t="e">
        <f t="shared" si="109"/>
        <v>#DIV/0!</v>
      </c>
      <c r="T145" s="454" t="e">
        <f t="shared" si="110"/>
        <v>#DIV/0!</v>
      </c>
      <c r="U145" s="312" t="e">
        <f t="shared" si="111"/>
        <v>#DIV/0!</v>
      </c>
      <c r="V145" s="454">
        <f t="shared" si="112"/>
        <v>0</v>
      </c>
      <c r="W145" s="312">
        <f t="shared" si="80"/>
        <v>-1.0000002752637027</v>
      </c>
      <c r="X145" s="454">
        <f t="shared" si="113"/>
        <v>0</v>
      </c>
      <c r="Y145" s="312">
        <f t="shared" si="91"/>
        <v>-1</v>
      </c>
      <c r="Z145" s="674">
        <f t="shared" si="92"/>
        <v>0</v>
      </c>
      <c r="AA145" s="297"/>
      <c r="AB145" s="379">
        <f t="shared" si="92"/>
        <v>0</v>
      </c>
      <c r="AC145" s="297"/>
      <c r="AD145" s="413">
        <f t="shared" si="93"/>
        <v>0</v>
      </c>
      <c r="AE145" s="297"/>
      <c r="AG145" s="400" t="e">
        <f t="shared" si="94"/>
        <v>#DIV/0!</v>
      </c>
      <c r="AH145" s="401">
        <f t="shared" si="95"/>
        <v>0</v>
      </c>
      <c r="AI145" s="407">
        <f t="shared" si="96"/>
        <v>0</v>
      </c>
      <c r="AJ145" s="498"/>
      <c r="AK145" s="502">
        <f t="shared" si="97"/>
        <v>0</v>
      </c>
      <c r="AL145" s="503" t="e">
        <f t="shared" si="98"/>
        <v>#DIV/0!</v>
      </c>
      <c r="AM145" s="504" t="e">
        <f>AG145-AK145-AO145</f>
        <v>#DIV/0!</v>
      </c>
      <c r="AN145" s="503" t="e">
        <f t="shared" si="99"/>
        <v>#DIV/0!</v>
      </c>
      <c r="AO145" s="502">
        <f t="shared" si="100"/>
        <v>0</v>
      </c>
      <c r="AP145" s="503" t="e">
        <f t="shared" si="101"/>
        <v>#DIV/0!</v>
      </c>
      <c r="AQ145" s="314"/>
      <c r="AR145" s="110">
        <v>48731</v>
      </c>
      <c r="AS145" s="98">
        <f t="shared" si="81"/>
        <v>0</v>
      </c>
      <c r="AT145" s="98">
        <f t="shared" si="82"/>
        <v>0</v>
      </c>
      <c r="AU145" s="98"/>
      <c r="AV145" s="308"/>
      <c r="AW145" s="308"/>
      <c r="AX145" s="308"/>
      <c r="AY145" s="313"/>
      <c r="AZ145" s="313"/>
      <c r="BA145" s="313"/>
      <c r="BB145" s="313"/>
    </row>
    <row r="146" spans="1:54">
      <c r="A146" s="295">
        <v>45498</v>
      </c>
      <c r="B146" s="296">
        <f t="shared" si="83"/>
        <v>223256.29186680663</v>
      </c>
      <c r="C146" s="312">
        <f t="shared" si="84"/>
        <v>3.8483429990846744E-4</v>
      </c>
      <c r="D146" s="296">
        <f t="shared" si="85"/>
        <v>118661.47011259031</v>
      </c>
      <c r="E146" s="312">
        <f t="shared" si="86"/>
        <v>3.8486937629755933E-4</v>
      </c>
      <c r="F146" s="296">
        <f t="shared" si="87"/>
        <v>24048.220329173637</v>
      </c>
      <c r="G146" s="312">
        <f t="shared" si="88"/>
        <v>3.8464869601547255E-4</v>
      </c>
      <c r="H146" s="398">
        <v>0</v>
      </c>
      <c r="I146" s="312">
        <f t="shared" si="89"/>
        <v>0</v>
      </c>
      <c r="J146" s="457" t="e">
        <f t="shared" si="102"/>
        <v>#DIV/0!</v>
      </c>
      <c r="K146" s="369" t="e">
        <f t="shared" si="90"/>
        <v>#DIV/0!</v>
      </c>
      <c r="L146" s="404" t="e">
        <f t="shared" si="103"/>
        <v>#DIV/0!</v>
      </c>
      <c r="M146" s="312" t="e">
        <f t="shared" si="104"/>
        <v>#DIV/0!</v>
      </c>
      <c r="N146" s="298">
        <f t="shared" si="105"/>
        <v>20048.701453545254</v>
      </c>
      <c r="O146" s="312">
        <f t="shared" si="106"/>
        <v>3.6059110494408159E-4</v>
      </c>
      <c r="P146" s="404" t="e">
        <f t="shared" si="107"/>
        <v>#DIV/0!</v>
      </c>
      <c r="Q146" s="312" t="e">
        <f t="shared" si="114"/>
        <v>#DIV/0!</v>
      </c>
      <c r="R146" s="454" t="e">
        <f t="shared" si="108"/>
        <v>#DIV/0!</v>
      </c>
      <c r="S146" s="312" t="e">
        <f t="shared" si="109"/>
        <v>#DIV/0!</v>
      </c>
      <c r="T146" s="454" t="e">
        <f t="shared" si="110"/>
        <v>#DIV/0!</v>
      </c>
      <c r="U146" s="312" t="e">
        <f t="shared" si="111"/>
        <v>#DIV/0!</v>
      </c>
      <c r="V146" s="454">
        <f t="shared" si="112"/>
        <v>0</v>
      </c>
      <c r="W146" s="312">
        <f t="shared" si="80"/>
        <v>-1.0000002752637027</v>
      </c>
      <c r="X146" s="454">
        <f t="shared" si="113"/>
        <v>0</v>
      </c>
      <c r="Y146" s="312">
        <f t="shared" si="91"/>
        <v>-1</v>
      </c>
      <c r="Z146" s="674">
        <f t="shared" si="92"/>
        <v>0</v>
      </c>
      <c r="AA146" s="329"/>
      <c r="AB146" s="379">
        <f t="shared" si="92"/>
        <v>0</v>
      </c>
      <c r="AC146" s="329"/>
      <c r="AD146" s="413">
        <f t="shared" si="93"/>
        <v>0</v>
      </c>
      <c r="AE146" s="329"/>
      <c r="AG146" s="400" t="e">
        <f t="shared" si="94"/>
        <v>#DIV/0!</v>
      </c>
      <c r="AH146" s="401">
        <f t="shared" si="95"/>
        <v>0</v>
      </c>
      <c r="AI146" s="407">
        <f t="shared" si="96"/>
        <v>0</v>
      </c>
      <c r="AJ146" s="498"/>
      <c r="AK146" s="502">
        <f t="shared" si="97"/>
        <v>0</v>
      </c>
      <c r="AL146" s="503" t="e">
        <f t="shared" si="98"/>
        <v>#DIV/0!</v>
      </c>
      <c r="AM146" s="504" t="e">
        <f>AG146-AK146-AO146</f>
        <v>#DIV/0!</v>
      </c>
      <c r="AN146" s="503" t="e">
        <f t="shared" si="99"/>
        <v>#DIV/0!</v>
      </c>
      <c r="AO146" s="502">
        <f t="shared" si="100"/>
        <v>0</v>
      </c>
      <c r="AP146" s="503" t="e">
        <f t="shared" si="101"/>
        <v>#DIV/0!</v>
      </c>
      <c r="AQ146" s="314"/>
      <c r="AR146" s="110">
        <v>48761</v>
      </c>
      <c r="AS146" s="98">
        <f t="shared" si="81"/>
        <v>0</v>
      </c>
      <c r="AT146" s="98">
        <f t="shared" si="82"/>
        <v>0</v>
      </c>
      <c r="AU146" s="98"/>
      <c r="AV146" s="308"/>
      <c r="AW146" s="308"/>
      <c r="AX146" s="308"/>
      <c r="AY146" s="313"/>
      <c r="AZ146" s="313"/>
      <c r="BA146" s="313"/>
      <c r="BB146" s="313"/>
    </row>
    <row r="147" spans="1:54">
      <c r="A147" s="295">
        <v>45499</v>
      </c>
      <c r="B147" s="296">
        <f t="shared" si="83"/>
        <v>223342.20854558735</v>
      </c>
      <c r="C147" s="312">
        <f t="shared" si="84"/>
        <v>3.8483429990844923E-4</v>
      </c>
      <c r="D147" s="296">
        <f t="shared" si="85"/>
        <v>118707.1392785831</v>
      </c>
      <c r="E147" s="312">
        <f t="shared" si="86"/>
        <v>3.8486937629760227E-4</v>
      </c>
      <c r="F147" s="296">
        <f t="shared" si="87"/>
        <v>24057.470445764746</v>
      </c>
      <c r="G147" s="312">
        <f t="shared" si="88"/>
        <v>3.8464869601545363E-4</v>
      </c>
      <c r="H147" s="398">
        <v>0</v>
      </c>
      <c r="I147" s="312">
        <f t="shared" si="89"/>
        <v>0</v>
      </c>
      <c r="J147" s="457" t="e">
        <f t="shared" si="102"/>
        <v>#DIV/0!</v>
      </c>
      <c r="K147" s="369" t="e">
        <f t="shared" si="90"/>
        <v>#DIV/0!</v>
      </c>
      <c r="L147" s="404" t="e">
        <f t="shared" si="103"/>
        <v>#DIV/0!</v>
      </c>
      <c r="M147" s="312" t="e">
        <f t="shared" si="104"/>
        <v>#DIV/0!</v>
      </c>
      <c r="N147" s="298">
        <f t="shared" si="105"/>
        <v>20055.930836955082</v>
      </c>
      <c r="O147" s="312">
        <f t="shared" si="106"/>
        <v>3.6059110494405069E-4</v>
      </c>
      <c r="P147" s="404" t="e">
        <f t="shared" si="107"/>
        <v>#DIV/0!</v>
      </c>
      <c r="Q147" s="312" t="e">
        <f t="shared" si="114"/>
        <v>#DIV/0!</v>
      </c>
      <c r="R147" s="454" t="e">
        <f t="shared" si="108"/>
        <v>#DIV/0!</v>
      </c>
      <c r="S147" s="312" t="e">
        <f t="shared" si="109"/>
        <v>#DIV/0!</v>
      </c>
      <c r="T147" s="454" t="e">
        <f t="shared" si="110"/>
        <v>#DIV/0!</v>
      </c>
      <c r="U147" s="312" t="e">
        <f t="shared" si="111"/>
        <v>#DIV/0!</v>
      </c>
      <c r="V147" s="454">
        <f t="shared" si="112"/>
        <v>0</v>
      </c>
      <c r="W147" s="312">
        <f t="shared" si="80"/>
        <v>-1.0000002752637027</v>
      </c>
      <c r="X147" s="454">
        <f t="shared" si="113"/>
        <v>0</v>
      </c>
      <c r="Y147" s="312">
        <f t="shared" si="91"/>
        <v>-1</v>
      </c>
      <c r="Z147" s="674">
        <f t="shared" si="92"/>
        <v>0</v>
      </c>
      <c r="AA147" s="297"/>
      <c r="AB147" s="379">
        <f t="shared" si="92"/>
        <v>0</v>
      </c>
      <c r="AC147" s="297"/>
      <c r="AD147" s="413">
        <f t="shared" si="93"/>
        <v>0</v>
      </c>
      <c r="AE147" s="297"/>
      <c r="AG147" s="400" t="e">
        <f t="shared" si="94"/>
        <v>#DIV/0!</v>
      </c>
      <c r="AH147" s="401">
        <f t="shared" si="95"/>
        <v>0</v>
      </c>
      <c r="AI147" s="407">
        <f t="shared" si="96"/>
        <v>0</v>
      </c>
      <c r="AJ147" s="498"/>
      <c r="AK147" s="502">
        <f t="shared" si="97"/>
        <v>0</v>
      </c>
      <c r="AL147" s="503" t="e">
        <f t="shared" si="98"/>
        <v>#DIV/0!</v>
      </c>
      <c r="AM147" s="504" t="e">
        <f>AG147-AK147-AO147</f>
        <v>#DIV/0!</v>
      </c>
      <c r="AN147" s="503" t="e">
        <f t="shared" si="99"/>
        <v>#DIV/0!</v>
      </c>
      <c r="AO147" s="502">
        <f t="shared" si="100"/>
        <v>0</v>
      </c>
      <c r="AP147" s="503" t="e">
        <f t="shared" si="101"/>
        <v>#DIV/0!</v>
      </c>
      <c r="AQ147" s="314"/>
      <c r="AR147" s="110">
        <v>48792</v>
      </c>
      <c r="AS147" s="98">
        <f t="shared" si="81"/>
        <v>0</v>
      </c>
      <c r="AT147" s="98">
        <f t="shared" si="82"/>
        <v>0</v>
      </c>
      <c r="AU147" s="98"/>
      <c r="AV147" s="308"/>
      <c r="AW147" s="308"/>
      <c r="AX147" s="308"/>
      <c r="AY147" s="313"/>
      <c r="AZ147" s="313"/>
      <c r="BA147" s="313"/>
      <c r="BB147" s="313"/>
    </row>
    <row r="148" spans="1:54">
      <c r="A148" s="295">
        <v>45502</v>
      </c>
      <c r="B148" s="296">
        <f t="shared" si="83"/>
        <v>223428.158288053</v>
      </c>
      <c r="C148" s="312">
        <f t="shared" si="84"/>
        <v>3.8483429990849568E-4</v>
      </c>
      <c r="D148" s="296">
        <f t="shared" si="85"/>
        <v>118752.82602123932</v>
      </c>
      <c r="E148" s="312">
        <f t="shared" si="86"/>
        <v>3.8486937629762807E-4</v>
      </c>
      <c r="F148" s="296">
        <f t="shared" si="87"/>
        <v>24066.724120401141</v>
      </c>
      <c r="G148" s="312">
        <f t="shared" si="88"/>
        <v>3.8464869601550095E-4</v>
      </c>
      <c r="H148" s="398">
        <v>0</v>
      </c>
      <c r="I148" s="312">
        <f t="shared" si="89"/>
        <v>0</v>
      </c>
      <c r="J148" s="457" t="e">
        <f t="shared" si="102"/>
        <v>#DIV/0!</v>
      </c>
      <c r="K148" s="369" t="e">
        <f t="shared" si="90"/>
        <v>#DIV/0!</v>
      </c>
      <c r="L148" s="404" t="e">
        <f t="shared" si="103"/>
        <v>#DIV/0!</v>
      </c>
      <c r="M148" s="312" t="e">
        <f t="shared" si="104"/>
        <v>#DIV/0!</v>
      </c>
      <c r="N148" s="298">
        <f t="shared" si="105"/>
        <v>20063.16282721626</v>
      </c>
      <c r="O148" s="312">
        <f t="shared" si="106"/>
        <v>3.6059110494399615E-4</v>
      </c>
      <c r="P148" s="404" t="e">
        <f t="shared" si="107"/>
        <v>#DIV/0!</v>
      </c>
      <c r="Q148" s="312" t="e">
        <f t="shared" si="114"/>
        <v>#DIV/0!</v>
      </c>
      <c r="R148" s="454" t="e">
        <f t="shared" si="108"/>
        <v>#DIV/0!</v>
      </c>
      <c r="S148" s="312" t="e">
        <f t="shared" si="109"/>
        <v>#DIV/0!</v>
      </c>
      <c r="T148" s="454" t="e">
        <f t="shared" si="110"/>
        <v>#DIV/0!</v>
      </c>
      <c r="U148" s="312" t="e">
        <f t="shared" si="111"/>
        <v>#DIV/0!</v>
      </c>
      <c r="V148" s="454">
        <f t="shared" si="112"/>
        <v>0</v>
      </c>
      <c r="W148" s="312">
        <f t="shared" ref="W148:W211" si="115">(V148-(399.77+264.983+391.15+390.7+774.22+382.15+331.69+727.41+1508.85+2454.73+3272.99))/(399.77+264.98+391.15+390.7+774.22+382.15+331.69+727.41+1508.85+2454.73+3272.99)</f>
        <v>-1.0000002752637027</v>
      </c>
      <c r="X148" s="454">
        <f t="shared" si="113"/>
        <v>0</v>
      </c>
      <c r="Y148" s="312">
        <f t="shared" si="91"/>
        <v>-1</v>
      </c>
      <c r="Z148" s="674">
        <f t="shared" si="92"/>
        <v>0</v>
      </c>
      <c r="AA148" s="329"/>
      <c r="AB148" s="379">
        <f t="shared" si="92"/>
        <v>0</v>
      </c>
      <c r="AC148" s="329"/>
      <c r="AD148" s="413">
        <f t="shared" si="93"/>
        <v>0</v>
      </c>
      <c r="AE148" s="329"/>
      <c r="AG148" s="400" t="e">
        <f t="shared" si="94"/>
        <v>#DIV/0!</v>
      </c>
      <c r="AH148" s="401">
        <f t="shared" si="95"/>
        <v>0</v>
      </c>
      <c r="AI148" s="407">
        <f t="shared" si="96"/>
        <v>0</v>
      </c>
      <c r="AJ148" s="498"/>
      <c r="AK148" s="502">
        <f t="shared" si="97"/>
        <v>0</v>
      </c>
      <c r="AL148" s="503" t="e">
        <f t="shared" si="98"/>
        <v>#DIV/0!</v>
      </c>
      <c r="AM148" s="504" t="e">
        <f>AG148-AK148-AO148</f>
        <v>#DIV/0!</v>
      </c>
      <c r="AN148" s="503" t="e">
        <f t="shared" si="99"/>
        <v>#DIV/0!</v>
      </c>
      <c r="AO148" s="502">
        <f t="shared" si="100"/>
        <v>0</v>
      </c>
      <c r="AP148" s="503" t="e">
        <f t="shared" si="101"/>
        <v>#DIV/0!</v>
      </c>
      <c r="AQ148" s="314"/>
      <c r="AR148" s="110">
        <v>48823</v>
      </c>
      <c r="AS148" s="98">
        <f t="shared" si="81"/>
        <v>0</v>
      </c>
      <c r="AT148" s="98">
        <f t="shared" si="82"/>
        <v>0</v>
      </c>
      <c r="AU148" s="98"/>
      <c r="AV148" s="308"/>
      <c r="AW148" s="308"/>
      <c r="AX148" s="308"/>
      <c r="AY148" s="313"/>
      <c r="AZ148" s="313"/>
      <c r="BA148" s="313"/>
      <c r="BB148" s="313"/>
    </row>
    <row r="149" spans="1:54">
      <c r="A149" s="295">
        <v>45503</v>
      </c>
      <c r="B149" s="296">
        <f t="shared" si="83"/>
        <v>223514.14110692762</v>
      </c>
      <c r="C149" s="312">
        <f t="shared" si="84"/>
        <v>3.8483429990845259E-4</v>
      </c>
      <c r="D149" s="296">
        <f t="shared" si="85"/>
        <v>118798.5303473237</v>
      </c>
      <c r="E149" s="312">
        <f t="shared" si="86"/>
        <v>3.8486937629765583E-4</v>
      </c>
      <c r="F149" s="296">
        <f t="shared" si="87"/>
        <v>24075.981354451418</v>
      </c>
      <c r="G149" s="312">
        <f t="shared" si="88"/>
        <v>3.846486960155164E-4</v>
      </c>
      <c r="H149" s="398">
        <v>0</v>
      </c>
      <c r="I149" s="312">
        <f t="shared" si="89"/>
        <v>0</v>
      </c>
      <c r="J149" s="457" t="e">
        <f t="shared" si="102"/>
        <v>#DIV/0!</v>
      </c>
      <c r="K149" s="369" t="e">
        <f t="shared" si="90"/>
        <v>#DIV/0!</v>
      </c>
      <c r="L149" s="404" t="e">
        <f t="shared" si="103"/>
        <v>#DIV/0!</v>
      </c>
      <c r="M149" s="312" t="e">
        <f t="shared" si="104"/>
        <v>#DIV/0!</v>
      </c>
      <c r="N149" s="298">
        <f t="shared" si="105"/>
        <v>20070.397425268799</v>
      </c>
      <c r="O149" s="312">
        <f t="shared" si="106"/>
        <v>3.6059110494407416E-4</v>
      </c>
      <c r="P149" s="404" t="e">
        <f t="shared" si="107"/>
        <v>#DIV/0!</v>
      </c>
      <c r="Q149" s="312" t="e">
        <f t="shared" si="114"/>
        <v>#DIV/0!</v>
      </c>
      <c r="R149" s="454" t="e">
        <f t="shared" si="108"/>
        <v>#DIV/0!</v>
      </c>
      <c r="S149" s="312" t="e">
        <f t="shared" si="109"/>
        <v>#DIV/0!</v>
      </c>
      <c r="T149" s="454" t="e">
        <f t="shared" si="110"/>
        <v>#DIV/0!</v>
      </c>
      <c r="U149" s="312" t="e">
        <f t="shared" si="111"/>
        <v>#DIV/0!</v>
      </c>
      <c r="V149" s="454">
        <f t="shared" si="112"/>
        <v>0</v>
      </c>
      <c r="W149" s="312">
        <f t="shared" si="115"/>
        <v>-1.0000002752637027</v>
      </c>
      <c r="X149" s="454">
        <f t="shared" si="113"/>
        <v>0</v>
      </c>
      <c r="Y149" s="312">
        <f t="shared" si="91"/>
        <v>-1</v>
      </c>
      <c r="Z149" s="674">
        <f t="shared" si="92"/>
        <v>0</v>
      </c>
      <c r="AA149" s="297"/>
      <c r="AB149" s="379">
        <f t="shared" si="92"/>
        <v>0</v>
      </c>
      <c r="AC149" s="297"/>
      <c r="AD149" s="413">
        <f t="shared" si="93"/>
        <v>0</v>
      </c>
      <c r="AE149" s="297"/>
      <c r="AG149" s="400" t="e">
        <f t="shared" si="94"/>
        <v>#DIV/0!</v>
      </c>
      <c r="AH149" s="401">
        <f t="shared" si="95"/>
        <v>0</v>
      </c>
      <c r="AI149" s="407">
        <f t="shared" si="96"/>
        <v>0</v>
      </c>
      <c r="AJ149" s="498"/>
      <c r="AK149" s="502">
        <f t="shared" si="97"/>
        <v>0</v>
      </c>
      <c r="AL149" s="503" t="e">
        <f t="shared" si="98"/>
        <v>#DIV/0!</v>
      </c>
      <c r="AM149" s="504" t="e">
        <f>AG149-AK149-AO149</f>
        <v>#DIV/0!</v>
      </c>
      <c r="AN149" s="503" t="e">
        <f t="shared" si="99"/>
        <v>#DIV/0!</v>
      </c>
      <c r="AO149" s="502">
        <f t="shared" si="100"/>
        <v>0</v>
      </c>
      <c r="AP149" s="503" t="e">
        <f t="shared" si="101"/>
        <v>#DIV/0!</v>
      </c>
      <c r="AQ149" s="314"/>
      <c r="AR149" s="110">
        <v>48853</v>
      </c>
      <c r="AS149" s="98">
        <f t="shared" si="81"/>
        <v>0</v>
      </c>
      <c r="AT149" s="98">
        <f t="shared" si="82"/>
        <v>0</v>
      </c>
      <c r="AU149" s="98"/>
      <c r="AV149" s="308"/>
      <c r="AW149" s="308"/>
      <c r="AX149" s="308"/>
      <c r="AY149" s="313"/>
      <c r="AZ149" s="313"/>
      <c r="BA149" s="313"/>
      <c r="BB149" s="313"/>
    </row>
    <row r="150" spans="1:54">
      <c r="A150" s="295">
        <v>45504</v>
      </c>
      <c r="B150" s="296">
        <f t="shared" si="83"/>
        <v>223600.15701494014</v>
      </c>
      <c r="C150" s="312">
        <f t="shared" si="84"/>
        <v>3.8483429990841811E-4</v>
      </c>
      <c r="D150" s="296">
        <f t="shared" si="85"/>
        <v>118844.25226360356</v>
      </c>
      <c r="E150" s="312">
        <f t="shared" si="86"/>
        <v>3.8486937629769611E-4</v>
      </c>
      <c r="F150" s="296">
        <f t="shared" si="87"/>
        <v>24085.242149284702</v>
      </c>
      <c r="G150" s="312">
        <f t="shared" si="88"/>
        <v>3.8464869601554481E-4</v>
      </c>
      <c r="H150" s="398">
        <v>0</v>
      </c>
      <c r="I150" s="312">
        <f t="shared" si="89"/>
        <v>0</v>
      </c>
      <c r="J150" s="457" t="e">
        <f t="shared" si="102"/>
        <v>#DIV/0!</v>
      </c>
      <c r="K150" s="369" t="e">
        <f t="shared" si="90"/>
        <v>#DIV/0!</v>
      </c>
      <c r="L150" s="404" t="e">
        <f t="shared" si="103"/>
        <v>#DIV/0!</v>
      </c>
      <c r="M150" s="312" t="e">
        <f t="shared" si="104"/>
        <v>#DIV/0!</v>
      </c>
      <c r="N150" s="298">
        <f t="shared" si="105"/>
        <v>20077.634632053043</v>
      </c>
      <c r="O150" s="312">
        <f t="shared" si="106"/>
        <v>3.605911049440721E-4</v>
      </c>
      <c r="P150" s="404" t="e">
        <f t="shared" si="107"/>
        <v>#DIV/0!</v>
      </c>
      <c r="Q150" s="312" t="e">
        <f t="shared" si="114"/>
        <v>#DIV/0!</v>
      </c>
      <c r="R150" s="454" t="e">
        <f t="shared" si="108"/>
        <v>#DIV/0!</v>
      </c>
      <c r="S150" s="312" t="e">
        <f t="shared" si="109"/>
        <v>#DIV/0!</v>
      </c>
      <c r="T150" s="454" t="e">
        <f t="shared" si="110"/>
        <v>#DIV/0!</v>
      </c>
      <c r="U150" s="312" t="e">
        <f t="shared" si="111"/>
        <v>#DIV/0!</v>
      </c>
      <c r="V150" s="454">
        <f t="shared" si="112"/>
        <v>0</v>
      </c>
      <c r="W150" s="312">
        <f t="shared" si="115"/>
        <v>-1.0000002752637027</v>
      </c>
      <c r="X150" s="454">
        <f t="shared" si="113"/>
        <v>0</v>
      </c>
      <c r="Y150" s="312">
        <f t="shared" si="91"/>
        <v>-1</v>
      </c>
      <c r="Z150" s="674">
        <f t="shared" si="92"/>
        <v>0</v>
      </c>
      <c r="AA150" s="329"/>
      <c r="AB150" s="379">
        <f t="shared" si="92"/>
        <v>0</v>
      </c>
      <c r="AC150" s="329"/>
      <c r="AD150" s="413">
        <f t="shared" si="93"/>
        <v>0</v>
      </c>
      <c r="AE150" s="329"/>
      <c r="AG150" s="400" t="e">
        <f t="shared" si="94"/>
        <v>#DIV/0!</v>
      </c>
      <c r="AH150" s="401">
        <f t="shared" si="95"/>
        <v>0</v>
      </c>
      <c r="AI150" s="407">
        <f t="shared" si="96"/>
        <v>0</v>
      </c>
      <c r="AJ150" s="498"/>
      <c r="AK150" s="502">
        <f t="shared" si="97"/>
        <v>0</v>
      </c>
      <c r="AL150" s="503" t="e">
        <f t="shared" si="98"/>
        <v>#DIV/0!</v>
      </c>
      <c r="AM150" s="504" t="e">
        <f>AG150-AK150-AO150</f>
        <v>#DIV/0!</v>
      </c>
      <c r="AN150" s="503" t="e">
        <f t="shared" si="99"/>
        <v>#DIV/0!</v>
      </c>
      <c r="AO150" s="502">
        <f t="shared" si="100"/>
        <v>0</v>
      </c>
      <c r="AP150" s="503" t="e">
        <f t="shared" si="101"/>
        <v>#DIV/0!</v>
      </c>
      <c r="AQ150" s="314"/>
      <c r="AR150" s="110">
        <v>48884</v>
      </c>
      <c r="AS150" s="98">
        <f t="shared" si="81"/>
        <v>0</v>
      </c>
      <c r="AT150" s="98">
        <f t="shared" si="82"/>
        <v>0</v>
      </c>
      <c r="AU150" s="98"/>
      <c r="AV150" s="308"/>
      <c r="AW150" s="308"/>
      <c r="AX150" s="308"/>
      <c r="AY150" s="313"/>
      <c r="AZ150" s="313"/>
      <c r="BA150" s="313"/>
      <c r="BB150" s="313"/>
    </row>
    <row r="151" spans="1:54">
      <c r="A151" s="295">
        <v>45505</v>
      </c>
      <c r="B151" s="296">
        <f t="shared" si="83"/>
        <v>223686.20602482441</v>
      </c>
      <c r="C151" s="312">
        <f t="shared" si="84"/>
        <v>3.848342999084817E-4</v>
      </c>
      <c r="D151" s="296">
        <f t="shared" si="85"/>
        <v>118889.99177684882</v>
      </c>
      <c r="E151" s="312">
        <f t="shared" si="86"/>
        <v>3.8486937629775113E-4</v>
      </c>
      <c r="F151" s="296">
        <f t="shared" si="87"/>
        <v>24094.506506270642</v>
      </c>
      <c r="G151" s="312">
        <f t="shared" si="88"/>
        <v>3.8464869601547141E-4</v>
      </c>
      <c r="H151" s="398">
        <v>0</v>
      </c>
      <c r="I151" s="312">
        <f t="shared" si="89"/>
        <v>0</v>
      </c>
      <c r="J151" s="457" t="e">
        <f t="shared" si="102"/>
        <v>#DIV/0!</v>
      </c>
      <c r="K151" s="369" t="e">
        <f t="shared" si="90"/>
        <v>#DIV/0!</v>
      </c>
      <c r="L151" s="404" t="e">
        <f t="shared" si="103"/>
        <v>#DIV/0!</v>
      </c>
      <c r="M151" s="312" t="e">
        <f t="shared" si="104"/>
        <v>#DIV/0!</v>
      </c>
      <c r="N151" s="298">
        <f t="shared" si="105"/>
        <v>20084.874448509679</v>
      </c>
      <c r="O151" s="312">
        <f t="shared" si="106"/>
        <v>3.6059110494413401E-4</v>
      </c>
      <c r="P151" s="404" t="e">
        <f t="shared" si="107"/>
        <v>#DIV/0!</v>
      </c>
      <c r="Q151" s="312" t="e">
        <f t="shared" si="114"/>
        <v>#DIV/0!</v>
      </c>
      <c r="R151" s="454" t="e">
        <f t="shared" si="108"/>
        <v>#DIV/0!</v>
      </c>
      <c r="S151" s="312" t="e">
        <f t="shared" si="109"/>
        <v>#DIV/0!</v>
      </c>
      <c r="T151" s="454" t="e">
        <f t="shared" si="110"/>
        <v>#DIV/0!</v>
      </c>
      <c r="U151" s="312" t="e">
        <f t="shared" si="111"/>
        <v>#DIV/0!</v>
      </c>
      <c r="V151" s="454">
        <f t="shared" si="112"/>
        <v>0</v>
      </c>
      <c r="W151" s="312">
        <f t="shared" si="115"/>
        <v>-1.0000002752637027</v>
      </c>
      <c r="X151" s="454">
        <f t="shared" si="113"/>
        <v>0</v>
      </c>
      <c r="Y151" s="312">
        <f t="shared" si="91"/>
        <v>-1</v>
      </c>
      <c r="Z151" s="674">
        <f t="shared" si="92"/>
        <v>0</v>
      </c>
      <c r="AA151" s="297"/>
      <c r="AB151" s="379">
        <f t="shared" si="92"/>
        <v>0</v>
      </c>
      <c r="AC151" s="297"/>
      <c r="AD151" s="413">
        <f t="shared" si="93"/>
        <v>0</v>
      </c>
      <c r="AE151" s="297"/>
      <c r="AG151" s="400" t="e">
        <f t="shared" si="94"/>
        <v>#DIV/0!</v>
      </c>
      <c r="AH151" s="401">
        <f t="shared" si="95"/>
        <v>0</v>
      </c>
      <c r="AI151" s="407">
        <f t="shared" si="96"/>
        <v>0</v>
      </c>
      <c r="AJ151" s="498"/>
      <c r="AK151" s="502">
        <f t="shared" si="97"/>
        <v>0</v>
      </c>
      <c r="AL151" s="503" t="e">
        <f t="shared" si="98"/>
        <v>#DIV/0!</v>
      </c>
      <c r="AM151" s="504" t="e">
        <f>AG151-AK151-AO151</f>
        <v>#DIV/0!</v>
      </c>
      <c r="AN151" s="503" t="e">
        <f t="shared" si="99"/>
        <v>#DIV/0!</v>
      </c>
      <c r="AO151" s="502">
        <f t="shared" si="100"/>
        <v>0</v>
      </c>
      <c r="AP151" s="503" t="e">
        <f t="shared" si="101"/>
        <v>#DIV/0!</v>
      </c>
      <c r="AQ151" s="314"/>
      <c r="AR151" s="110">
        <v>48914</v>
      </c>
      <c r="AS151" s="98">
        <f t="shared" si="81"/>
        <v>0</v>
      </c>
      <c r="AT151" s="98">
        <f t="shared" si="82"/>
        <v>0</v>
      </c>
      <c r="AU151" s="98"/>
      <c r="AV151" s="308"/>
      <c r="AW151" s="308"/>
      <c r="AX151" s="308"/>
      <c r="AY151" s="313"/>
      <c r="AZ151" s="313"/>
      <c r="BA151" s="313"/>
      <c r="BB151" s="313"/>
    </row>
    <row r="152" spans="1:54">
      <c r="A152" s="295">
        <v>45506</v>
      </c>
      <c r="B152" s="296">
        <f t="shared" si="83"/>
        <v>223772.28814931915</v>
      </c>
      <c r="C152" s="312">
        <f t="shared" si="84"/>
        <v>3.8483429990846408E-4</v>
      </c>
      <c r="D152" s="296">
        <f t="shared" si="85"/>
        <v>118935.74889383202</v>
      </c>
      <c r="E152" s="312">
        <f t="shared" si="86"/>
        <v>3.8486937629769215E-4</v>
      </c>
      <c r="F152" s="296">
        <f t="shared" si="87"/>
        <v>24103.774426779415</v>
      </c>
      <c r="G152" s="312">
        <f t="shared" si="88"/>
        <v>3.8464869601547526E-4</v>
      </c>
      <c r="H152" s="398">
        <v>0</v>
      </c>
      <c r="I152" s="312">
        <f t="shared" si="89"/>
        <v>0</v>
      </c>
      <c r="J152" s="457" t="e">
        <f t="shared" si="102"/>
        <v>#DIV/0!</v>
      </c>
      <c r="K152" s="369" t="e">
        <f t="shared" si="90"/>
        <v>#DIV/0!</v>
      </c>
      <c r="L152" s="404" t="e">
        <f t="shared" si="103"/>
        <v>#DIV/0!</v>
      </c>
      <c r="M152" s="312" t="e">
        <f t="shared" si="104"/>
        <v>#DIV/0!</v>
      </c>
      <c r="N152" s="298">
        <f t="shared" si="105"/>
        <v>20092.116875579733</v>
      </c>
      <c r="O152" s="312">
        <f t="shared" si="106"/>
        <v>3.6059110494421635E-4</v>
      </c>
      <c r="P152" s="404" t="e">
        <f t="shared" si="107"/>
        <v>#DIV/0!</v>
      </c>
      <c r="Q152" s="312" t="e">
        <f t="shared" si="114"/>
        <v>#DIV/0!</v>
      </c>
      <c r="R152" s="454" t="e">
        <f t="shared" si="108"/>
        <v>#DIV/0!</v>
      </c>
      <c r="S152" s="312" t="e">
        <f t="shared" si="109"/>
        <v>#DIV/0!</v>
      </c>
      <c r="T152" s="454" t="e">
        <f t="shared" si="110"/>
        <v>#DIV/0!</v>
      </c>
      <c r="U152" s="312" t="e">
        <f t="shared" si="111"/>
        <v>#DIV/0!</v>
      </c>
      <c r="V152" s="454">
        <f t="shared" si="112"/>
        <v>0</v>
      </c>
      <c r="W152" s="312">
        <f t="shared" si="115"/>
        <v>-1.0000002752637027</v>
      </c>
      <c r="X152" s="454">
        <f t="shared" si="113"/>
        <v>0</v>
      </c>
      <c r="Y152" s="312">
        <f t="shared" si="91"/>
        <v>-1</v>
      </c>
      <c r="Z152" s="674">
        <f t="shared" si="92"/>
        <v>0</v>
      </c>
      <c r="AA152" s="329"/>
      <c r="AB152" s="379">
        <f t="shared" si="92"/>
        <v>0</v>
      </c>
      <c r="AC152" s="329"/>
      <c r="AD152" s="413">
        <f t="shared" si="93"/>
        <v>0</v>
      </c>
      <c r="AE152" s="329"/>
      <c r="AG152" s="400" t="e">
        <f t="shared" si="94"/>
        <v>#DIV/0!</v>
      </c>
      <c r="AH152" s="401">
        <f t="shared" si="95"/>
        <v>0</v>
      </c>
      <c r="AI152" s="407">
        <f t="shared" si="96"/>
        <v>0</v>
      </c>
      <c r="AJ152" s="498"/>
      <c r="AK152" s="502">
        <f t="shared" si="97"/>
        <v>0</v>
      </c>
      <c r="AL152" s="503" t="e">
        <f t="shared" si="98"/>
        <v>#DIV/0!</v>
      </c>
      <c r="AM152" s="504" t="e">
        <f>AG152-AK152-AO152</f>
        <v>#DIV/0!</v>
      </c>
      <c r="AN152" s="503" t="e">
        <f t="shared" si="99"/>
        <v>#DIV/0!</v>
      </c>
      <c r="AO152" s="502">
        <f t="shared" si="100"/>
        <v>0</v>
      </c>
      <c r="AP152" s="503" t="e">
        <f t="shared" si="101"/>
        <v>#DIV/0!</v>
      </c>
      <c r="AQ152" s="314"/>
      <c r="AR152" s="110">
        <v>48945</v>
      </c>
      <c r="AS152" s="98">
        <f t="shared" si="81"/>
        <v>0</v>
      </c>
      <c r="AT152" s="98">
        <f t="shared" si="82"/>
        <v>0</v>
      </c>
      <c r="AU152" s="98"/>
      <c r="AV152" s="308"/>
      <c r="AW152" s="308"/>
      <c r="AX152" s="308"/>
      <c r="AY152" s="313"/>
      <c r="AZ152" s="313"/>
      <c r="BA152" s="313"/>
      <c r="BB152" s="313"/>
    </row>
    <row r="153" spans="1:54">
      <c r="A153" s="295">
        <v>45509</v>
      </c>
      <c r="B153" s="296">
        <f t="shared" si="83"/>
        <v>223858.40340116801</v>
      </c>
      <c r="C153" s="312">
        <f t="shared" si="84"/>
        <v>3.84834299908438E-4</v>
      </c>
      <c r="D153" s="296">
        <f t="shared" si="85"/>
        <v>118981.52362132829</v>
      </c>
      <c r="E153" s="312">
        <f t="shared" si="86"/>
        <v>3.8486937629774939E-4</v>
      </c>
      <c r="F153" s="296">
        <f t="shared" si="87"/>
        <v>24113.045912181726</v>
      </c>
      <c r="G153" s="312">
        <f t="shared" si="88"/>
        <v>3.8464869601542479E-4</v>
      </c>
      <c r="H153" s="398">
        <v>0</v>
      </c>
      <c r="I153" s="312">
        <f t="shared" si="89"/>
        <v>0</v>
      </c>
      <c r="J153" s="457" t="e">
        <f t="shared" si="102"/>
        <v>#DIV/0!</v>
      </c>
      <c r="K153" s="369" t="e">
        <f t="shared" si="90"/>
        <v>#DIV/0!</v>
      </c>
      <c r="L153" s="404" t="e">
        <f t="shared" si="103"/>
        <v>#DIV/0!</v>
      </c>
      <c r="M153" s="312" t="e">
        <f t="shared" si="104"/>
        <v>#DIV/0!</v>
      </c>
      <c r="N153" s="298">
        <f t="shared" si="105"/>
        <v>20099.361914204568</v>
      </c>
      <c r="O153" s="312">
        <f t="shared" si="106"/>
        <v>3.605911049442698E-4</v>
      </c>
      <c r="P153" s="404" t="e">
        <f t="shared" si="107"/>
        <v>#DIV/0!</v>
      </c>
      <c r="Q153" s="312" t="e">
        <f t="shared" si="114"/>
        <v>#DIV/0!</v>
      </c>
      <c r="R153" s="454" t="e">
        <f t="shared" si="108"/>
        <v>#DIV/0!</v>
      </c>
      <c r="S153" s="312" t="e">
        <f t="shared" si="109"/>
        <v>#DIV/0!</v>
      </c>
      <c r="T153" s="454" t="e">
        <f t="shared" si="110"/>
        <v>#DIV/0!</v>
      </c>
      <c r="U153" s="312" t="e">
        <f t="shared" si="111"/>
        <v>#DIV/0!</v>
      </c>
      <c r="V153" s="454">
        <f t="shared" si="112"/>
        <v>0</v>
      </c>
      <c r="W153" s="312">
        <f t="shared" si="115"/>
        <v>-1.0000002752637027</v>
      </c>
      <c r="X153" s="454">
        <f t="shared" si="113"/>
        <v>0</v>
      </c>
      <c r="Y153" s="312">
        <f t="shared" si="91"/>
        <v>-1</v>
      </c>
      <c r="Z153" s="674">
        <f t="shared" si="92"/>
        <v>0</v>
      </c>
      <c r="AA153" s="297"/>
      <c r="AB153" s="379">
        <f t="shared" si="92"/>
        <v>0</v>
      </c>
      <c r="AC153" s="297"/>
      <c r="AD153" s="413">
        <f t="shared" si="93"/>
        <v>0</v>
      </c>
      <c r="AE153" s="297"/>
      <c r="AG153" s="400" t="e">
        <f t="shared" si="94"/>
        <v>#DIV/0!</v>
      </c>
      <c r="AH153" s="401">
        <f t="shared" si="95"/>
        <v>0</v>
      </c>
      <c r="AI153" s="407">
        <f t="shared" si="96"/>
        <v>0</v>
      </c>
      <c r="AJ153" s="498"/>
      <c r="AK153" s="502">
        <f t="shared" si="97"/>
        <v>0</v>
      </c>
      <c r="AL153" s="503" t="e">
        <f t="shared" si="98"/>
        <v>#DIV/0!</v>
      </c>
      <c r="AM153" s="504" t="e">
        <f>AG153-AK153-AO153</f>
        <v>#DIV/0!</v>
      </c>
      <c r="AN153" s="503" t="e">
        <f t="shared" si="99"/>
        <v>#DIV/0!</v>
      </c>
      <c r="AO153" s="502">
        <f t="shared" si="100"/>
        <v>0</v>
      </c>
      <c r="AP153" s="503" t="e">
        <f t="shared" si="101"/>
        <v>#DIV/0!</v>
      </c>
      <c r="AQ153" s="314"/>
      <c r="AR153" s="110">
        <v>48976</v>
      </c>
      <c r="AS153" s="98">
        <f t="shared" si="81"/>
        <v>0</v>
      </c>
      <c r="AT153" s="98">
        <f t="shared" si="82"/>
        <v>0</v>
      </c>
      <c r="AU153" s="98"/>
      <c r="AV153" s="308"/>
      <c r="AW153" s="308"/>
      <c r="AX153" s="308"/>
      <c r="AY153" s="313"/>
      <c r="AZ153" s="313"/>
      <c r="BA153" s="313"/>
      <c r="BB153" s="313"/>
    </row>
    <row r="154" spans="1:54">
      <c r="A154" s="295">
        <v>45510</v>
      </c>
      <c r="B154" s="296">
        <f t="shared" si="83"/>
        <v>223944.55179311952</v>
      </c>
      <c r="C154" s="312">
        <f t="shared" si="84"/>
        <v>3.8483429990846755E-4</v>
      </c>
      <c r="D154" s="296">
        <f t="shared" si="85"/>
        <v>119027.31596611539</v>
      </c>
      <c r="E154" s="312">
        <f t="shared" si="86"/>
        <v>3.848693762977772E-4</v>
      </c>
      <c r="F154" s="296">
        <f t="shared" si="87"/>
        <v>24122.320963848808</v>
      </c>
      <c r="G154" s="312">
        <f t="shared" si="88"/>
        <v>3.8464869601548214E-4</v>
      </c>
      <c r="H154" s="398">
        <v>0</v>
      </c>
      <c r="I154" s="312">
        <f t="shared" si="89"/>
        <v>0</v>
      </c>
      <c r="J154" s="457" t="e">
        <f t="shared" si="102"/>
        <v>#DIV/0!</v>
      </c>
      <c r="K154" s="369" t="e">
        <f t="shared" si="90"/>
        <v>#DIV/0!</v>
      </c>
      <c r="L154" s="404" t="e">
        <f t="shared" si="103"/>
        <v>#DIV/0!</v>
      </c>
      <c r="M154" s="312" t="e">
        <f t="shared" si="104"/>
        <v>#DIV/0!</v>
      </c>
      <c r="N154" s="298">
        <f t="shared" si="105"/>
        <v>20106.609565325885</v>
      </c>
      <c r="O154" s="312">
        <f t="shared" si="106"/>
        <v>3.605911049442388E-4</v>
      </c>
      <c r="P154" s="404" t="e">
        <f t="shared" si="107"/>
        <v>#DIV/0!</v>
      </c>
      <c r="Q154" s="312" t="e">
        <f t="shared" si="114"/>
        <v>#DIV/0!</v>
      </c>
      <c r="R154" s="454" t="e">
        <f t="shared" si="108"/>
        <v>#DIV/0!</v>
      </c>
      <c r="S154" s="312" t="e">
        <f t="shared" si="109"/>
        <v>#DIV/0!</v>
      </c>
      <c r="T154" s="454" t="e">
        <f t="shared" si="110"/>
        <v>#DIV/0!</v>
      </c>
      <c r="U154" s="312" t="e">
        <f t="shared" si="111"/>
        <v>#DIV/0!</v>
      </c>
      <c r="V154" s="454">
        <f t="shared" si="112"/>
        <v>0</v>
      </c>
      <c r="W154" s="312">
        <f t="shared" si="115"/>
        <v>-1.0000002752637027</v>
      </c>
      <c r="X154" s="454">
        <f t="shared" si="113"/>
        <v>0</v>
      </c>
      <c r="Y154" s="312">
        <f t="shared" si="91"/>
        <v>-1</v>
      </c>
      <c r="Z154" s="674">
        <f t="shared" si="92"/>
        <v>0</v>
      </c>
      <c r="AA154" s="329"/>
      <c r="AB154" s="379">
        <f t="shared" si="92"/>
        <v>0</v>
      </c>
      <c r="AC154" s="329"/>
      <c r="AD154" s="413">
        <f t="shared" si="93"/>
        <v>0</v>
      </c>
      <c r="AE154" s="329"/>
      <c r="AG154" s="400" t="e">
        <f t="shared" si="94"/>
        <v>#DIV/0!</v>
      </c>
      <c r="AH154" s="401">
        <f t="shared" si="95"/>
        <v>0</v>
      </c>
      <c r="AI154" s="407">
        <f t="shared" si="96"/>
        <v>0</v>
      </c>
      <c r="AJ154" s="498"/>
      <c r="AK154" s="502">
        <f t="shared" si="97"/>
        <v>0</v>
      </c>
      <c r="AL154" s="503" t="e">
        <f t="shared" si="98"/>
        <v>#DIV/0!</v>
      </c>
      <c r="AM154" s="504" t="e">
        <f>AG154-AK154-AO154</f>
        <v>#DIV/0!</v>
      </c>
      <c r="AN154" s="503" t="e">
        <f t="shared" si="99"/>
        <v>#DIV/0!</v>
      </c>
      <c r="AO154" s="502">
        <f t="shared" si="100"/>
        <v>0</v>
      </c>
      <c r="AP154" s="503" t="e">
        <f t="shared" si="101"/>
        <v>#DIV/0!</v>
      </c>
      <c r="AQ154" s="314"/>
      <c r="AR154" s="110">
        <v>49004</v>
      </c>
      <c r="AS154" s="98">
        <f t="shared" si="81"/>
        <v>0</v>
      </c>
      <c r="AT154" s="98">
        <f t="shared" si="82"/>
        <v>0</v>
      </c>
      <c r="AU154" s="98"/>
      <c r="AV154" s="308"/>
      <c r="AW154" s="308"/>
      <c r="AX154" s="308"/>
      <c r="AY154" s="313"/>
      <c r="AZ154" s="313"/>
      <c r="BA154" s="313"/>
      <c r="BB154" s="313"/>
    </row>
    <row r="155" spans="1:54">
      <c r="A155" s="295">
        <v>45511</v>
      </c>
      <c r="B155" s="296">
        <f t="shared" si="83"/>
        <v>224030.73333792714</v>
      </c>
      <c r="C155" s="312">
        <f t="shared" si="84"/>
        <v>3.8483429990847845E-4</v>
      </c>
      <c r="D155" s="296">
        <f t="shared" si="85"/>
        <v>119073.12593497366</v>
      </c>
      <c r="E155" s="312">
        <f t="shared" si="86"/>
        <v>3.8486937629774414E-4</v>
      </c>
      <c r="F155" s="296">
        <f t="shared" si="87"/>
        <v>24131.59958315242</v>
      </c>
      <c r="G155" s="312">
        <f t="shared" si="88"/>
        <v>3.8464869601549889E-4</v>
      </c>
      <c r="H155" s="398">
        <v>0</v>
      </c>
      <c r="I155" s="312">
        <f t="shared" si="89"/>
        <v>0</v>
      </c>
      <c r="J155" s="457" t="e">
        <f t="shared" si="102"/>
        <v>#DIV/0!</v>
      </c>
      <c r="K155" s="369" t="e">
        <f t="shared" si="90"/>
        <v>#DIV/0!</v>
      </c>
      <c r="L155" s="404" t="e">
        <f t="shared" si="103"/>
        <v>#DIV/0!</v>
      </c>
      <c r="M155" s="312" t="e">
        <f t="shared" si="104"/>
        <v>#DIV/0!</v>
      </c>
      <c r="N155" s="298">
        <f t="shared" si="105"/>
        <v>20113.859829885729</v>
      </c>
      <c r="O155" s="312">
        <f t="shared" si="106"/>
        <v>3.6059110494424292E-4</v>
      </c>
      <c r="P155" s="404" t="e">
        <f t="shared" si="107"/>
        <v>#DIV/0!</v>
      </c>
      <c r="Q155" s="312" t="e">
        <f t="shared" si="114"/>
        <v>#DIV/0!</v>
      </c>
      <c r="R155" s="454" t="e">
        <f t="shared" si="108"/>
        <v>#DIV/0!</v>
      </c>
      <c r="S155" s="312" t="e">
        <f t="shared" si="109"/>
        <v>#DIV/0!</v>
      </c>
      <c r="T155" s="454" t="e">
        <f t="shared" si="110"/>
        <v>#DIV/0!</v>
      </c>
      <c r="U155" s="312" t="e">
        <f t="shared" si="111"/>
        <v>#DIV/0!</v>
      </c>
      <c r="V155" s="454">
        <f t="shared" si="112"/>
        <v>0</v>
      </c>
      <c r="W155" s="312">
        <f t="shared" si="115"/>
        <v>-1.0000002752637027</v>
      </c>
      <c r="X155" s="454">
        <f t="shared" si="113"/>
        <v>0</v>
      </c>
      <c r="Y155" s="312">
        <f t="shared" si="91"/>
        <v>-1</v>
      </c>
      <c r="Z155" s="674">
        <f t="shared" si="92"/>
        <v>0</v>
      </c>
      <c r="AA155" s="297"/>
      <c r="AB155" s="379">
        <f t="shared" si="92"/>
        <v>0</v>
      </c>
      <c r="AC155" s="297"/>
      <c r="AD155" s="413">
        <f t="shared" si="93"/>
        <v>0</v>
      </c>
      <c r="AE155" s="297"/>
      <c r="AG155" s="400" t="e">
        <f t="shared" si="94"/>
        <v>#DIV/0!</v>
      </c>
      <c r="AH155" s="401">
        <f t="shared" si="95"/>
        <v>0</v>
      </c>
      <c r="AI155" s="407">
        <f t="shared" si="96"/>
        <v>0</v>
      </c>
      <c r="AJ155" s="498"/>
      <c r="AK155" s="502">
        <f t="shared" si="97"/>
        <v>0</v>
      </c>
      <c r="AL155" s="503" t="e">
        <f t="shared" si="98"/>
        <v>#DIV/0!</v>
      </c>
      <c r="AM155" s="504" t="e">
        <f>AG155-AK155-AO155</f>
        <v>#DIV/0!</v>
      </c>
      <c r="AN155" s="503" t="e">
        <f t="shared" si="99"/>
        <v>#DIV/0!</v>
      </c>
      <c r="AO155" s="502">
        <f t="shared" si="100"/>
        <v>0</v>
      </c>
      <c r="AP155" s="503" t="e">
        <f t="shared" si="101"/>
        <v>#DIV/0!</v>
      </c>
      <c r="AQ155" s="314"/>
      <c r="AR155" s="110">
        <v>49035</v>
      </c>
      <c r="AS155" s="98">
        <f t="shared" si="81"/>
        <v>0</v>
      </c>
      <c r="AT155" s="98">
        <f t="shared" si="82"/>
        <v>0</v>
      </c>
      <c r="AU155" s="98"/>
      <c r="AV155" s="308"/>
      <c r="AW155" s="308"/>
      <c r="AX155" s="308"/>
      <c r="AY155" s="313"/>
      <c r="AZ155" s="313"/>
      <c r="BA155" s="313"/>
      <c r="BB155" s="313"/>
    </row>
    <row r="156" spans="1:54">
      <c r="A156" s="295">
        <v>45512</v>
      </c>
      <c r="B156" s="296">
        <f t="shared" si="83"/>
        <v>224116.94804834924</v>
      </c>
      <c r="C156" s="312">
        <f t="shared" si="84"/>
        <v>3.8483429990851786E-4</v>
      </c>
      <c r="D156" s="296">
        <f t="shared" si="85"/>
        <v>119118.95353468608</v>
      </c>
      <c r="E156" s="312">
        <f t="shared" si="86"/>
        <v>3.8486937629773248E-4</v>
      </c>
      <c r="F156" s="296">
        <f t="shared" si="87"/>
        <v>24140.881771464847</v>
      </c>
      <c r="G156" s="312">
        <f t="shared" si="88"/>
        <v>3.8464869601546946E-4</v>
      </c>
      <c r="H156" s="398">
        <v>0</v>
      </c>
      <c r="I156" s="312">
        <f t="shared" si="89"/>
        <v>0</v>
      </c>
      <c r="J156" s="457" t="e">
        <f t="shared" si="102"/>
        <v>#DIV/0!</v>
      </c>
      <c r="K156" s="369" t="e">
        <f t="shared" si="90"/>
        <v>#DIV/0!</v>
      </c>
      <c r="L156" s="404" t="e">
        <f t="shared" si="103"/>
        <v>#DIV/0!</v>
      </c>
      <c r="M156" s="312" t="e">
        <f t="shared" si="104"/>
        <v>#DIV/0!</v>
      </c>
      <c r="N156" s="298">
        <f t="shared" si="105"/>
        <v>20121.11270882648</v>
      </c>
      <c r="O156" s="312">
        <f t="shared" si="106"/>
        <v>3.605911049442144E-4</v>
      </c>
      <c r="P156" s="404" t="e">
        <f t="shared" si="107"/>
        <v>#DIV/0!</v>
      </c>
      <c r="Q156" s="312" t="e">
        <f t="shared" si="114"/>
        <v>#DIV/0!</v>
      </c>
      <c r="R156" s="454" t="e">
        <f t="shared" si="108"/>
        <v>#DIV/0!</v>
      </c>
      <c r="S156" s="312" t="e">
        <f t="shared" si="109"/>
        <v>#DIV/0!</v>
      </c>
      <c r="T156" s="454" t="e">
        <f t="shared" si="110"/>
        <v>#DIV/0!</v>
      </c>
      <c r="U156" s="312" t="e">
        <f t="shared" si="111"/>
        <v>#DIV/0!</v>
      </c>
      <c r="V156" s="454">
        <f t="shared" si="112"/>
        <v>0</v>
      </c>
      <c r="W156" s="312">
        <f t="shared" si="115"/>
        <v>-1.0000002752637027</v>
      </c>
      <c r="X156" s="454">
        <f t="shared" si="113"/>
        <v>0</v>
      </c>
      <c r="Y156" s="312">
        <f t="shared" si="91"/>
        <v>-1</v>
      </c>
      <c r="Z156" s="674">
        <f t="shared" si="92"/>
        <v>0</v>
      </c>
      <c r="AA156" s="329"/>
      <c r="AB156" s="379">
        <f t="shared" si="92"/>
        <v>0</v>
      </c>
      <c r="AC156" s="329"/>
      <c r="AD156" s="413">
        <f t="shared" si="93"/>
        <v>0</v>
      </c>
      <c r="AE156" s="329"/>
      <c r="AG156" s="400" t="e">
        <f t="shared" si="94"/>
        <v>#DIV/0!</v>
      </c>
      <c r="AH156" s="401">
        <f t="shared" si="95"/>
        <v>0</v>
      </c>
      <c r="AI156" s="407">
        <f t="shared" si="96"/>
        <v>0</v>
      </c>
      <c r="AJ156" s="498"/>
      <c r="AK156" s="502">
        <f t="shared" si="97"/>
        <v>0</v>
      </c>
      <c r="AL156" s="503" t="e">
        <f t="shared" si="98"/>
        <v>#DIV/0!</v>
      </c>
      <c r="AM156" s="504" t="e">
        <f>AG156-AK156-AO156</f>
        <v>#DIV/0!</v>
      </c>
      <c r="AN156" s="503" t="e">
        <f t="shared" si="99"/>
        <v>#DIV/0!</v>
      </c>
      <c r="AO156" s="502">
        <f t="shared" si="100"/>
        <v>0</v>
      </c>
      <c r="AP156" s="503" t="e">
        <f t="shared" si="101"/>
        <v>#DIV/0!</v>
      </c>
      <c r="AQ156" s="314"/>
      <c r="AR156" s="110">
        <v>49065</v>
      </c>
      <c r="AS156" s="98">
        <f t="shared" si="81"/>
        <v>0</v>
      </c>
      <c r="AT156" s="98">
        <f t="shared" si="82"/>
        <v>0</v>
      </c>
      <c r="AU156" s="98"/>
      <c r="AV156" s="308"/>
      <c r="AW156" s="308"/>
      <c r="AX156" s="308"/>
      <c r="AY156" s="313"/>
      <c r="AZ156" s="313"/>
      <c r="BA156" s="313"/>
      <c r="BB156" s="313"/>
    </row>
    <row r="157" spans="1:54">
      <c r="A157" s="295">
        <v>45513</v>
      </c>
      <c r="B157" s="296">
        <f t="shared" si="83"/>
        <v>224203.19593714905</v>
      </c>
      <c r="C157" s="312">
        <f t="shared" si="84"/>
        <v>3.8483429990849476E-4</v>
      </c>
      <c r="D157" s="296">
        <f t="shared" si="85"/>
        <v>119164.79877203821</v>
      </c>
      <c r="E157" s="312">
        <f t="shared" si="86"/>
        <v>3.8486937629769388E-4</v>
      </c>
      <c r="F157" s="296">
        <f t="shared" si="87"/>
        <v>24150.167530158906</v>
      </c>
      <c r="G157" s="312">
        <f t="shared" si="88"/>
        <v>3.8464869601553039E-4</v>
      </c>
      <c r="H157" s="398">
        <v>0</v>
      </c>
      <c r="I157" s="312">
        <f t="shared" si="89"/>
        <v>0</v>
      </c>
      <c r="J157" s="457" t="e">
        <f t="shared" si="102"/>
        <v>#DIV/0!</v>
      </c>
      <c r="K157" s="369" t="e">
        <f t="shared" si="90"/>
        <v>#DIV/0!</v>
      </c>
      <c r="L157" s="404" t="e">
        <f t="shared" si="103"/>
        <v>#DIV/0!</v>
      </c>
      <c r="M157" s="312" t="e">
        <f t="shared" si="104"/>
        <v>#DIV/0!</v>
      </c>
      <c r="N157" s="298">
        <f t="shared" si="105"/>
        <v>20128.368203090864</v>
      </c>
      <c r="O157" s="312">
        <f t="shared" si="106"/>
        <v>3.6059110494426048E-4</v>
      </c>
      <c r="P157" s="404" t="e">
        <f t="shared" si="107"/>
        <v>#DIV/0!</v>
      </c>
      <c r="Q157" s="312" t="e">
        <f t="shared" si="114"/>
        <v>#DIV/0!</v>
      </c>
      <c r="R157" s="454" t="e">
        <f t="shared" si="108"/>
        <v>#DIV/0!</v>
      </c>
      <c r="S157" s="312" t="e">
        <f t="shared" si="109"/>
        <v>#DIV/0!</v>
      </c>
      <c r="T157" s="454" t="e">
        <f t="shared" si="110"/>
        <v>#DIV/0!</v>
      </c>
      <c r="U157" s="312" t="e">
        <f t="shared" si="111"/>
        <v>#DIV/0!</v>
      </c>
      <c r="V157" s="454">
        <f t="shared" si="112"/>
        <v>0</v>
      </c>
      <c r="W157" s="312">
        <f t="shared" si="115"/>
        <v>-1.0000002752637027</v>
      </c>
      <c r="X157" s="454">
        <f t="shared" si="113"/>
        <v>0</v>
      </c>
      <c r="Y157" s="312">
        <f t="shared" si="91"/>
        <v>-1</v>
      </c>
      <c r="Z157" s="674">
        <f t="shared" si="92"/>
        <v>0</v>
      </c>
      <c r="AA157" s="297"/>
      <c r="AB157" s="379">
        <f t="shared" si="92"/>
        <v>0</v>
      </c>
      <c r="AC157" s="297"/>
      <c r="AD157" s="413">
        <f t="shared" si="93"/>
        <v>0</v>
      </c>
      <c r="AE157" s="297"/>
      <c r="AF157" s="287"/>
      <c r="AG157" s="400" t="e">
        <f t="shared" si="94"/>
        <v>#DIV/0!</v>
      </c>
      <c r="AH157" s="401">
        <f t="shared" si="95"/>
        <v>0</v>
      </c>
      <c r="AI157" s="407">
        <f t="shared" si="96"/>
        <v>0</v>
      </c>
      <c r="AJ157" s="498"/>
      <c r="AK157" s="502">
        <f t="shared" si="97"/>
        <v>0</v>
      </c>
      <c r="AL157" s="503" t="e">
        <f t="shared" si="98"/>
        <v>#DIV/0!</v>
      </c>
      <c r="AM157" s="504" t="e">
        <f>AG157-AK157-AO157</f>
        <v>#DIV/0!</v>
      </c>
      <c r="AN157" s="503" t="e">
        <f t="shared" si="99"/>
        <v>#DIV/0!</v>
      </c>
      <c r="AO157" s="502">
        <f t="shared" si="100"/>
        <v>0</v>
      </c>
      <c r="AP157" s="503" t="e">
        <f t="shared" si="101"/>
        <v>#DIV/0!</v>
      </c>
      <c r="AQ157" s="314"/>
      <c r="AR157" s="110">
        <v>49096</v>
      </c>
      <c r="AS157" s="98">
        <f t="shared" si="81"/>
        <v>0</v>
      </c>
      <c r="AT157" s="98">
        <f t="shared" si="82"/>
        <v>0</v>
      </c>
      <c r="AU157" s="98"/>
      <c r="AV157" s="308"/>
      <c r="AW157" s="308"/>
      <c r="AX157" s="308"/>
      <c r="AY157" s="313"/>
      <c r="AZ157" s="313"/>
      <c r="BA157" s="313"/>
      <c r="BB157" s="313"/>
    </row>
    <row r="158" spans="1:54">
      <c r="A158" s="295">
        <v>45516</v>
      </c>
      <c r="B158" s="296">
        <f t="shared" si="83"/>
        <v>224289.47701709476</v>
      </c>
      <c r="C158" s="312">
        <f t="shared" si="84"/>
        <v>3.8483429990843958E-4</v>
      </c>
      <c r="D158" s="296">
        <f t="shared" si="85"/>
        <v>119210.66165381824</v>
      </c>
      <c r="E158" s="312">
        <f t="shared" si="86"/>
        <v>3.8486937629769361E-4</v>
      </c>
      <c r="F158" s="296">
        <f t="shared" si="87"/>
        <v>24159.456860607937</v>
      </c>
      <c r="G158" s="312">
        <f t="shared" si="88"/>
        <v>3.8464869601550843E-4</v>
      </c>
      <c r="H158" s="398">
        <v>0</v>
      </c>
      <c r="I158" s="312">
        <f t="shared" si="89"/>
        <v>0</v>
      </c>
      <c r="J158" s="457" t="e">
        <f t="shared" si="102"/>
        <v>#DIV/0!</v>
      </c>
      <c r="K158" s="369" t="e">
        <f t="shared" si="90"/>
        <v>#DIV/0!</v>
      </c>
      <c r="L158" s="404" t="e">
        <f t="shared" si="103"/>
        <v>#DIV/0!</v>
      </c>
      <c r="M158" s="312" t="e">
        <f t="shared" si="104"/>
        <v>#DIV/0!</v>
      </c>
      <c r="N158" s="298">
        <f t="shared" si="105"/>
        <v>20135.626313621942</v>
      </c>
      <c r="O158" s="312">
        <f t="shared" si="106"/>
        <v>3.6059110494430119E-4</v>
      </c>
      <c r="P158" s="404" t="e">
        <f t="shared" si="107"/>
        <v>#DIV/0!</v>
      </c>
      <c r="Q158" s="312" t="e">
        <f t="shared" si="114"/>
        <v>#DIV/0!</v>
      </c>
      <c r="R158" s="454" t="e">
        <f t="shared" si="108"/>
        <v>#DIV/0!</v>
      </c>
      <c r="S158" s="312" t="e">
        <f t="shared" si="109"/>
        <v>#DIV/0!</v>
      </c>
      <c r="T158" s="454" t="e">
        <f t="shared" si="110"/>
        <v>#DIV/0!</v>
      </c>
      <c r="U158" s="312" t="e">
        <f t="shared" si="111"/>
        <v>#DIV/0!</v>
      </c>
      <c r="V158" s="454">
        <f t="shared" si="112"/>
        <v>0</v>
      </c>
      <c r="W158" s="312">
        <f t="shared" si="115"/>
        <v>-1.0000002752637027</v>
      </c>
      <c r="X158" s="454">
        <f t="shared" si="113"/>
        <v>0</v>
      </c>
      <c r="Y158" s="312">
        <f t="shared" si="91"/>
        <v>-1</v>
      </c>
      <c r="Z158" s="674">
        <f t="shared" si="92"/>
        <v>0</v>
      </c>
      <c r="AA158" s="329"/>
      <c r="AB158" s="379">
        <f t="shared" si="92"/>
        <v>0</v>
      </c>
      <c r="AC158" s="329"/>
      <c r="AD158" s="413">
        <f t="shared" si="93"/>
        <v>0</v>
      </c>
      <c r="AE158" s="329"/>
      <c r="AG158" s="400" t="e">
        <f t="shared" si="94"/>
        <v>#DIV/0!</v>
      </c>
      <c r="AH158" s="401">
        <f t="shared" si="95"/>
        <v>0</v>
      </c>
      <c r="AI158" s="407">
        <f t="shared" si="96"/>
        <v>0</v>
      </c>
      <c r="AJ158" s="498"/>
      <c r="AK158" s="502">
        <f t="shared" si="97"/>
        <v>0</v>
      </c>
      <c r="AL158" s="503" t="e">
        <f t="shared" si="98"/>
        <v>#DIV/0!</v>
      </c>
      <c r="AM158" s="504" t="e">
        <f>AG158-AK158-AO158</f>
        <v>#DIV/0!</v>
      </c>
      <c r="AN158" s="503" t="e">
        <f t="shared" si="99"/>
        <v>#DIV/0!</v>
      </c>
      <c r="AO158" s="502">
        <f t="shared" si="100"/>
        <v>0</v>
      </c>
      <c r="AP158" s="503" t="e">
        <f t="shared" si="101"/>
        <v>#DIV/0!</v>
      </c>
      <c r="AQ158" s="314"/>
      <c r="AR158" s="110">
        <v>49126</v>
      </c>
      <c r="AS158" s="98">
        <f t="shared" si="81"/>
        <v>0</v>
      </c>
      <c r="AT158" s="98">
        <f t="shared" si="82"/>
        <v>0</v>
      </c>
      <c r="AU158" s="98"/>
      <c r="AV158" s="308"/>
      <c r="AW158" s="308"/>
      <c r="AX158" s="308"/>
      <c r="AY158" s="313"/>
      <c r="AZ158" s="313"/>
      <c r="BA158" s="313"/>
      <c r="BB158" s="313"/>
    </row>
    <row r="159" spans="1:54">
      <c r="A159" s="295">
        <v>45517</v>
      </c>
      <c r="B159" s="296">
        <f t="shared" si="83"/>
        <v>224375.79130095948</v>
      </c>
      <c r="C159" s="312">
        <f t="shared" si="84"/>
        <v>3.8483429990850403E-4</v>
      </c>
      <c r="D159" s="296">
        <f t="shared" si="85"/>
        <v>119256.54218681698</v>
      </c>
      <c r="E159" s="312">
        <f t="shared" si="86"/>
        <v>3.8486937629766656E-4</v>
      </c>
      <c r="F159" s="296">
        <f t="shared" si="87"/>
        <v>24168.749764185814</v>
      </c>
      <c r="G159" s="312">
        <f t="shared" si="88"/>
        <v>3.8464869601552334E-4</v>
      </c>
      <c r="H159" s="398">
        <v>0</v>
      </c>
      <c r="I159" s="312">
        <f t="shared" si="89"/>
        <v>0</v>
      </c>
      <c r="J159" s="457" t="e">
        <f t="shared" si="102"/>
        <v>#DIV/0!</v>
      </c>
      <c r="K159" s="369" t="e">
        <f t="shared" si="90"/>
        <v>#DIV/0!</v>
      </c>
      <c r="L159" s="404" t="e">
        <f t="shared" si="103"/>
        <v>#DIV/0!</v>
      </c>
      <c r="M159" s="312" t="e">
        <f t="shared" si="104"/>
        <v>#DIV/0!</v>
      </c>
      <c r="N159" s="298">
        <f t="shared" si="105"/>
        <v>20142.887041363116</v>
      </c>
      <c r="O159" s="312">
        <f t="shared" si="106"/>
        <v>3.6059110494425083E-4</v>
      </c>
      <c r="P159" s="404" t="e">
        <f t="shared" si="107"/>
        <v>#DIV/0!</v>
      </c>
      <c r="Q159" s="312" t="e">
        <f t="shared" si="114"/>
        <v>#DIV/0!</v>
      </c>
      <c r="R159" s="454" t="e">
        <f t="shared" si="108"/>
        <v>#DIV/0!</v>
      </c>
      <c r="S159" s="312" t="e">
        <f t="shared" si="109"/>
        <v>#DIV/0!</v>
      </c>
      <c r="T159" s="454" t="e">
        <f t="shared" si="110"/>
        <v>#DIV/0!</v>
      </c>
      <c r="U159" s="312" t="e">
        <f t="shared" si="111"/>
        <v>#DIV/0!</v>
      </c>
      <c r="V159" s="454">
        <f t="shared" si="112"/>
        <v>0</v>
      </c>
      <c r="W159" s="312">
        <f t="shared" si="115"/>
        <v>-1.0000002752637027</v>
      </c>
      <c r="X159" s="454">
        <f t="shared" si="113"/>
        <v>0</v>
      </c>
      <c r="Y159" s="312">
        <f t="shared" si="91"/>
        <v>-1</v>
      </c>
      <c r="Z159" s="674">
        <f t="shared" si="92"/>
        <v>0</v>
      </c>
      <c r="AA159" s="297"/>
      <c r="AB159" s="379">
        <f t="shared" si="92"/>
        <v>0</v>
      </c>
      <c r="AC159" s="297"/>
      <c r="AD159" s="413">
        <f t="shared" si="93"/>
        <v>0</v>
      </c>
      <c r="AE159" s="297"/>
      <c r="AG159" s="400" t="e">
        <f t="shared" si="94"/>
        <v>#DIV/0!</v>
      </c>
      <c r="AH159" s="401">
        <f t="shared" si="95"/>
        <v>0</v>
      </c>
      <c r="AI159" s="407">
        <f t="shared" si="96"/>
        <v>0</v>
      </c>
      <c r="AJ159" s="498"/>
      <c r="AK159" s="502">
        <f t="shared" si="97"/>
        <v>0</v>
      </c>
      <c r="AL159" s="503" t="e">
        <f t="shared" si="98"/>
        <v>#DIV/0!</v>
      </c>
      <c r="AM159" s="504" t="e">
        <f>AG159-AK159-AO159</f>
        <v>#DIV/0!</v>
      </c>
      <c r="AN159" s="503" t="e">
        <f t="shared" si="99"/>
        <v>#DIV/0!</v>
      </c>
      <c r="AO159" s="502">
        <f t="shared" si="100"/>
        <v>0</v>
      </c>
      <c r="AP159" s="503" t="e">
        <f t="shared" si="101"/>
        <v>#DIV/0!</v>
      </c>
      <c r="AQ159" s="314"/>
      <c r="AR159" s="110">
        <v>49157</v>
      </c>
      <c r="AS159" s="98">
        <f t="shared" si="81"/>
        <v>0</v>
      </c>
      <c r="AT159" s="98">
        <f t="shared" si="82"/>
        <v>0</v>
      </c>
      <c r="AU159" s="98"/>
      <c r="AV159" s="308"/>
      <c r="AW159" s="308"/>
      <c r="AX159" s="308"/>
      <c r="AY159" s="313"/>
      <c r="AZ159" s="313"/>
      <c r="BA159" s="313"/>
      <c r="BB159" s="313"/>
    </row>
    <row r="160" spans="1:54">
      <c r="A160" s="295">
        <v>45518</v>
      </c>
      <c r="B160" s="296">
        <f t="shared" si="83"/>
        <v>224462.13880152119</v>
      </c>
      <c r="C160" s="312">
        <f t="shared" si="84"/>
        <v>3.8483429990844196E-4</v>
      </c>
      <c r="D160" s="296">
        <f t="shared" si="85"/>
        <v>119302.44037782784</v>
      </c>
      <c r="E160" s="312">
        <f t="shared" si="86"/>
        <v>3.8486937629766103E-4</v>
      </c>
      <c r="F160" s="296">
        <f t="shared" si="87"/>
        <v>24178.046242266933</v>
      </c>
      <c r="G160" s="312">
        <f t="shared" si="88"/>
        <v>3.8464869601553565E-4</v>
      </c>
      <c r="H160" s="398">
        <v>0</v>
      </c>
      <c r="I160" s="312">
        <f t="shared" si="89"/>
        <v>0</v>
      </c>
      <c r="J160" s="457" t="e">
        <f t="shared" si="102"/>
        <v>#DIV/0!</v>
      </c>
      <c r="K160" s="369" t="e">
        <f t="shared" si="90"/>
        <v>#DIV/0!</v>
      </c>
      <c r="L160" s="404" t="e">
        <f t="shared" si="103"/>
        <v>#DIV/0!</v>
      </c>
      <c r="M160" s="312" t="e">
        <f t="shared" si="104"/>
        <v>#DIV/0!</v>
      </c>
      <c r="N160" s="298">
        <f t="shared" si="105"/>
        <v>20150.150387258127</v>
      </c>
      <c r="O160" s="312">
        <f t="shared" si="106"/>
        <v>3.6059110494419825E-4</v>
      </c>
      <c r="P160" s="404" t="e">
        <f t="shared" si="107"/>
        <v>#DIV/0!</v>
      </c>
      <c r="Q160" s="312" t="e">
        <f t="shared" si="114"/>
        <v>#DIV/0!</v>
      </c>
      <c r="R160" s="454" t="e">
        <f t="shared" si="108"/>
        <v>#DIV/0!</v>
      </c>
      <c r="S160" s="312" t="e">
        <f t="shared" si="109"/>
        <v>#DIV/0!</v>
      </c>
      <c r="T160" s="454" t="e">
        <f t="shared" si="110"/>
        <v>#DIV/0!</v>
      </c>
      <c r="U160" s="312" t="e">
        <f t="shared" si="111"/>
        <v>#DIV/0!</v>
      </c>
      <c r="V160" s="454">
        <f t="shared" si="112"/>
        <v>0</v>
      </c>
      <c r="W160" s="312">
        <f t="shared" si="115"/>
        <v>-1.0000002752637027</v>
      </c>
      <c r="X160" s="454">
        <f t="shared" si="113"/>
        <v>0</v>
      </c>
      <c r="Y160" s="312">
        <f t="shared" si="91"/>
        <v>-1</v>
      </c>
      <c r="Z160" s="674">
        <f t="shared" si="92"/>
        <v>0</v>
      </c>
      <c r="AA160" s="329"/>
      <c r="AB160" s="379">
        <f t="shared" si="92"/>
        <v>0</v>
      </c>
      <c r="AC160" s="329"/>
      <c r="AD160" s="413">
        <f t="shared" si="93"/>
        <v>0</v>
      </c>
      <c r="AE160" s="329"/>
      <c r="AG160" s="400" t="e">
        <f t="shared" si="94"/>
        <v>#DIV/0!</v>
      </c>
      <c r="AH160" s="401">
        <f t="shared" si="95"/>
        <v>0</v>
      </c>
      <c r="AI160" s="407">
        <f t="shared" si="96"/>
        <v>0</v>
      </c>
      <c r="AJ160" s="498"/>
      <c r="AK160" s="502">
        <f t="shared" si="97"/>
        <v>0</v>
      </c>
      <c r="AL160" s="503" t="e">
        <f t="shared" si="98"/>
        <v>#DIV/0!</v>
      </c>
      <c r="AM160" s="504" t="e">
        <f>AG160-AK160-AO160</f>
        <v>#DIV/0!</v>
      </c>
      <c r="AN160" s="503" t="e">
        <f t="shared" si="99"/>
        <v>#DIV/0!</v>
      </c>
      <c r="AO160" s="502">
        <f t="shared" si="100"/>
        <v>0</v>
      </c>
      <c r="AP160" s="503" t="e">
        <f t="shared" si="101"/>
        <v>#DIV/0!</v>
      </c>
      <c r="AQ160" s="314"/>
      <c r="AR160" s="110">
        <v>49188</v>
      </c>
      <c r="AS160" s="98">
        <f t="shared" si="81"/>
        <v>0</v>
      </c>
      <c r="AT160" s="98">
        <f t="shared" si="82"/>
        <v>0</v>
      </c>
      <c r="AU160" s="98"/>
      <c r="AV160" s="308"/>
      <c r="AW160" s="308"/>
      <c r="AX160" s="308"/>
      <c r="AY160" s="313"/>
      <c r="AZ160" s="313"/>
      <c r="BA160" s="313"/>
      <c r="BB160" s="313"/>
    </row>
    <row r="161" spans="1:54">
      <c r="A161" s="295">
        <v>45519</v>
      </c>
      <c r="B161" s="296">
        <f t="shared" si="83"/>
        <v>224548.51953156281</v>
      </c>
      <c r="C161" s="312">
        <f t="shared" si="84"/>
        <v>3.8483429990838829E-4</v>
      </c>
      <c r="D161" s="296">
        <f t="shared" si="85"/>
        <v>119348.35623364685</v>
      </c>
      <c r="E161" s="312">
        <f t="shared" si="86"/>
        <v>3.8486937629771708E-4</v>
      </c>
      <c r="F161" s="296">
        <f t="shared" si="87"/>
        <v>24187.346296226224</v>
      </c>
      <c r="G161" s="312">
        <f t="shared" si="88"/>
        <v>3.846486960154977E-4</v>
      </c>
      <c r="H161" s="398">
        <v>0</v>
      </c>
      <c r="I161" s="312">
        <f t="shared" si="89"/>
        <v>0</v>
      </c>
      <c r="J161" s="457" t="e">
        <f t="shared" si="102"/>
        <v>#DIV/0!</v>
      </c>
      <c r="K161" s="369" t="e">
        <f t="shared" si="90"/>
        <v>#DIV/0!</v>
      </c>
      <c r="L161" s="404" t="e">
        <f t="shared" si="103"/>
        <v>#DIV/0!</v>
      </c>
      <c r="M161" s="312" t="e">
        <f t="shared" si="104"/>
        <v>#DIV/0!</v>
      </c>
      <c r="N161" s="298">
        <f t="shared" si="105"/>
        <v>20157.416352251061</v>
      </c>
      <c r="O161" s="312">
        <f t="shared" si="106"/>
        <v>3.60591104944226E-4</v>
      </c>
      <c r="P161" s="404" t="e">
        <f t="shared" si="107"/>
        <v>#DIV/0!</v>
      </c>
      <c r="Q161" s="312" t="e">
        <f t="shared" si="114"/>
        <v>#DIV/0!</v>
      </c>
      <c r="R161" s="454" t="e">
        <f t="shared" si="108"/>
        <v>#DIV/0!</v>
      </c>
      <c r="S161" s="312" t="e">
        <f t="shared" si="109"/>
        <v>#DIV/0!</v>
      </c>
      <c r="T161" s="454" t="e">
        <f t="shared" si="110"/>
        <v>#DIV/0!</v>
      </c>
      <c r="U161" s="312" t="e">
        <f t="shared" si="111"/>
        <v>#DIV/0!</v>
      </c>
      <c r="V161" s="454">
        <f t="shared" si="112"/>
        <v>0</v>
      </c>
      <c r="W161" s="312">
        <f t="shared" si="115"/>
        <v>-1.0000002752637027</v>
      </c>
      <c r="X161" s="454">
        <f t="shared" si="113"/>
        <v>0</v>
      </c>
      <c r="Y161" s="312">
        <f t="shared" si="91"/>
        <v>-1</v>
      </c>
      <c r="Z161" s="674">
        <f t="shared" si="92"/>
        <v>0</v>
      </c>
      <c r="AA161" s="297"/>
      <c r="AB161" s="379">
        <f t="shared" si="92"/>
        <v>0</v>
      </c>
      <c r="AC161" s="297"/>
      <c r="AD161" s="413">
        <f t="shared" si="93"/>
        <v>0</v>
      </c>
      <c r="AE161" s="297"/>
      <c r="AG161" s="400" t="e">
        <f t="shared" si="94"/>
        <v>#DIV/0!</v>
      </c>
      <c r="AH161" s="401">
        <f t="shared" si="95"/>
        <v>0</v>
      </c>
      <c r="AI161" s="407">
        <f t="shared" si="96"/>
        <v>0</v>
      </c>
      <c r="AJ161" s="498"/>
      <c r="AK161" s="502">
        <f t="shared" si="97"/>
        <v>0</v>
      </c>
      <c r="AL161" s="503" t="e">
        <f t="shared" si="98"/>
        <v>#DIV/0!</v>
      </c>
      <c r="AM161" s="504" t="e">
        <f>AG161-AK161-AO161</f>
        <v>#DIV/0!</v>
      </c>
      <c r="AN161" s="503" t="e">
        <f t="shared" si="99"/>
        <v>#DIV/0!</v>
      </c>
      <c r="AO161" s="502">
        <f t="shared" si="100"/>
        <v>0</v>
      </c>
      <c r="AP161" s="503" t="e">
        <f t="shared" si="101"/>
        <v>#DIV/0!</v>
      </c>
      <c r="AQ161" s="314"/>
      <c r="AR161" s="110">
        <v>49218</v>
      </c>
      <c r="AS161" s="98">
        <f t="shared" si="81"/>
        <v>0</v>
      </c>
      <c r="AT161" s="98">
        <f t="shared" si="82"/>
        <v>0</v>
      </c>
      <c r="AU161" s="98"/>
      <c r="AV161" s="308"/>
      <c r="AW161" s="308"/>
      <c r="AX161" s="308"/>
      <c r="AY161" s="313"/>
      <c r="AZ161" s="313"/>
      <c r="BA161" s="313"/>
      <c r="BB161" s="313"/>
    </row>
    <row r="162" spans="1:54">
      <c r="A162" s="295">
        <v>45520</v>
      </c>
      <c r="B162" s="296">
        <f t="shared" si="83"/>
        <v>224634.93350387219</v>
      </c>
      <c r="C162" s="312">
        <f t="shared" si="84"/>
        <v>3.8483429990833961E-4</v>
      </c>
      <c r="D162" s="296">
        <f t="shared" si="85"/>
        <v>119394.28976107265</v>
      </c>
      <c r="E162" s="312">
        <f t="shared" si="86"/>
        <v>3.8486937629774408E-4</v>
      </c>
      <c r="F162" s="296">
        <f t="shared" si="87"/>
        <v>24196.649927439143</v>
      </c>
      <c r="G162" s="312">
        <f t="shared" si="88"/>
        <v>3.8464869601550388E-4</v>
      </c>
      <c r="H162" s="398">
        <v>0</v>
      </c>
      <c r="I162" s="312">
        <f t="shared" si="89"/>
        <v>0</v>
      </c>
      <c r="J162" s="457" t="e">
        <f t="shared" si="102"/>
        <v>#DIV/0!</v>
      </c>
      <c r="K162" s="369" t="e">
        <f t="shared" si="90"/>
        <v>#DIV/0!</v>
      </c>
      <c r="L162" s="404" t="e">
        <f t="shared" si="103"/>
        <v>#DIV/0!</v>
      </c>
      <c r="M162" s="312" t="e">
        <f t="shared" si="104"/>
        <v>#DIV/0!</v>
      </c>
      <c r="N162" s="298">
        <f t="shared" si="105"/>
        <v>20164.68493728634</v>
      </c>
      <c r="O162" s="312">
        <f t="shared" si="106"/>
        <v>3.6059110494423012E-4</v>
      </c>
      <c r="P162" s="404" t="e">
        <f t="shared" si="107"/>
        <v>#DIV/0!</v>
      </c>
      <c r="Q162" s="312" t="e">
        <f t="shared" si="114"/>
        <v>#DIV/0!</v>
      </c>
      <c r="R162" s="454" t="e">
        <f t="shared" si="108"/>
        <v>#DIV/0!</v>
      </c>
      <c r="S162" s="312" t="e">
        <f t="shared" si="109"/>
        <v>#DIV/0!</v>
      </c>
      <c r="T162" s="454" t="e">
        <f t="shared" si="110"/>
        <v>#DIV/0!</v>
      </c>
      <c r="U162" s="312" t="e">
        <f t="shared" si="111"/>
        <v>#DIV/0!</v>
      </c>
      <c r="V162" s="454">
        <f t="shared" si="112"/>
        <v>0</v>
      </c>
      <c r="W162" s="312">
        <f t="shared" si="115"/>
        <v>-1.0000002752637027</v>
      </c>
      <c r="X162" s="454">
        <f t="shared" si="113"/>
        <v>0</v>
      </c>
      <c r="Y162" s="312">
        <f t="shared" si="91"/>
        <v>-1</v>
      </c>
      <c r="Z162" s="674">
        <f t="shared" si="92"/>
        <v>0</v>
      </c>
      <c r="AA162" s="329"/>
      <c r="AB162" s="379">
        <f t="shared" si="92"/>
        <v>0</v>
      </c>
      <c r="AC162" s="329"/>
      <c r="AD162" s="413">
        <f t="shared" si="93"/>
        <v>0</v>
      </c>
      <c r="AE162" s="329"/>
      <c r="AG162" s="400" t="e">
        <f t="shared" si="94"/>
        <v>#DIV/0!</v>
      </c>
      <c r="AH162" s="401">
        <f t="shared" si="95"/>
        <v>0</v>
      </c>
      <c r="AI162" s="407">
        <f t="shared" si="96"/>
        <v>0</v>
      </c>
      <c r="AJ162" s="498"/>
      <c r="AK162" s="502">
        <f t="shared" si="97"/>
        <v>0</v>
      </c>
      <c r="AL162" s="503" t="e">
        <f t="shared" si="98"/>
        <v>#DIV/0!</v>
      </c>
      <c r="AM162" s="504" t="e">
        <f>AG162-AK162-AO162</f>
        <v>#DIV/0!</v>
      </c>
      <c r="AN162" s="503" t="e">
        <f t="shared" si="99"/>
        <v>#DIV/0!</v>
      </c>
      <c r="AO162" s="502">
        <f t="shared" si="100"/>
        <v>0</v>
      </c>
      <c r="AP162" s="503" t="e">
        <f t="shared" si="101"/>
        <v>#DIV/0!</v>
      </c>
      <c r="AQ162" s="314"/>
      <c r="AR162" s="110">
        <v>49249</v>
      </c>
      <c r="AS162" s="98">
        <f t="shared" si="81"/>
        <v>0</v>
      </c>
      <c r="AT162" s="98">
        <f t="shared" si="82"/>
        <v>0</v>
      </c>
      <c r="AU162" s="98"/>
      <c r="AV162" s="308"/>
      <c r="AW162" s="308"/>
      <c r="AX162" s="308"/>
      <c r="AY162" s="313"/>
      <c r="AZ162" s="313"/>
      <c r="BA162" s="313"/>
      <c r="BB162" s="313"/>
    </row>
    <row r="163" spans="1:54">
      <c r="A163" s="295">
        <v>45523</v>
      </c>
      <c r="B163" s="296">
        <f t="shared" si="83"/>
        <v>224721.3807312421</v>
      </c>
      <c r="C163" s="312">
        <f t="shared" si="84"/>
        <v>3.8483429990828416E-4</v>
      </c>
      <c r="D163" s="296">
        <f t="shared" si="85"/>
        <v>119440.24096690651</v>
      </c>
      <c r="E163" s="312">
        <f t="shared" si="86"/>
        <v>3.8486937629776528E-4</v>
      </c>
      <c r="F163" s="296">
        <f t="shared" si="87"/>
        <v>24205.957137281675</v>
      </c>
      <c r="G163" s="312">
        <f t="shared" si="88"/>
        <v>3.8464869601548957E-4</v>
      </c>
      <c r="H163" s="398">
        <v>0</v>
      </c>
      <c r="I163" s="312">
        <f t="shared" si="89"/>
        <v>0</v>
      </c>
      <c r="J163" s="457" t="e">
        <f t="shared" si="102"/>
        <v>#DIV/0!</v>
      </c>
      <c r="K163" s="369" t="e">
        <f t="shared" si="90"/>
        <v>#DIV/0!</v>
      </c>
      <c r="L163" s="404" t="e">
        <f t="shared" si="103"/>
        <v>#DIV/0!</v>
      </c>
      <c r="M163" s="312" t="e">
        <f t="shared" si="104"/>
        <v>#DIV/0!</v>
      </c>
      <c r="N163" s="298">
        <f t="shared" si="105"/>
        <v>20171.956143308729</v>
      </c>
      <c r="O163" s="312">
        <f t="shared" si="106"/>
        <v>3.6059110494428086E-4</v>
      </c>
      <c r="P163" s="404" t="e">
        <f t="shared" si="107"/>
        <v>#DIV/0!</v>
      </c>
      <c r="Q163" s="312" t="e">
        <f t="shared" si="114"/>
        <v>#DIV/0!</v>
      </c>
      <c r="R163" s="454" t="e">
        <f t="shared" si="108"/>
        <v>#DIV/0!</v>
      </c>
      <c r="S163" s="312" t="e">
        <f t="shared" si="109"/>
        <v>#DIV/0!</v>
      </c>
      <c r="T163" s="454" t="e">
        <f t="shared" si="110"/>
        <v>#DIV/0!</v>
      </c>
      <c r="U163" s="312" t="e">
        <f t="shared" si="111"/>
        <v>#DIV/0!</v>
      </c>
      <c r="V163" s="454">
        <f t="shared" si="112"/>
        <v>0</v>
      </c>
      <c r="W163" s="312">
        <f t="shared" si="115"/>
        <v>-1.0000002752637027</v>
      </c>
      <c r="X163" s="454">
        <f t="shared" si="113"/>
        <v>0</v>
      </c>
      <c r="Y163" s="312">
        <f t="shared" si="91"/>
        <v>-1</v>
      </c>
      <c r="Z163" s="674">
        <f t="shared" si="92"/>
        <v>0</v>
      </c>
      <c r="AA163" s="297"/>
      <c r="AB163" s="379">
        <f t="shared" si="92"/>
        <v>0</v>
      </c>
      <c r="AC163" s="297"/>
      <c r="AD163" s="413">
        <f t="shared" si="93"/>
        <v>0</v>
      </c>
      <c r="AE163" s="297"/>
      <c r="AG163" s="400" t="e">
        <f t="shared" si="94"/>
        <v>#DIV/0!</v>
      </c>
      <c r="AH163" s="401">
        <f t="shared" si="95"/>
        <v>0</v>
      </c>
      <c r="AI163" s="407">
        <f t="shared" si="96"/>
        <v>0</v>
      </c>
      <c r="AJ163" s="498"/>
      <c r="AK163" s="502">
        <f t="shared" si="97"/>
        <v>0</v>
      </c>
      <c r="AL163" s="503" t="e">
        <f t="shared" si="98"/>
        <v>#DIV/0!</v>
      </c>
      <c r="AM163" s="504" t="e">
        <f>AG163-AK163-AO163</f>
        <v>#DIV/0!</v>
      </c>
      <c r="AN163" s="503" t="e">
        <f t="shared" si="99"/>
        <v>#DIV/0!</v>
      </c>
      <c r="AO163" s="502">
        <f t="shared" si="100"/>
        <v>0</v>
      </c>
      <c r="AP163" s="503" t="e">
        <f t="shared" si="101"/>
        <v>#DIV/0!</v>
      </c>
      <c r="AQ163" s="314"/>
      <c r="AR163" s="110">
        <v>49279</v>
      </c>
      <c r="AS163" s="98">
        <f t="shared" si="81"/>
        <v>0</v>
      </c>
      <c r="AT163" s="98">
        <f t="shared" si="82"/>
        <v>0</v>
      </c>
      <c r="AU163" s="98"/>
      <c r="AV163" s="308"/>
      <c r="AW163" s="308"/>
      <c r="AX163" s="308"/>
      <c r="AY163" s="313"/>
      <c r="AZ163" s="313"/>
      <c r="BA163" s="313"/>
      <c r="BB163" s="313"/>
    </row>
    <row r="164" spans="1:54">
      <c r="A164" s="295">
        <v>45524</v>
      </c>
      <c r="B164" s="296">
        <f t="shared" si="83"/>
        <v>224807.86122647024</v>
      </c>
      <c r="C164" s="312">
        <f t="shared" si="84"/>
        <v>3.848342999083311E-4</v>
      </c>
      <c r="D164" s="296">
        <f t="shared" si="85"/>
        <v>119486.2098579523</v>
      </c>
      <c r="E164" s="312">
        <f t="shared" si="86"/>
        <v>3.8486937629779526E-4</v>
      </c>
      <c r="F164" s="296">
        <f t="shared" si="87"/>
        <v>24215.267927130339</v>
      </c>
      <c r="G164" s="312">
        <f t="shared" si="88"/>
        <v>3.8464869601553223E-4</v>
      </c>
      <c r="H164" s="398">
        <v>0</v>
      </c>
      <c r="I164" s="312">
        <f t="shared" si="89"/>
        <v>0</v>
      </c>
      <c r="J164" s="457" t="e">
        <f t="shared" si="102"/>
        <v>#DIV/0!</v>
      </c>
      <c r="K164" s="369" t="e">
        <f t="shared" si="90"/>
        <v>#DIV/0!</v>
      </c>
      <c r="L164" s="404" t="e">
        <f t="shared" si="103"/>
        <v>#DIV/0!</v>
      </c>
      <c r="M164" s="312" t="e">
        <f t="shared" si="104"/>
        <v>#DIV/0!</v>
      </c>
      <c r="N164" s="298">
        <f t="shared" si="105"/>
        <v>20179.229971263332</v>
      </c>
      <c r="O164" s="312">
        <f t="shared" si="106"/>
        <v>3.6059110494426227E-4</v>
      </c>
      <c r="P164" s="404" t="e">
        <f t="shared" si="107"/>
        <v>#DIV/0!</v>
      </c>
      <c r="Q164" s="312" t="e">
        <f t="shared" si="114"/>
        <v>#DIV/0!</v>
      </c>
      <c r="R164" s="454" t="e">
        <f t="shared" si="108"/>
        <v>#DIV/0!</v>
      </c>
      <c r="S164" s="312" t="e">
        <f t="shared" si="109"/>
        <v>#DIV/0!</v>
      </c>
      <c r="T164" s="454" t="e">
        <f t="shared" si="110"/>
        <v>#DIV/0!</v>
      </c>
      <c r="U164" s="312" t="e">
        <f t="shared" si="111"/>
        <v>#DIV/0!</v>
      </c>
      <c r="V164" s="454">
        <f t="shared" si="112"/>
        <v>0</v>
      </c>
      <c r="W164" s="312">
        <f t="shared" si="115"/>
        <v>-1.0000002752637027</v>
      </c>
      <c r="X164" s="454">
        <f t="shared" si="113"/>
        <v>0</v>
      </c>
      <c r="Y164" s="312">
        <f t="shared" si="91"/>
        <v>-1</v>
      </c>
      <c r="Z164" s="674">
        <f t="shared" si="92"/>
        <v>0</v>
      </c>
      <c r="AA164" s="329"/>
      <c r="AB164" s="379">
        <f t="shared" si="92"/>
        <v>0</v>
      </c>
      <c r="AC164" s="329"/>
      <c r="AD164" s="413">
        <f t="shared" si="93"/>
        <v>0</v>
      </c>
      <c r="AE164" s="329"/>
      <c r="AG164" s="400" t="e">
        <f t="shared" si="94"/>
        <v>#DIV/0!</v>
      </c>
      <c r="AH164" s="401">
        <f t="shared" si="95"/>
        <v>0</v>
      </c>
      <c r="AI164" s="407">
        <f t="shared" si="96"/>
        <v>0</v>
      </c>
      <c r="AJ164" s="498"/>
      <c r="AK164" s="502">
        <f t="shared" si="97"/>
        <v>0</v>
      </c>
      <c r="AL164" s="503" t="e">
        <f t="shared" si="98"/>
        <v>#DIV/0!</v>
      </c>
      <c r="AM164" s="504" t="e">
        <f>AG164-AK164-AO164</f>
        <v>#DIV/0!</v>
      </c>
      <c r="AN164" s="503" t="e">
        <f t="shared" si="99"/>
        <v>#DIV/0!</v>
      </c>
      <c r="AO164" s="502">
        <f t="shared" si="100"/>
        <v>0</v>
      </c>
      <c r="AP164" s="503" t="e">
        <f t="shared" si="101"/>
        <v>#DIV/0!</v>
      </c>
      <c r="AQ164" s="314"/>
      <c r="AR164" s="110">
        <v>49310</v>
      </c>
      <c r="AS164" s="98">
        <f t="shared" si="81"/>
        <v>0</v>
      </c>
      <c r="AT164" s="98">
        <f t="shared" si="82"/>
        <v>0</v>
      </c>
      <c r="AU164" s="98"/>
      <c r="AV164" s="308"/>
      <c r="AW164" s="308"/>
      <c r="AX164" s="308"/>
      <c r="AY164" s="313"/>
      <c r="AZ164" s="313"/>
      <c r="BA164" s="313"/>
      <c r="BB164" s="313"/>
    </row>
    <row r="165" spans="1:54">
      <c r="A165" s="295">
        <v>45525</v>
      </c>
      <c r="B165" s="296">
        <f t="shared" si="83"/>
        <v>224894.37500235921</v>
      </c>
      <c r="C165" s="312">
        <f t="shared" si="84"/>
        <v>3.8483429990832227E-4</v>
      </c>
      <c r="D165" s="296">
        <f t="shared" si="85"/>
        <v>119532.19644101652</v>
      </c>
      <c r="E165" s="312">
        <f t="shared" si="86"/>
        <v>3.8486937629784014E-4</v>
      </c>
      <c r="F165" s="296">
        <f t="shared" si="87"/>
        <v>24224.582298362177</v>
      </c>
      <c r="G165" s="312">
        <f t="shared" si="88"/>
        <v>3.846486960155505E-4</v>
      </c>
      <c r="H165" s="398">
        <v>0</v>
      </c>
      <c r="I165" s="312">
        <f t="shared" si="89"/>
        <v>0</v>
      </c>
      <c r="J165" s="457" t="e">
        <f t="shared" si="102"/>
        <v>#DIV/0!</v>
      </c>
      <c r="K165" s="369" t="e">
        <f t="shared" si="90"/>
        <v>#DIV/0!</v>
      </c>
      <c r="L165" s="404" t="e">
        <f t="shared" si="103"/>
        <v>#DIV/0!</v>
      </c>
      <c r="M165" s="312" t="e">
        <f t="shared" si="104"/>
        <v>#DIV/0!</v>
      </c>
      <c r="N165" s="298">
        <f t="shared" si="105"/>
        <v>20186.506422095594</v>
      </c>
      <c r="O165" s="312">
        <f t="shared" si="106"/>
        <v>3.6059110494423245E-4</v>
      </c>
      <c r="P165" s="404" t="e">
        <f t="shared" si="107"/>
        <v>#DIV/0!</v>
      </c>
      <c r="Q165" s="312" t="e">
        <f t="shared" si="114"/>
        <v>#DIV/0!</v>
      </c>
      <c r="R165" s="454" t="e">
        <f t="shared" si="108"/>
        <v>#DIV/0!</v>
      </c>
      <c r="S165" s="312" t="e">
        <f t="shared" si="109"/>
        <v>#DIV/0!</v>
      </c>
      <c r="T165" s="454" t="e">
        <f t="shared" si="110"/>
        <v>#DIV/0!</v>
      </c>
      <c r="U165" s="312" t="e">
        <f t="shared" si="111"/>
        <v>#DIV/0!</v>
      </c>
      <c r="V165" s="454">
        <f t="shared" si="112"/>
        <v>0</v>
      </c>
      <c r="W165" s="312">
        <f t="shared" si="115"/>
        <v>-1.0000002752637027</v>
      </c>
      <c r="X165" s="454">
        <f t="shared" si="113"/>
        <v>0</v>
      </c>
      <c r="Y165" s="312">
        <f t="shared" si="91"/>
        <v>-1</v>
      </c>
      <c r="Z165" s="674">
        <f t="shared" si="92"/>
        <v>0</v>
      </c>
      <c r="AA165" s="297"/>
      <c r="AB165" s="379">
        <f t="shared" si="92"/>
        <v>0</v>
      </c>
      <c r="AC165" s="297"/>
      <c r="AD165" s="413">
        <f t="shared" si="93"/>
        <v>0</v>
      </c>
      <c r="AE165" s="297"/>
      <c r="AG165" s="400" t="e">
        <f t="shared" si="94"/>
        <v>#DIV/0!</v>
      </c>
      <c r="AH165" s="401">
        <f t="shared" si="95"/>
        <v>0</v>
      </c>
      <c r="AI165" s="407">
        <f t="shared" si="96"/>
        <v>0</v>
      </c>
      <c r="AJ165" s="498"/>
      <c r="AK165" s="502">
        <f t="shared" si="97"/>
        <v>0</v>
      </c>
      <c r="AL165" s="503" t="e">
        <f t="shared" si="98"/>
        <v>#DIV/0!</v>
      </c>
      <c r="AM165" s="504" t="e">
        <f>AG165-AK165-AO165</f>
        <v>#DIV/0!</v>
      </c>
      <c r="AN165" s="503" t="e">
        <f t="shared" si="99"/>
        <v>#DIV/0!</v>
      </c>
      <c r="AO165" s="502">
        <f t="shared" si="100"/>
        <v>0</v>
      </c>
      <c r="AP165" s="503" t="e">
        <f t="shared" si="101"/>
        <v>#DIV/0!</v>
      </c>
      <c r="AQ165" s="314"/>
      <c r="AR165" s="110">
        <v>49341</v>
      </c>
      <c r="AS165" s="98">
        <f t="shared" ref="AS165:AS228" si="116">AS164*0.9%+AS164</f>
        <v>0</v>
      </c>
      <c r="AT165" s="98">
        <f t="shared" ref="AT165:AT228" si="117">AT164*1%+AT164</f>
        <v>0</v>
      </c>
      <c r="AU165" s="98"/>
      <c r="AV165" s="308"/>
      <c r="AW165" s="308"/>
      <c r="AX165" s="308"/>
      <c r="AY165" s="313"/>
      <c r="AZ165" s="313"/>
      <c r="BA165" s="313"/>
      <c r="BB165" s="313"/>
    </row>
    <row r="166" spans="1:54">
      <c r="A166" s="295">
        <v>45526</v>
      </c>
      <c r="B166" s="296">
        <f t="shared" si="83"/>
        <v>224980.92207171657</v>
      </c>
      <c r="C166" s="312">
        <f t="shared" si="84"/>
        <v>3.8483429990835008E-4</v>
      </c>
      <c r="D166" s="296">
        <f t="shared" si="85"/>
        <v>119578.2007229083</v>
      </c>
      <c r="E166" s="312">
        <f t="shared" si="86"/>
        <v>3.8486937629789777E-4</v>
      </c>
      <c r="F166" s="296">
        <f t="shared" si="87"/>
        <v>24233.900252354764</v>
      </c>
      <c r="G166" s="312">
        <f t="shared" si="88"/>
        <v>3.8464869601560498E-4</v>
      </c>
      <c r="H166" s="398">
        <v>0</v>
      </c>
      <c r="I166" s="312">
        <f t="shared" si="89"/>
        <v>0</v>
      </c>
      <c r="J166" s="457" t="e">
        <f t="shared" si="102"/>
        <v>#DIV/0!</v>
      </c>
      <c r="K166" s="369" t="e">
        <f t="shared" si="90"/>
        <v>#DIV/0!</v>
      </c>
      <c r="L166" s="404" t="e">
        <f t="shared" si="103"/>
        <v>#DIV/0!</v>
      </c>
      <c r="M166" s="312" t="e">
        <f t="shared" si="104"/>
        <v>#DIV/0!</v>
      </c>
      <c r="N166" s="298">
        <f t="shared" si="105"/>
        <v>20193.785496751301</v>
      </c>
      <c r="O166" s="312">
        <f t="shared" si="106"/>
        <v>3.6059110494424351E-4</v>
      </c>
      <c r="P166" s="404" t="e">
        <f t="shared" si="107"/>
        <v>#DIV/0!</v>
      </c>
      <c r="Q166" s="312" t="e">
        <f t="shared" si="114"/>
        <v>#DIV/0!</v>
      </c>
      <c r="R166" s="454" t="e">
        <f t="shared" si="108"/>
        <v>#DIV/0!</v>
      </c>
      <c r="S166" s="312" t="e">
        <f t="shared" si="109"/>
        <v>#DIV/0!</v>
      </c>
      <c r="T166" s="454" t="e">
        <f t="shared" si="110"/>
        <v>#DIV/0!</v>
      </c>
      <c r="U166" s="312" t="e">
        <f t="shared" si="111"/>
        <v>#DIV/0!</v>
      </c>
      <c r="V166" s="454">
        <f t="shared" si="112"/>
        <v>0</v>
      </c>
      <c r="W166" s="312">
        <f t="shared" si="115"/>
        <v>-1.0000002752637027</v>
      </c>
      <c r="X166" s="454">
        <f t="shared" si="113"/>
        <v>0</v>
      </c>
      <c r="Y166" s="312">
        <f t="shared" si="91"/>
        <v>-1</v>
      </c>
      <c r="Z166" s="674">
        <f t="shared" si="92"/>
        <v>0</v>
      </c>
      <c r="AA166" s="329"/>
      <c r="AB166" s="379">
        <f t="shared" si="92"/>
        <v>0</v>
      </c>
      <c r="AC166" s="329"/>
      <c r="AD166" s="413">
        <f t="shared" si="93"/>
        <v>0</v>
      </c>
      <c r="AE166" s="329"/>
      <c r="AG166" s="400" t="e">
        <f t="shared" si="94"/>
        <v>#DIV/0!</v>
      </c>
      <c r="AH166" s="401">
        <f t="shared" si="95"/>
        <v>0</v>
      </c>
      <c r="AI166" s="407">
        <f t="shared" si="96"/>
        <v>0</v>
      </c>
      <c r="AJ166" s="498"/>
      <c r="AK166" s="502">
        <f t="shared" si="97"/>
        <v>0</v>
      </c>
      <c r="AL166" s="503" t="e">
        <f t="shared" si="98"/>
        <v>#DIV/0!</v>
      </c>
      <c r="AM166" s="504" t="e">
        <f>AG166-AK166-AO166</f>
        <v>#DIV/0!</v>
      </c>
      <c r="AN166" s="503" t="e">
        <f t="shared" si="99"/>
        <v>#DIV/0!</v>
      </c>
      <c r="AO166" s="502">
        <f t="shared" si="100"/>
        <v>0</v>
      </c>
      <c r="AP166" s="503" t="e">
        <f t="shared" si="101"/>
        <v>#DIV/0!</v>
      </c>
      <c r="AQ166" s="314"/>
      <c r="AR166" s="516">
        <v>49369</v>
      </c>
      <c r="AS166" s="98">
        <f t="shared" si="116"/>
        <v>0</v>
      </c>
      <c r="AT166" s="98">
        <f t="shared" si="117"/>
        <v>0</v>
      </c>
      <c r="AU166" s="517"/>
      <c r="AV166" s="308"/>
      <c r="AW166" s="308"/>
      <c r="AX166" s="308"/>
      <c r="AY166" s="313"/>
      <c r="AZ166" s="313"/>
      <c r="BA166" s="313"/>
      <c r="BB166" s="313"/>
    </row>
    <row r="167" spans="1:54">
      <c r="A167" s="295">
        <v>45527</v>
      </c>
      <c r="B167" s="296">
        <f t="shared" si="83"/>
        <v>225067.50244735478</v>
      </c>
      <c r="C167" s="312">
        <f t="shared" si="84"/>
        <v>3.8483429990836894E-4</v>
      </c>
      <c r="D167" s="296">
        <f t="shared" si="85"/>
        <v>119624.22271043935</v>
      </c>
      <c r="E167" s="312">
        <f t="shared" si="86"/>
        <v>3.848693762979574E-4</v>
      </c>
      <c r="F167" s="296">
        <f t="shared" si="87"/>
        <v>24243.221790486205</v>
      </c>
      <c r="G167" s="312">
        <f t="shared" si="88"/>
        <v>3.8464869601559755E-4</v>
      </c>
      <c r="H167" s="398">
        <v>0</v>
      </c>
      <c r="I167" s="312">
        <f t="shared" si="89"/>
        <v>0</v>
      </c>
      <c r="J167" s="457" t="e">
        <f t="shared" si="102"/>
        <v>#DIV/0!</v>
      </c>
      <c r="K167" s="369" t="e">
        <f t="shared" si="90"/>
        <v>#DIV/0!</v>
      </c>
      <c r="L167" s="404" t="e">
        <f t="shared" si="103"/>
        <v>#DIV/0!</v>
      </c>
      <c r="M167" s="312" t="e">
        <f t="shared" si="104"/>
        <v>#DIV/0!</v>
      </c>
      <c r="N167" s="298">
        <f t="shared" si="105"/>
        <v>20201.06719617658</v>
      </c>
      <c r="O167" s="312">
        <f t="shared" si="106"/>
        <v>3.6059110494416128E-4</v>
      </c>
      <c r="P167" s="404" t="e">
        <f t="shared" si="107"/>
        <v>#DIV/0!</v>
      </c>
      <c r="Q167" s="312" t="e">
        <f t="shared" si="114"/>
        <v>#DIV/0!</v>
      </c>
      <c r="R167" s="454" t="e">
        <f t="shared" si="108"/>
        <v>#DIV/0!</v>
      </c>
      <c r="S167" s="312" t="e">
        <f t="shared" si="109"/>
        <v>#DIV/0!</v>
      </c>
      <c r="T167" s="454" t="e">
        <f t="shared" si="110"/>
        <v>#DIV/0!</v>
      </c>
      <c r="U167" s="312" t="e">
        <f t="shared" si="111"/>
        <v>#DIV/0!</v>
      </c>
      <c r="V167" s="454">
        <f t="shared" si="112"/>
        <v>0</v>
      </c>
      <c r="W167" s="312">
        <f t="shared" si="115"/>
        <v>-1.0000002752637027</v>
      </c>
      <c r="X167" s="454">
        <f t="shared" si="113"/>
        <v>0</v>
      </c>
      <c r="Y167" s="312">
        <f t="shared" si="91"/>
        <v>-1</v>
      </c>
      <c r="Z167" s="674">
        <f t="shared" si="92"/>
        <v>0</v>
      </c>
      <c r="AA167" s="297"/>
      <c r="AB167" s="379">
        <f t="shared" si="92"/>
        <v>0</v>
      </c>
      <c r="AC167" s="297"/>
      <c r="AD167" s="413">
        <f t="shared" si="93"/>
        <v>0</v>
      </c>
      <c r="AE167" s="297"/>
      <c r="AG167" s="400" t="e">
        <f t="shared" si="94"/>
        <v>#DIV/0!</v>
      </c>
      <c r="AH167" s="401">
        <f t="shared" si="95"/>
        <v>0</v>
      </c>
      <c r="AI167" s="407">
        <f t="shared" si="96"/>
        <v>0</v>
      </c>
      <c r="AJ167" s="498"/>
      <c r="AK167" s="502">
        <f t="shared" si="97"/>
        <v>0</v>
      </c>
      <c r="AL167" s="503" t="e">
        <f t="shared" si="98"/>
        <v>#DIV/0!</v>
      </c>
      <c r="AM167" s="504" t="e">
        <f>AG167-AK167-AO167</f>
        <v>#DIV/0!</v>
      </c>
      <c r="AN167" s="503" t="e">
        <f t="shared" si="99"/>
        <v>#DIV/0!</v>
      </c>
      <c r="AO167" s="502">
        <f t="shared" si="100"/>
        <v>0</v>
      </c>
      <c r="AP167" s="503" t="e">
        <f t="shared" si="101"/>
        <v>#DIV/0!</v>
      </c>
      <c r="AQ167" s="314"/>
      <c r="AR167" s="110">
        <v>49400</v>
      </c>
      <c r="AS167" s="98">
        <f t="shared" si="116"/>
        <v>0</v>
      </c>
      <c r="AT167" s="98">
        <f t="shared" si="117"/>
        <v>0</v>
      </c>
      <c r="AU167" s="98"/>
      <c r="AV167" s="308"/>
      <c r="AW167" s="308"/>
      <c r="AX167" s="308"/>
      <c r="AY167" s="313"/>
      <c r="AZ167" s="313"/>
      <c r="BA167" s="313"/>
      <c r="BB167" s="313"/>
    </row>
    <row r="168" spans="1:54">
      <c r="A168" s="295">
        <v>45530</v>
      </c>
      <c r="B168" s="296">
        <f t="shared" si="83"/>
        <v>225154.11614209122</v>
      </c>
      <c r="C168" s="312">
        <f t="shared" si="84"/>
        <v>3.8483429990832498E-4</v>
      </c>
      <c r="D168" s="296">
        <f t="shared" si="85"/>
        <v>119670.26241042405</v>
      </c>
      <c r="E168" s="312">
        <f t="shared" si="86"/>
        <v>3.8486937629799995E-4</v>
      </c>
      <c r="F168" s="296">
        <f t="shared" si="87"/>
        <v>24252.546914135131</v>
      </c>
      <c r="G168" s="312">
        <f t="shared" si="88"/>
        <v>3.8464869601557202E-4</v>
      </c>
      <c r="H168" s="398">
        <v>0</v>
      </c>
      <c r="I168" s="312">
        <f t="shared" si="89"/>
        <v>0</v>
      </c>
      <c r="J168" s="457" t="e">
        <f t="shared" si="102"/>
        <v>#DIV/0!</v>
      </c>
      <c r="K168" s="369" t="e">
        <f t="shared" si="90"/>
        <v>#DIV/0!</v>
      </c>
      <c r="L168" s="404" t="e">
        <f t="shared" si="103"/>
        <v>#DIV/0!</v>
      </c>
      <c r="M168" s="312" t="e">
        <f t="shared" si="104"/>
        <v>#DIV/0!</v>
      </c>
      <c r="N168" s="298">
        <f t="shared" si="105"/>
        <v>20208.351521317902</v>
      </c>
      <c r="O168" s="312">
        <f t="shared" si="106"/>
        <v>3.6059110494420567E-4</v>
      </c>
      <c r="P168" s="404" t="e">
        <f t="shared" si="107"/>
        <v>#DIV/0!</v>
      </c>
      <c r="Q168" s="312" t="e">
        <f t="shared" si="114"/>
        <v>#DIV/0!</v>
      </c>
      <c r="R168" s="454" t="e">
        <f t="shared" si="108"/>
        <v>#DIV/0!</v>
      </c>
      <c r="S168" s="312" t="e">
        <f t="shared" si="109"/>
        <v>#DIV/0!</v>
      </c>
      <c r="T168" s="454" t="e">
        <f t="shared" si="110"/>
        <v>#DIV/0!</v>
      </c>
      <c r="U168" s="312" t="e">
        <f t="shared" si="111"/>
        <v>#DIV/0!</v>
      </c>
      <c r="V168" s="454">
        <f t="shared" si="112"/>
        <v>0</v>
      </c>
      <c r="W168" s="312">
        <f t="shared" si="115"/>
        <v>-1.0000002752637027</v>
      </c>
      <c r="X168" s="454">
        <f t="shared" si="113"/>
        <v>0</v>
      </c>
      <c r="Y168" s="312">
        <f t="shared" si="91"/>
        <v>-1</v>
      </c>
      <c r="Z168" s="674">
        <f t="shared" si="92"/>
        <v>0</v>
      </c>
      <c r="AA168" s="329"/>
      <c r="AB168" s="379">
        <f t="shared" si="92"/>
        <v>0</v>
      </c>
      <c r="AC168" s="329"/>
      <c r="AD168" s="413">
        <f t="shared" si="93"/>
        <v>0</v>
      </c>
      <c r="AE168" s="329"/>
      <c r="AG168" s="400" t="e">
        <f t="shared" si="94"/>
        <v>#DIV/0!</v>
      </c>
      <c r="AH168" s="401">
        <f t="shared" si="95"/>
        <v>0</v>
      </c>
      <c r="AI168" s="407">
        <f t="shared" si="96"/>
        <v>0</v>
      </c>
      <c r="AJ168" s="498"/>
      <c r="AK168" s="502">
        <f t="shared" si="97"/>
        <v>0</v>
      </c>
      <c r="AL168" s="503" t="e">
        <f t="shared" si="98"/>
        <v>#DIV/0!</v>
      </c>
      <c r="AM168" s="504" t="e">
        <f>AG168-AK168-AO168</f>
        <v>#DIV/0!</v>
      </c>
      <c r="AN168" s="503" t="e">
        <f t="shared" si="99"/>
        <v>#DIV/0!</v>
      </c>
      <c r="AO168" s="502">
        <f t="shared" si="100"/>
        <v>0</v>
      </c>
      <c r="AP168" s="503" t="e">
        <f t="shared" si="101"/>
        <v>#DIV/0!</v>
      </c>
      <c r="AQ168" s="314"/>
      <c r="AR168" s="110">
        <v>49430</v>
      </c>
      <c r="AS168" s="98">
        <f t="shared" si="116"/>
        <v>0</v>
      </c>
      <c r="AT168" s="98">
        <f t="shared" si="117"/>
        <v>0</v>
      </c>
      <c r="AU168" s="98"/>
      <c r="AV168" s="308"/>
      <c r="AW168" s="308"/>
      <c r="AX168" s="308"/>
      <c r="AY168" s="313"/>
      <c r="AZ168" s="313"/>
      <c r="BA168" s="313"/>
      <c r="BB168" s="313"/>
    </row>
    <row r="169" spans="1:54">
      <c r="A169" s="295">
        <v>45531</v>
      </c>
      <c r="B169" s="296">
        <f t="shared" si="83"/>
        <v>225240.76316874824</v>
      </c>
      <c r="C169" s="312">
        <f t="shared" si="84"/>
        <v>3.8483429990828529E-4</v>
      </c>
      <c r="D169" s="296">
        <f t="shared" si="85"/>
        <v>119716.31982967937</v>
      </c>
      <c r="E169" s="312">
        <f t="shared" si="86"/>
        <v>3.8486937629799795E-4</v>
      </c>
      <c r="F169" s="296">
        <f t="shared" si="87"/>
        <v>24261.87562468071</v>
      </c>
      <c r="G169" s="312">
        <f t="shared" si="88"/>
        <v>3.8464869601556367E-4</v>
      </c>
      <c r="H169" s="398">
        <v>0</v>
      </c>
      <c r="I169" s="312">
        <f t="shared" si="89"/>
        <v>0</v>
      </c>
      <c r="J169" s="457" t="e">
        <f t="shared" si="102"/>
        <v>#DIV/0!</v>
      </c>
      <c r="K169" s="369" t="e">
        <f t="shared" si="90"/>
        <v>#DIV/0!</v>
      </c>
      <c r="L169" s="404" t="e">
        <f t="shared" si="103"/>
        <v>#DIV/0!</v>
      </c>
      <c r="M169" s="312" t="e">
        <f t="shared" si="104"/>
        <v>#DIV/0!</v>
      </c>
      <c r="N169" s="298">
        <f t="shared" si="105"/>
        <v>20215.638473122075</v>
      </c>
      <c r="O169" s="312">
        <f t="shared" si="106"/>
        <v>3.6059110494423039E-4</v>
      </c>
      <c r="P169" s="404" t="e">
        <f t="shared" si="107"/>
        <v>#DIV/0!</v>
      </c>
      <c r="Q169" s="312" t="e">
        <f t="shared" si="114"/>
        <v>#DIV/0!</v>
      </c>
      <c r="R169" s="454" t="e">
        <f t="shared" si="108"/>
        <v>#DIV/0!</v>
      </c>
      <c r="S169" s="312" t="e">
        <f t="shared" si="109"/>
        <v>#DIV/0!</v>
      </c>
      <c r="T169" s="454" t="e">
        <f t="shared" si="110"/>
        <v>#DIV/0!</v>
      </c>
      <c r="U169" s="312" t="e">
        <f t="shared" si="111"/>
        <v>#DIV/0!</v>
      </c>
      <c r="V169" s="454">
        <f t="shared" si="112"/>
        <v>0</v>
      </c>
      <c r="W169" s="312">
        <f t="shared" si="115"/>
        <v>-1.0000002752637027</v>
      </c>
      <c r="X169" s="454">
        <f t="shared" si="113"/>
        <v>0</v>
      </c>
      <c r="Y169" s="312">
        <f t="shared" si="91"/>
        <v>-1</v>
      </c>
      <c r="Z169" s="674">
        <f t="shared" si="92"/>
        <v>0</v>
      </c>
      <c r="AA169" s="297"/>
      <c r="AB169" s="379">
        <f t="shared" si="92"/>
        <v>0</v>
      </c>
      <c r="AC169" s="297"/>
      <c r="AD169" s="413">
        <f t="shared" si="93"/>
        <v>0</v>
      </c>
      <c r="AE169" s="297"/>
      <c r="AG169" s="400" t="e">
        <f t="shared" si="94"/>
        <v>#DIV/0!</v>
      </c>
      <c r="AH169" s="401">
        <f t="shared" si="95"/>
        <v>0</v>
      </c>
      <c r="AI169" s="407">
        <f t="shared" si="96"/>
        <v>0</v>
      </c>
      <c r="AJ169" s="498"/>
      <c r="AK169" s="502">
        <f t="shared" si="97"/>
        <v>0</v>
      </c>
      <c r="AL169" s="503" t="e">
        <f t="shared" si="98"/>
        <v>#DIV/0!</v>
      </c>
      <c r="AM169" s="504" t="e">
        <f>AG169-AK169-AO169</f>
        <v>#DIV/0!</v>
      </c>
      <c r="AN169" s="503" t="e">
        <f t="shared" si="99"/>
        <v>#DIV/0!</v>
      </c>
      <c r="AO169" s="502">
        <f t="shared" si="100"/>
        <v>0</v>
      </c>
      <c r="AP169" s="503" t="e">
        <f t="shared" si="101"/>
        <v>#DIV/0!</v>
      </c>
      <c r="AQ169" s="314"/>
      <c r="AR169" s="110">
        <v>49461</v>
      </c>
      <c r="AS169" s="98">
        <f t="shared" si="116"/>
        <v>0</v>
      </c>
      <c r="AT169" s="98">
        <f t="shared" si="117"/>
        <v>0</v>
      </c>
      <c r="AU169" s="98"/>
      <c r="AV169" s="308"/>
      <c r="AW169" s="308"/>
      <c r="AX169" s="308"/>
      <c r="AY169" s="313"/>
      <c r="AZ169" s="313"/>
      <c r="BA169" s="313"/>
      <c r="BB169" s="313"/>
    </row>
    <row r="170" spans="1:54">
      <c r="A170" s="295">
        <v>45532</v>
      </c>
      <c r="B170" s="296">
        <f t="shared" si="83"/>
        <v>225327.44354015309</v>
      </c>
      <c r="C170" s="312">
        <f t="shared" si="84"/>
        <v>3.8483429990830833E-4</v>
      </c>
      <c r="D170" s="296">
        <f t="shared" si="85"/>
        <v>119762.39497502492</v>
      </c>
      <c r="E170" s="312">
        <f t="shared" si="86"/>
        <v>3.8486937629803703E-4</v>
      </c>
      <c r="F170" s="296">
        <f t="shared" si="87"/>
        <v>24271.207923502636</v>
      </c>
      <c r="G170" s="312">
        <f t="shared" si="88"/>
        <v>3.8464869601559929E-4</v>
      </c>
      <c r="H170" s="398">
        <v>0</v>
      </c>
      <c r="I170" s="312">
        <f t="shared" si="89"/>
        <v>0</v>
      </c>
      <c r="J170" s="457" t="e">
        <f t="shared" si="102"/>
        <v>#DIV/0!</v>
      </c>
      <c r="K170" s="369" t="e">
        <f t="shared" si="90"/>
        <v>#DIV/0!</v>
      </c>
      <c r="L170" s="404" t="e">
        <f t="shared" si="103"/>
        <v>#DIV/0!</v>
      </c>
      <c r="M170" s="312" t="e">
        <f t="shared" si="104"/>
        <v>#DIV/0!</v>
      </c>
      <c r="N170" s="298">
        <f t="shared" si="105"/>
        <v>20222.928052536252</v>
      </c>
      <c r="O170" s="312">
        <f t="shared" si="106"/>
        <v>3.6059110494426297E-4</v>
      </c>
      <c r="P170" s="404" t="e">
        <f t="shared" si="107"/>
        <v>#DIV/0!</v>
      </c>
      <c r="Q170" s="312" t="e">
        <f t="shared" si="114"/>
        <v>#DIV/0!</v>
      </c>
      <c r="R170" s="454" t="e">
        <f t="shared" si="108"/>
        <v>#DIV/0!</v>
      </c>
      <c r="S170" s="312" t="e">
        <f t="shared" si="109"/>
        <v>#DIV/0!</v>
      </c>
      <c r="T170" s="454" t="e">
        <f t="shared" si="110"/>
        <v>#DIV/0!</v>
      </c>
      <c r="U170" s="312" t="e">
        <f t="shared" si="111"/>
        <v>#DIV/0!</v>
      </c>
      <c r="V170" s="454">
        <f t="shared" si="112"/>
        <v>0</v>
      </c>
      <c r="W170" s="312">
        <f t="shared" si="115"/>
        <v>-1.0000002752637027</v>
      </c>
      <c r="X170" s="454">
        <f t="shared" si="113"/>
        <v>0</v>
      </c>
      <c r="Y170" s="312">
        <f t="shared" si="91"/>
        <v>-1</v>
      </c>
      <c r="Z170" s="674">
        <f t="shared" si="92"/>
        <v>0</v>
      </c>
      <c r="AA170" s="329"/>
      <c r="AB170" s="379">
        <f t="shared" si="92"/>
        <v>0</v>
      </c>
      <c r="AC170" s="329"/>
      <c r="AD170" s="413">
        <f t="shared" si="93"/>
        <v>0</v>
      </c>
      <c r="AE170" s="329"/>
      <c r="AG170" s="400" t="e">
        <f t="shared" si="94"/>
        <v>#DIV/0!</v>
      </c>
      <c r="AH170" s="401">
        <f t="shared" si="95"/>
        <v>0</v>
      </c>
      <c r="AI170" s="407">
        <f t="shared" si="96"/>
        <v>0</v>
      </c>
      <c r="AJ170" s="498"/>
      <c r="AK170" s="502">
        <f t="shared" si="97"/>
        <v>0</v>
      </c>
      <c r="AL170" s="503" t="e">
        <f t="shared" si="98"/>
        <v>#DIV/0!</v>
      </c>
      <c r="AM170" s="504" t="e">
        <f>AG170-AK170-AO170</f>
        <v>#DIV/0!</v>
      </c>
      <c r="AN170" s="503" t="e">
        <f t="shared" si="99"/>
        <v>#DIV/0!</v>
      </c>
      <c r="AO170" s="502">
        <f t="shared" si="100"/>
        <v>0</v>
      </c>
      <c r="AP170" s="503" t="e">
        <f t="shared" si="101"/>
        <v>#DIV/0!</v>
      </c>
      <c r="AQ170" s="314"/>
      <c r="AR170" s="110">
        <v>49491</v>
      </c>
      <c r="AS170" s="98">
        <f t="shared" si="116"/>
        <v>0</v>
      </c>
      <c r="AT170" s="98">
        <f t="shared" si="117"/>
        <v>0</v>
      </c>
      <c r="AU170" s="98"/>
      <c r="AV170" s="308"/>
      <c r="AW170" s="308"/>
      <c r="AX170" s="308"/>
      <c r="AY170" s="313"/>
      <c r="AZ170" s="313"/>
      <c r="BA170" s="313"/>
      <c r="BB170" s="313"/>
    </row>
    <row r="171" spans="1:54">
      <c r="A171" s="295">
        <v>45533</v>
      </c>
      <c r="B171" s="296">
        <f t="shared" si="83"/>
        <v>225414.157269138</v>
      </c>
      <c r="C171" s="312">
        <f t="shared" si="84"/>
        <v>3.8483429990831495E-4</v>
      </c>
      <c r="D171" s="296">
        <f t="shared" si="85"/>
        <v>119808.48785328292</v>
      </c>
      <c r="E171" s="312">
        <f t="shared" si="86"/>
        <v>3.8486937629807287E-4</v>
      </c>
      <c r="F171" s="296">
        <f t="shared" si="87"/>
        <v>24280.543811981133</v>
      </c>
      <c r="G171" s="312">
        <f t="shared" si="88"/>
        <v>3.846486960155473E-4</v>
      </c>
      <c r="H171" s="398">
        <v>0</v>
      </c>
      <c r="I171" s="312">
        <f t="shared" si="89"/>
        <v>0</v>
      </c>
      <c r="J171" s="457" t="e">
        <f t="shared" si="102"/>
        <v>#DIV/0!</v>
      </c>
      <c r="K171" s="369" t="e">
        <f t="shared" si="90"/>
        <v>#DIV/0!</v>
      </c>
      <c r="L171" s="404" t="e">
        <f t="shared" si="103"/>
        <v>#DIV/0!</v>
      </c>
      <c r="M171" s="312" t="e">
        <f t="shared" si="104"/>
        <v>#DIV/0!</v>
      </c>
      <c r="N171" s="298">
        <f t="shared" si="105"/>
        <v>20230.220260507926</v>
      </c>
      <c r="O171" s="312">
        <f t="shared" si="106"/>
        <v>3.6059110494432499E-4</v>
      </c>
      <c r="P171" s="404" t="e">
        <f t="shared" si="107"/>
        <v>#DIV/0!</v>
      </c>
      <c r="Q171" s="312" t="e">
        <f t="shared" si="114"/>
        <v>#DIV/0!</v>
      </c>
      <c r="R171" s="454" t="e">
        <f t="shared" si="108"/>
        <v>#DIV/0!</v>
      </c>
      <c r="S171" s="312" t="e">
        <f t="shared" si="109"/>
        <v>#DIV/0!</v>
      </c>
      <c r="T171" s="454" t="e">
        <f t="shared" si="110"/>
        <v>#DIV/0!</v>
      </c>
      <c r="U171" s="312" t="e">
        <f t="shared" si="111"/>
        <v>#DIV/0!</v>
      </c>
      <c r="V171" s="454">
        <f t="shared" si="112"/>
        <v>0</v>
      </c>
      <c r="W171" s="312">
        <f t="shared" si="115"/>
        <v>-1.0000002752637027</v>
      </c>
      <c r="X171" s="454">
        <f t="shared" si="113"/>
        <v>0</v>
      </c>
      <c r="Y171" s="312">
        <f t="shared" si="91"/>
        <v>-1</v>
      </c>
      <c r="Z171" s="674">
        <f t="shared" si="92"/>
        <v>0</v>
      </c>
      <c r="AA171" s="297"/>
      <c r="AB171" s="379">
        <f t="shared" si="92"/>
        <v>0</v>
      </c>
      <c r="AC171" s="297"/>
      <c r="AD171" s="413">
        <f t="shared" si="93"/>
        <v>0</v>
      </c>
      <c r="AE171" s="297"/>
      <c r="AG171" s="400" t="e">
        <f t="shared" si="94"/>
        <v>#DIV/0!</v>
      </c>
      <c r="AH171" s="401">
        <f t="shared" si="95"/>
        <v>0</v>
      </c>
      <c r="AI171" s="407">
        <f t="shared" si="96"/>
        <v>0</v>
      </c>
      <c r="AJ171" s="498"/>
      <c r="AK171" s="502">
        <f t="shared" si="97"/>
        <v>0</v>
      </c>
      <c r="AL171" s="503" t="e">
        <f t="shared" si="98"/>
        <v>#DIV/0!</v>
      </c>
      <c r="AM171" s="504" t="e">
        <f>AG171-AK171-AO171</f>
        <v>#DIV/0!</v>
      </c>
      <c r="AN171" s="503" t="e">
        <f t="shared" si="99"/>
        <v>#DIV/0!</v>
      </c>
      <c r="AO171" s="502">
        <f t="shared" si="100"/>
        <v>0</v>
      </c>
      <c r="AP171" s="503" t="e">
        <f t="shared" si="101"/>
        <v>#DIV/0!</v>
      </c>
      <c r="AQ171" s="314"/>
      <c r="AR171" s="110">
        <v>49522</v>
      </c>
      <c r="AS171" s="98">
        <f t="shared" si="116"/>
        <v>0</v>
      </c>
      <c r="AT171" s="98">
        <f t="shared" si="117"/>
        <v>0</v>
      </c>
      <c r="AU171" s="98"/>
      <c r="AV171" s="308"/>
      <c r="AW171" s="308"/>
      <c r="AX171" s="308"/>
      <c r="AY171" s="313"/>
      <c r="AZ171" s="313"/>
      <c r="BA171" s="313"/>
      <c r="BB171" s="313"/>
    </row>
    <row r="172" spans="1:54">
      <c r="A172" s="295">
        <v>45534</v>
      </c>
      <c r="B172" s="296">
        <f t="shared" si="83"/>
        <v>225500.9043685401</v>
      </c>
      <c r="C172" s="312">
        <f t="shared" si="84"/>
        <v>3.8483429990834671E-4</v>
      </c>
      <c r="D172" s="296">
        <f t="shared" si="85"/>
        <v>119854.59847127822</v>
      </c>
      <c r="E172" s="312">
        <f t="shared" si="86"/>
        <v>3.8486937629805254E-4</v>
      </c>
      <c r="F172" s="296">
        <f t="shared" si="87"/>
        <v>24289.883291496961</v>
      </c>
      <c r="G172" s="312">
        <f t="shared" si="88"/>
        <v>3.8464869601556779E-4</v>
      </c>
      <c r="H172" s="398">
        <v>0</v>
      </c>
      <c r="I172" s="312">
        <f t="shared" si="89"/>
        <v>0</v>
      </c>
      <c r="J172" s="457" t="e">
        <f t="shared" si="102"/>
        <v>#DIV/0!</v>
      </c>
      <c r="K172" s="369" t="e">
        <f t="shared" si="90"/>
        <v>#DIV/0!</v>
      </c>
      <c r="L172" s="404" t="e">
        <f t="shared" si="103"/>
        <v>#DIV/0!</v>
      </c>
      <c r="M172" s="312" t="e">
        <f t="shared" si="104"/>
        <v>#DIV/0!</v>
      </c>
      <c r="N172" s="298">
        <f t="shared" si="105"/>
        <v>20237.515097984928</v>
      </c>
      <c r="O172" s="312">
        <f t="shared" si="106"/>
        <v>3.6059110494425202E-4</v>
      </c>
      <c r="P172" s="404" t="e">
        <f t="shared" si="107"/>
        <v>#DIV/0!</v>
      </c>
      <c r="Q172" s="312" t="e">
        <f t="shared" si="114"/>
        <v>#DIV/0!</v>
      </c>
      <c r="R172" s="454" t="e">
        <f t="shared" si="108"/>
        <v>#DIV/0!</v>
      </c>
      <c r="S172" s="312" t="e">
        <f t="shared" si="109"/>
        <v>#DIV/0!</v>
      </c>
      <c r="T172" s="454" t="e">
        <f t="shared" si="110"/>
        <v>#DIV/0!</v>
      </c>
      <c r="U172" s="312" t="e">
        <f t="shared" si="111"/>
        <v>#DIV/0!</v>
      </c>
      <c r="V172" s="454">
        <f t="shared" si="112"/>
        <v>0</v>
      </c>
      <c r="W172" s="312">
        <f t="shared" si="115"/>
        <v>-1.0000002752637027</v>
      </c>
      <c r="X172" s="454">
        <f t="shared" si="113"/>
        <v>0</v>
      </c>
      <c r="Y172" s="312">
        <f t="shared" si="91"/>
        <v>-1</v>
      </c>
      <c r="Z172" s="674">
        <f t="shared" si="92"/>
        <v>0</v>
      </c>
      <c r="AA172" s="329"/>
      <c r="AB172" s="379">
        <f t="shared" si="92"/>
        <v>0</v>
      </c>
      <c r="AC172" s="329"/>
      <c r="AD172" s="413">
        <f t="shared" si="93"/>
        <v>0</v>
      </c>
      <c r="AE172" s="329"/>
      <c r="AG172" s="400" t="e">
        <f t="shared" si="94"/>
        <v>#DIV/0!</v>
      </c>
      <c r="AH172" s="401">
        <f t="shared" si="95"/>
        <v>0</v>
      </c>
      <c r="AI172" s="407">
        <f t="shared" si="96"/>
        <v>0</v>
      </c>
      <c r="AJ172" s="498"/>
      <c r="AK172" s="502">
        <f t="shared" si="97"/>
        <v>0</v>
      </c>
      <c r="AL172" s="503" t="e">
        <f t="shared" si="98"/>
        <v>#DIV/0!</v>
      </c>
      <c r="AM172" s="504" t="e">
        <f>AG172-AK172-AO172</f>
        <v>#DIV/0!</v>
      </c>
      <c r="AN172" s="503" t="e">
        <f t="shared" si="99"/>
        <v>#DIV/0!</v>
      </c>
      <c r="AO172" s="502">
        <f t="shared" si="100"/>
        <v>0</v>
      </c>
      <c r="AP172" s="503" t="e">
        <f t="shared" si="101"/>
        <v>#DIV/0!</v>
      </c>
      <c r="AQ172" s="314"/>
      <c r="AR172" s="110">
        <v>49553</v>
      </c>
      <c r="AS172" s="98">
        <f t="shared" si="116"/>
        <v>0</v>
      </c>
      <c r="AT172" s="98">
        <f t="shared" si="117"/>
        <v>0</v>
      </c>
      <c r="AU172" s="98"/>
      <c r="AV172" s="308"/>
      <c r="AW172" s="308"/>
      <c r="AX172" s="308"/>
      <c r="AY172" s="313"/>
      <c r="AZ172" s="313"/>
      <c r="BA172" s="313"/>
      <c r="BB172" s="313"/>
    </row>
    <row r="173" spans="1:54">
      <c r="A173" s="295">
        <v>45537</v>
      </c>
      <c r="B173" s="296">
        <f t="shared" si="83"/>
        <v>225587.68485120145</v>
      </c>
      <c r="C173" s="312">
        <f t="shared" si="84"/>
        <v>3.8483429990830774E-4</v>
      </c>
      <c r="D173" s="296">
        <f t="shared" si="85"/>
        <v>119900.72683583832</v>
      </c>
      <c r="E173" s="312">
        <f t="shared" si="86"/>
        <v>3.8486937629803649E-4</v>
      </c>
      <c r="F173" s="296">
        <f t="shared" si="87"/>
        <v>24299.226363431404</v>
      </c>
      <c r="G173" s="312">
        <f t="shared" si="88"/>
        <v>3.8464869601551234E-4</v>
      </c>
      <c r="H173" s="398">
        <v>0</v>
      </c>
      <c r="I173" s="312">
        <f t="shared" si="89"/>
        <v>0</v>
      </c>
      <c r="J173" s="457" t="e">
        <f t="shared" si="102"/>
        <v>#DIV/0!</v>
      </c>
      <c r="K173" s="369" t="e">
        <f t="shared" si="90"/>
        <v>#DIV/0!</v>
      </c>
      <c r="L173" s="404" t="e">
        <f t="shared" si="103"/>
        <v>#DIV/0!</v>
      </c>
      <c r="M173" s="312" t="e">
        <f t="shared" si="104"/>
        <v>#DIV/0!</v>
      </c>
      <c r="N173" s="298">
        <f t="shared" si="105"/>
        <v>20244.812565915436</v>
      </c>
      <c r="O173" s="312">
        <f t="shared" si="106"/>
        <v>3.6059110494423343E-4</v>
      </c>
      <c r="P173" s="404" t="e">
        <f t="shared" si="107"/>
        <v>#DIV/0!</v>
      </c>
      <c r="Q173" s="312" t="e">
        <f t="shared" si="114"/>
        <v>#DIV/0!</v>
      </c>
      <c r="R173" s="454" t="e">
        <f t="shared" si="108"/>
        <v>#DIV/0!</v>
      </c>
      <c r="S173" s="312" t="e">
        <f t="shared" si="109"/>
        <v>#DIV/0!</v>
      </c>
      <c r="T173" s="454" t="e">
        <f t="shared" si="110"/>
        <v>#DIV/0!</v>
      </c>
      <c r="U173" s="312" t="e">
        <f t="shared" si="111"/>
        <v>#DIV/0!</v>
      </c>
      <c r="V173" s="454">
        <f t="shared" si="112"/>
        <v>0</v>
      </c>
      <c r="W173" s="312">
        <f t="shared" si="115"/>
        <v>-1.0000002752637027</v>
      </c>
      <c r="X173" s="454">
        <f t="shared" si="113"/>
        <v>0</v>
      </c>
      <c r="Y173" s="312">
        <f t="shared" si="91"/>
        <v>-1</v>
      </c>
      <c r="Z173" s="674">
        <f t="shared" si="92"/>
        <v>0</v>
      </c>
      <c r="AA173" s="297"/>
      <c r="AB173" s="379">
        <f t="shared" si="92"/>
        <v>0</v>
      </c>
      <c r="AC173" s="297"/>
      <c r="AD173" s="413">
        <f t="shared" si="93"/>
        <v>0</v>
      </c>
      <c r="AE173" s="297"/>
      <c r="AG173" s="400" t="e">
        <f t="shared" si="94"/>
        <v>#DIV/0!</v>
      </c>
      <c r="AH173" s="401">
        <f t="shared" si="95"/>
        <v>0</v>
      </c>
      <c r="AI173" s="407">
        <f t="shared" si="96"/>
        <v>0</v>
      </c>
      <c r="AJ173" s="498"/>
      <c r="AK173" s="502">
        <f t="shared" si="97"/>
        <v>0</v>
      </c>
      <c r="AL173" s="503" t="e">
        <f t="shared" si="98"/>
        <v>#DIV/0!</v>
      </c>
      <c r="AM173" s="504" t="e">
        <f>AG173-AK173-AO173</f>
        <v>#DIV/0!</v>
      </c>
      <c r="AN173" s="503" t="e">
        <f t="shared" si="99"/>
        <v>#DIV/0!</v>
      </c>
      <c r="AO173" s="502">
        <f t="shared" si="100"/>
        <v>0</v>
      </c>
      <c r="AP173" s="503" t="e">
        <f t="shared" si="101"/>
        <v>#DIV/0!</v>
      </c>
      <c r="AQ173" s="314"/>
      <c r="AR173" s="110">
        <v>49583</v>
      </c>
      <c r="AS173" s="98">
        <f t="shared" si="116"/>
        <v>0</v>
      </c>
      <c r="AT173" s="98">
        <f t="shared" si="117"/>
        <v>0</v>
      </c>
      <c r="AU173" s="98"/>
      <c r="AV173" s="308"/>
      <c r="AW173" s="308"/>
      <c r="AX173" s="308"/>
      <c r="AY173" s="313"/>
      <c r="AZ173" s="313"/>
      <c r="BA173" s="313"/>
      <c r="BB173" s="313"/>
    </row>
    <row r="174" spans="1:54">
      <c r="A174" s="295">
        <v>45538</v>
      </c>
      <c r="B174" s="296">
        <f t="shared" si="83"/>
        <v>225674.49872996911</v>
      </c>
      <c r="C174" s="312">
        <f t="shared" si="84"/>
        <v>3.8483429990835186E-4</v>
      </c>
      <c r="D174" s="296">
        <f t="shared" si="85"/>
        <v>119946.87295379331</v>
      </c>
      <c r="E174" s="312">
        <f t="shared" si="86"/>
        <v>3.848693762980765E-4</v>
      </c>
      <c r="F174" s="296">
        <f t="shared" si="87"/>
        <v>24308.573029166284</v>
      </c>
      <c r="G174" s="312">
        <f t="shared" si="88"/>
        <v>3.8464869601552405E-4</v>
      </c>
      <c r="H174" s="398">
        <v>0</v>
      </c>
      <c r="I174" s="312">
        <f t="shared" si="89"/>
        <v>0</v>
      </c>
      <c r="J174" s="457" t="e">
        <f t="shared" si="102"/>
        <v>#DIV/0!</v>
      </c>
      <c r="K174" s="369" t="e">
        <f t="shared" si="90"/>
        <v>#DIV/0!</v>
      </c>
      <c r="L174" s="404" t="e">
        <f t="shared" si="103"/>
        <v>#DIV/0!</v>
      </c>
      <c r="M174" s="312" t="e">
        <f t="shared" si="104"/>
        <v>#DIV/0!</v>
      </c>
      <c r="N174" s="298">
        <f t="shared" si="105"/>
        <v>20252.112665247969</v>
      </c>
      <c r="O174" s="312">
        <f t="shared" si="106"/>
        <v>3.6059110494427235E-4</v>
      </c>
      <c r="P174" s="404" t="e">
        <f t="shared" si="107"/>
        <v>#DIV/0!</v>
      </c>
      <c r="Q174" s="312" t="e">
        <f t="shared" si="114"/>
        <v>#DIV/0!</v>
      </c>
      <c r="R174" s="454" t="e">
        <f t="shared" si="108"/>
        <v>#DIV/0!</v>
      </c>
      <c r="S174" s="312" t="e">
        <f t="shared" si="109"/>
        <v>#DIV/0!</v>
      </c>
      <c r="T174" s="454" t="e">
        <f t="shared" si="110"/>
        <v>#DIV/0!</v>
      </c>
      <c r="U174" s="312" t="e">
        <f t="shared" si="111"/>
        <v>#DIV/0!</v>
      </c>
      <c r="V174" s="454">
        <f t="shared" si="112"/>
        <v>0</v>
      </c>
      <c r="W174" s="312">
        <f t="shared" si="115"/>
        <v>-1.0000002752637027</v>
      </c>
      <c r="X174" s="454">
        <f t="shared" si="113"/>
        <v>0</v>
      </c>
      <c r="Y174" s="312">
        <f t="shared" si="91"/>
        <v>-1</v>
      </c>
      <c r="Z174" s="674">
        <f t="shared" si="92"/>
        <v>0</v>
      </c>
      <c r="AA174" s="329"/>
      <c r="AB174" s="379">
        <f t="shared" si="92"/>
        <v>0</v>
      </c>
      <c r="AC174" s="329"/>
      <c r="AD174" s="413">
        <f t="shared" si="93"/>
        <v>0</v>
      </c>
      <c r="AE174" s="329"/>
      <c r="AG174" s="400" t="e">
        <f t="shared" si="94"/>
        <v>#DIV/0!</v>
      </c>
      <c r="AH174" s="401">
        <f t="shared" si="95"/>
        <v>0</v>
      </c>
      <c r="AI174" s="407">
        <f t="shared" si="96"/>
        <v>0</v>
      </c>
      <c r="AJ174" s="498"/>
      <c r="AK174" s="502">
        <f t="shared" si="97"/>
        <v>0</v>
      </c>
      <c r="AL174" s="503" t="e">
        <f t="shared" si="98"/>
        <v>#DIV/0!</v>
      </c>
      <c r="AM174" s="504" t="e">
        <f>AG174-AK174-AO174</f>
        <v>#DIV/0!</v>
      </c>
      <c r="AN174" s="503" t="e">
        <f t="shared" si="99"/>
        <v>#DIV/0!</v>
      </c>
      <c r="AO174" s="502">
        <f t="shared" si="100"/>
        <v>0</v>
      </c>
      <c r="AP174" s="503" t="e">
        <f t="shared" si="101"/>
        <v>#DIV/0!</v>
      </c>
      <c r="AQ174" s="314"/>
      <c r="AR174" s="110">
        <v>49614</v>
      </c>
      <c r="AS174" s="98">
        <f t="shared" si="116"/>
        <v>0</v>
      </c>
      <c r="AT174" s="98">
        <f t="shared" si="117"/>
        <v>0</v>
      </c>
      <c r="AU174" s="98"/>
      <c r="AV174" s="308"/>
      <c r="AW174" s="308"/>
      <c r="AX174" s="308"/>
      <c r="AY174" s="313"/>
      <c r="AZ174" s="313"/>
      <c r="BA174" s="313"/>
      <c r="BB174" s="313"/>
    </row>
    <row r="175" spans="1:54">
      <c r="A175" s="295">
        <v>45539</v>
      </c>
      <c r="B175" s="296">
        <f t="shared" si="83"/>
        <v>225761.34601769503</v>
      </c>
      <c r="C175" s="312">
        <f t="shared" si="84"/>
        <v>3.8483429990836628E-4</v>
      </c>
      <c r="D175" s="296">
        <f t="shared" si="85"/>
        <v>119993.03683197594</v>
      </c>
      <c r="E175" s="312">
        <f t="shared" si="86"/>
        <v>3.8486937629809439E-4</v>
      </c>
      <c r="F175" s="296">
        <f t="shared" si="87"/>
        <v>24317.923290083952</v>
      </c>
      <c r="G175" s="312">
        <f t="shared" si="88"/>
        <v>3.8464869601558758E-4</v>
      </c>
      <c r="H175" s="398">
        <v>0</v>
      </c>
      <c r="I175" s="312">
        <f t="shared" si="89"/>
        <v>0</v>
      </c>
      <c r="J175" s="457" t="e">
        <f t="shared" si="102"/>
        <v>#DIV/0!</v>
      </c>
      <c r="K175" s="369" t="e">
        <f t="shared" si="90"/>
        <v>#DIV/0!</v>
      </c>
      <c r="L175" s="404" t="e">
        <f t="shared" si="103"/>
        <v>#DIV/0!</v>
      </c>
      <c r="M175" s="312" t="e">
        <f t="shared" si="104"/>
        <v>#DIV/0!</v>
      </c>
      <c r="N175" s="298">
        <f t="shared" si="105"/>
        <v>20259.415396931385</v>
      </c>
      <c r="O175" s="312">
        <f t="shared" si="106"/>
        <v>3.6059110494418627E-4</v>
      </c>
      <c r="P175" s="404" t="e">
        <f t="shared" si="107"/>
        <v>#DIV/0!</v>
      </c>
      <c r="Q175" s="312" t="e">
        <f t="shared" si="114"/>
        <v>#DIV/0!</v>
      </c>
      <c r="R175" s="454" t="e">
        <f t="shared" si="108"/>
        <v>#DIV/0!</v>
      </c>
      <c r="S175" s="312" t="e">
        <f t="shared" si="109"/>
        <v>#DIV/0!</v>
      </c>
      <c r="T175" s="454" t="e">
        <f t="shared" si="110"/>
        <v>#DIV/0!</v>
      </c>
      <c r="U175" s="312" t="e">
        <f t="shared" si="111"/>
        <v>#DIV/0!</v>
      </c>
      <c r="V175" s="454">
        <f t="shared" si="112"/>
        <v>0</v>
      </c>
      <c r="W175" s="312">
        <f t="shared" si="115"/>
        <v>-1.0000002752637027</v>
      </c>
      <c r="X175" s="454">
        <f t="shared" si="113"/>
        <v>0</v>
      </c>
      <c r="Y175" s="312">
        <f t="shared" si="91"/>
        <v>-1</v>
      </c>
      <c r="Z175" s="674">
        <f t="shared" si="92"/>
        <v>0</v>
      </c>
      <c r="AA175" s="297"/>
      <c r="AB175" s="379">
        <f t="shared" si="92"/>
        <v>0</v>
      </c>
      <c r="AC175" s="297"/>
      <c r="AD175" s="413">
        <f t="shared" si="93"/>
        <v>0</v>
      </c>
      <c r="AE175" s="297"/>
      <c r="AG175" s="400" t="e">
        <f t="shared" si="94"/>
        <v>#DIV/0!</v>
      </c>
      <c r="AH175" s="401">
        <f t="shared" si="95"/>
        <v>0</v>
      </c>
      <c r="AI175" s="407">
        <f t="shared" si="96"/>
        <v>0</v>
      </c>
      <c r="AJ175" s="498"/>
      <c r="AK175" s="502">
        <f t="shared" si="97"/>
        <v>0</v>
      </c>
      <c r="AL175" s="503" t="e">
        <f t="shared" si="98"/>
        <v>#DIV/0!</v>
      </c>
      <c r="AM175" s="504" t="e">
        <f>AG175-AK175-AO175</f>
        <v>#DIV/0!</v>
      </c>
      <c r="AN175" s="503" t="e">
        <f t="shared" si="99"/>
        <v>#DIV/0!</v>
      </c>
      <c r="AO175" s="502">
        <f t="shared" si="100"/>
        <v>0</v>
      </c>
      <c r="AP175" s="503" t="e">
        <f t="shared" si="101"/>
        <v>#DIV/0!</v>
      </c>
      <c r="AQ175" s="314"/>
      <c r="AR175" s="110">
        <v>49644</v>
      </c>
      <c r="AS175" s="98">
        <f t="shared" si="116"/>
        <v>0</v>
      </c>
      <c r="AT175" s="98">
        <f t="shared" si="117"/>
        <v>0</v>
      </c>
      <c r="AU175" s="98"/>
      <c r="AV175" s="308"/>
      <c r="AW175" s="308"/>
      <c r="AX175" s="308"/>
      <c r="AY175" s="313"/>
      <c r="AZ175" s="313"/>
      <c r="BA175" s="313"/>
      <c r="BB175" s="313"/>
    </row>
    <row r="176" spans="1:54">
      <c r="A176" s="295">
        <v>45540</v>
      </c>
      <c r="B176" s="296">
        <f t="shared" si="83"/>
        <v>225848.22672723612</v>
      </c>
      <c r="C176" s="312">
        <f t="shared" si="84"/>
        <v>3.8483429990835891E-4</v>
      </c>
      <c r="D176" s="296">
        <f t="shared" si="85"/>
        <v>120039.21847722158</v>
      </c>
      <c r="E176" s="312">
        <f t="shared" si="86"/>
        <v>3.8486937629812512E-4</v>
      </c>
      <c r="F176" s="296">
        <f t="shared" si="87"/>
        <v>24327.277147567289</v>
      </c>
      <c r="G176" s="312">
        <f t="shared" si="88"/>
        <v>3.8464869601552957E-4</v>
      </c>
      <c r="H176" s="398">
        <v>0</v>
      </c>
      <c r="I176" s="312">
        <f t="shared" si="89"/>
        <v>0</v>
      </c>
      <c r="J176" s="457" t="e">
        <f t="shared" si="102"/>
        <v>#DIV/0!</v>
      </c>
      <c r="K176" s="369" t="e">
        <f t="shared" si="90"/>
        <v>#DIV/0!</v>
      </c>
      <c r="L176" s="404" t="e">
        <f t="shared" si="103"/>
        <v>#DIV/0!</v>
      </c>
      <c r="M176" s="312" t="e">
        <f t="shared" si="104"/>
        <v>#DIV/0!</v>
      </c>
      <c r="N176" s="298">
        <f t="shared" si="105"/>
        <v>20266.720761914887</v>
      </c>
      <c r="O176" s="312">
        <f t="shared" si="106"/>
        <v>3.6059110494414593E-4</v>
      </c>
      <c r="P176" s="404" t="e">
        <f t="shared" si="107"/>
        <v>#DIV/0!</v>
      </c>
      <c r="Q176" s="312" t="e">
        <f t="shared" si="114"/>
        <v>#DIV/0!</v>
      </c>
      <c r="R176" s="454" t="e">
        <f t="shared" si="108"/>
        <v>#DIV/0!</v>
      </c>
      <c r="S176" s="312"/>
      <c r="T176" s="454" t="e">
        <f t="shared" si="110"/>
        <v>#DIV/0!</v>
      </c>
      <c r="U176" s="312" t="e">
        <f t="shared" si="111"/>
        <v>#DIV/0!</v>
      </c>
      <c r="V176" s="454">
        <f t="shared" si="112"/>
        <v>0</v>
      </c>
      <c r="W176" s="312">
        <f t="shared" si="115"/>
        <v>-1.0000002752637027</v>
      </c>
      <c r="X176" s="454">
        <f t="shared" si="113"/>
        <v>0</v>
      </c>
      <c r="Y176" s="312">
        <f t="shared" si="91"/>
        <v>-1</v>
      </c>
      <c r="Z176" s="674">
        <f t="shared" si="92"/>
        <v>0</v>
      </c>
      <c r="AA176" s="329"/>
      <c r="AB176" s="379">
        <f t="shared" si="92"/>
        <v>0</v>
      </c>
      <c r="AC176" s="329"/>
      <c r="AD176" s="413">
        <f t="shared" si="93"/>
        <v>0</v>
      </c>
      <c r="AE176" s="329"/>
      <c r="AG176" s="400" t="e">
        <f t="shared" si="94"/>
        <v>#DIV/0!</v>
      </c>
      <c r="AH176" s="401">
        <f t="shared" si="95"/>
        <v>0</v>
      </c>
      <c r="AI176" s="407">
        <f t="shared" si="96"/>
        <v>0</v>
      </c>
      <c r="AJ176" s="498"/>
      <c r="AK176" s="502">
        <f t="shared" si="97"/>
        <v>0</v>
      </c>
      <c r="AL176" s="503" t="e">
        <f t="shared" si="98"/>
        <v>#DIV/0!</v>
      </c>
      <c r="AM176" s="504" t="e">
        <f>AG176-AK176-AO176</f>
        <v>#DIV/0!</v>
      </c>
      <c r="AN176" s="503" t="e">
        <f t="shared" si="99"/>
        <v>#DIV/0!</v>
      </c>
      <c r="AO176" s="502">
        <f t="shared" si="100"/>
        <v>0</v>
      </c>
      <c r="AP176" s="503" t="e">
        <f t="shared" si="101"/>
        <v>#DIV/0!</v>
      </c>
      <c r="AQ176" s="314"/>
      <c r="AR176" s="110">
        <v>49675</v>
      </c>
      <c r="AS176" s="98">
        <f t="shared" si="116"/>
        <v>0</v>
      </c>
      <c r="AT176" s="98">
        <f t="shared" si="117"/>
        <v>0</v>
      </c>
      <c r="AU176" s="98"/>
      <c r="AV176" s="308"/>
      <c r="AW176" s="308"/>
      <c r="AX176" s="308"/>
      <c r="AY176" s="313"/>
      <c r="AZ176" s="313"/>
      <c r="BA176" s="313"/>
      <c r="BB176" s="313"/>
    </row>
    <row r="177" spans="1:54">
      <c r="A177" s="295">
        <v>45541</v>
      </c>
      <c r="B177" s="296">
        <f t="shared" si="83"/>
        <v>225935.14087145423</v>
      </c>
      <c r="C177" s="312">
        <f t="shared" si="84"/>
        <v>3.8483429990832915E-4</v>
      </c>
      <c r="D177" s="296">
        <f t="shared" si="85"/>
        <v>120085.41789636822</v>
      </c>
      <c r="E177" s="312">
        <f t="shared" si="86"/>
        <v>3.848693762980739E-4</v>
      </c>
      <c r="F177" s="296">
        <f t="shared" si="87"/>
        <v>24336.634602999708</v>
      </c>
      <c r="G177" s="312">
        <f t="shared" si="88"/>
        <v>3.8464869601546778E-4</v>
      </c>
      <c r="H177" s="398">
        <v>0</v>
      </c>
      <c r="I177" s="312">
        <f t="shared" si="89"/>
        <v>0</v>
      </c>
      <c r="J177" s="457" t="e">
        <f t="shared" si="102"/>
        <v>#DIV/0!</v>
      </c>
      <c r="K177" s="369" t="e">
        <f t="shared" si="90"/>
        <v>#DIV/0!</v>
      </c>
      <c r="L177" s="404" t="e">
        <f t="shared" si="103"/>
        <v>#DIV/0!</v>
      </c>
      <c r="M177" s="312" t="e">
        <f t="shared" si="104"/>
        <v>#DIV/0!</v>
      </c>
      <c r="N177" s="298">
        <f t="shared" si="105"/>
        <v>20274.02876114802</v>
      </c>
      <c r="O177" s="312">
        <f t="shared" si="106"/>
        <v>3.6059110494413645E-4</v>
      </c>
      <c r="P177" s="404" t="e">
        <f t="shared" si="107"/>
        <v>#DIV/0!</v>
      </c>
      <c r="Q177" s="312" t="e">
        <f t="shared" si="114"/>
        <v>#DIV/0!</v>
      </c>
      <c r="R177" s="298"/>
      <c r="S177" s="312"/>
      <c r="T177" s="454" t="e">
        <f t="shared" si="110"/>
        <v>#DIV/0!</v>
      </c>
      <c r="U177" s="312" t="e">
        <f t="shared" si="111"/>
        <v>#DIV/0!</v>
      </c>
      <c r="V177" s="454">
        <f t="shared" si="112"/>
        <v>0</v>
      </c>
      <c r="W177" s="312">
        <f t="shared" si="115"/>
        <v>-1.0000002752637027</v>
      </c>
      <c r="X177" s="454">
        <f t="shared" si="113"/>
        <v>0</v>
      </c>
      <c r="Y177" s="312">
        <f t="shared" si="91"/>
        <v>-1</v>
      </c>
      <c r="Z177" s="674">
        <f t="shared" si="92"/>
        <v>0</v>
      </c>
      <c r="AA177" s="297"/>
      <c r="AB177" s="379">
        <f t="shared" si="92"/>
        <v>0</v>
      </c>
      <c r="AC177" s="297"/>
      <c r="AD177" s="413">
        <f t="shared" si="93"/>
        <v>0</v>
      </c>
      <c r="AE177" s="297"/>
      <c r="AG177" s="400" t="e">
        <f t="shared" si="94"/>
        <v>#DIV/0!</v>
      </c>
      <c r="AH177" s="401">
        <f t="shared" si="95"/>
        <v>0</v>
      </c>
      <c r="AI177" s="407">
        <f t="shared" si="96"/>
        <v>0</v>
      </c>
      <c r="AJ177" s="498"/>
      <c r="AK177" s="502">
        <f t="shared" si="97"/>
        <v>0</v>
      </c>
      <c r="AL177" s="503" t="e">
        <f t="shared" si="98"/>
        <v>#DIV/0!</v>
      </c>
      <c r="AM177" s="504" t="e">
        <f>AG177-AK177-AO177</f>
        <v>#DIV/0!</v>
      </c>
      <c r="AN177" s="503" t="e">
        <f t="shared" si="99"/>
        <v>#DIV/0!</v>
      </c>
      <c r="AO177" s="502">
        <f t="shared" si="100"/>
        <v>0</v>
      </c>
      <c r="AP177" s="503" t="e">
        <f t="shared" si="101"/>
        <v>#DIV/0!</v>
      </c>
      <c r="AQ177" s="377"/>
      <c r="AR177" s="110">
        <v>49706</v>
      </c>
      <c r="AS177" s="98">
        <f t="shared" si="116"/>
        <v>0</v>
      </c>
      <c r="AT177" s="98">
        <f t="shared" si="117"/>
        <v>0</v>
      </c>
      <c r="AU177" s="98"/>
      <c r="AV177" s="405"/>
      <c r="AW177" s="405"/>
      <c r="AX177" s="405"/>
      <c r="AY177" s="313"/>
      <c r="AZ177" s="313"/>
      <c r="BA177" s="313"/>
      <c r="BB177" s="313"/>
    </row>
    <row r="178" spans="1:54">
      <c r="A178" s="295">
        <v>45544</v>
      </c>
      <c r="B178" s="296">
        <f t="shared" si="83"/>
        <v>226022.08846321618</v>
      </c>
      <c r="C178" s="312">
        <f t="shared" si="84"/>
        <v>3.8483429990826811E-4</v>
      </c>
      <c r="D178" s="296">
        <f t="shared" si="85"/>
        <v>120131.63509625649</v>
      </c>
      <c r="E178" s="312">
        <f t="shared" si="86"/>
        <v>3.8486937629808002E-4</v>
      </c>
      <c r="F178" s="296">
        <f t="shared" si="87"/>
        <v>24345.995657765157</v>
      </c>
      <c r="G178" s="312">
        <f t="shared" si="88"/>
        <v>3.8464869601551131E-4</v>
      </c>
      <c r="H178" s="398">
        <v>0</v>
      </c>
      <c r="I178" s="312">
        <f t="shared" si="89"/>
        <v>0</v>
      </c>
      <c r="J178" s="457" t="e">
        <f t="shared" si="102"/>
        <v>#DIV/0!</v>
      </c>
      <c r="K178" s="369" t="e">
        <f t="shared" si="90"/>
        <v>#DIV/0!</v>
      </c>
      <c r="L178" s="404" t="e">
        <f t="shared" si="103"/>
        <v>#DIV/0!</v>
      </c>
      <c r="M178" s="312" t="e">
        <f t="shared" si="104"/>
        <v>#DIV/0!</v>
      </c>
      <c r="N178" s="298">
        <f t="shared" si="105"/>
        <v>20281.339395580671</v>
      </c>
      <c r="O178" s="312">
        <f t="shared" si="106"/>
        <v>3.6059110494413656E-4</v>
      </c>
      <c r="P178" s="404" t="e">
        <f t="shared" si="107"/>
        <v>#DIV/0!</v>
      </c>
      <c r="Q178" s="312" t="e">
        <f t="shared" si="114"/>
        <v>#DIV/0!</v>
      </c>
      <c r="R178" s="298"/>
      <c r="S178" s="312"/>
      <c r="T178" s="454" t="e">
        <f t="shared" si="110"/>
        <v>#DIV/0!</v>
      </c>
      <c r="U178" s="312" t="e">
        <f t="shared" si="111"/>
        <v>#DIV/0!</v>
      </c>
      <c r="V178" s="454">
        <f t="shared" si="112"/>
        <v>0</v>
      </c>
      <c r="W178" s="312">
        <f t="shared" si="115"/>
        <v>-1.0000002752637027</v>
      </c>
      <c r="X178" s="454">
        <f t="shared" si="113"/>
        <v>0</v>
      </c>
      <c r="Y178" s="312">
        <f t="shared" si="91"/>
        <v>-1</v>
      </c>
      <c r="Z178" s="674">
        <f t="shared" si="92"/>
        <v>0</v>
      </c>
      <c r="AA178" s="329"/>
      <c r="AB178" s="379">
        <f t="shared" si="92"/>
        <v>0</v>
      </c>
      <c r="AC178" s="329"/>
      <c r="AD178" s="413">
        <f t="shared" si="93"/>
        <v>0</v>
      </c>
      <c r="AE178" s="329"/>
      <c r="AG178" s="400" t="e">
        <f t="shared" si="94"/>
        <v>#DIV/0!</v>
      </c>
      <c r="AH178" s="401">
        <f t="shared" si="95"/>
        <v>0</v>
      </c>
      <c r="AI178" s="407">
        <f t="shared" si="96"/>
        <v>0</v>
      </c>
      <c r="AJ178" s="498"/>
      <c r="AK178" s="502">
        <f t="shared" si="97"/>
        <v>0</v>
      </c>
      <c r="AL178" s="503" t="e">
        <f t="shared" si="98"/>
        <v>#DIV/0!</v>
      </c>
      <c r="AM178" s="504" t="e">
        <f>AG178-AK178-AO178</f>
        <v>#DIV/0!</v>
      </c>
      <c r="AN178" s="503" t="e">
        <f t="shared" si="99"/>
        <v>#DIV/0!</v>
      </c>
      <c r="AO178" s="502">
        <f t="shared" si="100"/>
        <v>0</v>
      </c>
      <c r="AP178" s="503" t="e">
        <f t="shared" si="101"/>
        <v>#DIV/0!</v>
      </c>
      <c r="AQ178" s="377"/>
      <c r="AR178" s="110">
        <v>49735</v>
      </c>
      <c r="AS178" s="98">
        <f t="shared" si="116"/>
        <v>0</v>
      </c>
      <c r="AT178" s="98">
        <f t="shared" si="117"/>
        <v>0</v>
      </c>
      <c r="AU178" s="98"/>
      <c r="AV178" s="406"/>
      <c r="AW178" s="406"/>
      <c r="AX178" s="406"/>
      <c r="AY178" s="313"/>
      <c r="AZ178" s="313"/>
      <c r="BA178" s="313"/>
      <c r="BB178" s="313"/>
    </row>
    <row r="179" spans="1:54">
      <c r="A179" s="295">
        <v>45545</v>
      </c>
      <c r="B179" s="296">
        <f t="shared" si="83"/>
        <v>226109.06951539373</v>
      </c>
      <c r="C179" s="312">
        <f t="shared" si="84"/>
        <v>3.8483429990828714E-4</v>
      </c>
      <c r="D179" s="296">
        <f t="shared" si="85"/>
        <v>120177.87008372965</v>
      </c>
      <c r="E179" s="312">
        <f t="shared" si="86"/>
        <v>3.8486937629803177E-4</v>
      </c>
      <c r="F179" s="296">
        <f t="shared" si="87"/>
        <v>24355.360313248115</v>
      </c>
      <c r="G179" s="312">
        <f t="shared" si="88"/>
        <v>3.8464869601546165E-4</v>
      </c>
      <c r="H179" s="398">
        <v>0</v>
      </c>
      <c r="I179" s="312">
        <f t="shared" si="89"/>
        <v>0</v>
      </c>
      <c r="J179" s="457" t="e">
        <f t="shared" si="102"/>
        <v>#DIV/0!</v>
      </c>
      <c r="K179" s="369" t="e">
        <f t="shared" si="90"/>
        <v>#DIV/0!</v>
      </c>
      <c r="L179" s="404" t="e">
        <f t="shared" si="103"/>
        <v>#DIV/0!</v>
      </c>
      <c r="M179" s="312" t="e">
        <f t="shared" si="104"/>
        <v>#DIV/0!</v>
      </c>
      <c r="N179" s="298">
        <f t="shared" si="105"/>
        <v>20288.652666163071</v>
      </c>
      <c r="O179" s="312">
        <f t="shared" si="106"/>
        <v>3.605911049441191E-4</v>
      </c>
      <c r="P179" s="404" t="e">
        <f t="shared" si="107"/>
        <v>#DIV/0!</v>
      </c>
      <c r="Q179" s="312" t="e">
        <f t="shared" si="114"/>
        <v>#DIV/0!</v>
      </c>
      <c r="R179" s="298"/>
      <c r="S179" s="312"/>
      <c r="T179" s="454" t="e">
        <f t="shared" si="110"/>
        <v>#DIV/0!</v>
      </c>
      <c r="U179" s="312" t="e">
        <f t="shared" si="111"/>
        <v>#DIV/0!</v>
      </c>
      <c r="V179" s="454">
        <f t="shared" si="112"/>
        <v>0</v>
      </c>
      <c r="W179" s="312">
        <f t="shared" si="115"/>
        <v>-1.0000002752637027</v>
      </c>
      <c r="X179" s="454">
        <f t="shared" si="113"/>
        <v>0</v>
      </c>
      <c r="Y179" s="312">
        <f t="shared" si="91"/>
        <v>-1</v>
      </c>
      <c r="Z179" s="674">
        <f t="shared" si="92"/>
        <v>0</v>
      </c>
      <c r="AA179" s="297"/>
      <c r="AB179" s="379">
        <f t="shared" si="92"/>
        <v>0</v>
      </c>
      <c r="AC179" s="297"/>
      <c r="AD179" s="413">
        <f t="shared" si="93"/>
        <v>0</v>
      </c>
      <c r="AE179" s="297"/>
      <c r="AG179" s="400" t="e">
        <f t="shared" si="94"/>
        <v>#DIV/0!</v>
      </c>
      <c r="AH179" s="401">
        <f t="shared" si="95"/>
        <v>0</v>
      </c>
      <c r="AI179" s="407">
        <f t="shared" si="96"/>
        <v>0</v>
      </c>
      <c r="AJ179" s="498"/>
      <c r="AK179" s="502">
        <f t="shared" si="97"/>
        <v>0</v>
      </c>
      <c r="AL179" s="503" t="e">
        <f t="shared" si="98"/>
        <v>#DIV/0!</v>
      </c>
      <c r="AM179" s="504" t="e">
        <f>AG179-AK179-AO179</f>
        <v>#DIV/0!</v>
      </c>
      <c r="AN179" s="503" t="e">
        <f t="shared" si="99"/>
        <v>#DIV/0!</v>
      </c>
      <c r="AO179" s="502">
        <f t="shared" si="100"/>
        <v>0</v>
      </c>
      <c r="AP179" s="503" t="e">
        <f t="shared" si="101"/>
        <v>#DIV/0!</v>
      </c>
      <c r="AQ179" s="377"/>
      <c r="AR179" s="110">
        <v>49766</v>
      </c>
      <c r="AS179" s="98">
        <f t="shared" si="116"/>
        <v>0</v>
      </c>
      <c r="AT179" s="98">
        <f t="shared" si="117"/>
        <v>0</v>
      </c>
      <c r="AU179" s="98"/>
      <c r="AV179" s="405"/>
      <c r="AW179" s="405"/>
      <c r="AX179" s="405"/>
      <c r="AY179" s="313"/>
      <c r="AZ179" s="313"/>
      <c r="BA179" s="313"/>
      <c r="BB179" s="313"/>
    </row>
    <row r="180" spans="1:54">
      <c r="A180" s="295">
        <v>45546</v>
      </c>
      <c r="B180" s="296">
        <f t="shared" si="83"/>
        <v>226196.08404086358</v>
      </c>
      <c r="C180" s="312">
        <f t="shared" si="84"/>
        <v>3.8483429990823152E-4</v>
      </c>
      <c r="D180" s="296">
        <f t="shared" si="85"/>
        <v>120224.1228656336</v>
      </c>
      <c r="E180" s="312">
        <f t="shared" si="86"/>
        <v>3.8486937629805151E-4</v>
      </c>
      <c r="F180" s="296">
        <f t="shared" si="87"/>
        <v>24364.728570833591</v>
      </c>
      <c r="G180" s="312">
        <f t="shared" si="88"/>
        <v>3.8464869601541123E-4</v>
      </c>
      <c r="H180" s="398">
        <v>0</v>
      </c>
      <c r="I180" s="312">
        <f t="shared" si="89"/>
        <v>0</v>
      </c>
      <c r="J180" s="457" t="e">
        <f t="shared" si="102"/>
        <v>#DIV/0!</v>
      </c>
      <c r="K180" s="369" t="e">
        <f t="shared" si="90"/>
        <v>#DIV/0!</v>
      </c>
      <c r="L180" s="404" t="e">
        <f t="shared" si="103"/>
        <v>#DIV/0!</v>
      </c>
      <c r="M180" s="312" t="e">
        <f t="shared" si="104"/>
        <v>#DIV/0!</v>
      </c>
      <c r="N180" s="298">
        <f t="shared" si="105"/>
        <v>20295.968573845788</v>
      </c>
      <c r="O180" s="312">
        <f t="shared" si="106"/>
        <v>3.6059110494405096E-4</v>
      </c>
      <c r="P180" s="404" t="e">
        <f t="shared" si="107"/>
        <v>#DIV/0!</v>
      </c>
      <c r="Q180" s="312" t="e">
        <f t="shared" si="114"/>
        <v>#DIV/0!</v>
      </c>
      <c r="R180" s="298"/>
      <c r="S180" s="312"/>
      <c r="T180" s="454" t="e">
        <f t="shared" si="110"/>
        <v>#DIV/0!</v>
      </c>
      <c r="U180" s="312" t="e">
        <f t="shared" si="111"/>
        <v>#DIV/0!</v>
      </c>
      <c r="V180" s="454">
        <f t="shared" si="112"/>
        <v>0</v>
      </c>
      <c r="W180" s="312">
        <f t="shared" si="115"/>
        <v>-1.0000002752637027</v>
      </c>
      <c r="X180" s="454">
        <f t="shared" si="113"/>
        <v>0</v>
      </c>
      <c r="Y180" s="312">
        <f t="shared" si="91"/>
        <v>-1</v>
      </c>
      <c r="Z180" s="674">
        <f t="shared" si="92"/>
        <v>0</v>
      </c>
      <c r="AA180" s="329"/>
      <c r="AB180" s="379">
        <f t="shared" si="92"/>
        <v>0</v>
      </c>
      <c r="AC180" s="329"/>
      <c r="AD180" s="413">
        <f t="shared" si="93"/>
        <v>0</v>
      </c>
      <c r="AE180" s="329"/>
      <c r="AG180" s="400" t="e">
        <f t="shared" si="94"/>
        <v>#DIV/0!</v>
      </c>
      <c r="AH180" s="401">
        <f t="shared" si="95"/>
        <v>0</v>
      </c>
      <c r="AI180" s="407">
        <f t="shared" si="96"/>
        <v>0</v>
      </c>
      <c r="AJ180" s="498"/>
      <c r="AK180" s="502">
        <f t="shared" si="97"/>
        <v>0</v>
      </c>
      <c r="AL180" s="503" t="e">
        <f t="shared" si="98"/>
        <v>#DIV/0!</v>
      </c>
      <c r="AM180" s="504" t="e">
        <f>AG180-AK180-AO180</f>
        <v>#DIV/0!</v>
      </c>
      <c r="AN180" s="503" t="e">
        <f t="shared" si="99"/>
        <v>#DIV/0!</v>
      </c>
      <c r="AO180" s="502">
        <f t="shared" si="100"/>
        <v>0</v>
      </c>
      <c r="AP180" s="503" t="e">
        <f t="shared" si="101"/>
        <v>#DIV/0!</v>
      </c>
      <c r="AQ180" s="377"/>
      <c r="AR180" s="110">
        <v>49796</v>
      </c>
      <c r="AS180" s="98">
        <f t="shared" si="116"/>
        <v>0</v>
      </c>
      <c r="AT180" s="98">
        <f t="shared" si="117"/>
        <v>0</v>
      </c>
      <c r="AU180" s="98"/>
      <c r="AV180" s="406"/>
      <c r="AW180" s="406"/>
      <c r="AX180" s="406"/>
      <c r="AY180" s="313"/>
      <c r="AZ180" s="313"/>
      <c r="BA180" s="313"/>
      <c r="BB180" s="313"/>
    </row>
    <row r="181" spans="1:54">
      <c r="A181" s="295">
        <v>45547</v>
      </c>
      <c r="B181" s="296">
        <f t="shared" si="83"/>
        <v>226283.13205250743</v>
      </c>
      <c r="C181" s="312">
        <f t="shared" si="84"/>
        <v>3.8483429990819585E-4</v>
      </c>
      <c r="D181" s="296">
        <f t="shared" si="85"/>
        <v>120270.39344881687</v>
      </c>
      <c r="E181" s="312">
        <f t="shared" si="86"/>
        <v>3.8486937629801069E-4</v>
      </c>
      <c r="F181" s="296">
        <f t="shared" si="87"/>
        <v>24374.100431907133</v>
      </c>
      <c r="G181" s="312">
        <f t="shared" si="88"/>
        <v>3.8464869601544376E-4</v>
      </c>
      <c r="H181" s="398">
        <v>0</v>
      </c>
      <c r="I181" s="312">
        <f t="shared" si="89"/>
        <v>0</v>
      </c>
      <c r="J181" s="457" t="e">
        <f t="shared" si="102"/>
        <v>#DIV/0!</v>
      </c>
      <c r="K181" s="369" t="e">
        <f t="shared" si="90"/>
        <v>#DIV/0!</v>
      </c>
      <c r="L181" s="404" t="e">
        <f t="shared" si="103"/>
        <v>#DIV/0!</v>
      </c>
      <c r="M181" s="312" t="e">
        <f t="shared" si="104"/>
        <v>#DIV/0!</v>
      </c>
      <c r="N181" s="298">
        <f t="shared" si="105"/>
        <v>20303.287119579742</v>
      </c>
      <c r="O181" s="312">
        <f t="shared" si="106"/>
        <v>3.6059110494407205E-4</v>
      </c>
      <c r="P181" s="404" t="e">
        <f t="shared" si="107"/>
        <v>#DIV/0!</v>
      </c>
      <c r="Q181" s="312" t="e">
        <f t="shared" si="114"/>
        <v>#DIV/0!</v>
      </c>
      <c r="R181" s="298"/>
      <c r="S181" s="312"/>
      <c r="T181" s="454" t="e">
        <f t="shared" si="110"/>
        <v>#DIV/0!</v>
      </c>
      <c r="U181" s="312" t="e">
        <f t="shared" si="111"/>
        <v>#DIV/0!</v>
      </c>
      <c r="V181" s="454">
        <f t="shared" si="112"/>
        <v>0</v>
      </c>
      <c r="W181" s="312">
        <f t="shared" si="115"/>
        <v>-1.0000002752637027</v>
      </c>
      <c r="X181" s="454">
        <f t="shared" si="113"/>
        <v>0</v>
      </c>
      <c r="Y181" s="312">
        <f t="shared" si="91"/>
        <v>-1</v>
      </c>
      <c r="Z181" s="674">
        <f t="shared" si="92"/>
        <v>0</v>
      </c>
      <c r="AA181" s="297"/>
      <c r="AB181" s="379">
        <f t="shared" si="92"/>
        <v>0</v>
      </c>
      <c r="AC181" s="297"/>
      <c r="AD181" s="413">
        <f t="shared" si="93"/>
        <v>0</v>
      </c>
      <c r="AE181" s="297"/>
      <c r="AG181" s="400" t="e">
        <f t="shared" si="94"/>
        <v>#DIV/0!</v>
      </c>
      <c r="AH181" s="401">
        <f t="shared" si="95"/>
        <v>0</v>
      </c>
      <c r="AI181" s="407">
        <f t="shared" si="96"/>
        <v>0</v>
      </c>
      <c r="AJ181" s="498"/>
      <c r="AK181" s="502">
        <f t="shared" si="97"/>
        <v>0</v>
      </c>
      <c r="AL181" s="503" t="e">
        <f t="shared" si="98"/>
        <v>#DIV/0!</v>
      </c>
      <c r="AM181" s="504" t="e">
        <f>AG181-AK181-AO181</f>
        <v>#DIV/0!</v>
      </c>
      <c r="AN181" s="503" t="e">
        <f t="shared" si="99"/>
        <v>#DIV/0!</v>
      </c>
      <c r="AO181" s="502">
        <f t="shared" si="100"/>
        <v>0</v>
      </c>
      <c r="AP181" s="503" t="e">
        <f t="shared" si="101"/>
        <v>#DIV/0!</v>
      </c>
      <c r="AQ181" s="377"/>
      <c r="AR181" s="110">
        <v>49827</v>
      </c>
      <c r="AS181" s="98">
        <f t="shared" si="116"/>
        <v>0</v>
      </c>
      <c r="AT181" s="98">
        <f t="shared" si="117"/>
        <v>0</v>
      </c>
      <c r="AU181" s="98"/>
      <c r="AV181" s="405"/>
      <c r="AW181" s="405"/>
      <c r="AX181" s="405"/>
      <c r="AY181" s="313"/>
      <c r="AZ181" s="313"/>
      <c r="BA181" s="313"/>
      <c r="BB181" s="313"/>
    </row>
    <row r="182" spans="1:54">
      <c r="A182" s="295">
        <v>45548</v>
      </c>
      <c r="B182" s="296">
        <f t="shared" si="83"/>
        <v>226370.21356321187</v>
      </c>
      <c r="C182" s="312">
        <f t="shared" si="84"/>
        <v>3.848342999081373E-4</v>
      </c>
      <c r="D182" s="296">
        <f t="shared" si="85"/>
        <v>120316.68184013064</v>
      </c>
      <c r="E182" s="312">
        <f t="shared" si="86"/>
        <v>3.848693762980147E-4</v>
      </c>
      <c r="F182" s="296">
        <f t="shared" si="87"/>
        <v>24383.475897854816</v>
      </c>
      <c r="G182" s="312">
        <f t="shared" si="88"/>
        <v>3.8464869601548512E-4</v>
      </c>
      <c r="H182" s="398">
        <v>0</v>
      </c>
      <c r="I182" s="312">
        <f t="shared" si="89"/>
        <v>0</v>
      </c>
      <c r="J182" s="457" t="e">
        <f t="shared" si="102"/>
        <v>#DIV/0!</v>
      </c>
      <c r="K182" s="369" t="e">
        <f t="shared" si="90"/>
        <v>#DIV/0!</v>
      </c>
      <c r="L182" s="404" t="e">
        <f t="shared" si="103"/>
        <v>#DIV/0!</v>
      </c>
      <c r="M182" s="312" t="e">
        <f t="shared" si="104"/>
        <v>#DIV/0!</v>
      </c>
      <c r="N182" s="298">
        <f t="shared" si="105"/>
        <v>20310.608304316189</v>
      </c>
      <c r="O182" s="312">
        <f t="shared" si="106"/>
        <v>3.6059110494413688E-4</v>
      </c>
      <c r="P182" s="404" t="e">
        <f t="shared" si="107"/>
        <v>#DIV/0!</v>
      </c>
      <c r="Q182" s="312" t="e">
        <f t="shared" si="114"/>
        <v>#DIV/0!</v>
      </c>
      <c r="R182" s="298"/>
      <c r="S182" s="312"/>
      <c r="T182" s="454" t="e">
        <f t="shared" si="110"/>
        <v>#DIV/0!</v>
      </c>
      <c r="U182" s="312" t="e">
        <f t="shared" si="111"/>
        <v>#DIV/0!</v>
      </c>
      <c r="V182" s="454">
        <f t="shared" si="112"/>
        <v>0</v>
      </c>
      <c r="W182" s="312">
        <f t="shared" si="115"/>
        <v>-1.0000002752637027</v>
      </c>
      <c r="X182" s="454">
        <f t="shared" si="113"/>
        <v>0</v>
      </c>
      <c r="Y182" s="312">
        <f t="shared" si="91"/>
        <v>-1</v>
      </c>
      <c r="Z182" s="674">
        <f t="shared" si="92"/>
        <v>0</v>
      </c>
      <c r="AA182" s="329"/>
      <c r="AB182" s="379">
        <f t="shared" si="92"/>
        <v>0</v>
      </c>
      <c r="AC182" s="329"/>
      <c r="AD182" s="413">
        <f t="shared" si="93"/>
        <v>0</v>
      </c>
      <c r="AE182" s="329"/>
      <c r="AG182" s="400" t="e">
        <f t="shared" si="94"/>
        <v>#DIV/0!</v>
      </c>
      <c r="AH182" s="401">
        <f t="shared" si="95"/>
        <v>0</v>
      </c>
      <c r="AI182" s="407">
        <f t="shared" si="96"/>
        <v>0</v>
      </c>
      <c r="AJ182" s="498"/>
      <c r="AK182" s="502">
        <f t="shared" si="97"/>
        <v>0</v>
      </c>
      <c r="AL182" s="503" t="e">
        <f t="shared" si="98"/>
        <v>#DIV/0!</v>
      </c>
      <c r="AM182" s="504" t="e">
        <f>AG182-AK182-AO182</f>
        <v>#DIV/0!</v>
      </c>
      <c r="AN182" s="503" t="e">
        <f t="shared" si="99"/>
        <v>#DIV/0!</v>
      </c>
      <c r="AO182" s="502">
        <f t="shared" si="100"/>
        <v>0</v>
      </c>
      <c r="AP182" s="503" t="e">
        <f t="shared" si="101"/>
        <v>#DIV/0!</v>
      </c>
      <c r="AQ182" s="377"/>
      <c r="AR182" s="110">
        <v>49857</v>
      </c>
      <c r="AS182" s="98">
        <f t="shared" si="116"/>
        <v>0</v>
      </c>
      <c r="AT182" s="98">
        <f t="shared" si="117"/>
        <v>0</v>
      </c>
      <c r="AU182" s="98"/>
      <c r="AV182" s="406"/>
      <c r="AW182" s="406"/>
      <c r="AX182" s="406"/>
      <c r="AY182" s="313"/>
      <c r="AZ182" s="313"/>
      <c r="BA182" s="313"/>
      <c r="BB182" s="313"/>
    </row>
    <row r="183" spans="1:54">
      <c r="A183" s="295">
        <v>45551</v>
      </c>
      <c r="B183" s="296">
        <f t="shared" si="83"/>
        <v>226457.32858586853</v>
      </c>
      <c r="C183" s="312">
        <f t="shared" si="84"/>
        <v>3.8483429990813351E-4</v>
      </c>
      <c r="D183" s="296">
        <f t="shared" si="85"/>
        <v>120362.9880464287</v>
      </c>
      <c r="E183" s="312">
        <f t="shared" si="86"/>
        <v>3.8486937629803936E-4</v>
      </c>
      <c r="F183" s="296">
        <f t="shared" si="87"/>
        <v>24392.85497006325</v>
      </c>
      <c r="G183" s="312">
        <f t="shared" si="88"/>
        <v>3.8464869601545298E-4</v>
      </c>
      <c r="H183" s="398">
        <v>0</v>
      </c>
      <c r="I183" s="312">
        <f t="shared" si="89"/>
        <v>0</v>
      </c>
      <c r="J183" s="457" t="e">
        <f t="shared" si="102"/>
        <v>#DIV/0!</v>
      </c>
      <c r="K183" s="369" t="e">
        <f t="shared" si="90"/>
        <v>#DIV/0!</v>
      </c>
      <c r="L183" s="404" t="e">
        <f t="shared" si="103"/>
        <v>#DIV/0!</v>
      </c>
      <c r="M183" s="312" t="e">
        <f t="shared" si="104"/>
        <v>#DIV/0!</v>
      </c>
      <c r="N183" s="298">
        <f t="shared" si="105"/>
        <v>20317.932129006731</v>
      </c>
      <c r="O183" s="312">
        <f t="shared" si="106"/>
        <v>3.6059110494419396E-4</v>
      </c>
      <c r="P183" s="404" t="e">
        <f t="shared" si="107"/>
        <v>#DIV/0!</v>
      </c>
      <c r="Q183" s="312" t="e">
        <f t="shared" si="114"/>
        <v>#DIV/0!</v>
      </c>
      <c r="R183" s="298"/>
      <c r="S183" s="312"/>
      <c r="T183" s="454" t="e">
        <f t="shared" si="110"/>
        <v>#DIV/0!</v>
      </c>
      <c r="U183" s="312" t="e">
        <f t="shared" si="111"/>
        <v>#DIV/0!</v>
      </c>
      <c r="V183" s="454">
        <f t="shared" si="112"/>
        <v>0</v>
      </c>
      <c r="W183" s="312">
        <f t="shared" si="115"/>
        <v>-1.0000002752637027</v>
      </c>
      <c r="X183" s="454">
        <f t="shared" si="113"/>
        <v>0</v>
      </c>
      <c r="Y183" s="312">
        <f t="shared" si="91"/>
        <v>-1</v>
      </c>
      <c r="Z183" s="674">
        <f t="shared" si="92"/>
        <v>0</v>
      </c>
      <c r="AA183" s="297"/>
      <c r="AB183" s="379">
        <f t="shared" si="92"/>
        <v>0</v>
      </c>
      <c r="AC183" s="297"/>
      <c r="AD183" s="413">
        <f t="shared" si="93"/>
        <v>0</v>
      </c>
      <c r="AE183" s="297"/>
      <c r="AG183" s="400" t="e">
        <f t="shared" si="94"/>
        <v>#DIV/0!</v>
      </c>
      <c r="AH183" s="401">
        <f t="shared" si="95"/>
        <v>0</v>
      </c>
      <c r="AI183" s="407">
        <f t="shared" si="96"/>
        <v>0</v>
      </c>
      <c r="AJ183" s="498"/>
      <c r="AK183" s="502">
        <f t="shared" si="97"/>
        <v>0</v>
      </c>
      <c r="AL183" s="503" t="e">
        <f t="shared" si="98"/>
        <v>#DIV/0!</v>
      </c>
      <c r="AM183" s="504" t="e">
        <f>AG183-AK183-AO183</f>
        <v>#DIV/0!</v>
      </c>
      <c r="AN183" s="503" t="e">
        <f t="shared" si="99"/>
        <v>#DIV/0!</v>
      </c>
      <c r="AO183" s="502">
        <f t="shared" si="100"/>
        <v>0</v>
      </c>
      <c r="AP183" s="503" t="e">
        <f t="shared" si="101"/>
        <v>#DIV/0!</v>
      </c>
      <c r="AQ183" s="377"/>
      <c r="AR183" s="110">
        <v>49888</v>
      </c>
      <c r="AS183" s="98">
        <f t="shared" si="116"/>
        <v>0</v>
      </c>
      <c r="AT183" s="98">
        <f t="shared" si="117"/>
        <v>0</v>
      </c>
      <c r="AU183" s="98"/>
      <c r="AV183" s="405"/>
      <c r="AW183" s="405"/>
      <c r="AX183" s="405"/>
      <c r="AY183" s="313"/>
      <c r="AZ183" s="313"/>
      <c r="BA183" s="313"/>
      <c r="BB183" s="313"/>
    </row>
    <row r="184" spans="1:54">
      <c r="A184" s="295">
        <v>45552</v>
      </c>
      <c r="B184" s="296">
        <f t="shared" si="83"/>
        <v>226544.47713337393</v>
      </c>
      <c r="C184" s="312">
        <f t="shared" si="84"/>
        <v>3.8483429990812483E-4</v>
      </c>
      <c r="D184" s="296">
        <f t="shared" si="85"/>
        <v>120409.3120745675</v>
      </c>
      <c r="E184" s="312">
        <f t="shared" si="86"/>
        <v>3.8486937629805194E-4</v>
      </c>
      <c r="F184" s="296">
        <f t="shared" si="87"/>
        <v>24402.237649919578</v>
      </c>
      <c r="G184" s="312">
        <f t="shared" si="88"/>
        <v>3.8464869601540587E-4</v>
      </c>
      <c r="H184" s="398">
        <v>0</v>
      </c>
      <c r="I184" s="312">
        <f t="shared" si="89"/>
        <v>0</v>
      </c>
      <c r="J184" s="457" t="e">
        <f t="shared" si="102"/>
        <v>#DIV/0!</v>
      </c>
      <c r="K184" s="369" t="e">
        <f t="shared" si="90"/>
        <v>#DIV/0!</v>
      </c>
      <c r="L184" s="404" t="e">
        <f t="shared" si="103"/>
        <v>#DIV/0!</v>
      </c>
      <c r="M184" s="312" t="e">
        <f t="shared" si="104"/>
        <v>#DIV/0!</v>
      </c>
      <c r="N184" s="298">
        <f t="shared" si="105"/>
        <v>20325.25859460331</v>
      </c>
      <c r="O184" s="312">
        <f t="shared" si="106"/>
        <v>3.6059110494418578E-4</v>
      </c>
      <c r="P184" s="404" t="e">
        <f t="shared" si="107"/>
        <v>#DIV/0!</v>
      </c>
      <c r="Q184" s="312" t="e">
        <f t="shared" si="114"/>
        <v>#DIV/0!</v>
      </c>
      <c r="R184" s="298"/>
      <c r="S184" s="312"/>
      <c r="T184" s="454" t="e">
        <f t="shared" si="110"/>
        <v>#DIV/0!</v>
      </c>
      <c r="U184" s="312"/>
      <c r="V184" s="454">
        <f t="shared" si="112"/>
        <v>0</v>
      </c>
      <c r="W184" s="312">
        <f t="shared" si="115"/>
        <v>-1.0000002752637027</v>
      </c>
      <c r="X184" s="454">
        <f t="shared" si="113"/>
        <v>0</v>
      </c>
      <c r="Y184" s="312">
        <f t="shared" si="91"/>
        <v>-1</v>
      </c>
      <c r="Z184" s="674">
        <f t="shared" si="92"/>
        <v>0</v>
      </c>
      <c r="AA184" s="329"/>
      <c r="AB184" s="379">
        <f t="shared" si="92"/>
        <v>0</v>
      </c>
      <c r="AC184" s="329"/>
      <c r="AD184" s="413">
        <f t="shared" si="93"/>
        <v>0</v>
      </c>
      <c r="AE184" s="329"/>
      <c r="AG184" s="400" t="e">
        <f t="shared" si="94"/>
        <v>#DIV/0!</v>
      </c>
      <c r="AH184" s="401">
        <f t="shared" si="95"/>
        <v>0</v>
      </c>
      <c r="AI184" s="407">
        <f t="shared" si="96"/>
        <v>0</v>
      </c>
      <c r="AJ184" s="498"/>
      <c r="AK184" s="502">
        <f t="shared" si="97"/>
        <v>0</v>
      </c>
      <c r="AL184" s="503" t="e">
        <f t="shared" si="98"/>
        <v>#DIV/0!</v>
      </c>
      <c r="AM184" s="504" t="e">
        <f>AG184-AK184-AO184</f>
        <v>#DIV/0!</v>
      </c>
      <c r="AN184" s="503" t="e">
        <f t="shared" si="99"/>
        <v>#DIV/0!</v>
      </c>
      <c r="AO184" s="502">
        <f t="shared" si="100"/>
        <v>0</v>
      </c>
      <c r="AP184" s="503" t="e">
        <f t="shared" si="101"/>
        <v>#DIV/0!</v>
      </c>
      <c r="AQ184" s="314"/>
      <c r="AR184" s="110">
        <v>49919</v>
      </c>
      <c r="AS184" s="98">
        <f t="shared" si="116"/>
        <v>0</v>
      </c>
      <c r="AT184" s="98">
        <f t="shared" si="117"/>
        <v>0</v>
      </c>
      <c r="AU184" s="98"/>
      <c r="AV184" s="308"/>
      <c r="AW184" s="308"/>
      <c r="AX184" s="308"/>
      <c r="AY184" s="313"/>
      <c r="AZ184" s="313"/>
      <c r="BA184" s="313"/>
      <c r="BB184" s="313"/>
    </row>
    <row r="185" spans="1:54">
      <c r="A185" s="295">
        <v>45553</v>
      </c>
      <c r="B185" s="296">
        <f t="shared" si="83"/>
        <v>226631.65921862962</v>
      </c>
      <c r="C185" s="312">
        <f t="shared" si="84"/>
        <v>3.8483429990817183E-4</v>
      </c>
      <c r="D185" s="296">
        <f t="shared" si="85"/>
        <v>120455.65393140611</v>
      </c>
      <c r="E185" s="312">
        <f t="shared" si="86"/>
        <v>3.848693762980115E-4</v>
      </c>
      <c r="F185" s="296">
        <f t="shared" si="87"/>
        <v>24411.623938811477</v>
      </c>
      <c r="G185" s="312">
        <f t="shared" si="88"/>
        <v>3.8464869601539378E-4</v>
      </c>
      <c r="H185" s="398">
        <v>0</v>
      </c>
      <c r="I185" s="312">
        <f t="shared" si="89"/>
        <v>0</v>
      </c>
      <c r="J185" s="457" t="e">
        <f t="shared" si="102"/>
        <v>#DIV/0!</v>
      </c>
      <c r="K185" s="369" t="e">
        <f t="shared" si="90"/>
        <v>#DIV/0!</v>
      </c>
      <c r="L185" s="404" t="e">
        <f t="shared" si="103"/>
        <v>#DIV/0!</v>
      </c>
      <c r="M185" s="312" t="e">
        <f t="shared" si="104"/>
        <v>#DIV/0!</v>
      </c>
      <c r="N185" s="298">
        <f t="shared" si="105"/>
        <v>20332.587702058216</v>
      </c>
      <c r="O185" s="312">
        <f t="shared" si="106"/>
        <v>3.6059110494422779E-4</v>
      </c>
      <c r="P185" s="404" t="e">
        <f t="shared" si="107"/>
        <v>#DIV/0!</v>
      </c>
      <c r="Q185" s="312" t="e">
        <f t="shared" si="114"/>
        <v>#DIV/0!</v>
      </c>
      <c r="R185" s="298"/>
      <c r="S185" s="312"/>
      <c r="T185" s="298"/>
      <c r="U185" s="312"/>
      <c r="V185" s="454">
        <f t="shared" si="112"/>
        <v>0</v>
      </c>
      <c r="W185" s="312">
        <f t="shared" si="115"/>
        <v>-1.0000002752637027</v>
      </c>
      <c r="X185" s="454">
        <f t="shared" si="113"/>
        <v>0</v>
      </c>
      <c r="Y185" s="312">
        <f t="shared" si="91"/>
        <v>-1</v>
      </c>
      <c r="Z185" s="674">
        <f t="shared" si="92"/>
        <v>0</v>
      </c>
      <c r="AA185" s="297"/>
      <c r="AB185" s="379">
        <f t="shared" si="92"/>
        <v>0</v>
      </c>
      <c r="AC185" s="297"/>
      <c r="AD185" s="413">
        <f t="shared" si="93"/>
        <v>0</v>
      </c>
      <c r="AE185" s="297"/>
      <c r="AG185" s="400" t="e">
        <f t="shared" si="94"/>
        <v>#DIV/0!</v>
      </c>
      <c r="AH185" s="401">
        <f t="shared" si="95"/>
        <v>0</v>
      </c>
      <c r="AI185" s="407">
        <f t="shared" si="96"/>
        <v>0</v>
      </c>
      <c r="AJ185" s="498"/>
      <c r="AK185" s="502">
        <f t="shared" si="97"/>
        <v>0</v>
      </c>
      <c r="AL185" s="503" t="e">
        <f t="shared" si="98"/>
        <v>#DIV/0!</v>
      </c>
      <c r="AM185" s="504" t="e">
        <f>AG185-AK185-AO185</f>
        <v>#DIV/0!</v>
      </c>
      <c r="AN185" s="503" t="e">
        <f t="shared" si="99"/>
        <v>#DIV/0!</v>
      </c>
      <c r="AO185" s="502">
        <f t="shared" si="100"/>
        <v>0</v>
      </c>
      <c r="AP185" s="503" t="e">
        <f t="shared" si="101"/>
        <v>#DIV/0!</v>
      </c>
      <c r="AQ185" s="377"/>
      <c r="AR185" s="110">
        <v>49949</v>
      </c>
      <c r="AS185" s="98">
        <f t="shared" si="116"/>
        <v>0</v>
      </c>
      <c r="AT185" s="98">
        <f t="shared" si="117"/>
        <v>0</v>
      </c>
      <c r="AU185" s="98"/>
      <c r="AV185" s="406"/>
      <c r="AW185" s="406"/>
      <c r="AX185" s="406"/>
      <c r="AY185" s="313"/>
      <c r="AZ185" s="313"/>
      <c r="BA185" s="313"/>
      <c r="BB185" s="313"/>
    </row>
    <row r="186" spans="1:54">
      <c r="A186" s="295">
        <v>45554</v>
      </c>
      <c r="B186" s="296">
        <f t="shared" si="83"/>
        <v>226718.87485454205</v>
      </c>
      <c r="C186" s="312">
        <f t="shared" si="84"/>
        <v>3.8483429990819812E-4</v>
      </c>
      <c r="D186" s="296">
        <f t="shared" si="85"/>
        <v>120502.01362380626</v>
      </c>
      <c r="E186" s="312">
        <f t="shared" si="86"/>
        <v>3.8486937629798954E-4</v>
      </c>
      <c r="F186" s="296">
        <f t="shared" si="87"/>
        <v>24421.013838127161</v>
      </c>
      <c r="G186" s="312">
        <f t="shared" si="88"/>
        <v>3.8464869601545823E-4</v>
      </c>
      <c r="H186" s="398">
        <v>0</v>
      </c>
      <c r="I186" s="312">
        <f t="shared" si="89"/>
        <v>0</v>
      </c>
      <c r="J186" s="457" t="e">
        <f t="shared" si="102"/>
        <v>#DIV/0!</v>
      </c>
      <c r="K186" s="369" t="e">
        <f t="shared" si="90"/>
        <v>#DIV/0!</v>
      </c>
      <c r="L186" s="404" t="e">
        <f t="shared" si="103"/>
        <v>#DIV/0!</v>
      </c>
      <c r="M186" s="312" t="e">
        <f t="shared" si="104"/>
        <v>#DIV/0!</v>
      </c>
      <c r="N186" s="298">
        <f t="shared" si="105"/>
        <v>20339.919452324077</v>
      </c>
      <c r="O186" s="312">
        <f t="shared" si="106"/>
        <v>3.6059110494425029E-4</v>
      </c>
      <c r="P186" s="404" t="e">
        <f t="shared" si="107"/>
        <v>#DIV/0!</v>
      </c>
      <c r="Q186" s="312" t="e">
        <f t="shared" si="114"/>
        <v>#DIV/0!</v>
      </c>
      <c r="R186" s="298"/>
      <c r="S186" s="312"/>
      <c r="T186" s="298"/>
      <c r="U186" s="312"/>
      <c r="V186" s="454">
        <f t="shared" si="112"/>
        <v>0</v>
      </c>
      <c r="W186" s="312">
        <f t="shared" si="115"/>
        <v>-1.0000002752637027</v>
      </c>
      <c r="X186" s="454">
        <f t="shared" si="113"/>
        <v>0</v>
      </c>
      <c r="Y186" s="312">
        <f t="shared" si="91"/>
        <v>-1</v>
      </c>
      <c r="Z186" s="674">
        <f t="shared" si="92"/>
        <v>0</v>
      </c>
      <c r="AA186" s="329"/>
      <c r="AB186" s="379">
        <f t="shared" si="92"/>
        <v>0</v>
      </c>
      <c r="AC186" s="329"/>
      <c r="AD186" s="413">
        <f t="shared" si="93"/>
        <v>0</v>
      </c>
      <c r="AE186" s="329"/>
      <c r="AG186" s="400" t="e">
        <f t="shared" si="94"/>
        <v>#DIV/0!</v>
      </c>
      <c r="AH186" s="401">
        <f t="shared" si="95"/>
        <v>0</v>
      </c>
      <c r="AI186" s="407">
        <f t="shared" si="96"/>
        <v>0</v>
      </c>
      <c r="AJ186" s="498"/>
      <c r="AK186" s="502">
        <f t="shared" si="97"/>
        <v>0</v>
      </c>
      <c r="AL186" s="503" t="e">
        <f t="shared" si="98"/>
        <v>#DIV/0!</v>
      </c>
      <c r="AM186" s="504" t="e">
        <f>AG186-AK186-AO186</f>
        <v>#DIV/0!</v>
      </c>
      <c r="AN186" s="503" t="e">
        <f t="shared" si="99"/>
        <v>#DIV/0!</v>
      </c>
      <c r="AO186" s="502">
        <f t="shared" si="100"/>
        <v>0</v>
      </c>
      <c r="AP186" s="503" t="e">
        <f t="shared" si="101"/>
        <v>#DIV/0!</v>
      </c>
      <c r="AQ186" s="377"/>
      <c r="AR186" s="110">
        <v>49980</v>
      </c>
      <c r="AS186" s="98">
        <f t="shared" si="116"/>
        <v>0</v>
      </c>
      <c r="AT186" s="98">
        <f t="shared" si="117"/>
        <v>0</v>
      </c>
      <c r="AU186" s="98"/>
      <c r="AV186" s="405"/>
      <c r="AW186" s="405"/>
      <c r="AX186" s="405"/>
      <c r="AY186" s="313"/>
      <c r="AZ186" s="313"/>
      <c r="BA186" s="313"/>
      <c r="BB186" s="313"/>
    </row>
    <row r="187" spans="1:54">
      <c r="A187" s="295">
        <v>45555</v>
      </c>
      <c r="B187" s="296">
        <f t="shared" si="83"/>
        <v>226806.12405402269</v>
      </c>
      <c r="C187" s="312">
        <f t="shared" si="84"/>
        <v>3.848342999082474E-4</v>
      </c>
      <c r="D187" s="296">
        <f t="shared" si="85"/>
        <v>120548.39115863231</v>
      </c>
      <c r="E187" s="312">
        <f t="shared" si="86"/>
        <v>3.848693762980489E-4</v>
      </c>
      <c r="F187" s="296">
        <f t="shared" si="87"/>
        <v>24430.407349255373</v>
      </c>
      <c r="G187" s="312">
        <f t="shared" si="88"/>
        <v>3.8464869601548328E-4</v>
      </c>
      <c r="H187" s="398">
        <v>0</v>
      </c>
      <c r="I187" s="312">
        <f t="shared" si="89"/>
        <v>0</v>
      </c>
      <c r="J187" s="457" t="e">
        <f t="shared" si="102"/>
        <v>#DIV/0!</v>
      </c>
      <c r="K187" s="369" t="e">
        <f t="shared" si="90"/>
        <v>#DIV/0!</v>
      </c>
      <c r="L187" s="404" t="e">
        <f t="shared" si="103"/>
        <v>#DIV/0!</v>
      </c>
      <c r="M187" s="312" t="e">
        <f t="shared" si="104"/>
        <v>#DIV/0!</v>
      </c>
      <c r="N187" s="298">
        <f t="shared" si="105"/>
        <v>20347.253846353866</v>
      </c>
      <c r="O187" s="312">
        <f t="shared" si="106"/>
        <v>3.6059110494417754E-4</v>
      </c>
      <c r="P187" s="404" t="e">
        <f t="shared" si="107"/>
        <v>#DIV/0!</v>
      </c>
      <c r="Q187" s="312" t="e">
        <f t="shared" si="114"/>
        <v>#DIV/0!</v>
      </c>
      <c r="R187" s="298"/>
      <c r="S187" s="312"/>
      <c r="T187" s="298"/>
      <c r="U187" s="312"/>
      <c r="V187" s="454">
        <f t="shared" si="112"/>
        <v>0</v>
      </c>
      <c r="W187" s="312">
        <f t="shared" si="115"/>
        <v>-1.0000002752637027</v>
      </c>
      <c r="X187" s="454">
        <f t="shared" si="113"/>
        <v>0</v>
      </c>
      <c r="Y187" s="312">
        <f t="shared" si="91"/>
        <v>-1</v>
      </c>
      <c r="Z187" s="674">
        <f t="shared" si="92"/>
        <v>0</v>
      </c>
      <c r="AA187" s="297"/>
      <c r="AB187" s="379">
        <f t="shared" si="92"/>
        <v>0</v>
      </c>
      <c r="AC187" s="297"/>
      <c r="AD187" s="413">
        <f t="shared" si="93"/>
        <v>0</v>
      </c>
      <c r="AE187" s="297"/>
      <c r="AG187" s="400" t="e">
        <f t="shared" si="94"/>
        <v>#DIV/0!</v>
      </c>
      <c r="AH187" s="401">
        <f t="shared" si="95"/>
        <v>0</v>
      </c>
      <c r="AI187" s="407">
        <f t="shared" si="96"/>
        <v>0</v>
      </c>
      <c r="AJ187" s="498"/>
      <c r="AK187" s="502">
        <f t="shared" si="97"/>
        <v>0</v>
      </c>
      <c r="AL187" s="503" t="e">
        <f t="shared" si="98"/>
        <v>#DIV/0!</v>
      </c>
      <c r="AM187" s="504" t="e">
        <f>AG187-AK187-AO187</f>
        <v>#DIV/0!</v>
      </c>
      <c r="AN187" s="503" t="e">
        <f t="shared" si="99"/>
        <v>#DIV/0!</v>
      </c>
      <c r="AO187" s="502">
        <f t="shared" si="100"/>
        <v>0</v>
      </c>
      <c r="AP187" s="503" t="e">
        <f t="shared" si="101"/>
        <v>#DIV/0!</v>
      </c>
      <c r="AQ187" s="377"/>
      <c r="AR187" s="110">
        <v>50010</v>
      </c>
      <c r="AS187" s="98">
        <f t="shared" si="116"/>
        <v>0</v>
      </c>
      <c r="AT187" s="98">
        <f t="shared" si="117"/>
        <v>0</v>
      </c>
      <c r="AU187" s="98"/>
      <c r="AV187" s="406"/>
      <c r="AW187" s="406"/>
      <c r="AX187" s="406"/>
      <c r="AY187" s="313"/>
      <c r="AZ187" s="313"/>
      <c r="BA187" s="313"/>
      <c r="BB187" s="313"/>
    </row>
    <row r="188" spans="1:54">
      <c r="A188" s="295">
        <v>45558</v>
      </c>
      <c r="B188" s="296">
        <f t="shared" si="83"/>
        <v>226893.40682998791</v>
      </c>
      <c r="C188" s="312">
        <f t="shared" si="84"/>
        <v>3.8483429990822658E-4</v>
      </c>
      <c r="D188" s="296">
        <f t="shared" si="85"/>
        <v>120594.78654275126</v>
      </c>
      <c r="E188" s="312">
        <f t="shared" si="86"/>
        <v>3.8486937629800255E-4</v>
      </c>
      <c r="F188" s="296">
        <f t="shared" si="87"/>
        <v>24439.804473585391</v>
      </c>
      <c r="G188" s="312">
        <f t="shared" si="88"/>
        <v>3.8464869601549374E-4</v>
      </c>
      <c r="H188" s="398">
        <v>0</v>
      </c>
      <c r="I188" s="312">
        <f t="shared" si="89"/>
        <v>0</v>
      </c>
      <c r="J188" s="457" t="e">
        <f t="shared" si="102"/>
        <v>#DIV/0!</v>
      </c>
      <c r="K188" s="369" t="e">
        <f t="shared" si="90"/>
        <v>#DIV/0!</v>
      </c>
      <c r="L188" s="404" t="e">
        <f t="shared" si="103"/>
        <v>#DIV/0!</v>
      </c>
      <c r="M188" s="312" t="e">
        <f t="shared" si="104"/>
        <v>#DIV/0!</v>
      </c>
      <c r="N188" s="298">
        <f t="shared" si="105"/>
        <v>20354.590885100901</v>
      </c>
      <c r="O188" s="312">
        <f t="shared" si="106"/>
        <v>3.6059110494410679E-4</v>
      </c>
      <c r="P188" s="404" t="e">
        <f t="shared" si="107"/>
        <v>#DIV/0!</v>
      </c>
      <c r="Q188" s="312" t="e">
        <f t="shared" si="114"/>
        <v>#DIV/0!</v>
      </c>
      <c r="R188" s="298"/>
      <c r="S188" s="312"/>
      <c r="T188" s="298"/>
      <c r="U188" s="312"/>
      <c r="V188" s="454">
        <f t="shared" si="112"/>
        <v>0</v>
      </c>
      <c r="W188" s="312">
        <f t="shared" si="115"/>
        <v>-1.0000002752637027</v>
      </c>
      <c r="X188" s="454">
        <f t="shared" si="113"/>
        <v>0</v>
      </c>
      <c r="Y188" s="312">
        <f t="shared" si="91"/>
        <v>-1</v>
      </c>
      <c r="Z188" s="674">
        <f t="shared" si="92"/>
        <v>0</v>
      </c>
      <c r="AA188" s="329"/>
      <c r="AB188" s="379">
        <f t="shared" si="92"/>
        <v>0</v>
      </c>
      <c r="AC188" s="329"/>
      <c r="AD188" s="413">
        <f t="shared" si="93"/>
        <v>0</v>
      </c>
      <c r="AE188" s="329"/>
      <c r="AG188" s="400" t="e">
        <f t="shared" si="94"/>
        <v>#DIV/0!</v>
      </c>
      <c r="AH188" s="401">
        <f t="shared" si="95"/>
        <v>0</v>
      </c>
      <c r="AI188" s="407">
        <f t="shared" si="96"/>
        <v>0</v>
      </c>
      <c r="AJ188" s="498"/>
      <c r="AK188" s="502">
        <f t="shared" si="97"/>
        <v>0</v>
      </c>
      <c r="AL188" s="503" t="e">
        <f t="shared" si="98"/>
        <v>#DIV/0!</v>
      </c>
      <c r="AM188" s="504" t="e">
        <f>AG188-AK188-AO188</f>
        <v>#DIV/0!</v>
      </c>
      <c r="AN188" s="503" t="e">
        <f t="shared" si="99"/>
        <v>#DIV/0!</v>
      </c>
      <c r="AO188" s="502">
        <f t="shared" si="100"/>
        <v>0</v>
      </c>
      <c r="AP188" s="503" t="e">
        <f t="shared" si="101"/>
        <v>#DIV/0!</v>
      </c>
      <c r="AQ188" s="377"/>
      <c r="AR188" s="110">
        <v>50041</v>
      </c>
      <c r="AS188" s="98">
        <f t="shared" si="116"/>
        <v>0</v>
      </c>
      <c r="AT188" s="98">
        <f t="shared" si="117"/>
        <v>0</v>
      </c>
      <c r="AU188" s="98"/>
      <c r="AV188" s="405"/>
      <c r="AW188" s="405"/>
      <c r="AX188" s="405"/>
      <c r="AY188" s="313"/>
      <c r="AZ188" s="313"/>
      <c r="BA188" s="313"/>
      <c r="BB188" s="313"/>
    </row>
    <row r="189" spans="1:54">
      <c r="A189" s="295">
        <v>45559</v>
      </c>
      <c r="B189" s="296">
        <f t="shared" si="83"/>
        <v>226980.72319535911</v>
      </c>
      <c r="C189" s="312">
        <f t="shared" si="84"/>
        <v>3.8483429990816251E-4</v>
      </c>
      <c r="D189" s="296">
        <f t="shared" si="85"/>
        <v>120641.19978303276</v>
      </c>
      <c r="E189" s="312">
        <f t="shared" si="86"/>
        <v>3.8486937629801725E-4</v>
      </c>
      <c r="F189" s="296">
        <f t="shared" si="87"/>
        <v>24449.20521250703</v>
      </c>
      <c r="G189" s="312">
        <f t="shared" si="88"/>
        <v>3.8464869601550594E-4</v>
      </c>
      <c r="H189" s="398">
        <v>0</v>
      </c>
      <c r="I189" s="312">
        <f t="shared" si="89"/>
        <v>0</v>
      </c>
      <c r="J189" s="457" t="e">
        <f t="shared" si="102"/>
        <v>#DIV/0!</v>
      </c>
      <c r="K189" s="369" t="e">
        <f t="shared" si="90"/>
        <v>#DIV/0!</v>
      </c>
      <c r="L189" s="404" t="e">
        <f t="shared" si="103"/>
        <v>#DIV/0!</v>
      </c>
      <c r="M189" s="312" t="e">
        <f t="shared" si="104"/>
        <v>#DIV/0!</v>
      </c>
      <c r="N189" s="298">
        <f t="shared" si="105"/>
        <v>20361.930569518845</v>
      </c>
      <c r="O189" s="312">
        <f t="shared" si="106"/>
        <v>3.605911049441288E-4</v>
      </c>
      <c r="P189" s="404" t="e">
        <f t="shared" si="107"/>
        <v>#DIV/0!</v>
      </c>
      <c r="Q189" s="312" t="e">
        <f t="shared" si="114"/>
        <v>#DIV/0!</v>
      </c>
      <c r="R189" s="298"/>
      <c r="S189" s="312"/>
      <c r="T189" s="298"/>
      <c r="U189" s="312"/>
      <c r="V189" s="454">
        <f t="shared" si="112"/>
        <v>0</v>
      </c>
      <c r="W189" s="312">
        <f t="shared" si="115"/>
        <v>-1.0000002752637027</v>
      </c>
      <c r="X189" s="454">
        <f t="shared" si="113"/>
        <v>0</v>
      </c>
      <c r="Y189" s="312">
        <f t="shared" si="91"/>
        <v>-1</v>
      </c>
      <c r="Z189" s="674">
        <f t="shared" si="92"/>
        <v>0</v>
      </c>
      <c r="AA189" s="297"/>
      <c r="AB189" s="379">
        <f t="shared" si="92"/>
        <v>0</v>
      </c>
      <c r="AC189" s="297"/>
      <c r="AD189" s="413">
        <f t="shared" si="93"/>
        <v>0</v>
      </c>
      <c r="AE189" s="297"/>
      <c r="AG189" s="400" t="e">
        <f t="shared" si="94"/>
        <v>#DIV/0!</v>
      </c>
      <c r="AH189" s="401">
        <f t="shared" si="95"/>
        <v>0</v>
      </c>
      <c r="AI189" s="407">
        <f t="shared" si="96"/>
        <v>0</v>
      </c>
      <c r="AJ189" s="498"/>
      <c r="AK189" s="502">
        <f t="shared" si="97"/>
        <v>0</v>
      </c>
      <c r="AL189" s="503" t="e">
        <f t="shared" si="98"/>
        <v>#DIV/0!</v>
      </c>
      <c r="AM189" s="504" t="e">
        <f>AG189-AK189-AO189</f>
        <v>#DIV/0!</v>
      </c>
      <c r="AN189" s="503" t="e">
        <f t="shared" si="99"/>
        <v>#DIV/0!</v>
      </c>
      <c r="AO189" s="502">
        <f t="shared" si="100"/>
        <v>0</v>
      </c>
      <c r="AP189" s="503" t="e">
        <f t="shared" si="101"/>
        <v>#DIV/0!</v>
      </c>
      <c r="AQ189" s="377"/>
      <c r="AR189" s="110">
        <v>50072</v>
      </c>
      <c r="AS189" s="98">
        <f t="shared" si="116"/>
        <v>0</v>
      </c>
      <c r="AT189" s="98">
        <f t="shared" si="117"/>
        <v>0</v>
      </c>
      <c r="AU189" s="98"/>
      <c r="AV189" s="406"/>
      <c r="AW189" s="406"/>
      <c r="AX189" s="406"/>
      <c r="AY189" s="313"/>
      <c r="AZ189" s="313"/>
      <c r="BA189" s="313"/>
      <c r="BB189" s="313"/>
    </row>
    <row r="190" spans="1:54">
      <c r="A190" s="295">
        <v>45560</v>
      </c>
      <c r="B190" s="296">
        <f t="shared" si="83"/>
        <v>227068.07316306265</v>
      </c>
      <c r="C190" s="312">
        <f t="shared" si="84"/>
        <v>3.8483429990820181E-4</v>
      </c>
      <c r="D190" s="296">
        <f t="shared" si="85"/>
        <v>120687.6308863491</v>
      </c>
      <c r="E190" s="312">
        <f t="shared" si="86"/>
        <v>3.8486937629800993E-4</v>
      </c>
      <c r="F190" s="296">
        <f t="shared" si="87"/>
        <v>24458.609567410636</v>
      </c>
      <c r="G190" s="312">
        <f t="shared" si="88"/>
        <v>3.8464869601552773E-4</v>
      </c>
      <c r="H190" s="398">
        <v>0</v>
      </c>
      <c r="I190" s="312">
        <f t="shared" si="89"/>
        <v>0</v>
      </c>
      <c r="J190" s="457" t="e">
        <f t="shared" si="102"/>
        <v>#DIV/0!</v>
      </c>
      <c r="K190" s="369" t="e">
        <f t="shared" si="90"/>
        <v>#DIV/0!</v>
      </c>
      <c r="L190" s="404" t="e">
        <f t="shared" si="103"/>
        <v>#DIV/0!</v>
      </c>
      <c r="M190" s="312" t="e">
        <f t="shared" si="104"/>
        <v>#DIV/0!</v>
      </c>
      <c r="N190" s="298">
        <f t="shared" si="105"/>
        <v>20369.272900561704</v>
      </c>
      <c r="O190" s="312">
        <f t="shared" si="106"/>
        <v>3.6059110494414967E-4</v>
      </c>
      <c r="P190" s="404" t="e">
        <f t="shared" si="107"/>
        <v>#DIV/0!</v>
      </c>
      <c r="Q190" s="312" t="e">
        <f t="shared" si="114"/>
        <v>#DIV/0!</v>
      </c>
      <c r="R190" s="298"/>
      <c r="S190" s="312"/>
      <c r="T190" s="298"/>
      <c r="U190" s="312"/>
      <c r="V190" s="454">
        <f t="shared" si="112"/>
        <v>0</v>
      </c>
      <c r="W190" s="312">
        <f t="shared" si="115"/>
        <v>-1.0000002752637027</v>
      </c>
      <c r="X190" s="454">
        <f t="shared" si="113"/>
        <v>0</v>
      </c>
      <c r="Y190" s="312">
        <f t="shared" si="91"/>
        <v>-1</v>
      </c>
      <c r="Z190" s="674">
        <f t="shared" si="92"/>
        <v>0</v>
      </c>
      <c r="AA190" s="329"/>
      <c r="AB190" s="379">
        <f t="shared" si="92"/>
        <v>0</v>
      </c>
      <c r="AC190" s="329"/>
      <c r="AD190" s="413">
        <f t="shared" si="93"/>
        <v>0</v>
      </c>
      <c r="AE190" s="329"/>
      <c r="AG190" s="400" t="e">
        <f t="shared" si="94"/>
        <v>#DIV/0!</v>
      </c>
      <c r="AH190" s="401">
        <f t="shared" si="95"/>
        <v>0</v>
      </c>
      <c r="AI190" s="407">
        <f t="shared" si="96"/>
        <v>0</v>
      </c>
      <c r="AJ190" s="498"/>
      <c r="AK190" s="502">
        <f t="shared" si="97"/>
        <v>0</v>
      </c>
      <c r="AL190" s="503" t="e">
        <f t="shared" si="98"/>
        <v>#DIV/0!</v>
      </c>
      <c r="AM190" s="504" t="e">
        <f>AG190-AK190-AO190</f>
        <v>#DIV/0!</v>
      </c>
      <c r="AN190" s="503" t="e">
        <f t="shared" si="99"/>
        <v>#DIV/0!</v>
      </c>
      <c r="AO190" s="502">
        <f t="shared" si="100"/>
        <v>0</v>
      </c>
      <c r="AP190" s="503" t="e">
        <f t="shared" si="101"/>
        <v>#DIV/0!</v>
      </c>
      <c r="AQ190" s="377"/>
      <c r="AR190" s="110">
        <v>50100</v>
      </c>
      <c r="AS190" s="98">
        <f t="shared" si="116"/>
        <v>0</v>
      </c>
      <c r="AT190" s="98">
        <f t="shared" si="117"/>
        <v>0</v>
      </c>
      <c r="AU190" s="98"/>
      <c r="AV190" s="405"/>
      <c r="AW190" s="405"/>
      <c r="AX190" s="405"/>
      <c r="AY190" s="313"/>
      <c r="AZ190" s="313"/>
      <c r="BA190" s="313"/>
      <c r="BB190" s="313"/>
    </row>
    <row r="191" spans="1:54">
      <c r="A191" s="295">
        <v>45561</v>
      </c>
      <c r="B191" s="296">
        <f t="shared" si="83"/>
        <v>227155.45674602987</v>
      </c>
      <c r="C191" s="312">
        <f t="shared" si="84"/>
        <v>3.848342999082261E-4</v>
      </c>
      <c r="D191" s="296">
        <f t="shared" si="85"/>
        <v>120734.07985957521</v>
      </c>
      <c r="E191" s="312">
        <f t="shared" si="86"/>
        <v>3.8486937629800976E-4</v>
      </c>
      <c r="F191" s="296">
        <f t="shared" si="87"/>
        <v>24468.017539687095</v>
      </c>
      <c r="G191" s="312">
        <f t="shared" si="88"/>
        <v>3.8464869601555863E-4</v>
      </c>
      <c r="H191" s="398">
        <v>0</v>
      </c>
      <c r="I191" s="312">
        <f t="shared" si="89"/>
        <v>0</v>
      </c>
      <c r="J191" s="457" t="e">
        <f t="shared" si="102"/>
        <v>#DIV/0!</v>
      </c>
      <c r="K191" s="369" t="e">
        <f t="shared" si="90"/>
        <v>#DIV/0!</v>
      </c>
      <c r="L191" s="404" t="e">
        <f t="shared" si="103"/>
        <v>#DIV/0!</v>
      </c>
      <c r="M191" s="312" t="e">
        <f t="shared" si="104"/>
        <v>#DIV/0!</v>
      </c>
      <c r="N191" s="298">
        <f t="shared" si="105"/>
        <v>20376.617879183825</v>
      </c>
      <c r="O191" s="312">
        <f t="shared" si="106"/>
        <v>3.6059110494406939E-4</v>
      </c>
      <c r="P191" s="404" t="e">
        <f t="shared" si="107"/>
        <v>#DIV/0!</v>
      </c>
      <c r="Q191" s="312" t="e">
        <f t="shared" si="114"/>
        <v>#DIV/0!</v>
      </c>
      <c r="R191" s="298"/>
      <c r="S191" s="312"/>
      <c r="T191" s="298"/>
      <c r="U191" s="312"/>
      <c r="V191" s="454">
        <f t="shared" si="112"/>
        <v>0</v>
      </c>
      <c r="W191" s="312">
        <f t="shared" si="115"/>
        <v>-1.0000002752637027</v>
      </c>
      <c r="X191" s="454">
        <f t="shared" si="113"/>
        <v>0</v>
      </c>
      <c r="Y191" s="312">
        <f t="shared" si="91"/>
        <v>-1</v>
      </c>
      <c r="Z191" s="674">
        <f t="shared" si="92"/>
        <v>0</v>
      </c>
      <c r="AA191" s="297"/>
      <c r="AB191" s="379">
        <f t="shared" si="92"/>
        <v>0</v>
      </c>
      <c r="AC191" s="297"/>
      <c r="AD191" s="413">
        <f t="shared" si="93"/>
        <v>0</v>
      </c>
      <c r="AE191" s="297"/>
      <c r="AG191" s="400" t="e">
        <f t="shared" si="94"/>
        <v>#DIV/0!</v>
      </c>
      <c r="AH191" s="401">
        <f t="shared" si="95"/>
        <v>0</v>
      </c>
      <c r="AI191" s="407">
        <f t="shared" si="96"/>
        <v>0</v>
      </c>
      <c r="AJ191" s="498"/>
      <c r="AK191" s="502">
        <f t="shared" si="97"/>
        <v>0</v>
      </c>
      <c r="AL191" s="503" t="e">
        <f t="shared" si="98"/>
        <v>#DIV/0!</v>
      </c>
      <c r="AM191" s="504" t="e">
        <f>AG191-AK191-AO191</f>
        <v>#DIV/0!</v>
      </c>
      <c r="AN191" s="503" t="e">
        <f t="shared" si="99"/>
        <v>#DIV/0!</v>
      </c>
      <c r="AO191" s="502">
        <f t="shared" si="100"/>
        <v>0</v>
      </c>
      <c r="AP191" s="503" t="e">
        <f t="shared" si="101"/>
        <v>#DIV/0!</v>
      </c>
      <c r="AQ191" s="377"/>
      <c r="AR191" s="110">
        <v>50131</v>
      </c>
      <c r="AS191" s="98">
        <f t="shared" si="116"/>
        <v>0</v>
      </c>
      <c r="AT191" s="98">
        <f t="shared" si="117"/>
        <v>0</v>
      </c>
      <c r="AU191" s="98"/>
      <c r="AV191" s="406"/>
      <c r="AW191" s="406"/>
      <c r="AX191" s="406"/>
      <c r="AY191" s="313"/>
      <c r="AZ191" s="313"/>
      <c r="BA191" s="313"/>
      <c r="BB191" s="313"/>
    </row>
    <row r="192" spans="1:54">
      <c r="A192" s="295">
        <v>45562</v>
      </c>
      <c r="B192" s="296">
        <f t="shared" si="83"/>
        <v>227242.87395719707</v>
      </c>
      <c r="C192" s="312">
        <f t="shared" si="84"/>
        <v>3.8483429990823683E-4</v>
      </c>
      <c r="D192" s="296">
        <f t="shared" si="85"/>
        <v>120780.54670958869</v>
      </c>
      <c r="E192" s="312">
        <f t="shared" si="86"/>
        <v>3.848693762980373E-4</v>
      </c>
      <c r="F192" s="296">
        <f t="shared" si="87"/>
        <v>24477.429130727822</v>
      </c>
      <c r="G192" s="312">
        <f t="shared" si="88"/>
        <v>3.8464869601558964E-4</v>
      </c>
      <c r="H192" s="398">
        <v>0</v>
      </c>
      <c r="I192" s="312">
        <f t="shared" si="89"/>
        <v>0</v>
      </c>
      <c r="J192" s="457" t="e">
        <f t="shared" si="102"/>
        <v>#DIV/0!</v>
      </c>
      <c r="K192" s="369" t="e">
        <f t="shared" si="90"/>
        <v>#DIV/0!</v>
      </c>
      <c r="L192" s="404" t="e">
        <f t="shared" si="103"/>
        <v>#DIV/0!</v>
      </c>
      <c r="M192" s="312" t="e">
        <f t="shared" si="104"/>
        <v>#DIV/0!</v>
      </c>
      <c r="N192" s="298">
        <f t="shared" si="105"/>
        <v>20383.965506339904</v>
      </c>
      <c r="O192" s="312">
        <f t="shared" si="106"/>
        <v>3.6059110494413921E-4</v>
      </c>
      <c r="P192" s="404" t="e">
        <f t="shared" si="107"/>
        <v>#DIV/0!</v>
      </c>
      <c r="Q192" s="312" t="e">
        <f t="shared" si="114"/>
        <v>#DIV/0!</v>
      </c>
      <c r="R192" s="298"/>
      <c r="S192" s="312"/>
      <c r="T192" s="298"/>
      <c r="U192" s="312"/>
      <c r="V192" s="454">
        <f t="shared" si="112"/>
        <v>0</v>
      </c>
      <c r="W192" s="312">
        <f t="shared" si="115"/>
        <v>-1.0000002752637027</v>
      </c>
      <c r="X192" s="454">
        <f t="shared" si="113"/>
        <v>0</v>
      </c>
      <c r="Y192" s="312">
        <f t="shared" si="91"/>
        <v>-1</v>
      </c>
      <c r="Z192" s="674">
        <f t="shared" si="92"/>
        <v>0</v>
      </c>
      <c r="AA192" s="329"/>
      <c r="AB192" s="379">
        <f t="shared" si="92"/>
        <v>0</v>
      </c>
      <c r="AC192" s="329"/>
      <c r="AD192" s="413">
        <f t="shared" si="93"/>
        <v>0</v>
      </c>
      <c r="AE192" s="329"/>
      <c r="AG192" s="400" t="e">
        <f t="shared" si="94"/>
        <v>#DIV/0!</v>
      </c>
      <c r="AH192" s="401">
        <f t="shared" si="95"/>
        <v>0</v>
      </c>
      <c r="AI192" s="407">
        <f t="shared" si="96"/>
        <v>0</v>
      </c>
      <c r="AJ192" s="498"/>
      <c r="AK192" s="502">
        <f t="shared" si="97"/>
        <v>0</v>
      </c>
      <c r="AL192" s="503" t="e">
        <f t="shared" si="98"/>
        <v>#DIV/0!</v>
      </c>
      <c r="AM192" s="504" t="e">
        <f>AG192-AK192-AO192</f>
        <v>#DIV/0!</v>
      </c>
      <c r="AN192" s="503" t="e">
        <f t="shared" si="99"/>
        <v>#DIV/0!</v>
      </c>
      <c r="AO192" s="502">
        <f t="shared" si="100"/>
        <v>0</v>
      </c>
      <c r="AP192" s="503" t="e">
        <f t="shared" si="101"/>
        <v>#DIV/0!</v>
      </c>
      <c r="AQ192" s="377"/>
      <c r="AR192" s="110">
        <v>50161</v>
      </c>
      <c r="AS192" s="98">
        <f t="shared" si="116"/>
        <v>0</v>
      </c>
      <c r="AT192" s="98">
        <f t="shared" si="117"/>
        <v>0</v>
      </c>
      <c r="AU192" s="98"/>
      <c r="AV192" s="405"/>
      <c r="AW192" s="405"/>
      <c r="AX192" s="405"/>
      <c r="AY192" s="313"/>
      <c r="AZ192" s="313"/>
      <c r="BA192" s="313"/>
      <c r="BB192" s="313"/>
    </row>
    <row r="193" spans="1:54">
      <c r="A193" s="295">
        <v>45565</v>
      </c>
      <c r="B193" s="296">
        <f t="shared" si="83"/>
        <v>227330.32480950552</v>
      </c>
      <c r="C193" s="312">
        <f t="shared" si="84"/>
        <v>3.8483429990822713E-4</v>
      </c>
      <c r="D193" s="296">
        <f t="shared" si="85"/>
        <v>120827.03144326973</v>
      </c>
      <c r="E193" s="312">
        <f t="shared" si="86"/>
        <v>3.8486937629798434E-4</v>
      </c>
      <c r="F193" s="296">
        <f t="shared" si="87"/>
        <v>24486.844341924771</v>
      </c>
      <c r="G193" s="312">
        <f t="shared" si="88"/>
        <v>3.8464869601560346E-4</v>
      </c>
      <c r="H193" s="398">
        <v>0</v>
      </c>
      <c r="I193" s="312">
        <f t="shared" si="89"/>
        <v>0</v>
      </c>
      <c r="J193" s="457" t="e">
        <f t="shared" si="102"/>
        <v>#DIV/0!</v>
      </c>
      <c r="K193" s="369" t="e">
        <f t="shared" si="90"/>
        <v>#DIV/0!</v>
      </c>
      <c r="L193" s="404" t="e">
        <f t="shared" si="103"/>
        <v>#DIV/0!</v>
      </c>
      <c r="M193" s="312" t="e">
        <f t="shared" si="104"/>
        <v>#DIV/0!</v>
      </c>
      <c r="N193" s="298">
        <f t="shared" si="105"/>
        <v>20391.315782984977</v>
      </c>
      <c r="O193" s="312">
        <f t="shared" si="106"/>
        <v>3.6059110494406836E-4</v>
      </c>
      <c r="P193" s="404" t="e">
        <f t="shared" si="107"/>
        <v>#DIV/0!</v>
      </c>
      <c r="Q193" s="312" t="e">
        <f t="shared" si="114"/>
        <v>#DIV/0!</v>
      </c>
      <c r="R193" s="298"/>
      <c r="S193" s="312"/>
      <c r="T193" s="298"/>
      <c r="U193" s="312"/>
      <c r="V193" s="454">
        <f t="shared" si="112"/>
        <v>0</v>
      </c>
      <c r="W193" s="312">
        <f t="shared" si="115"/>
        <v>-1.0000002752637027</v>
      </c>
      <c r="X193" s="454">
        <f t="shared" si="113"/>
        <v>0</v>
      </c>
      <c r="Y193" s="312">
        <f t="shared" si="91"/>
        <v>-1</v>
      </c>
      <c r="Z193" s="674">
        <f t="shared" si="92"/>
        <v>0</v>
      </c>
      <c r="AA193" s="297"/>
      <c r="AB193" s="379">
        <f t="shared" si="92"/>
        <v>0</v>
      </c>
      <c r="AC193" s="297"/>
      <c r="AD193" s="413">
        <f t="shared" si="93"/>
        <v>0</v>
      </c>
      <c r="AE193" s="297"/>
      <c r="AG193" s="400" t="e">
        <f t="shared" si="94"/>
        <v>#DIV/0!</v>
      </c>
      <c r="AH193" s="401">
        <f t="shared" si="95"/>
        <v>0</v>
      </c>
      <c r="AI193" s="407">
        <f t="shared" si="96"/>
        <v>0</v>
      </c>
      <c r="AJ193" s="498"/>
      <c r="AK193" s="502">
        <f t="shared" si="97"/>
        <v>0</v>
      </c>
      <c r="AL193" s="503" t="e">
        <f t="shared" si="98"/>
        <v>#DIV/0!</v>
      </c>
      <c r="AM193" s="504" t="e">
        <f>AG193-AK193-AO193</f>
        <v>#DIV/0!</v>
      </c>
      <c r="AN193" s="503" t="e">
        <f t="shared" si="99"/>
        <v>#DIV/0!</v>
      </c>
      <c r="AO193" s="502">
        <f t="shared" si="100"/>
        <v>0</v>
      </c>
      <c r="AP193" s="503" t="e">
        <f t="shared" si="101"/>
        <v>#DIV/0!</v>
      </c>
      <c r="AQ193" s="377"/>
      <c r="AR193" s="110">
        <v>50192</v>
      </c>
      <c r="AS193" s="98">
        <f t="shared" si="116"/>
        <v>0</v>
      </c>
      <c r="AT193" s="98">
        <f t="shared" si="117"/>
        <v>0</v>
      </c>
      <c r="AU193" s="98"/>
      <c r="AV193" s="406"/>
      <c r="AW193" s="406"/>
      <c r="AX193" s="406"/>
      <c r="AY193" s="313"/>
      <c r="AZ193" s="313"/>
      <c r="BA193" s="313"/>
      <c r="BB193" s="313"/>
    </row>
    <row r="194" spans="1:54">
      <c r="A194" s="295">
        <v>45566</v>
      </c>
      <c r="B194" s="296">
        <f t="shared" si="83"/>
        <v>227417.80931590148</v>
      </c>
      <c r="C194" s="312">
        <f t="shared" si="84"/>
        <v>3.8483429990818159E-4</v>
      </c>
      <c r="D194" s="296">
        <f t="shared" si="85"/>
        <v>120873.53406750124</v>
      </c>
      <c r="E194" s="312">
        <f t="shared" si="86"/>
        <v>3.8486937629797529E-4</v>
      </c>
      <c r="F194" s="296">
        <f t="shared" si="87"/>
        <v>24496.263174670428</v>
      </c>
      <c r="G194" s="312">
        <f t="shared" si="88"/>
        <v>3.8464869601557446E-4</v>
      </c>
      <c r="H194" s="398">
        <v>0</v>
      </c>
      <c r="I194" s="312">
        <f t="shared" si="89"/>
        <v>0</v>
      </c>
      <c r="J194" s="457" t="e">
        <f t="shared" si="102"/>
        <v>#DIV/0!</v>
      </c>
      <c r="K194" s="369" t="e">
        <f t="shared" si="90"/>
        <v>#DIV/0!</v>
      </c>
      <c r="L194" s="404" t="e">
        <f t="shared" si="103"/>
        <v>#DIV/0!</v>
      </c>
      <c r="M194" s="312" t="e">
        <f t="shared" si="104"/>
        <v>#DIV/0!</v>
      </c>
      <c r="N194" s="298">
        <f t="shared" si="105"/>
        <v>20398.668710074428</v>
      </c>
      <c r="O194" s="312">
        <f t="shared" si="106"/>
        <v>3.6059110494409574E-4</v>
      </c>
      <c r="P194" s="404" t="e">
        <f t="shared" si="107"/>
        <v>#DIV/0!</v>
      </c>
      <c r="Q194" s="312" t="e">
        <f t="shared" si="114"/>
        <v>#DIV/0!</v>
      </c>
      <c r="R194" s="298"/>
      <c r="S194" s="312"/>
      <c r="T194" s="298"/>
      <c r="U194" s="312"/>
      <c r="V194" s="454">
        <f t="shared" si="112"/>
        <v>0</v>
      </c>
      <c r="W194" s="312">
        <f t="shared" si="115"/>
        <v>-1.0000002752637027</v>
      </c>
      <c r="X194" s="454">
        <f t="shared" si="113"/>
        <v>0</v>
      </c>
      <c r="Y194" s="312">
        <f t="shared" si="91"/>
        <v>-1</v>
      </c>
      <c r="Z194" s="674">
        <f t="shared" si="92"/>
        <v>0</v>
      </c>
      <c r="AA194" s="329"/>
      <c r="AB194" s="379">
        <f t="shared" si="92"/>
        <v>0</v>
      </c>
      <c r="AC194" s="329"/>
      <c r="AD194" s="413">
        <f t="shared" si="93"/>
        <v>0</v>
      </c>
      <c r="AE194" s="329"/>
      <c r="AG194" s="400" t="e">
        <f t="shared" si="94"/>
        <v>#DIV/0!</v>
      </c>
      <c r="AH194" s="401">
        <f t="shared" si="95"/>
        <v>0</v>
      </c>
      <c r="AI194" s="407">
        <f t="shared" si="96"/>
        <v>0</v>
      </c>
      <c r="AJ194" s="498"/>
      <c r="AK194" s="502">
        <f t="shared" si="97"/>
        <v>0</v>
      </c>
      <c r="AL194" s="503" t="e">
        <f t="shared" si="98"/>
        <v>#DIV/0!</v>
      </c>
      <c r="AM194" s="504" t="e">
        <f>AG194-AK194-AO194</f>
        <v>#DIV/0!</v>
      </c>
      <c r="AN194" s="503" t="e">
        <f t="shared" si="99"/>
        <v>#DIV/0!</v>
      </c>
      <c r="AO194" s="502">
        <f t="shared" si="100"/>
        <v>0</v>
      </c>
      <c r="AP194" s="503" t="e">
        <f t="shared" si="101"/>
        <v>#DIV/0!</v>
      </c>
      <c r="AQ194" s="377"/>
      <c r="AR194" s="110">
        <v>50222</v>
      </c>
      <c r="AS194" s="98">
        <f t="shared" si="116"/>
        <v>0</v>
      </c>
      <c r="AT194" s="98">
        <f t="shared" si="117"/>
        <v>0</v>
      </c>
      <c r="AU194" s="98"/>
      <c r="AV194" s="405"/>
      <c r="AW194" s="405"/>
      <c r="AX194" s="405"/>
      <c r="AY194" s="313"/>
      <c r="AZ194" s="313"/>
      <c r="BA194" s="313"/>
      <c r="BB194" s="313"/>
    </row>
    <row r="195" spans="1:54">
      <c r="A195" s="295">
        <v>45567</v>
      </c>
      <c r="B195" s="296">
        <f t="shared" si="83"/>
        <v>227505.32748933622</v>
      </c>
      <c r="C195" s="312">
        <f t="shared" si="84"/>
        <v>3.8483429990820452E-4</v>
      </c>
      <c r="D195" s="296">
        <f t="shared" si="85"/>
        <v>120920.05458916874</v>
      </c>
      <c r="E195" s="312">
        <f t="shared" si="86"/>
        <v>3.8486937629800537E-4</v>
      </c>
      <c r="F195" s="296">
        <f t="shared" si="87"/>
        <v>24505.685630357821</v>
      </c>
      <c r="G195" s="312">
        <f t="shared" si="88"/>
        <v>3.8464869601561696E-4</v>
      </c>
      <c r="H195" s="398">
        <v>0</v>
      </c>
      <c r="I195" s="312">
        <f t="shared" si="89"/>
        <v>0</v>
      </c>
      <c r="J195" s="457" t="e">
        <f t="shared" si="102"/>
        <v>#DIV/0!</v>
      </c>
      <c r="K195" s="369" t="e">
        <f t="shared" si="90"/>
        <v>#DIV/0!</v>
      </c>
      <c r="L195" s="404" t="e">
        <f t="shared" si="103"/>
        <v>#DIV/0!</v>
      </c>
      <c r="M195" s="312" t="e">
        <f t="shared" si="104"/>
        <v>#DIV/0!</v>
      </c>
      <c r="N195" s="298">
        <f t="shared" si="105"/>
        <v>20406.024288563982</v>
      </c>
      <c r="O195" s="312">
        <f t="shared" si="106"/>
        <v>3.6059110494409714E-4</v>
      </c>
      <c r="P195" s="404" t="e">
        <f t="shared" si="107"/>
        <v>#DIV/0!</v>
      </c>
      <c r="Q195" s="312" t="e">
        <f t="shared" si="114"/>
        <v>#DIV/0!</v>
      </c>
      <c r="R195" s="298"/>
      <c r="S195" s="312"/>
      <c r="T195" s="298"/>
      <c r="U195" s="312"/>
      <c r="V195" s="454">
        <f t="shared" si="112"/>
        <v>0</v>
      </c>
      <c r="W195" s="312">
        <f t="shared" si="115"/>
        <v>-1.0000002752637027</v>
      </c>
      <c r="X195" s="454">
        <f t="shared" si="113"/>
        <v>0</v>
      </c>
      <c r="Y195" s="312">
        <f t="shared" si="91"/>
        <v>-1</v>
      </c>
      <c r="Z195" s="674">
        <f t="shared" si="92"/>
        <v>0</v>
      </c>
      <c r="AA195" s="297"/>
      <c r="AB195" s="379">
        <f t="shared" si="92"/>
        <v>0</v>
      </c>
      <c r="AC195" s="297"/>
      <c r="AD195" s="413">
        <f t="shared" si="93"/>
        <v>0</v>
      </c>
      <c r="AE195" s="297"/>
      <c r="AG195" s="400" t="e">
        <f t="shared" si="94"/>
        <v>#DIV/0!</v>
      </c>
      <c r="AH195" s="401">
        <f t="shared" si="95"/>
        <v>0</v>
      </c>
      <c r="AI195" s="407">
        <f t="shared" si="96"/>
        <v>0</v>
      </c>
      <c r="AJ195" s="498"/>
      <c r="AK195" s="502">
        <f t="shared" si="97"/>
        <v>0</v>
      </c>
      <c r="AL195" s="503" t="e">
        <f t="shared" si="98"/>
        <v>#DIV/0!</v>
      </c>
      <c r="AM195" s="504" t="e">
        <f>AG195-AK195-AO195</f>
        <v>#DIV/0!</v>
      </c>
      <c r="AN195" s="503" t="e">
        <f t="shared" si="99"/>
        <v>#DIV/0!</v>
      </c>
      <c r="AO195" s="502">
        <f t="shared" si="100"/>
        <v>0</v>
      </c>
      <c r="AP195" s="503" t="e">
        <f t="shared" si="101"/>
        <v>#DIV/0!</v>
      </c>
      <c r="AQ195" s="314"/>
      <c r="AR195" s="110">
        <v>50253</v>
      </c>
      <c r="AS195" s="98">
        <f t="shared" si="116"/>
        <v>0</v>
      </c>
      <c r="AT195" s="98">
        <f t="shared" si="117"/>
        <v>0</v>
      </c>
      <c r="AU195" s="98"/>
      <c r="AV195" s="308"/>
      <c r="AW195" s="308"/>
      <c r="AX195" s="308"/>
      <c r="AY195" s="313"/>
      <c r="AZ195" s="313"/>
      <c r="BA195" s="313"/>
      <c r="BB195" s="313"/>
    </row>
    <row r="196" spans="1:54">
      <c r="A196" s="295">
        <v>45568</v>
      </c>
      <c r="B196" s="296">
        <f t="shared" ref="B196:B257" si="118">B195+B195*C195</f>
        <v>227592.87934276598</v>
      </c>
      <c r="C196" s="312">
        <f t="shared" ref="C196:C257" si="119">(B196-B195)/B195</f>
        <v>3.848342999082635E-4</v>
      </c>
      <c r="D196" s="296">
        <f t="shared" ref="D196:D255" si="120">D195+D195*E195</f>
        <v>120966.5930151604</v>
      </c>
      <c r="E196" s="312">
        <f t="shared" ref="E196:E255" si="121">(D196-D195)/D195</f>
        <v>3.8486937629806148E-4</v>
      </c>
      <c r="F196" s="296">
        <f t="shared" ref="F196:F255" si="122">F195+F195*G195</f>
        <v>24515.111710380508</v>
      </c>
      <c r="G196" s="312">
        <f t="shared" ref="G196:G255" si="123">(F196-F195)/F195</f>
        <v>3.8464869601568841E-4</v>
      </c>
      <c r="H196" s="398">
        <v>0</v>
      </c>
      <c r="I196" s="312">
        <f t="shared" ref="I196:I257" si="124">H196/(8993.1+10.04)</f>
        <v>0</v>
      </c>
      <c r="J196" s="457" t="e">
        <f t="shared" si="102"/>
        <v>#DIV/0!</v>
      </c>
      <c r="K196" s="369" t="e">
        <f t="shared" ref="K196:K255" si="125">(J196-J195)/J195</f>
        <v>#DIV/0!</v>
      </c>
      <c r="L196" s="404" t="e">
        <f t="shared" si="103"/>
        <v>#DIV/0!</v>
      </c>
      <c r="M196" s="312" t="e">
        <f t="shared" si="104"/>
        <v>#DIV/0!</v>
      </c>
      <c r="N196" s="298">
        <f t="shared" si="105"/>
        <v>20413.382519409712</v>
      </c>
      <c r="O196" s="312">
        <f t="shared" si="106"/>
        <v>3.6059110494412062E-4</v>
      </c>
      <c r="P196" s="404" t="e">
        <f t="shared" si="107"/>
        <v>#DIV/0!</v>
      </c>
      <c r="Q196" s="312" t="e">
        <f t="shared" si="114"/>
        <v>#DIV/0!</v>
      </c>
      <c r="R196" s="298"/>
      <c r="S196" s="312"/>
      <c r="T196" s="298"/>
      <c r="U196" s="312"/>
      <c r="V196" s="454">
        <f t="shared" si="112"/>
        <v>0</v>
      </c>
      <c r="W196" s="312">
        <f t="shared" si="115"/>
        <v>-1.0000002752637027</v>
      </c>
      <c r="X196" s="454">
        <f t="shared" si="113"/>
        <v>0</v>
      </c>
      <c r="Y196" s="312">
        <f t="shared" ref="Y196:Y257" si="126">(X196-(10))/(10)</f>
        <v>-1</v>
      </c>
      <c r="Z196" s="674">
        <f t="shared" ref="Z196:AB257" si="127">Z195</f>
        <v>0</v>
      </c>
      <c r="AA196" s="329"/>
      <c r="AB196" s="379">
        <f t="shared" si="127"/>
        <v>0</v>
      </c>
      <c r="AC196" s="329"/>
      <c r="AD196" s="413">
        <f t="shared" ref="AD196:AD257" si="128">AD195</f>
        <v>0</v>
      </c>
      <c r="AE196" s="329"/>
      <c r="AG196" s="400" t="e">
        <f t="shared" ref="AG196:AG257" si="129">B196+D196+F196+H196+J196+L196+N196+P196+R196+T196+V196+X196</f>
        <v>#DIV/0!</v>
      </c>
      <c r="AH196" s="401">
        <f t="shared" ref="AH196:AH257" si="130">AB196</f>
        <v>0</v>
      </c>
      <c r="AI196" s="407">
        <f t="shared" ref="AI196:AI257" si="131">AD196</f>
        <v>0</v>
      </c>
      <c r="AJ196" s="498"/>
      <c r="AK196" s="502">
        <f t="shared" ref="AK196:AK257" si="132">V196+X196</f>
        <v>0</v>
      </c>
      <c r="AL196" s="503" t="e">
        <f t="shared" ref="AL196:AL259" si="133">AK196/AG196</f>
        <v>#DIV/0!</v>
      </c>
      <c r="AM196" s="504" t="e">
        <f>AG196-AK196-AO196</f>
        <v>#DIV/0!</v>
      </c>
      <c r="AN196" s="503" t="e">
        <f t="shared" ref="AN196:AN259" si="134">AM196/AG196</f>
        <v>#DIV/0!</v>
      </c>
      <c r="AO196" s="502">
        <f t="shared" ref="AO196:AO257" si="135">Z196</f>
        <v>0</v>
      </c>
      <c r="AP196" s="503" t="e">
        <f t="shared" ref="AP196:AP259" si="136">AO196/AG196</f>
        <v>#DIV/0!</v>
      </c>
      <c r="AQ196" s="377">
        <v>0.1115</v>
      </c>
      <c r="AR196" s="110">
        <v>50284</v>
      </c>
      <c r="AS196" s="98">
        <f t="shared" si="116"/>
        <v>0</v>
      </c>
      <c r="AT196" s="98">
        <f t="shared" si="117"/>
        <v>0</v>
      </c>
      <c r="AU196" s="98"/>
      <c r="AV196" s="496">
        <f>98*AQ196/100</f>
        <v>0.10926999999999999</v>
      </c>
      <c r="AW196" s="308"/>
      <c r="AX196" s="308"/>
      <c r="AY196" s="313"/>
      <c r="AZ196" s="313"/>
      <c r="BA196" s="313"/>
      <c r="BB196" s="313"/>
    </row>
    <row r="197" spans="1:54">
      <c r="A197" s="295">
        <v>45569</v>
      </c>
      <c r="B197" s="296">
        <f t="shared" si="118"/>
        <v>227680.46488915198</v>
      </c>
      <c r="C197" s="312">
        <f t="shared" si="119"/>
        <v>3.8483429990831793E-4</v>
      </c>
      <c r="D197" s="296">
        <f t="shared" si="120"/>
        <v>121013.14935236704</v>
      </c>
      <c r="E197" s="312">
        <f t="shared" si="121"/>
        <v>3.848693762980018E-4</v>
      </c>
      <c r="F197" s="296">
        <f t="shared" si="122"/>
        <v>24524.541416132586</v>
      </c>
      <c r="G197" s="312">
        <f t="shared" si="123"/>
        <v>3.8464869601573785E-4</v>
      </c>
      <c r="H197" s="398">
        <v>0</v>
      </c>
      <c r="I197" s="312">
        <f t="shared" si="124"/>
        <v>0</v>
      </c>
      <c r="J197" s="457" t="e">
        <f t="shared" ref="J197:J257" si="137">J196+J196*K196</f>
        <v>#DIV/0!</v>
      </c>
      <c r="K197" s="369" t="e">
        <f t="shared" si="125"/>
        <v>#DIV/0!</v>
      </c>
      <c r="L197" s="404" t="e">
        <f t="shared" ref="L197:L257" si="138">L196+L196*M196</f>
        <v>#DIV/0!</v>
      </c>
      <c r="M197" s="312" t="e">
        <f t="shared" ref="M197:M255" si="139">(L197-L196)/L196</f>
        <v>#DIV/0!</v>
      </c>
      <c r="N197" s="298">
        <f t="shared" ref="N197:N255" si="140">N196+N196*O196</f>
        <v>20420.743403568034</v>
      </c>
      <c r="O197" s="312">
        <f t="shared" ref="O197:O255" si="141">(N197-N196)/N196</f>
        <v>3.6059110494420822E-4</v>
      </c>
      <c r="P197" s="404" t="e">
        <f t="shared" ref="P197:P260" si="142">P196+P196*Q196</f>
        <v>#DIV/0!</v>
      </c>
      <c r="Q197" s="312" t="e">
        <f t="shared" si="114"/>
        <v>#DIV/0!</v>
      </c>
      <c r="R197" s="298"/>
      <c r="S197" s="312"/>
      <c r="T197" s="298"/>
      <c r="U197" s="312"/>
      <c r="V197" s="454">
        <f t="shared" ref="V197:V260" si="143">V196</f>
        <v>0</v>
      </c>
      <c r="W197" s="312">
        <f t="shared" si="115"/>
        <v>-1.0000002752637027</v>
      </c>
      <c r="X197" s="454">
        <f t="shared" ref="X197:X260" si="144">X196</f>
        <v>0</v>
      </c>
      <c r="Y197" s="312">
        <f t="shared" si="126"/>
        <v>-1</v>
      </c>
      <c r="Z197" s="674">
        <f t="shared" si="127"/>
        <v>0</v>
      </c>
      <c r="AA197" s="297"/>
      <c r="AB197" s="379">
        <f t="shared" si="127"/>
        <v>0</v>
      </c>
      <c r="AC197" s="297"/>
      <c r="AD197" s="413">
        <f t="shared" si="128"/>
        <v>0</v>
      </c>
      <c r="AE197" s="297"/>
      <c r="AG197" s="400" t="e">
        <f t="shared" si="129"/>
        <v>#DIV/0!</v>
      </c>
      <c r="AH197" s="401">
        <f t="shared" si="130"/>
        <v>0</v>
      </c>
      <c r="AI197" s="407">
        <f t="shared" si="131"/>
        <v>0</v>
      </c>
      <c r="AJ197" s="498"/>
      <c r="AK197" s="502">
        <f t="shared" si="132"/>
        <v>0</v>
      </c>
      <c r="AL197" s="503" t="e">
        <f t="shared" si="133"/>
        <v>#DIV/0!</v>
      </c>
      <c r="AM197" s="504" t="e">
        <f>AG197-AK197-AO197</f>
        <v>#DIV/0!</v>
      </c>
      <c r="AN197" s="503" t="e">
        <f t="shared" si="134"/>
        <v>#DIV/0!</v>
      </c>
      <c r="AO197" s="502">
        <f t="shared" si="135"/>
        <v>0</v>
      </c>
      <c r="AP197" s="503" t="e">
        <f t="shared" si="136"/>
        <v>#DIV/0!</v>
      </c>
      <c r="AQ197" s="314"/>
      <c r="AR197" s="110">
        <v>50314</v>
      </c>
      <c r="AS197" s="98">
        <f t="shared" si="116"/>
        <v>0</v>
      </c>
      <c r="AT197" s="98">
        <f t="shared" si="117"/>
        <v>0</v>
      </c>
      <c r="AU197" s="98"/>
      <c r="AV197" s="308"/>
      <c r="AW197" s="308"/>
      <c r="AX197" s="308"/>
      <c r="AY197" s="313"/>
      <c r="AZ197" s="313"/>
      <c r="BA197" s="313"/>
      <c r="BB197" s="313"/>
    </row>
    <row r="198" spans="1:54">
      <c r="A198" s="295">
        <v>45572</v>
      </c>
      <c r="B198" s="296">
        <f t="shared" si="118"/>
        <v>227768.08414146039</v>
      </c>
      <c r="C198" s="312">
        <f t="shared" si="119"/>
        <v>3.8483429990831874E-4</v>
      </c>
      <c r="D198" s="296">
        <f t="shared" si="120"/>
        <v>121059.72360768214</v>
      </c>
      <c r="E198" s="312">
        <f t="shared" si="121"/>
        <v>3.8486937629803709E-4</v>
      </c>
      <c r="F198" s="296">
        <f t="shared" si="122"/>
        <v>24533.974749008685</v>
      </c>
      <c r="G198" s="312">
        <f t="shared" si="123"/>
        <v>3.8464869601570597E-4</v>
      </c>
      <c r="H198" s="398">
        <v>0</v>
      </c>
      <c r="I198" s="312">
        <f t="shared" si="124"/>
        <v>0</v>
      </c>
      <c r="J198" s="457" t="e">
        <f t="shared" si="137"/>
        <v>#DIV/0!</v>
      </c>
      <c r="K198" s="369" t="e">
        <f t="shared" si="125"/>
        <v>#DIV/0!</v>
      </c>
      <c r="L198" s="404" t="e">
        <f t="shared" si="138"/>
        <v>#DIV/0!</v>
      </c>
      <c r="M198" s="312" t="e">
        <f t="shared" si="139"/>
        <v>#DIV/0!</v>
      </c>
      <c r="N198" s="298">
        <f t="shared" si="140"/>
        <v>20428.106941995709</v>
      </c>
      <c r="O198" s="312">
        <f t="shared" si="141"/>
        <v>3.6059110494421755E-4</v>
      </c>
      <c r="P198" s="404" t="e">
        <f t="shared" si="142"/>
        <v>#DIV/0!</v>
      </c>
      <c r="Q198" s="312" t="e">
        <f t="shared" si="114"/>
        <v>#DIV/0!</v>
      </c>
      <c r="R198" s="298"/>
      <c r="S198" s="312"/>
      <c r="T198" s="298"/>
      <c r="U198" s="312"/>
      <c r="V198" s="454">
        <f t="shared" si="143"/>
        <v>0</v>
      </c>
      <c r="W198" s="312">
        <f t="shared" si="115"/>
        <v>-1.0000002752637027</v>
      </c>
      <c r="X198" s="454">
        <f t="shared" si="144"/>
        <v>0</v>
      </c>
      <c r="Y198" s="312">
        <f t="shared" si="126"/>
        <v>-1</v>
      </c>
      <c r="Z198" s="674">
        <f t="shared" si="127"/>
        <v>0</v>
      </c>
      <c r="AA198" s="329"/>
      <c r="AB198" s="379">
        <f t="shared" si="127"/>
        <v>0</v>
      </c>
      <c r="AC198" s="329"/>
      <c r="AD198" s="413">
        <f t="shared" si="128"/>
        <v>0</v>
      </c>
      <c r="AE198" s="329"/>
      <c r="AG198" s="400" t="e">
        <f t="shared" si="129"/>
        <v>#DIV/0!</v>
      </c>
      <c r="AH198" s="401">
        <f t="shared" si="130"/>
        <v>0</v>
      </c>
      <c r="AI198" s="407">
        <f t="shared" si="131"/>
        <v>0</v>
      </c>
      <c r="AJ198" s="498"/>
      <c r="AK198" s="502">
        <f t="shared" si="132"/>
        <v>0</v>
      </c>
      <c r="AL198" s="503" t="e">
        <f t="shared" si="133"/>
        <v>#DIV/0!</v>
      </c>
      <c r="AM198" s="504" t="e">
        <f>AG198-AK198-AO198</f>
        <v>#DIV/0!</v>
      </c>
      <c r="AN198" s="503" t="e">
        <f t="shared" si="134"/>
        <v>#DIV/0!</v>
      </c>
      <c r="AO198" s="502">
        <f t="shared" si="135"/>
        <v>0</v>
      </c>
      <c r="AP198" s="503" t="e">
        <f t="shared" si="136"/>
        <v>#DIV/0!</v>
      </c>
      <c r="AQ198" s="314"/>
      <c r="AR198" s="110">
        <v>50345</v>
      </c>
      <c r="AS198" s="98">
        <f t="shared" si="116"/>
        <v>0</v>
      </c>
      <c r="AT198" s="98">
        <f t="shared" si="117"/>
        <v>0</v>
      </c>
      <c r="AU198" s="98"/>
      <c r="AV198" s="308"/>
      <c r="AW198" s="308"/>
      <c r="AX198" s="308"/>
      <c r="AY198" s="313"/>
      <c r="AZ198" s="313"/>
      <c r="BA198" s="313"/>
      <c r="BB198" s="313"/>
    </row>
    <row r="199" spans="1:54">
      <c r="A199" s="295">
        <v>45573</v>
      </c>
      <c r="B199" s="296">
        <f t="shared" si="118"/>
        <v>227855.73711266243</v>
      </c>
      <c r="C199" s="312">
        <f t="shared" si="119"/>
        <v>3.8483429990833636E-4</v>
      </c>
      <c r="D199" s="296">
        <f t="shared" si="120"/>
        <v>121106.31578800184</v>
      </c>
      <c r="E199" s="312">
        <f t="shared" si="121"/>
        <v>3.8486937629800868E-4</v>
      </c>
      <c r="F199" s="296">
        <f t="shared" si="122"/>
        <v>24543.411710403972</v>
      </c>
      <c r="G199" s="312">
        <f t="shared" si="123"/>
        <v>3.8464869601567361E-4</v>
      </c>
      <c r="H199" s="398">
        <v>0</v>
      </c>
      <c r="I199" s="312">
        <f t="shared" si="124"/>
        <v>0</v>
      </c>
      <c r="J199" s="457" t="e">
        <f t="shared" si="137"/>
        <v>#DIV/0!</v>
      </c>
      <c r="K199" s="369" t="e">
        <f t="shared" si="125"/>
        <v>#DIV/0!</v>
      </c>
      <c r="L199" s="404" t="e">
        <f t="shared" si="138"/>
        <v>#DIV/0!</v>
      </c>
      <c r="M199" s="312" t="e">
        <f t="shared" si="139"/>
        <v>#DIV/0!</v>
      </c>
      <c r="N199" s="298">
        <f t="shared" si="140"/>
        <v>20435.473135649841</v>
      </c>
      <c r="O199" s="312">
        <f t="shared" si="141"/>
        <v>3.6059110494417846E-4</v>
      </c>
      <c r="P199" s="404" t="e">
        <f t="shared" si="142"/>
        <v>#DIV/0!</v>
      </c>
      <c r="Q199" s="312" t="e">
        <f t="shared" si="114"/>
        <v>#DIV/0!</v>
      </c>
      <c r="R199" s="298"/>
      <c r="S199" s="312"/>
      <c r="T199" s="298"/>
      <c r="U199" s="312"/>
      <c r="V199" s="454">
        <f t="shared" si="143"/>
        <v>0</v>
      </c>
      <c r="W199" s="312">
        <f t="shared" si="115"/>
        <v>-1.0000002752637027</v>
      </c>
      <c r="X199" s="454">
        <f t="shared" si="144"/>
        <v>0</v>
      </c>
      <c r="Y199" s="312">
        <f t="shared" si="126"/>
        <v>-1</v>
      </c>
      <c r="Z199" s="674">
        <f t="shared" si="127"/>
        <v>0</v>
      </c>
      <c r="AA199" s="297"/>
      <c r="AB199" s="379">
        <f t="shared" si="127"/>
        <v>0</v>
      </c>
      <c r="AC199" s="297"/>
      <c r="AD199" s="413">
        <f t="shared" si="128"/>
        <v>0</v>
      </c>
      <c r="AE199" s="297"/>
      <c r="AG199" s="400" t="e">
        <f t="shared" si="129"/>
        <v>#DIV/0!</v>
      </c>
      <c r="AH199" s="401">
        <f t="shared" si="130"/>
        <v>0</v>
      </c>
      <c r="AI199" s="407">
        <f t="shared" si="131"/>
        <v>0</v>
      </c>
      <c r="AJ199" s="498"/>
      <c r="AK199" s="502">
        <f t="shared" si="132"/>
        <v>0</v>
      </c>
      <c r="AL199" s="503" t="e">
        <f t="shared" si="133"/>
        <v>#DIV/0!</v>
      </c>
      <c r="AM199" s="504" t="e">
        <f>AG199-AK199-AO199</f>
        <v>#DIV/0!</v>
      </c>
      <c r="AN199" s="503" t="e">
        <f t="shared" si="134"/>
        <v>#DIV/0!</v>
      </c>
      <c r="AO199" s="502">
        <f t="shared" si="135"/>
        <v>0</v>
      </c>
      <c r="AP199" s="503" t="e">
        <f t="shared" si="136"/>
        <v>#DIV/0!</v>
      </c>
      <c r="AQ199" s="314"/>
      <c r="AR199" s="110">
        <v>50375</v>
      </c>
      <c r="AS199" s="98">
        <f t="shared" si="116"/>
        <v>0</v>
      </c>
      <c r="AT199" s="98">
        <f t="shared" si="117"/>
        <v>0</v>
      </c>
      <c r="AU199" s="98"/>
      <c r="AV199" s="308"/>
      <c r="AW199" s="308"/>
      <c r="AX199" s="308"/>
      <c r="AY199" s="313"/>
      <c r="AZ199" s="313"/>
      <c r="BA199" s="313"/>
      <c r="BB199" s="313"/>
    </row>
    <row r="200" spans="1:54">
      <c r="A200" s="295">
        <v>45574</v>
      </c>
      <c r="B200" s="296">
        <f t="shared" si="118"/>
        <v>227943.42381573428</v>
      </c>
      <c r="C200" s="312">
        <f t="shared" si="119"/>
        <v>3.8483429990830486E-4</v>
      </c>
      <c r="D200" s="296">
        <f t="shared" si="120"/>
        <v>121152.92590022492</v>
      </c>
      <c r="E200" s="312">
        <f t="shared" si="121"/>
        <v>3.8486937629799014E-4</v>
      </c>
      <c r="F200" s="296">
        <f t="shared" si="122"/>
        <v>24552.852301714156</v>
      </c>
      <c r="G200" s="312">
        <f t="shared" si="123"/>
        <v>3.846486960157128E-4</v>
      </c>
      <c r="H200" s="398">
        <v>0</v>
      </c>
      <c r="I200" s="312">
        <f t="shared" si="124"/>
        <v>0</v>
      </c>
      <c r="J200" s="457" t="e">
        <f t="shared" si="137"/>
        <v>#DIV/0!</v>
      </c>
      <c r="K200" s="369" t="e">
        <f t="shared" si="125"/>
        <v>#DIV/0!</v>
      </c>
      <c r="L200" s="404" t="e">
        <f t="shared" si="138"/>
        <v>#DIV/0!</v>
      </c>
      <c r="M200" s="312" t="e">
        <f t="shared" si="139"/>
        <v>#DIV/0!</v>
      </c>
      <c r="N200" s="298">
        <f t="shared" si="140"/>
        <v>20442.841985487881</v>
      </c>
      <c r="O200" s="312">
        <f t="shared" si="141"/>
        <v>3.6059110494411476E-4</v>
      </c>
      <c r="P200" s="404" t="e">
        <f t="shared" si="142"/>
        <v>#DIV/0!</v>
      </c>
      <c r="Q200" s="312" t="e">
        <f t="shared" si="114"/>
        <v>#DIV/0!</v>
      </c>
      <c r="R200" s="298"/>
      <c r="S200" s="312"/>
      <c r="T200" s="298"/>
      <c r="U200" s="312"/>
      <c r="V200" s="454">
        <f t="shared" si="143"/>
        <v>0</v>
      </c>
      <c r="W200" s="312">
        <f t="shared" si="115"/>
        <v>-1.0000002752637027</v>
      </c>
      <c r="X200" s="454">
        <f t="shared" si="144"/>
        <v>0</v>
      </c>
      <c r="Y200" s="312">
        <f t="shared" si="126"/>
        <v>-1</v>
      </c>
      <c r="Z200" s="674">
        <f t="shared" si="127"/>
        <v>0</v>
      </c>
      <c r="AA200" s="329"/>
      <c r="AB200" s="379">
        <f t="shared" si="127"/>
        <v>0</v>
      </c>
      <c r="AC200" s="329"/>
      <c r="AD200" s="413">
        <f t="shared" si="128"/>
        <v>0</v>
      </c>
      <c r="AE200" s="329"/>
      <c r="AG200" s="400" t="e">
        <f t="shared" si="129"/>
        <v>#DIV/0!</v>
      </c>
      <c r="AH200" s="401">
        <f t="shared" si="130"/>
        <v>0</v>
      </c>
      <c r="AI200" s="407">
        <f t="shared" si="131"/>
        <v>0</v>
      </c>
      <c r="AJ200" s="498"/>
      <c r="AK200" s="502">
        <f t="shared" si="132"/>
        <v>0</v>
      </c>
      <c r="AL200" s="503" t="e">
        <f t="shared" si="133"/>
        <v>#DIV/0!</v>
      </c>
      <c r="AM200" s="504" t="e">
        <f>AG200-AK200-AO200</f>
        <v>#DIV/0!</v>
      </c>
      <c r="AN200" s="503" t="e">
        <f t="shared" si="134"/>
        <v>#DIV/0!</v>
      </c>
      <c r="AO200" s="502">
        <f t="shared" si="135"/>
        <v>0</v>
      </c>
      <c r="AP200" s="503" t="e">
        <f t="shared" si="136"/>
        <v>#DIV/0!</v>
      </c>
      <c r="AQ200" s="314"/>
      <c r="AR200" s="110">
        <v>50406</v>
      </c>
      <c r="AS200" s="98">
        <f t="shared" si="116"/>
        <v>0</v>
      </c>
      <c r="AT200" s="98">
        <f t="shared" si="117"/>
        <v>0</v>
      </c>
      <c r="AU200" s="98"/>
      <c r="AV200" s="308"/>
      <c r="AW200" s="308"/>
      <c r="AX200" s="308"/>
      <c r="AY200" s="313" t="s">
        <v>150</v>
      </c>
      <c r="AZ200" s="313"/>
      <c r="BA200" s="313"/>
      <c r="BB200" s="313"/>
    </row>
    <row r="201" spans="1:54">
      <c r="A201" s="295">
        <v>45575</v>
      </c>
      <c r="B201" s="296">
        <f t="shared" si="118"/>
        <v>228031.1442636571</v>
      </c>
      <c r="C201" s="312">
        <f t="shared" si="119"/>
        <v>3.8483429990827776E-4</v>
      </c>
      <c r="D201" s="296">
        <f t="shared" si="120"/>
        <v>121199.55395125282</v>
      </c>
      <c r="E201" s="312">
        <f t="shared" si="121"/>
        <v>3.848693762980463E-4</v>
      </c>
      <c r="F201" s="296">
        <f t="shared" si="122"/>
        <v>24562.296524335477</v>
      </c>
      <c r="G201" s="312">
        <f t="shared" si="123"/>
        <v>3.8464869601573904E-4</v>
      </c>
      <c r="H201" s="398">
        <v>0</v>
      </c>
      <c r="I201" s="312">
        <f t="shared" si="124"/>
        <v>0</v>
      </c>
      <c r="J201" s="457" t="e">
        <f t="shared" si="137"/>
        <v>#DIV/0!</v>
      </c>
      <c r="K201" s="369" t="e">
        <f t="shared" si="125"/>
        <v>#DIV/0!</v>
      </c>
      <c r="L201" s="404" t="e">
        <f t="shared" si="138"/>
        <v>#DIV/0!</v>
      </c>
      <c r="M201" s="312" t="e">
        <f t="shared" si="139"/>
        <v>#DIV/0!</v>
      </c>
      <c r="N201" s="298">
        <f t="shared" si="140"/>
        <v>20450.213492467625</v>
      </c>
      <c r="O201" s="312">
        <f t="shared" si="141"/>
        <v>3.6059110494404413E-4</v>
      </c>
      <c r="P201" s="404" t="e">
        <f t="shared" si="142"/>
        <v>#DIV/0!</v>
      </c>
      <c r="Q201" s="312" t="e">
        <f t="shared" si="114"/>
        <v>#DIV/0!</v>
      </c>
      <c r="R201" s="298"/>
      <c r="S201" s="312"/>
      <c r="T201" s="298"/>
      <c r="U201" s="312"/>
      <c r="V201" s="454">
        <f t="shared" si="143"/>
        <v>0</v>
      </c>
      <c r="W201" s="312">
        <f t="shared" si="115"/>
        <v>-1.0000002752637027</v>
      </c>
      <c r="X201" s="454">
        <f t="shared" si="144"/>
        <v>0</v>
      </c>
      <c r="Y201" s="312">
        <f t="shared" si="126"/>
        <v>-1</v>
      </c>
      <c r="Z201" s="674">
        <f t="shared" si="127"/>
        <v>0</v>
      </c>
      <c r="AA201" s="297"/>
      <c r="AB201" s="379">
        <f t="shared" si="127"/>
        <v>0</v>
      </c>
      <c r="AC201" s="297"/>
      <c r="AD201" s="413">
        <f t="shared" si="128"/>
        <v>0</v>
      </c>
      <c r="AE201" s="297"/>
      <c r="AG201" s="400" t="e">
        <f t="shared" si="129"/>
        <v>#DIV/0!</v>
      </c>
      <c r="AH201" s="401">
        <f t="shared" si="130"/>
        <v>0</v>
      </c>
      <c r="AI201" s="407">
        <f t="shared" si="131"/>
        <v>0</v>
      </c>
      <c r="AJ201" s="498"/>
      <c r="AK201" s="502">
        <f t="shared" si="132"/>
        <v>0</v>
      </c>
      <c r="AL201" s="503" t="e">
        <f t="shared" si="133"/>
        <v>#DIV/0!</v>
      </c>
      <c r="AM201" s="504" t="e">
        <f>AG201-AK201-AO201</f>
        <v>#DIV/0!</v>
      </c>
      <c r="AN201" s="503" t="e">
        <f t="shared" si="134"/>
        <v>#DIV/0!</v>
      </c>
      <c r="AO201" s="502">
        <f t="shared" si="135"/>
        <v>0</v>
      </c>
      <c r="AP201" s="503" t="e">
        <f t="shared" si="136"/>
        <v>#DIV/0!</v>
      </c>
      <c r="AQ201" s="314"/>
      <c r="AR201" s="110">
        <v>50437</v>
      </c>
      <c r="AS201" s="98">
        <f t="shared" si="116"/>
        <v>0</v>
      </c>
      <c r="AT201" s="98">
        <f t="shared" si="117"/>
        <v>0</v>
      </c>
      <c r="AU201" s="98"/>
      <c r="AV201" s="308"/>
      <c r="AW201" s="308"/>
      <c r="AX201" s="308"/>
      <c r="AY201" s="313"/>
      <c r="AZ201" s="313"/>
      <c r="BA201" s="313"/>
      <c r="BB201" s="313"/>
    </row>
    <row r="202" spans="1:54">
      <c r="A202" s="295">
        <v>45576</v>
      </c>
      <c r="B202" s="296">
        <f t="shared" si="118"/>
        <v>228118.89846941709</v>
      </c>
      <c r="C202" s="312">
        <f t="shared" si="119"/>
        <v>3.8483429990830009E-4</v>
      </c>
      <c r="D202" s="296">
        <f t="shared" si="120"/>
        <v>121246.19994798963</v>
      </c>
      <c r="E202" s="312">
        <f t="shared" si="121"/>
        <v>3.848693762979935E-4</v>
      </c>
      <c r="F202" s="296">
        <f t="shared" si="122"/>
        <v>24571.744379664717</v>
      </c>
      <c r="G202" s="312">
        <f t="shared" si="123"/>
        <v>3.8464869601580767E-4</v>
      </c>
      <c r="H202" s="398">
        <v>0</v>
      </c>
      <c r="I202" s="312">
        <f t="shared" si="124"/>
        <v>0</v>
      </c>
      <c r="J202" s="457" t="e">
        <f t="shared" si="137"/>
        <v>#DIV/0!</v>
      </c>
      <c r="K202" s="369" t="e">
        <f t="shared" si="125"/>
        <v>#DIV/0!</v>
      </c>
      <c r="L202" s="404" t="e">
        <f t="shared" si="138"/>
        <v>#DIV/0!</v>
      </c>
      <c r="M202" s="312" t="e">
        <f t="shared" si="139"/>
        <v>#DIV/0!</v>
      </c>
      <c r="N202" s="298">
        <f t="shared" si="140"/>
        <v>20457.587657547214</v>
      </c>
      <c r="O202" s="312">
        <f t="shared" si="141"/>
        <v>3.6059110494397794E-4</v>
      </c>
      <c r="P202" s="404" t="e">
        <f t="shared" si="142"/>
        <v>#DIV/0!</v>
      </c>
      <c r="Q202" s="312" t="e">
        <f t="shared" si="114"/>
        <v>#DIV/0!</v>
      </c>
      <c r="R202" s="298"/>
      <c r="S202" s="312"/>
      <c r="T202" s="298"/>
      <c r="U202" s="312"/>
      <c r="V202" s="454">
        <f t="shared" si="143"/>
        <v>0</v>
      </c>
      <c r="W202" s="312">
        <f t="shared" si="115"/>
        <v>-1.0000002752637027</v>
      </c>
      <c r="X202" s="454">
        <f t="shared" si="144"/>
        <v>0</v>
      </c>
      <c r="Y202" s="312">
        <f t="shared" si="126"/>
        <v>-1</v>
      </c>
      <c r="Z202" s="674">
        <f t="shared" si="127"/>
        <v>0</v>
      </c>
      <c r="AA202" s="329"/>
      <c r="AB202" s="379">
        <f t="shared" si="127"/>
        <v>0</v>
      </c>
      <c r="AC202" s="329"/>
      <c r="AD202" s="413">
        <f t="shared" si="128"/>
        <v>0</v>
      </c>
      <c r="AE202" s="329"/>
      <c r="AG202" s="400" t="e">
        <f t="shared" si="129"/>
        <v>#DIV/0!</v>
      </c>
      <c r="AH202" s="401">
        <f t="shared" si="130"/>
        <v>0</v>
      </c>
      <c r="AI202" s="407">
        <f t="shared" si="131"/>
        <v>0</v>
      </c>
      <c r="AJ202" s="498"/>
      <c r="AK202" s="502">
        <f t="shared" si="132"/>
        <v>0</v>
      </c>
      <c r="AL202" s="503" t="e">
        <f t="shared" si="133"/>
        <v>#DIV/0!</v>
      </c>
      <c r="AM202" s="504" t="e">
        <f>AG202-AK202-AO202</f>
        <v>#DIV/0!</v>
      </c>
      <c r="AN202" s="503" t="e">
        <f t="shared" si="134"/>
        <v>#DIV/0!</v>
      </c>
      <c r="AO202" s="502">
        <f t="shared" si="135"/>
        <v>0</v>
      </c>
      <c r="AP202" s="503" t="e">
        <f t="shared" si="136"/>
        <v>#DIV/0!</v>
      </c>
      <c r="AQ202" s="314"/>
      <c r="AR202" s="110">
        <v>50465</v>
      </c>
      <c r="AS202" s="98">
        <f t="shared" si="116"/>
        <v>0</v>
      </c>
      <c r="AT202" s="98">
        <f t="shared" si="117"/>
        <v>0</v>
      </c>
      <c r="AU202" s="98"/>
      <c r="AV202" s="308"/>
      <c r="AW202" s="308"/>
      <c r="AX202" s="308"/>
      <c r="AY202" s="313"/>
      <c r="AZ202" s="313"/>
      <c r="BA202" s="313"/>
      <c r="BB202" s="313"/>
    </row>
    <row r="203" spans="1:54">
      <c r="A203" s="295">
        <v>45579</v>
      </c>
      <c r="B203" s="296">
        <f t="shared" si="118"/>
        <v>228206.68644600542</v>
      </c>
      <c r="C203" s="312">
        <f t="shared" si="119"/>
        <v>3.8483429990828063E-4</v>
      </c>
      <c r="D203" s="296">
        <f t="shared" si="120"/>
        <v>121292.86389734212</v>
      </c>
      <c r="E203" s="312">
        <f t="shared" si="121"/>
        <v>3.848693762979999E-4</v>
      </c>
      <c r="F203" s="296">
        <f t="shared" si="122"/>
        <v>24581.195869099189</v>
      </c>
      <c r="G203" s="312">
        <f t="shared" si="123"/>
        <v>3.8464869601581738E-4</v>
      </c>
      <c r="H203" s="398">
        <v>0</v>
      </c>
      <c r="I203" s="312">
        <f t="shared" si="124"/>
        <v>0</v>
      </c>
      <c r="J203" s="457" t="e">
        <f t="shared" si="137"/>
        <v>#DIV/0!</v>
      </c>
      <c r="K203" s="369" t="e">
        <f t="shared" si="125"/>
        <v>#DIV/0!</v>
      </c>
      <c r="L203" s="404" t="e">
        <f t="shared" si="138"/>
        <v>#DIV/0!</v>
      </c>
      <c r="M203" s="312" t="e">
        <f t="shared" si="139"/>
        <v>#DIV/0!</v>
      </c>
      <c r="N203" s="298">
        <f t="shared" si="140"/>
        <v>20464.964481685136</v>
      </c>
      <c r="O203" s="312">
        <f t="shared" si="141"/>
        <v>3.6059110494392172E-4</v>
      </c>
      <c r="P203" s="404" t="e">
        <f t="shared" si="142"/>
        <v>#DIV/0!</v>
      </c>
      <c r="Q203" s="312" t="e">
        <f t="shared" ref="Q203:Q266" si="145">(P203+2243.33-P202)/P202</f>
        <v>#DIV/0!</v>
      </c>
      <c r="R203" s="298"/>
      <c r="S203" s="312"/>
      <c r="T203" s="298"/>
      <c r="U203" s="312"/>
      <c r="V203" s="454">
        <f t="shared" si="143"/>
        <v>0</v>
      </c>
      <c r="W203" s="312">
        <f t="shared" si="115"/>
        <v>-1.0000002752637027</v>
      </c>
      <c r="X203" s="454">
        <f t="shared" si="144"/>
        <v>0</v>
      </c>
      <c r="Y203" s="312">
        <f t="shared" si="126"/>
        <v>-1</v>
      </c>
      <c r="Z203" s="674">
        <f t="shared" si="127"/>
        <v>0</v>
      </c>
      <c r="AA203" s="297"/>
      <c r="AB203" s="379">
        <f t="shared" si="127"/>
        <v>0</v>
      </c>
      <c r="AC203" s="297"/>
      <c r="AD203" s="413">
        <f t="shared" si="128"/>
        <v>0</v>
      </c>
      <c r="AE203" s="297"/>
      <c r="AG203" s="400" t="e">
        <f t="shared" si="129"/>
        <v>#DIV/0!</v>
      </c>
      <c r="AH203" s="401">
        <f t="shared" si="130"/>
        <v>0</v>
      </c>
      <c r="AI203" s="407">
        <f t="shared" si="131"/>
        <v>0</v>
      </c>
      <c r="AJ203" s="498"/>
      <c r="AK203" s="502">
        <f t="shared" si="132"/>
        <v>0</v>
      </c>
      <c r="AL203" s="503" t="e">
        <f t="shared" si="133"/>
        <v>#DIV/0!</v>
      </c>
      <c r="AM203" s="504" t="e">
        <f>AG203-AK203-AO203</f>
        <v>#DIV/0!</v>
      </c>
      <c r="AN203" s="503" t="e">
        <f t="shared" si="134"/>
        <v>#DIV/0!</v>
      </c>
      <c r="AO203" s="502">
        <f t="shared" si="135"/>
        <v>0</v>
      </c>
      <c r="AP203" s="503" t="e">
        <f t="shared" si="136"/>
        <v>#DIV/0!</v>
      </c>
      <c r="AQ203" s="314"/>
      <c r="AR203" s="110">
        <v>50496</v>
      </c>
      <c r="AS203" s="98">
        <f t="shared" si="116"/>
        <v>0</v>
      </c>
      <c r="AT203" s="98">
        <f t="shared" si="117"/>
        <v>0</v>
      </c>
      <c r="AU203" s="98"/>
      <c r="AV203" s="308"/>
      <c r="AW203" s="308"/>
      <c r="AX203" s="308"/>
      <c r="AY203" s="313"/>
      <c r="AZ203" s="313"/>
      <c r="BA203" s="313"/>
      <c r="BB203" s="313"/>
    </row>
    <row r="204" spans="1:54">
      <c r="A204" s="295">
        <v>45580</v>
      </c>
      <c r="B204" s="296">
        <f t="shared" si="118"/>
        <v>228294.50820641825</v>
      </c>
      <c r="C204" s="312">
        <f t="shared" si="119"/>
        <v>3.8483429990824756E-4</v>
      </c>
      <c r="D204" s="296">
        <f t="shared" si="120"/>
        <v>121339.54580621968</v>
      </c>
      <c r="E204" s="312">
        <f t="shared" si="121"/>
        <v>3.848693762979851E-4</v>
      </c>
      <c r="F204" s="296">
        <f t="shared" si="122"/>
        <v>24590.650994036747</v>
      </c>
      <c r="G204" s="312">
        <f t="shared" si="123"/>
        <v>3.8464869601580681E-4</v>
      </c>
      <c r="H204" s="398">
        <v>0</v>
      </c>
      <c r="I204" s="312">
        <f t="shared" si="124"/>
        <v>0</v>
      </c>
      <c r="J204" s="457" t="e">
        <f t="shared" si="137"/>
        <v>#DIV/0!</v>
      </c>
      <c r="K204" s="369" t="e">
        <f t="shared" si="125"/>
        <v>#DIV/0!</v>
      </c>
      <c r="L204" s="404" t="e">
        <f t="shared" si="138"/>
        <v>#DIV/0!</v>
      </c>
      <c r="M204" s="312" t="e">
        <f t="shared" si="139"/>
        <v>#DIV/0!</v>
      </c>
      <c r="N204" s="298">
        <f t="shared" si="140"/>
        <v>20472.343965840224</v>
      </c>
      <c r="O204" s="312">
        <f t="shared" si="141"/>
        <v>3.6059110494387472E-4</v>
      </c>
      <c r="P204" s="404" t="e">
        <f t="shared" si="142"/>
        <v>#DIV/0!</v>
      </c>
      <c r="Q204" s="312" t="e">
        <f t="shared" si="145"/>
        <v>#DIV/0!</v>
      </c>
      <c r="R204" s="298"/>
      <c r="S204" s="312"/>
      <c r="T204" s="298"/>
      <c r="U204" s="312"/>
      <c r="V204" s="454">
        <f t="shared" si="143"/>
        <v>0</v>
      </c>
      <c r="W204" s="312">
        <f t="shared" si="115"/>
        <v>-1.0000002752637027</v>
      </c>
      <c r="X204" s="454">
        <f t="shared" si="144"/>
        <v>0</v>
      </c>
      <c r="Y204" s="312">
        <f t="shared" si="126"/>
        <v>-1</v>
      </c>
      <c r="Z204" s="674">
        <f t="shared" si="127"/>
        <v>0</v>
      </c>
      <c r="AA204" s="329"/>
      <c r="AB204" s="379">
        <f t="shared" si="127"/>
        <v>0</v>
      </c>
      <c r="AC204" s="329"/>
      <c r="AD204" s="413">
        <f t="shared" si="128"/>
        <v>0</v>
      </c>
      <c r="AE204" s="329"/>
      <c r="AG204" s="400" t="e">
        <f t="shared" si="129"/>
        <v>#DIV/0!</v>
      </c>
      <c r="AH204" s="401">
        <f t="shared" si="130"/>
        <v>0</v>
      </c>
      <c r="AI204" s="407">
        <f t="shared" si="131"/>
        <v>0</v>
      </c>
      <c r="AJ204" s="498"/>
      <c r="AK204" s="502">
        <f t="shared" si="132"/>
        <v>0</v>
      </c>
      <c r="AL204" s="503" t="e">
        <f t="shared" si="133"/>
        <v>#DIV/0!</v>
      </c>
      <c r="AM204" s="504" t="e">
        <f>AG204-AK204-AO204</f>
        <v>#DIV/0!</v>
      </c>
      <c r="AN204" s="503" t="e">
        <f t="shared" si="134"/>
        <v>#DIV/0!</v>
      </c>
      <c r="AO204" s="502">
        <f t="shared" si="135"/>
        <v>0</v>
      </c>
      <c r="AP204" s="503" t="e">
        <f t="shared" si="136"/>
        <v>#DIV/0!</v>
      </c>
      <c r="AQ204" s="314"/>
      <c r="AR204" s="110">
        <v>50526</v>
      </c>
      <c r="AS204" s="98">
        <f t="shared" si="116"/>
        <v>0</v>
      </c>
      <c r="AT204" s="98">
        <f t="shared" si="117"/>
        <v>0</v>
      </c>
      <c r="AU204" s="98"/>
      <c r="AV204" s="308"/>
      <c r="AW204" s="308"/>
      <c r="AX204" s="308"/>
      <c r="AY204" s="313"/>
      <c r="AZ204" s="313"/>
      <c r="BA204" s="313"/>
      <c r="BB204" s="313"/>
    </row>
    <row r="205" spans="1:54">
      <c r="A205" s="295">
        <v>45581</v>
      </c>
      <c r="B205" s="296">
        <f t="shared" si="118"/>
        <v>228382.36376365676</v>
      </c>
      <c r="C205" s="312">
        <f t="shared" si="119"/>
        <v>3.8483429990822057E-4</v>
      </c>
      <c r="D205" s="296">
        <f t="shared" si="120"/>
        <v>121386.2456815344</v>
      </c>
      <c r="E205" s="312">
        <f t="shared" si="121"/>
        <v>3.8486937629798027E-4</v>
      </c>
      <c r="F205" s="296">
        <f t="shared" si="122"/>
        <v>24600.109755875783</v>
      </c>
      <c r="G205" s="312">
        <f t="shared" si="123"/>
        <v>3.8464869601580588E-4</v>
      </c>
      <c r="H205" s="398">
        <v>0</v>
      </c>
      <c r="I205" s="312">
        <f t="shared" si="124"/>
        <v>0</v>
      </c>
      <c r="J205" s="457" t="e">
        <f t="shared" si="137"/>
        <v>#DIV/0!</v>
      </c>
      <c r="K205" s="369" t="e">
        <f t="shared" si="125"/>
        <v>#DIV/0!</v>
      </c>
      <c r="L205" s="404" t="e">
        <f t="shared" si="138"/>
        <v>#DIV/0!</v>
      </c>
      <c r="M205" s="312" t="e">
        <f t="shared" si="139"/>
        <v>#DIV/0!</v>
      </c>
      <c r="N205" s="298">
        <f t="shared" si="140"/>
        <v>20479.726110971656</v>
      </c>
      <c r="O205" s="312">
        <f t="shared" si="141"/>
        <v>3.6059110494383016E-4</v>
      </c>
      <c r="P205" s="404" t="e">
        <f t="shared" si="142"/>
        <v>#DIV/0!</v>
      </c>
      <c r="Q205" s="312" t="e">
        <f t="shared" si="145"/>
        <v>#DIV/0!</v>
      </c>
      <c r="R205" s="298"/>
      <c r="S205" s="312"/>
      <c r="T205" s="298"/>
      <c r="U205" s="312"/>
      <c r="V205" s="454">
        <f t="shared" si="143"/>
        <v>0</v>
      </c>
      <c r="W205" s="312">
        <f t="shared" si="115"/>
        <v>-1.0000002752637027</v>
      </c>
      <c r="X205" s="454">
        <f t="shared" si="144"/>
        <v>0</v>
      </c>
      <c r="Y205" s="312">
        <f t="shared" si="126"/>
        <v>-1</v>
      </c>
      <c r="Z205" s="674">
        <f t="shared" si="127"/>
        <v>0</v>
      </c>
      <c r="AA205" s="297"/>
      <c r="AB205" s="379">
        <f t="shared" si="127"/>
        <v>0</v>
      </c>
      <c r="AC205" s="297"/>
      <c r="AD205" s="413">
        <f t="shared" si="128"/>
        <v>0</v>
      </c>
      <c r="AE205" s="297"/>
      <c r="AG205" s="400" t="e">
        <f t="shared" si="129"/>
        <v>#DIV/0!</v>
      </c>
      <c r="AH205" s="401">
        <f t="shared" si="130"/>
        <v>0</v>
      </c>
      <c r="AI205" s="407">
        <f t="shared" si="131"/>
        <v>0</v>
      </c>
      <c r="AJ205" s="498"/>
      <c r="AK205" s="502">
        <f t="shared" si="132"/>
        <v>0</v>
      </c>
      <c r="AL205" s="503" t="e">
        <f t="shared" si="133"/>
        <v>#DIV/0!</v>
      </c>
      <c r="AM205" s="504" t="e">
        <f>AG205-AK205-AO205</f>
        <v>#DIV/0!</v>
      </c>
      <c r="AN205" s="503" t="e">
        <f t="shared" si="134"/>
        <v>#DIV/0!</v>
      </c>
      <c r="AO205" s="502">
        <f t="shared" si="135"/>
        <v>0</v>
      </c>
      <c r="AP205" s="503" t="e">
        <f t="shared" si="136"/>
        <v>#DIV/0!</v>
      </c>
      <c r="AQ205" s="314"/>
      <c r="AR205" s="110">
        <v>50557</v>
      </c>
      <c r="AS205" s="98">
        <f t="shared" si="116"/>
        <v>0</v>
      </c>
      <c r="AT205" s="98">
        <f t="shared" si="117"/>
        <v>0</v>
      </c>
      <c r="AU205" s="98"/>
      <c r="AV205" s="308"/>
      <c r="AW205" s="308"/>
      <c r="AX205" s="308"/>
      <c r="AY205" s="313"/>
      <c r="AZ205" s="313"/>
      <c r="BA205" s="313"/>
      <c r="BB205" s="313"/>
    </row>
    <row r="206" spans="1:54">
      <c r="A206" s="295">
        <v>45582</v>
      </c>
      <c r="B206" s="296">
        <f t="shared" si="118"/>
        <v>228470.25313072713</v>
      </c>
      <c r="C206" s="312">
        <f t="shared" si="119"/>
        <v>3.8483429990821086E-4</v>
      </c>
      <c r="D206" s="296">
        <f t="shared" si="120"/>
        <v>121432.96353020101</v>
      </c>
      <c r="E206" s="312">
        <f t="shared" si="121"/>
        <v>3.8486937629800803E-4</v>
      </c>
      <c r="F206" s="296">
        <f t="shared" si="122"/>
        <v>24609.572156015227</v>
      </c>
      <c r="G206" s="312">
        <f t="shared" si="123"/>
        <v>3.8464869601583624E-4</v>
      </c>
      <c r="H206" s="398">
        <v>0</v>
      </c>
      <c r="I206" s="312">
        <f t="shared" si="124"/>
        <v>0</v>
      </c>
      <c r="J206" s="457" t="e">
        <f t="shared" si="137"/>
        <v>#DIV/0!</v>
      </c>
      <c r="K206" s="369" t="e">
        <f t="shared" si="125"/>
        <v>#DIV/0!</v>
      </c>
      <c r="L206" s="404" t="e">
        <f t="shared" si="138"/>
        <v>#DIV/0!</v>
      </c>
      <c r="M206" s="312" t="e">
        <f t="shared" si="139"/>
        <v>#DIV/0!</v>
      </c>
      <c r="N206" s="298">
        <f t="shared" si="140"/>
        <v>20487.110918038958</v>
      </c>
      <c r="O206" s="312">
        <f t="shared" si="141"/>
        <v>3.6059110494377519E-4</v>
      </c>
      <c r="P206" s="404" t="e">
        <f t="shared" si="142"/>
        <v>#DIV/0!</v>
      </c>
      <c r="Q206" s="312" t="e">
        <f t="shared" si="145"/>
        <v>#DIV/0!</v>
      </c>
      <c r="R206" s="298"/>
      <c r="S206" s="312"/>
      <c r="T206" s="298"/>
      <c r="U206" s="312"/>
      <c r="V206" s="454">
        <f t="shared" si="143"/>
        <v>0</v>
      </c>
      <c r="W206" s="312">
        <f t="shared" si="115"/>
        <v>-1.0000002752637027</v>
      </c>
      <c r="X206" s="454">
        <f t="shared" si="144"/>
        <v>0</v>
      </c>
      <c r="Y206" s="312">
        <f t="shared" si="126"/>
        <v>-1</v>
      </c>
      <c r="Z206" s="674">
        <f t="shared" si="127"/>
        <v>0</v>
      </c>
      <c r="AA206" s="329"/>
      <c r="AB206" s="379">
        <f t="shared" si="127"/>
        <v>0</v>
      </c>
      <c r="AC206" s="329"/>
      <c r="AD206" s="413">
        <f t="shared" si="128"/>
        <v>0</v>
      </c>
      <c r="AE206" s="329"/>
      <c r="AG206" s="400" t="e">
        <f t="shared" si="129"/>
        <v>#DIV/0!</v>
      </c>
      <c r="AH206" s="401">
        <f t="shared" si="130"/>
        <v>0</v>
      </c>
      <c r="AI206" s="407">
        <f t="shared" si="131"/>
        <v>0</v>
      </c>
      <c r="AJ206" s="498"/>
      <c r="AK206" s="502">
        <f t="shared" si="132"/>
        <v>0</v>
      </c>
      <c r="AL206" s="503" t="e">
        <f t="shared" si="133"/>
        <v>#DIV/0!</v>
      </c>
      <c r="AM206" s="504" t="e">
        <f>AG206-AK206-AO206</f>
        <v>#DIV/0!</v>
      </c>
      <c r="AN206" s="503" t="e">
        <f t="shared" si="134"/>
        <v>#DIV/0!</v>
      </c>
      <c r="AO206" s="502">
        <f t="shared" si="135"/>
        <v>0</v>
      </c>
      <c r="AP206" s="503" t="e">
        <f t="shared" si="136"/>
        <v>#DIV/0!</v>
      </c>
      <c r="AQ206" s="314"/>
      <c r="AR206" s="110">
        <v>50587</v>
      </c>
      <c r="AS206" s="98">
        <f t="shared" si="116"/>
        <v>0</v>
      </c>
      <c r="AT206" s="98">
        <f t="shared" si="117"/>
        <v>0</v>
      </c>
      <c r="AU206" s="98"/>
      <c r="AV206" s="308"/>
      <c r="AW206" s="308"/>
      <c r="AX206" s="308"/>
      <c r="AY206" s="313"/>
      <c r="AZ206" s="313"/>
      <c r="BA206" s="313"/>
      <c r="BB206" s="313"/>
    </row>
    <row r="207" spans="1:54">
      <c r="A207" s="295">
        <v>45583</v>
      </c>
      <c r="B207" s="296">
        <f t="shared" si="118"/>
        <v>228558.17632064054</v>
      </c>
      <c r="C207" s="312">
        <f t="shared" si="119"/>
        <v>3.8483429990822116E-4</v>
      </c>
      <c r="D207" s="296">
        <f t="shared" si="120"/>
        <v>121479.6993591369</v>
      </c>
      <c r="E207" s="312">
        <f t="shared" si="121"/>
        <v>3.8486937629796282E-4</v>
      </c>
      <c r="F207" s="296">
        <f t="shared" si="122"/>
        <v>24619.038195854544</v>
      </c>
      <c r="G207" s="312">
        <f t="shared" si="123"/>
        <v>3.8464869601576317E-4</v>
      </c>
      <c r="H207" s="398">
        <v>0</v>
      </c>
      <c r="I207" s="312">
        <f t="shared" si="124"/>
        <v>0</v>
      </c>
      <c r="J207" s="457" t="e">
        <f t="shared" si="137"/>
        <v>#DIV/0!</v>
      </c>
      <c r="K207" s="369" t="e">
        <f t="shared" si="125"/>
        <v>#DIV/0!</v>
      </c>
      <c r="L207" s="404" t="e">
        <f t="shared" si="138"/>
        <v>#DIV/0!</v>
      </c>
      <c r="M207" s="312" t="e">
        <f t="shared" si="139"/>
        <v>#DIV/0!</v>
      </c>
      <c r="N207" s="298">
        <f t="shared" si="140"/>
        <v>20494.498388001997</v>
      </c>
      <c r="O207" s="312">
        <f t="shared" si="141"/>
        <v>3.6059110494369089E-4</v>
      </c>
      <c r="P207" s="404" t="e">
        <f t="shared" si="142"/>
        <v>#DIV/0!</v>
      </c>
      <c r="Q207" s="312" t="e">
        <f t="shared" si="145"/>
        <v>#DIV/0!</v>
      </c>
      <c r="R207" s="298"/>
      <c r="S207" s="312"/>
      <c r="T207" s="298"/>
      <c r="U207" s="312"/>
      <c r="V207" s="454">
        <f t="shared" si="143"/>
        <v>0</v>
      </c>
      <c r="W207" s="312">
        <f t="shared" si="115"/>
        <v>-1.0000002752637027</v>
      </c>
      <c r="X207" s="454">
        <f t="shared" si="144"/>
        <v>0</v>
      </c>
      <c r="Y207" s="312">
        <f t="shared" si="126"/>
        <v>-1</v>
      </c>
      <c r="Z207" s="674">
        <f t="shared" si="127"/>
        <v>0</v>
      </c>
      <c r="AA207" s="297"/>
      <c r="AB207" s="379">
        <f t="shared" si="127"/>
        <v>0</v>
      </c>
      <c r="AC207" s="297"/>
      <c r="AD207" s="413">
        <f t="shared" si="128"/>
        <v>0</v>
      </c>
      <c r="AE207" s="297"/>
      <c r="AG207" s="400" t="e">
        <f t="shared" si="129"/>
        <v>#DIV/0!</v>
      </c>
      <c r="AH207" s="401">
        <f t="shared" si="130"/>
        <v>0</v>
      </c>
      <c r="AI207" s="407">
        <f t="shared" si="131"/>
        <v>0</v>
      </c>
      <c r="AJ207" s="498"/>
      <c r="AK207" s="502">
        <f t="shared" si="132"/>
        <v>0</v>
      </c>
      <c r="AL207" s="503" t="e">
        <f t="shared" si="133"/>
        <v>#DIV/0!</v>
      </c>
      <c r="AM207" s="504" t="e">
        <f>AG207-AK207-AO207</f>
        <v>#DIV/0!</v>
      </c>
      <c r="AN207" s="503" t="e">
        <f t="shared" si="134"/>
        <v>#DIV/0!</v>
      </c>
      <c r="AO207" s="502">
        <f t="shared" si="135"/>
        <v>0</v>
      </c>
      <c r="AP207" s="503" t="e">
        <f t="shared" si="136"/>
        <v>#DIV/0!</v>
      </c>
      <c r="AQ207" s="314"/>
      <c r="AR207" s="110">
        <v>50618</v>
      </c>
      <c r="AS207" s="98">
        <f t="shared" si="116"/>
        <v>0</v>
      </c>
      <c r="AT207" s="98">
        <f t="shared" si="117"/>
        <v>0</v>
      </c>
      <c r="AU207" s="98"/>
      <c r="AV207" s="308"/>
      <c r="AW207" s="308"/>
      <c r="AX207" s="308"/>
      <c r="AY207" s="313"/>
      <c r="AZ207" s="313"/>
      <c r="BA207" s="313"/>
      <c r="BB207" s="313"/>
    </row>
    <row r="208" spans="1:54">
      <c r="A208" s="295">
        <v>45586</v>
      </c>
      <c r="B208" s="296">
        <f t="shared" si="118"/>
        <v>228646.1333464132</v>
      </c>
      <c r="C208" s="312">
        <f t="shared" si="119"/>
        <v>3.8483429990824583E-4</v>
      </c>
      <c r="D208" s="296">
        <f t="shared" si="120"/>
        <v>121526.45317526211</v>
      </c>
      <c r="E208" s="312">
        <f t="shared" si="121"/>
        <v>3.848693762979703E-4</v>
      </c>
      <c r="F208" s="296">
        <f t="shared" si="122"/>
        <v>24628.507876793741</v>
      </c>
      <c r="G208" s="312">
        <f t="shared" si="123"/>
        <v>3.8464869601573942E-4</v>
      </c>
      <c r="H208" s="398">
        <v>0</v>
      </c>
      <c r="I208" s="312">
        <f t="shared" si="124"/>
        <v>0</v>
      </c>
      <c r="J208" s="457" t="e">
        <f t="shared" si="137"/>
        <v>#DIV/0!</v>
      </c>
      <c r="K208" s="369" t="e">
        <f t="shared" si="125"/>
        <v>#DIV/0!</v>
      </c>
      <c r="L208" s="404" t="e">
        <f t="shared" si="138"/>
        <v>#DIV/0!</v>
      </c>
      <c r="M208" s="312" t="e">
        <f t="shared" si="139"/>
        <v>#DIV/0!</v>
      </c>
      <c r="N208" s="298">
        <f t="shared" si="140"/>
        <v>20501.888521820994</v>
      </c>
      <c r="O208" s="312">
        <f t="shared" si="141"/>
        <v>3.6059110494372976E-4</v>
      </c>
      <c r="P208" s="404" t="e">
        <f t="shared" si="142"/>
        <v>#DIV/0!</v>
      </c>
      <c r="Q208" s="312" t="e">
        <f t="shared" si="145"/>
        <v>#DIV/0!</v>
      </c>
      <c r="R208" s="298"/>
      <c r="S208" s="312"/>
      <c r="T208" s="298"/>
      <c r="U208" s="312"/>
      <c r="V208" s="454">
        <f t="shared" si="143"/>
        <v>0</v>
      </c>
      <c r="W208" s="312">
        <f t="shared" si="115"/>
        <v>-1.0000002752637027</v>
      </c>
      <c r="X208" s="454">
        <f t="shared" si="144"/>
        <v>0</v>
      </c>
      <c r="Y208" s="312">
        <f t="shared" si="126"/>
        <v>-1</v>
      </c>
      <c r="Z208" s="674">
        <f t="shared" si="127"/>
        <v>0</v>
      </c>
      <c r="AA208" s="329"/>
      <c r="AB208" s="379">
        <f t="shared" si="127"/>
        <v>0</v>
      </c>
      <c r="AC208" s="329"/>
      <c r="AD208" s="413">
        <f t="shared" si="128"/>
        <v>0</v>
      </c>
      <c r="AE208" s="329"/>
      <c r="AG208" s="400" t="e">
        <f t="shared" si="129"/>
        <v>#DIV/0!</v>
      </c>
      <c r="AH208" s="401">
        <f t="shared" si="130"/>
        <v>0</v>
      </c>
      <c r="AI208" s="407">
        <f t="shared" si="131"/>
        <v>0</v>
      </c>
      <c r="AJ208" s="498"/>
      <c r="AK208" s="502">
        <f t="shared" si="132"/>
        <v>0</v>
      </c>
      <c r="AL208" s="503" t="e">
        <f t="shared" si="133"/>
        <v>#DIV/0!</v>
      </c>
      <c r="AM208" s="504" t="e">
        <f>AG208-AK208-AO208</f>
        <v>#DIV/0!</v>
      </c>
      <c r="AN208" s="503" t="e">
        <f t="shared" si="134"/>
        <v>#DIV/0!</v>
      </c>
      <c r="AO208" s="502">
        <f t="shared" si="135"/>
        <v>0</v>
      </c>
      <c r="AP208" s="503" t="e">
        <f t="shared" si="136"/>
        <v>#DIV/0!</v>
      </c>
      <c r="AQ208" s="314"/>
      <c r="AR208" s="110">
        <v>50649</v>
      </c>
      <c r="AS208" s="98">
        <f t="shared" si="116"/>
        <v>0</v>
      </c>
      <c r="AT208" s="98">
        <f t="shared" si="117"/>
        <v>0</v>
      </c>
      <c r="AU208" s="98"/>
      <c r="AV208" s="308"/>
      <c r="AW208" s="308"/>
      <c r="AX208" s="308"/>
      <c r="AY208" s="313"/>
      <c r="AZ208" s="313"/>
      <c r="BA208" s="313"/>
      <c r="BB208" s="313"/>
    </row>
    <row r="209" spans="1:54">
      <c r="A209" s="295">
        <v>45587</v>
      </c>
      <c r="B209" s="296">
        <f t="shared" si="118"/>
        <v>228734.1242210663</v>
      </c>
      <c r="C209" s="312">
        <f t="shared" si="119"/>
        <v>3.8483429990827071E-4</v>
      </c>
      <c r="D209" s="296">
        <f t="shared" si="120"/>
        <v>121573.22498549939</v>
      </c>
      <c r="E209" s="312">
        <f t="shared" si="121"/>
        <v>3.8486937629802793E-4</v>
      </c>
      <c r="F209" s="296">
        <f t="shared" si="122"/>
        <v>24637.981200233364</v>
      </c>
      <c r="G209" s="312">
        <f t="shared" si="123"/>
        <v>3.8464869601576127E-4</v>
      </c>
      <c r="H209" s="398">
        <v>0</v>
      </c>
      <c r="I209" s="312">
        <f t="shared" si="124"/>
        <v>0</v>
      </c>
      <c r="J209" s="457" t="e">
        <f t="shared" si="137"/>
        <v>#DIV/0!</v>
      </c>
      <c r="K209" s="369" t="e">
        <f t="shared" si="125"/>
        <v>#DIV/0!</v>
      </c>
      <c r="L209" s="404" t="e">
        <f t="shared" si="138"/>
        <v>#DIV/0!</v>
      </c>
      <c r="M209" s="312" t="e">
        <f t="shared" si="139"/>
        <v>#DIV/0!</v>
      </c>
      <c r="N209" s="298">
        <f t="shared" si="140"/>
        <v>20509.28132045651</v>
      </c>
      <c r="O209" s="312">
        <f t="shared" si="141"/>
        <v>3.6059110494368309E-4</v>
      </c>
      <c r="P209" s="404" t="e">
        <f t="shared" si="142"/>
        <v>#DIV/0!</v>
      </c>
      <c r="Q209" s="312" t="e">
        <f t="shared" si="145"/>
        <v>#DIV/0!</v>
      </c>
      <c r="R209" s="298"/>
      <c r="S209" s="312"/>
      <c r="T209" s="298"/>
      <c r="U209" s="312"/>
      <c r="V209" s="454">
        <f t="shared" si="143"/>
        <v>0</v>
      </c>
      <c r="W209" s="312">
        <f t="shared" si="115"/>
        <v>-1.0000002752637027</v>
      </c>
      <c r="X209" s="454">
        <f t="shared" si="144"/>
        <v>0</v>
      </c>
      <c r="Y209" s="312">
        <f t="shared" si="126"/>
        <v>-1</v>
      </c>
      <c r="Z209" s="674">
        <f t="shared" si="127"/>
        <v>0</v>
      </c>
      <c r="AA209" s="297"/>
      <c r="AB209" s="379">
        <f t="shared" si="127"/>
        <v>0</v>
      </c>
      <c r="AC209" s="297"/>
      <c r="AD209" s="413">
        <f t="shared" si="128"/>
        <v>0</v>
      </c>
      <c r="AE209" s="297"/>
      <c r="AG209" s="400" t="e">
        <f t="shared" si="129"/>
        <v>#DIV/0!</v>
      </c>
      <c r="AH209" s="401">
        <f t="shared" si="130"/>
        <v>0</v>
      </c>
      <c r="AI209" s="407">
        <f t="shared" si="131"/>
        <v>0</v>
      </c>
      <c r="AJ209" s="498"/>
      <c r="AK209" s="502">
        <f t="shared" si="132"/>
        <v>0</v>
      </c>
      <c r="AL209" s="503" t="e">
        <f t="shared" si="133"/>
        <v>#DIV/0!</v>
      </c>
      <c r="AM209" s="504" t="e">
        <f>AG209-AK209-AO209</f>
        <v>#DIV/0!</v>
      </c>
      <c r="AN209" s="503" t="e">
        <f t="shared" si="134"/>
        <v>#DIV/0!</v>
      </c>
      <c r="AO209" s="502">
        <f t="shared" si="135"/>
        <v>0</v>
      </c>
      <c r="AP209" s="503" t="e">
        <f t="shared" si="136"/>
        <v>#DIV/0!</v>
      </c>
      <c r="AQ209" s="314"/>
      <c r="AR209" s="110">
        <v>50679</v>
      </c>
      <c r="AS209" s="98">
        <f t="shared" si="116"/>
        <v>0</v>
      </c>
      <c r="AT209" s="98">
        <f t="shared" si="117"/>
        <v>0</v>
      </c>
      <c r="AU209" s="98"/>
      <c r="AV209" s="308"/>
      <c r="AW209" s="308"/>
      <c r="AX209" s="308"/>
      <c r="AY209" s="313"/>
      <c r="AZ209" s="313"/>
      <c r="BA209" s="313"/>
      <c r="BB209" s="313"/>
    </row>
    <row r="210" spans="1:54">
      <c r="A210" s="295">
        <v>45588</v>
      </c>
      <c r="B210" s="296">
        <f t="shared" si="118"/>
        <v>228822.14895762605</v>
      </c>
      <c r="C210" s="312">
        <f t="shared" si="119"/>
        <v>3.8483429990827337E-4</v>
      </c>
      <c r="D210" s="296">
        <f t="shared" si="120"/>
        <v>121620.01479677409</v>
      </c>
      <c r="E210" s="312">
        <f t="shared" si="121"/>
        <v>3.8486937629800472E-4</v>
      </c>
      <c r="F210" s="296">
        <f t="shared" si="122"/>
        <v>24647.458167574496</v>
      </c>
      <c r="G210" s="312">
        <f t="shared" si="123"/>
        <v>3.8464869601581662E-4</v>
      </c>
      <c r="H210" s="398">
        <v>0</v>
      </c>
      <c r="I210" s="312">
        <f t="shared" si="124"/>
        <v>0</v>
      </c>
      <c r="J210" s="457" t="e">
        <f t="shared" si="137"/>
        <v>#DIV/0!</v>
      </c>
      <c r="K210" s="369" t="e">
        <f t="shared" si="125"/>
        <v>#DIV/0!</v>
      </c>
      <c r="L210" s="404" t="e">
        <f t="shared" si="138"/>
        <v>#DIV/0!</v>
      </c>
      <c r="M210" s="312" t="e">
        <f t="shared" si="139"/>
        <v>#DIV/0!</v>
      </c>
      <c r="N210" s="298">
        <f t="shared" si="140"/>
        <v>20516.676784869454</v>
      </c>
      <c r="O210" s="312">
        <f t="shared" si="141"/>
        <v>3.6059110494369127E-4</v>
      </c>
      <c r="P210" s="404" t="e">
        <f t="shared" si="142"/>
        <v>#DIV/0!</v>
      </c>
      <c r="Q210" s="312" t="e">
        <f t="shared" si="145"/>
        <v>#DIV/0!</v>
      </c>
      <c r="R210" s="298"/>
      <c r="S210" s="312"/>
      <c r="T210" s="298"/>
      <c r="U210" s="312"/>
      <c r="V210" s="454">
        <f t="shared" si="143"/>
        <v>0</v>
      </c>
      <c r="W210" s="312">
        <f t="shared" si="115"/>
        <v>-1.0000002752637027</v>
      </c>
      <c r="X210" s="454">
        <f t="shared" si="144"/>
        <v>0</v>
      </c>
      <c r="Y210" s="312">
        <f t="shared" si="126"/>
        <v>-1</v>
      </c>
      <c r="Z210" s="674">
        <f t="shared" si="127"/>
        <v>0</v>
      </c>
      <c r="AA210" s="329"/>
      <c r="AB210" s="379">
        <f t="shared" si="127"/>
        <v>0</v>
      </c>
      <c r="AC210" s="329"/>
      <c r="AD210" s="413">
        <f t="shared" si="128"/>
        <v>0</v>
      </c>
      <c r="AE210" s="329"/>
      <c r="AG210" s="400" t="e">
        <f t="shared" si="129"/>
        <v>#DIV/0!</v>
      </c>
      <c r="AH210" s="401">
        <f t="shared" si="130"/>
        <v>0</v>
      </c>
      <c r="AI210" s="407">
        <f t="shared" si="131"/>
        <v>0</v>
      </c>
      <c r="AJ210" s="498"/>
      <c r="AK210" s="502">
        <f t="shared" si="132"/>
        <v>0</v>
      </c>
      <c r="AL210" s="503" t="e">
        <f t="shared" si="133"/>
        <v>#DIV/0!</v>
      </c>
      <c r="AM210" s="504" t="e">
        <f>AG210-AK210-AO210</f>
        <v>#DIV/0!</v>
      </c>
      <c r="AN210" s="503" t="e">
        <f t="shared" si="134"/>
        <v>#DIV/0!</v>
      </c>
      <c r="AO210" s="502">
        <f t="shared" si="135"/>
        <v>0</v>
      </c>
      <c r="AP210" s="503" t="e">
        <f t="shared" si="136"/>
        <v>#DIV/0!</v>
      </c>
      <c r="AQ210" s="314"/>
      <c r="AR210" s="110">
        <v>50710</v>
      </c>
      <c r="AS210" s="98">
        <f t="shared" si="116"/>
        <v>0</v>
      </c>
      <c r="AT210" s="98">
        <f t="shared" si="117"/>
        <v>0</v>
      </c>
      <c r="AU210" s="98"/>
      <c r="AV210" s="308"/>
      <c r="AW210" s="308"/>
      <c r="AX210" s="308"/>
      <c r="AY210" s="313"/>
      <c r="AZ210" s="313"/>
      <c r="BA210" s="313"/>
      <c r="BB210" s="313"/>
    </row>
    <row r="211" spans="1:54">
      <c r="A211" s="295">
        <v>45589</v>
      </c>
      <c r="B211" s="296">
        <f t="shared" si="118"/>
        <v>228910.20756912365</v>
      </c>
      <c r="C211" s="312">
        <f t="shared" si="119"/>
        <v>3.8483429990822295E-4</v>
      </c>
      <c r="D211" s="296">
        <f t="shared" si="120"/>
        <v>121666.82261601428</v>
      </c>
      <c r="E211" s="312">
        <f t="shared" si="121"/>
        <v>3.8486937629800109E-4</v>
      </c>
      <c r="F211" s="296">
        <f t="shared" si="122"/>
        <v>24656.938780218759</v>
      </c>
      <c r="G211" s="312">
        <f t="shared" si="123"/>
        <v>3.8464869601588487E-4</v>
      </c>
      <c r="H211" s="398">
        <v>0</v>
      </c>
      <c r="I211" s="312">
        <f t="shared" si="124"/>
        <v>0</v>
      </c>
      <c r="J211" s="457" t="e">
        <f t="shared" si="137"/>
        <v>#DIV/0!</v>
      </c>
      <c r="K211" s="369" t="e">
        <f t="shared" si="125"/>
        <v>#DIV/0!</v>
      </c>
      <c r="L211" s="404" t="e">
        <f t="shared" si="138"/>
        <v>#DIV/0!</v>
      </c>
      <c r="M211" s="312" t="e">
        <f t="shared" si="139"/>
        <v>#DIV/0!</v>
      </c>
      <c r="N211" s="298">
        <f t="shared" si="140"/>
        <v>20524.074916021083</v>
      </c>
      <c r="O211" s="312">
        <f t="shared" si="141"/>
        <v>3.605911049437109E-4</v>
      </c>
      <c r="P211" s="404" t="e">
        <f t="shared" si="142"/>
        <v>#DIV/0!</v>
      </c>
      <c r="Q211" s="312" t="e">
        <f t="shared" si="145"/>
        <v>#DIV/0!</v>
      </c>
      <c r="R211" s="298"/>
      <c r="S211" s="312"/>
      <c r="T211" s="298"/>
      <c r="U211" s="312"/>
      <c r="V211" s="454">
        <f t="shared" si="143"/>
        <v>0</v>
      </c>
      <c r="W211" s="312">
        <f t="shared" si="115"/>
        <v>-1.0000002752637027</v>
      </c>
      <c r="X211" s="454">
        <f t="shared" si="144"/>
        <v>0</v>
      </c>
      <c r="Y211" s="312">
        <f t="shared" si="126"/>
        <v>-1</v>
      </c>
      <c r="Z211" s="674">
        <f t="shared" si="127"/>
        <v>0</v>
      </c>
      <c r="AA211" s="297"/>
      <c r="AB211" s="379">
        <f t="shared" si="127"/>
        <v>0</v>
      </c>
      <c r="AC211" s="297"/>
      <c r="AD211" s="413">
        <f t="shared" si="128"/>
        <v>0</v>
      </c>
      <c r="AE211" s="297"/>
      <c r="AG211" s="400" t="e">
        <f t="shared" si="129"/>
        <v>#DIV/0!</v>
      </c>
      <c r="AH211" s="401">
        <f t="shared" si="130"/>
        <v>0</v>
      </c>
      <c r="AI211" s="407">
        <f t="shared" si="131"/>
        <v>0</v>
      </c>
      <c r="AJ211" s="498"/>
      <c r="AK211" s="502">
        <f t="shared" si="132"/>
        <v>0</v>
      </c>
      <c r="AL211" s="503" t="e">
        <f t="shared" si="133"/>
        <v>#DIV/0!</v>
      </c>
      <c r="AM211" s="504" t="e">
        <f>AG211-AK211-AO211</f>
        <v>#DIV/0!</v>
      </c>
      <c r="AN211" s="503" t="e">
        <f t="shared" si="134"/>
        <v>#DIV/0!</v>
      </c>
      <c r="AO211" s="502">
        <f t="shared" si="135"/>
        <v>0</v>
      </c>
      <c r="AP211" s="503" t="e">
        <f t="shared" si="136"/>
        <v>#DIV/0!</v>
      </c>
      <c r="AQ211" s="314"/>
      <c r="AR211" s="110">
        <v>50740</v>
      </c>
      <c r="AS211" s="98">
        <f t="shared" si="116"/>
        <v>0</v>
      </c>
      <c r="AT211" s="98">
        <f t="shared" si="117"/>
        <v>0</v>
      </c>
      <c r="AU211" s="98"/>
      <c r="AV211" s="308"/>
      <c r="AW211" s="308"/>
      <c r="AX211" s="308"/>
      <c r="AY211" s="313"/>
      <c r="AZ211" s="313"/>
      <c r="BA211" s="313"/>
      <c r="BB211" s="313"/>
    </row>
    <row r="212" spans="1:54">
      <c r="A212" s="295">
        <v>45590</v>
      </c>
      <c r="B212" s="296">
        <f t="shared" si="118"/>
        <v>228998.30006859536</v>
      </c>
      <c r="C212" s="312">
        <f t="shared" si="119"/>
        <v>3.8483429990820723E-4</v>
      </c>
      <c r="D212" s="296">
        <f t="shared" si="120"/>
        <v>121713.64845015066</v>
      </c>
      <c r="E212" s="312">
        <f t="shared" si="121"/>
        <v>3.8486937629798911E-4</v>
      </c>
      <c r="F212" s="296">
        <f t="shared" si="122"/>
        <v>24666.423039568315</v>
      </c>
      <c r="G212" s="312">
        <f t="shared" si="123"/>
        <v>3.8464869601593729E-4</v>
      </c>
      <c r="H212" s="398">
        <v>0</v>
      </c>
      <c r="I212" s="312">
        <f t="shared" si="124"/>
        <v>0</v>
      </c>
      <c r="J212" s="457" t="e">
        <f t="shared" si="137"/>
        <v>#DIV/0!</v>
      </c>
      <c r="K212" s="369" t="e">
        <f t="shared" si="125"/>
        <v>#DIV/0!</v>
      </c>
      <c r="L212" s="404" t="e">
        <f t="shared" si="138"/>
        <v>#DIV/0!</v>
      </c>
      <c r="M212" s="312" t="e">
        <f t="shared" si="139"/>
        <v>#DIV/0!</v>
      </c>
      <c r="N212" s="298">
        <f t="shared" si="140"/>
        <v>20531.475714872999</v>
      </c>
      <c r="O212" s="312">
        <f t="shared" si="141"/>
        <v>3.6059110494369268E-4</v>
      </c>
      <c r="P212" s="404" t="e">
        <f t="shared" si="142"/>
        <v>#DIV/0!</v>
      </c>
      <c r="Q212" s="312" t="e">
        <f t="shared" si="145"/>
        <v>#DIV/0!</v>
      </c>
      <c r="R212" s="298"/>
      <c r="S212" s="312"/>
      <c r="T212" s="298"/>
      <c r="U212" s="312"/>
      <c r="V212" s="454">
        <f t="shared" si="143"/>
        <v>0</v>
      </c>
      <c r="W212" s="312">
        <f t="shared" ref="W212:W257" si="146">(V212-(399.77+264.983+391.15+390.7+774.22+382.15+331.69+727.41+1508.85+2454.73+3272.99))/(399.77+264.98+391.15+390.7+774.22+382.15+331.69+727.41+1508.85+2454.73+3272.99)</f>
        <v>-1.0000002752637027</v>
      </c>
      <c r="X212" s="454">
        <f t="shared" si="144"/>
        <v>0</v>
      </c>
      <c r="Y212" s="312">
        <f t="shared" si="126"/>
        <v>-1</v>
      </c>
      <c r="Z212" s="674">
        <f t="shared" si="127"/>
        <v>0</v>
      </c>
      <c r="AA212" s="329"/>
      <c r="AB212" s="379">
        <f t="shared" si="127"/>
        <v>0</v>
      </c>
      <c r="AC212" s="329"/>
      <c r="AD212" s="413">
        <f t="shared" si="128"/>
        <v>0</v>
      </c>
      <c r="AE212" s="329"/>
      <c r="AG212" s="400" t="e">
        <f t="shared" si="129"/>
        <v>#DIV/0!</v>
      </c>
      <c r="AH212" s="401">
        <f t="shared" si="130"/>
        <v>0</v>
      </c>
      <c r="AI212" s="407">
        <f t="shared" si="131"/>
        <v>0</v>
      </c>
      <c r="AJ212" s="498"/>
      <c r="AK212" s="502">
        <f t="shared" si="132"/>
        <v>0</v>
      </c>
      <c r="AL212" s="503" t="e">
        <f t="shared" si="133"/>
        <v>#DIV/0!</v>
      </c>
      <c r="AM212" s="504" t="e">
        <f>AG212-AK212-AO212</f>
        <v>#DIV/0!</v>
      </c>
      <c r="AN212" s="503" t="e">
        <f t="shared" si="134"/>
        <v>#DIV/0!</v>
      </c>
      <c r="AO212" s="502">
        <f t="shared" si="135"/>
        <v>0</v>
      </c>
      <c r="AP212" s="503" t="e">
        <f t="shared" si="136"/>
        <v>#DIV/0!</v>
      </c>
      <c r="AQ212" s="314"/>
      <c r="AR212" s="110">
        <v>50771</v>
      </c>
      <c r="AS212" s="98">
        <f t="shared" si="116"/>
        <v>0</v>
      </c>
      <c r="AT212" s="98">
        <f t="shared" si="117"/>
        <v>0</v>
      </c>
      <c r="AU212" s="98"/>
      <c r="AV212" s="308"/>
      <c r="AW212" s="308"/>
      <c r="AX212" s="308"/>
      <c r="AY212" s="313"/>
      <c r="AZ212" s="313"/>
      <c r="BA212" s="313"/>
      <c r="BB212" s="313"/>
    </row>
    <row r="213" spans="1:54">
      <c r="A213" s="295">
        <v>45593</v>
      </c>
      <c r="B213" s="296">
        <f t="shared" si="118"/>
        <v>229086.42646908242</v>
      </c>
      <c r="C213" s="312">
        <f t="shared" si="119"/>
        <v>3.8483429990817855E-4</v>
      </c>
      <c r="D213" s="296">
        <f t="shared" si="120"/>
        <v>121760.49230611662</v>
      </c>
      <c r="E213" s="312">
        <f t="shared" si="121"/>
        <v>3.8486937629793246E-4</v>
      </c>
      <c r="F213" s="296">
        <f t="shared" si="122"/>
        <v>24675.910947025863</v>
      </c>
      <c r="G213" s="312">
        <f t="shared" si="123"/>
        <v>3.8464869601593658E-4</v>
      </c>
      <c r="H213" s="398">
        <v>0</v>
      </c>
      <c r="I213" s="312">
        <f t="shared" si="124"/>
        <v>0</v>
      </c>
      <c r="J213" s="457" t="e">
        <f t="shared" si="137"/>
        <v>#DIV/0!</v>
      </c>
      <c r="K213" s="369" t="e">
        <f t="shared" si="125"/>
        <v>#DIV/0!</v>
      </c>
      <c r="L213" s="404" t="e">
        <f t="shared" si="138"/>
        <v>#DIV/0!</v>
      </c>
      <c r="M213" s="312" t="e">
        <f t="shared" si="139"/>
        <v>#DIV/0!</v>
      </c>
      <c r="N213" s="298">
        <f t="shared" si="140"/>
        <v>20538.879182387151</v>
      </c>
      <c r="O213" s="312">
        <f t="shared" si="141"/>
        <v>3.6059110494375849E-4</v>
      </c>
      <c r="P213" s="404" t="e">
        <f t="shared" si="142"/>
        <v>#DIV/0!</v>
      </c>
      <c r="Q213" s="312" t="e">
        <f t="shared" si="145"/>
        <v>#DIV/0!</v>
      </c>
      <c r="R213" s="298"/>
      <c r="S213" s="312"/>
      <c r="T213" s="298"/>
      <c r="U213" s="312"/>
      <c r="V213" s="454">
        <f t="shared" si="143"/>
        <v>0</v>
      </c>
      <c r="W213" s="312">
        <f t="shared" si="146"/>
        <v>-1.0000002752637027</v>
      </c>
      <c r="X213" s="454">
        <f t="shared" si="144"/>
        <v>0</v>
      </c>
      <c r="Y213" s="312">
        <f t="shared" si="126"/>
        <v>-1</v>
      </c>
      <c r="Z213" s="674">
        <f t="shared" si="127"/>
        <v>0</v>
      </c>
      <c r="AA213" s="297"/>
      <c r="AB213" s="379">
        <f t="shared" si="127"/>
        <v>0</v>
      </c>
      <c r="AC213" s="297"/>
      <c r="AD213" s="413">
        <f t="shared" si="128"/>
        <v>0</v>
      </c>
      <c r="AE213" s="297"/>
      <c r="AF213" s="287"/>
      <c r="AG213" s="400" t="e">
        <f t="shared" si="129"/>
        <v>#DIV/0!</v>
      </c>
      <c r="AH213" s="401">
        <f t="shared" si="130"/>
        <v>0</v>
      </c>
      <c r="AI213" s="407">
        <f t="shared" si="131"/>
        <v>0</v>
      </c>
      <c r="AJ213" s="498"/>
      <c r="AK213" s="502">
        <f t="shared" si="132"/>
        <v>0</v>
      </c>
      <c r="AL213" s="503" t="e">
        <f t="shared" si="133"/>
        <v>#DIV/0!</v>
      </c>
      <c r="AM213" s="504" t="e">
        <f>AG213-AK213-AO213</f>
        <v>#DIV/0!</v>
      </c>
      <c r="AN213" s="503" t="e">
        <f t="shared" si="134"/>
        <v>#DIV/0!</v>
      </c>
      <c r="AO213" s="502">
        <f t="shared" si="135"/>
        <v>0</v>
      </c>
      <c r="AP213" s="503" t="e">
        <f t="shared" si="136"/>
        <v>#DIV/0!</v>
      </c>
      <c r="AQ213" s="314"/>
      <c r="AR213" s="110">
        <v>50802</v>
      </c>
      <c r="AS213" s="98">
        <f t="shared" si="116"/>
        <v>0</v>
      </c>
      <c r="AT213" s="98">
        <f t="shared" si="117"/>
        <v>0</v>
      </c>
      <c r="AU213" s="98"/>
      <c r="AV213" s="308"/>
      <c r="AW213" s="308"/>
      <c r="AX213" s="308"/>
      <c r="AY213" s="313"/>
      <c r="AZ213" s="313"/>
      <c r="BA213" s="313"/>
      <c r="BB213" s="313"/>
    </row>
    <row r="214" spans="1:54">
      <c r="A214" s="295">
        <v>45594</v>
      </c>
      <c r="B214" s="296">
        <f t="shared" si="118"/>
        <v>229174.58678363112</v>
      </c>
      <c r="C214" s="312">
        <f t="shared" si="119"/>
        <v>3.8483429990820772E-4</v>
      </c>
      <c r="D214" s="296">
        <f t="shared" si="120"/>
        <v>121807.3541908482</v>
      </c>
      <c r="E214" s="312">
        <f t="shared" si="121"/>
        <v>3.8486937629790601E-4</v>
      </c>
      <c r="F214" s="296">
        <f t="shared" si="122"/>
        <v>24685.402503994643</v>
      </c>
      <c r="G214" s="312">
        <f t="shared" si="123"/>
        <v>3.8464869601598467E-4</v>
      </c>
      <c r="H214" s="398">
        <v>0</v>
      </c>
      <c r="I214" s="312">
        <f t="shared" si="124"/>
        <v>0</v>
      </c>
      <c r="J214" s="457" t="e">
        <f t="shared" si="137"/>
        <v>#DIV/0!</v>
      </c>
      <c r="K214" s="369" t="e">
        <f t="shared" si="125"/>
        <v>#DIV/0!</v>
      </c>
      <c r="L214" s="404" t="e">
        <f t="shared" si="138"/>
        <v>#DIV/0!</v>
      </c>
      <c r="M214" s="312" t="e">
        <f t="shared" si="139"/>
        <v>#DIV/0!</v>
      </c>
      <c r="N214" s="298">
        <f t="shared" si="140"/>
        <v>20546.285319525836</v>
      </c>
      <c r="O214" s="312">
        <f t="shared" si="141"/>
        <v>3.6059110494384669E-4</v>
      </c>
      <c r="P214" s="404" t="e">
        <f t="shared" si="142"/>
        <v>#DIV/0!</v>
      </c>
      <c r="Q214" s="312" t="e">
        <f t="shared" si="145"/>
        <v>#DIV/0!</v>
      </c>
      <c r="R214" s="298"/>
      <c r="S214" s="312"/>
      <c r="T214" s="298"/>
      <c r="U214" s="312"/>
      <c r="V214" s="454">
        <f t="shared" si="143"/>
        <v>0</v>
      </c>
      <c r="W214" s="312">
        <f t="shared" si="146"/>
        <v>-1.0000002752637027</v>
      </c>
      <c r="X214" s="454">
        <f t="shared" si="144"/>
        <v>0</v>
      </c>
      <c r="Y214" s="312">
        <f t="shared" si="126"/>
        <v>-1</v>
      </c>
      <c r="Z214" s="674">
        <f t="shared" si="127"/>
        <v>0</v>
      </c>
      <c r="AA214" s="329"/>
      <c r="AB214" s="379">
        <f t="shared" si="127"/>
        <v>0</v>
      </c>
      <c r="AC214" s="329"/>
      <c r="AD214" s="413">
        <f t="shared" si="128"/>
        <v>0</v>
      </c>
      <c r="AE214" s="329"/>
      <c r="AG214" s="400" t="e">
        <f t="shared" si="129"/>
        <v>#DIV/0!</v>
      </c>
      <c r="AH214" s="401">
        <f t="shared" si="130"/>
        <v>0</v>
      </c>
      <c r="AI214" s="407">
        <f t="shared" si="131"/>
        <v>0</v>
      </c>
      <c r="AJ214" s="498"/>
      <c r="AK214" s="502">
        <f t="shared" si="132"/>
        <v>0</v>
      </c>
      <c r="AL214" s="503" t="e">
        <f t="shared" si="133"/>
        <v>#DIV/0!</v>
      </c>
      <c r="AM214" s="504" t="e">
        <f>AG214-AK214-AO214</f>
        <v>#DIV/0!</v>
      </c>
      <c r="AN214" s="503" t="e">
        <f t="shared" si="134"/>
        <v>#DIV/0!</v>
      </c>
      <c r="AO214" s="502">
        <f t="shared" si="135"/>
        <v>0</v>
      </c>
      <c r="AP214" s="503" t="e">
        <f t="shared" si="136"/>
        <v>#DIV/0!</v>
      </c>
      <c r="AQ214" s="314"/>
      <c r="AR214" s="110">
        <v>50830</v>
      </c>
      <c r="AS214" s="98">
        <f t="shared" si="116"/>
        <v>0</v>
      </c>
      <c r="AT214" s="98">
        <f t="shared" si="117"/>
        <v>0</v>
      </c>
      <c r="AU214" s="98"/>
      <c r="AV214" s="308"/>
      <c r="AW214" s="308"/>
      <c r="AX214" s="308"/>
      <c r="AY214" s="313"/>
      <c r="AZ214" s="313"/>
      <c r="BA214" s="313"/>
      <c r="BB214" s="313"/>
    </row>
    <row r="215" spans="1:54">
      <c r="A215" s="295">
        <v>45595</v>
      </c>
      <c r="B215" s="296">
        <f t="shared" si="118"/>
        <v>229262.78102529276</v>
      </c>
      <c r="C215" s="312">
        <f t="shared" si="119"/>
        <v>3.8483429990823016E-4</v>
      </c>
      <c r="D215" s="296">
        <f t="shared" si="120"/>
        <v>121854.23411128412</v>
      </c>
      <c r="E215" s="312">
        <f t="shared" si="121"/>
        <v>3.8486937629785657E-4</v>
      </c>
      <c r="F215" s="296">
        <f t="shared" si="122"/>
        <v>24694.897711878435</v>
      </c>
      <c r="G215" s="312">
        <f t="shared" si="123"/>
        <v>3.8464869601602744E-4</v>
      </c>
      <c r="H215" s="398">
        <v>0</v>
      </c>
      <c r="I215" s="312">
        <f t="shared" si="124"/>
        <v>0</v>
      </c>
      <c r="J215" s="457" t="e">
        <f t="shared" si="137"/>
        <v>#DIV/0!</v>
      </c>
      <c r="K215" s="369" t="e">
        <f t="shared" si="125"/>
        <v>#DIV/0!</v>
      </c>
      <c r="L215" s="404" t="e">
        <f t="shared" si="138"/>
        <v>#DIV/0!</v>
      </c>
      <c r="M215" s="312" t="e">
        <f t="shared" si="139"/>
        <v>#DIV/0!</v>
      </c>
      <c r="N215" s="298">
        <f t="shared" si="140"/>
        <v>20553.694127251696</v>
      </c>
      <c r="O215" s="312">
        <f t="shared" si="141"/>
        <v>3.6059110494388979E-4</v>
      </c>
      <c r="P215" s="404" t="e">
        <f t="shared" si="142"/>
        <v>#DIV/0!</v>
      </c>
      <c r="Q215" s="312" t="e">
        <f t="shared" si="145"/>
        <v>#DIV/0!</v>
      </c>
      <c r="R215" s="298"/>
      <c r="S215" s="312"/>
      <c r="T215" s="298"/>
      <c r="U215" s="312"/>
      <c r="V215" s="454">
        <f t="shared" si="143"/>
        <v>0</v>
      </c>
      <c r="W215" s="312">
        <f t="shared" si="146"/>
        <v>-1.0000002752637027</v>
      </c>
      <c r="X215" s="454">
        <f t="shared" si="144"/>
        <v>0</v>
      </c>
      <c r="Y215" s="312">
        <f t="shared" si="126"/>
        <v>-1</v>
      </c>
      <c r="Z215" s="674">
        <f t="shared" si="127"/>
        <v>0</v>
      </c>
      <c r="AA215" s="297"/>
      <c r="AB215" s="379">
        <f t="shared" si="127"/>
        <v>0</v>
      </c>
      <c r="AC215" s="297"/>
      <c r="AD215" s="413">
        <f t="shared" si="128"/>
        <v>0</v>
      </c>
      <c r="AE215" s="297"/>
      <c r="AG215" s="400" t="e">
        <f t="shared" si="129"/>
        <v>#DIV/0!</v>
      </c>
      <c r="AH215" s="401">
        <f t="shared" si="130"/>
        <v>0</v>
      </c>
      <c r="AI215" s="407">
        <f t="shared" si="131"/>
        <v>0</v>
      </c>
      <c r="AJ215" s="498"/>
      <c r="AK215" s="502">
        <f t="shared" si="132"/>
        <v>0</v>
      </c>
      <c r="AL215" s="503" t="e">
        <f t="shared" si="133"/>
        <v>#DIV/0!</v>
      </c>
      <c r="AM215" s="504" t="e">
        <f>AG215-AK215-AO215</f>
        <v>#DIV/0!</v>
      </c>
      <c r="AN215" s="503" t="e">
        <f t="shared" si="134"/>
        <v>#DIV/0!</v>
      </c>
      <c r="AO215" s="502">
        <f t="shared" si="135"/>
        <v>0</v>
      </c>
      <c r="AP215" s="503" t="e">
        <f t="shared" si="136"/>
        <v>#DIV/0!</v>
      </c>
      <c r="AQ215" s="314"/>
      <c r="AR215" s="110">
        <v>50861</v>
      </c>
      <c r="AS215" s="98">
        <f t="shared" si="116"/>
        <v>0</v>
      </c>
      <c r="AT215" s="98">
        <f t="shared" si="117"/>
        <v>0</v>
      </c>
      <c r="AU215" s="98"/>
      <c r="AV215" s="308"/>
      <c r="AW215" s="308"/>
      <c r="AX215" s="308"/>
      <c r="AY215" s="313"/>
      <c r="AZ215" s="313"/>
      <c r="BA215" s="313"/>
      <c r="BB215" s="313"/>
    </row>
    <row r="216" spans="1:54">
      <c r="A216" s="295">
        <v>45596</v>
      </c>
      <c r="B216" s="296">
        <f t="shared" si="118"/>
        <v>229351.00920712363</v>
      </c>
      <c r="C216" s="312">
        <f t="shared" si="119"/>
        <v>3.8483429990817292E-4</v>
      </c>
      <c r="D216" s="296">
        <f t="shared" si="120"/>
        <v>121901.13207436579</v>
      </c>
      <c r="E216" s="312">
        <f t="shared" si="121"/>
        <v>3.8486937629784204E-4</v>
      </c>
      <c r="F216" s="296">
        <f t="shared" si="122"/>
        <v>24704.396572081558</v>
      </c>
      <c r="G216" s="312">
        <f t="shared" si="123"/>
        <v>3.846486960160025E-4</v>
      </c>
      <c r="H216" s="398">
        <v>0</v>
      </c>
      <c r="I216" s="312">
        <f t="shared" si="124"/>
        <v>0</v>
      </c>
      <c r="J216" s="457" t="e">
        <f t="shared" si="137"/>
        <v>#DIV/0!</v>
      </c>
      <c r="K216" s="369" t="e">
        <f t="shared" si="125"/>
        <v>#DIV/0!</v>
      </c>
      <c r="L216" s="404" t="e">
        <f t="shared" si="138"/>
        <v>#DIV/0!</v>
      </c>
      <c r="M216" s="312" t="e">
        <f t="shared" si="139"/>
        <v>#DIV/0!</v>
      </c>
      <c r="N216" s="298">
        <f t="shared" si="140"/>
        <v>20561.105606527719</v>
      </c>
      <c r="O216" s="312">
        <f t="shared" si="141"/>
        <v>3.6059110494381417E-4</v>
      </c>
      <c r="P216" s="404" t="e">
        <f t="shared" si="142"/>
        <v>#DIV/0!</v>
      </c>
      <c r="Q216" s="312" t="e">
        <f t="shared" si="145"/>
        <v>#DIV/0!</v>
      </c>
      <c r="R216" s="298"/>
      <c r="S216" s="312"/>
      <c r="T216" s="298"/>
      <c r="U216" s="312"/>
      <c r="V216" s="454">
        <f t="shared" si="143"/>
        <v>0</v>
      </c>
      <c r="W216" s="312">
        <f t="shared" si="146"/>
        <v>-1.0000002752637027</v>
      </c>
      <c r="X216" s="454">
        <f t="shared" si="144"/>
        <v>0</v>
      </c>
      <c r="Y216" s="312">
        <f t="shared" si="126"/>
        <v>-1</v>
      </c>
      <c r="Z216" s="674">
        <f t="shared" si="127"/>
        <v>0</v>
      </c>
      <c r="AA216" s="329"/>
      <c r="AB216" s="379">
        <f t="shared" si="127"/>
        <v>0</v>
      </c>
      <c r="AC216" s="329"/>
      <c r="AD216" s="413">
        <f t="shared" si="128"/>
        <v>0</v>
      </c>
      <c r="AE216" s="329"/>
      <c r="AG216" s="400" t="e">
        <f t="shared" si="129"/>
        <v>#DIV/0!</v>
      </c>
      <c r="AH216" s="401">
        <f t="shared" si="130"/>
        <v>0</v>
      </c>
      <c r="AI216" s="407">
        <f t="shared" si="131"/>
        <v>0</v>
      </c>
      <c r="AJ216" s="498"/>
      <c r="AK216" s="502">
        <f t="shared" si="132"/>
        <v>0</v>
      </c>
      <c r="AL216" s="503" t="e">
        <f t="shared" si="133"/>
        <v>#DIV/0!</v>
      </c>
      <c r="AM216" s="504" t="e">
        <f>AG216-AK216-AO216</f>
        <v>#DIV/0!</v>
      </c>
      <c r="AN216" s="503" t="e">
        <f t="shared" si="134"/>
        <v>#DIV/0!</v>
      </c>
      <c r="AO216" s="502">
        <f t="shared" si="135"/>
        <v>0</v>
      </c>
      <c r="AP216" s="503" t="e">
        <f t="shared" si="136"/>
        <v>#DIV/0!</v>
      </c>
      <c r="AQ216" s="314"/>
      <c r="AR216" s="110">
        <v>50891</v>
      </c>
      <c r="AS216" s="98">
        <f t="shared" si="116"/>
        <v>0</v>
      </c>
      <c r="AT216" s="98">
        <f t="shared" si="117"/>
        <v>0</v>
      </c>
      <c r="AU216" s="98"/>
      <c r="AV216" s="308"/>
      <c r="AW216" s="308"/>
      <c r="AX216" s="308"/>
      <c r="AY216" s="313"/>
      <c r="AZ216" s="313"/>
      <c r="BA216" s="313"/>
      <c r="BB216" s="313"/>
    </row>
    <row r="217" spans="1:54">
      <c r="A217" s="295">
        <v>45597</v>
      </c>
      <c r="B217" s="296">
        <f t="shared" si="118"/>
        <v>229439.27134218509</v>
      </c>
      <c r="C217" s="312">
        <f t="shared" si="119"/>
        <v>3.8483429990820853E-4</v>
      </c>
      <c r="D217" s="296">
        <f t="shared" si="120"/>
        <v>121948.04808703724</v>
      </c>
      <c r="E217" s="312">
        <f t="shared" si="121"/>
        <v>3.8486937629779238E-4</v>
      </c>
      <c r="F217" s="296">
        <f t="shared" si="122"/>
        <v>24713.899086008871</v>
      </c>
      <c r="G217" s="312">
        <f t="shared" si="123"/>
        <v>3.846486960159864E-4</v>
      </c>
      <c r="H217" s="398">
        <v>0</v>
      </c>
      <c r="I217" s="312">
        <f t="shared" si="124"/>
        <v>0</v>
      </c>
      <c r="J217" s="457" t="e">
        <f t="shared" si="137"/>
        <v>#DIV/0!</v>
      </c>
      <c r="K217" s="369" t="e">
        <f t="shared" si="125"/>
        <v>#DIV/0!</v>
      </c>
      <c r="L217" s="404" t="e">
        <f t="shared" si="138"/>
        <v>#DIV/0!</v>
      </c>
      <c r="M217" s="312" t="e">
        <f t="shared" si="139"/>
        <v>#DIV/0!</v>
      </c>
      <c r="N217" s="298">
        <f t="shared" si="140"/>
        <v>20568.519758317245</v>
      </c>
      <c r="O217" s="312">
        <f t="shared" si="141"/>
        <v>3.6059110494389434E-4</v>
      </c>
      <c r="P217" s="404" t="e">
        <f t="shared" si="142"/>
        <v>#DIV/0!</v>
      </c>
      <c r="Q217" s="312" t="e">
        <f t="shared" si="145"/>
        <v>#DIV/0!</v>
      </c>
      <c r="R217" s="298"/>
      <c r="S217" s="312"/>
      <c r="T217" s="298"/>
      <c r="U217" s="312"/>
      <c r="V217" s="454">
        <f t="shared" si="143"/>
        <v>0</v>
      </c>
      <c r="W217" s="312">
        <f t="shared" si="146"/>
        <v>-1.0000002752637027</v>
      </c>
      <c r="X217" s="454">
        <f t="shared" si="144"/>
        <v>0</v>
      </c>
      <c r="Y217" s="312">
        <f t="shared" si="126"/>
        <v>-1</v>
      </c>
      <c r="Z217" s="674">
        <f t="shared" si="127"/>
        <v>0</v>
      </c>
      <c r="AA217" s="297"/>
      <c r="AB217" s="379">
        <f t="shared" si="127"/>
        <v>0</v>
      </c>
      <c r="AC217" s="297"/>
      <c r="AD217" s="413">
        <f t="shared" si="128"/>
        <v>0</v>
      </c>
      <c r="AE217" s="297"/>
      <c r="AG217" s="400" t="e">
        <f t="shared" si="129"/>
        <v>#DIV/0!</v>
      </c>
      <c r="AH217" s="401">
        <f t="shared" si="130"/>
        <v>0</v>
      </c>
      <c r="AI217" s="407">
        <f t="shared" si="131"/>
        <v>0</v>
      </c>
      <c r="AJ217" s="498"/>
      <c r="AK217" s="502">
        <f t="shared" si="132"/>
        <v>0</v>
      </c>
      <c r="AL217" s="503" t="e">
        <f t="shared" si="133"/>
        <v>#DIV/0!</v>
      </c>
      <c r="AM217" s="504" t="e">
        <f>AG217-AK217-AO217</f>
        <v>#DIV/0!</v>
      </c>
      <c r="AN217" s="503" t="e">
        <f t="shared" si="134"/>
        <v>#DIV/0!</v>
      </c>
      <c r="AO217" s="502">
        <f t="shared" si="135"/>
        <v>0</v>
      </c>
      <c r="AP217" s="503" t="e">
        <f t="shared" si="136"/>
        <v>#DIV/0!</v>
      </c>
      <c r="AQ217" s="314"/>
      <c r="AR217" s="110">
        <v>50922</v>
      </c>
      <c r="AS217" s="98">
        <f t="shared" si="116"/>
        <v>0</v>
      </c>
      <c r="AT217" s="98">
        <f t="shared" si="117"/>
        <v>0</v>
      </c>
      <c r="AU217" s="98"/>
      <c r="AV217" s="308"/>
      <c r="AW217" s="308"/>
      <c r="AX217" s="308"/>
      <c r="AY217" s="313"/>
      <c r="AZ217" s="313"/>
      <c r="BA217" s="313"/>
      <c r="BB217" s="313"/>
    </row>
    <row r="218" spans="1:54">
      <c r="A218" s="295">
        <v>45600</v>
      </c>
      <c r="B218" s="296">
        <f t="shared" si="118"/>
        <v>229527.56744354352</v>
      </c>
      <c r="C218" s="312">
        <f t="shared" si="119"/>
        <v>3.8483429990824708E-4</v>
      </c>
      <c r="D218" s="296">
        <f t="shared" si="120"/>
        <v>121994.98215624523</v>
      </c>
      <c r="E218" s="312">
        <f t="shared" si="121"/>
        <v>3.8486937629774869E-4</v>
      </c>
      <c r="F218" s="296">
        <f t="shared" si="122"/>
        <v>24723.405255065776</v>
      </c>
      <c r="G218" s="312">
        <f t="shared" si="123"/>
        <v>3.8464869601604717E-4</v>
      </c>
      <c r="H218" s="398">
        <v>0</v>
      </c>
      <c r="I218" s="312">
        <f t="shared" si="124"/>
        <v>0</v>
      </c>
      <c r="J218" s="457" t="e">
        <f t="shared" si="137"/>
        <v>#DIV/0!</v>
      </c>
      <c r="K218" s="369" t="e">
        <f t="shared" si="125"/>
        <v>#DIV/0!</v>
      </c>
      <c r="L218" s="404" t="e">
        <f t="shared" si="138"/>
        <v>#DIV/0!</v>
      </c>
      <c r="M218" s="312" t="e">
        <f t="shared" si="139"/>
        <v>#DIV/0!</v>
      </c>
      <c r="N218" s="298">
        <f t="shared" si="140"/>
        <v>20575.936583583956</v>
      </c>
      <c r="O218" s="312">
        <f t="shared" si="141"/>
        <v>3.6059110494386746E-4</v>
      </c>
      <c r="P218" s="404" t="e">
        <f t="shared" si="142"/>
        <v>#DIV/0!</v>
      </c>
      <c r="Q218" s="312" t="e">
        <f t="shared" si="145"/>
        <v>#DIV/0!</v>
      </c>
      <c r="R218" s="298"/>
      <c r="S218" s="312"/>
      <c r="T218" s="298"/>
      <c r="U218" s="312"/>
      <c r="V218" s="454">
        <f t="shared" si="143"/>
        <v>0</v>
      </c>
      <c r="W218" s="312">
        <f t="shared" si="146"/>
        <v>-1.0000002752637027</v>
      </c>
      <c r="X218" s="454">
        <f t="shared" si="144"/>
        <v>0</v>
      </c>
      <c r="Y218" s="312">
        <f t="shared" si="126"/>
        <v>-1</v>
      </c>
      <c r="Z218" s="674">
        <f t="shared" si="127"/>
        <v>0</v>
      </c>
      <c r="AA218" s="329"/>
      <c r="AB218" s="379">
        <f t="shared" si="127"/>
        <v>0</v>
      </c>
      <c r="AC218" s="329"/>
      <c r="AD218" s="413">
        <f t="shared" si="128"/>
        <v>0</v>
      </c>
      <c r="AE218" s="329"/>
      <c r="AG218" s="400" t="e">
        <f t="shared" si="129"/>
        <v>#DIV/0!</v>
      </c>
      <c r="AH218" s="401">
        <f t="shared" si="130"/>
        <v>0</v>
      </c>
      <c r="AI218" s="407">
        <f t="shared" si="131"/>
        <v>0</v>
      </c>
      <c r="AJ218" s="498"/>
      <c r="AK218" s="502">
        <f t="shared" si="132"/>
        <v>0</v>
      </c>
      <c r="AL218" s="503" t="e">
        <f t="shared" si="133"/>
        <v>#DIV/0!</v>
      </c>
      <c r="AM218" s="504" t="e">
        <f>AG218-AK218-AO218</f>
        <v>#DIV/0!</v>
      </c>
      <c r="AN218" s="503" t="e">
        <f t="shared" si="134"/>
        <v>#DIV/0!</v>
      </c>
      <c r="AO218" s="502">
        <f t="shared" si="135"/>
        <v>0</v>
      </c>
      <c r="AP218" s="503" t="e">
        <f t="shared" si="136"/>
        <v>#DIV/0!</v>
      </c>
      <c r="AQ218" s="314"/>
      <c r="AR218" s="110">
        <v>50952</v>
      </c>
      <c r="AS218" s="98">
        <f t="shared" si="116"/>
        <v>0</v>
      </c>
      <c r="AT218" s="98">
        <f t="shared" si="117"/>
        <v>0</v>
      </c>
      <c r="AU218" s="98"/>
      <c r="AV218" s="308"/>
      <c r="AW218" s="308"/>
      <c r="AX218" s="308"/>
      <c r="AY218" s="313"/>
      <c r="AZ218" s="313"/>
      <c r="BA218" s="313"/>
      <c r="BB218" s="313"/>
    </row>
    <row r="219" spans="1:54">
      <c r="A219" s="295">
        <v>45601</v>
      </c>
      <c r="B219" s="296">
        <f t="shared" si="118"/>
        <v>229615.89752427029</v>
      </c>
      <c r="C219" s="312">
        <f t="shared" si="119"/>
        <v>3.8483429990819043E-4</v>
      </c>
      <c r="D219" s="296">
        <f t="shared" si="120"/>
        <v>122041.93428893916</v>
      </c>
      <c r="E219" s="312">
        <f t="shared" si="121"/>
        <v>3.8486937629774338E-4</v>
      </c>
      <c r="F219" s="296">
        <f t="shared" si="122"/>
        <v>24732.915080658215</v>
      </c>
      <c r="G219" s="312">
        <f t="shared" si="123"/>
        <v>3.846486960160971E-4</v>
      </c>
      <c r="H219" s="398">
        <v>0</v>
      </c>
      <c r="I219" s="312">
        <f t="shared" si="124"/>
        <v>0</v>
      </c>
      <c r="J219" s="457" t="e">
        <f t="shared" si="137"/>
        <v>#DIV/0!</v>
      </c>
      <c r="K219" s="369" t="e">
        <f t="shared" si="125"/>
        <v>#DIV/0!</v>
      </c>
      <c r="L219" s="404" t="e">
        <f t="shared" si="138"/>
        <v>#DIV/0!</v>
      </c>
      <c r="M219" s="312" t="e">
        <f t="shared" si="139"/>
        <v>#DIV/0!</v>
      </c>
      <c r="N219" s="298">
        <f t="shared" si="140"/>
        <v>20583.356083291885</v>
      </c>
      <c r="O219" s="312">
        <f t="shared" si="141"/>
        <v>3.6059110494381867E-4</v>
      </c>
      <c r="P219" s="404" t="e">
        <f t="shared" si="142"/>
        <v>#DIV/0!</v>
      </c>
      <c r="Q219" s="312" t="e">
        <f t="shared" si="145"/>
        <v>#DIV/0!</v>
      </c>
      <c r="R219" s="298"/>
      <c r="S219" s="312"/>
      <c r="T219" s="298"/>
      <c r="U219" s="312"/>
      <c r="V219" s="454">
        <f t="shared" si="143"/>
        <v>0</v>
      </c>
      <c r="W219" s="312">
        <f t="shared" si="146"/>
        <v>-1.0000002752637027</v>
      </c>
      <c r="X219" s="454">
        <f t="shared" si="144"/>
        <v>0</v>
      </c>
      <c r="Y219" s="312">
        <f t="shared" si="126"/>
        <v>-1</v>
      </c>
      <c r="Z219" s="674">
        <f t="shared" si="127"/>
        <v>0</v>
      </c>
      <c r="AA219" s="297"/>
      <c r="AB219" s="379">
        <f t="shared" si="127"/>
        <v>0</v>
      </c>
      <c r="AC219" s="297"/>
      <c r="AD219" s="413">
        <f t="shared" si="128"/>
        <v>0</v>
      </c>
      <c r="AE219" s="297"/>
      <c r="AG219" s="400" t="e">
        <f t="shared" si="129"/>
        <v>#DIV/0!</v>
      </c>
      <c r="AH219" s="401">
        <f t="shared" si="130"/>
        <v>0</v>
      </c>
      <c r="AI219" s="407">
        <f t="shared" si="131"/>
        <v>0</v>
      </c>
      <c r="AJ219" s="498"/>
      <c r="AK219" s="502">
        <f t="shared" si="132"/>
        <v>0</v>
      </c>
      <c r="AL219" s="503" t="e">
        <f t="shared" si="133"/>
        <v>#DIV/0!</v>
      </c>
      <c r="AM219" s="504" t="e">
        <f>AG219-AK219-AO219</f>
        <v>#DIV/0!</v>
      </c>
      <c r="AN219" s="503" t="e">
        <f t="shared" si="134"/>
        <v>#DIV/0!</v>
      </c>
      <c r="AO219" s="502">
        <f t="shared" si="135"/>
        <v>0</v>
      </c>
      <c r="AP219" s="503" t="e">
        <f t="shared" si="136"/>
        <v>#DIV/0!</v>
      </c>
      <c r="AQ219" s="314"/>
      <c r="AR219" s="110">
        <v>50983</v>
      </c>
      <c r="AS219" s="98">
        <f t="shared" si="116"/>
        <v>0</v>
      </c>
      <c r="AT219" s="98">
        <f t="shared" si="117"/>
        <v>0</v>
      </c>
      <c r="AU219" s="98"/>
      <c r="AV219" s="308"/>
      <c r="AW219" s="308"/>
      <c r="AX219" s="308"/>
      <c r="AY219" s="313"/>
      <c r="AZ219" s="313"/>
      <c r="BA219" s="313"/>
      <c r="BB219" s="313"/>
    </row>
    <row r="220" spans="1:54">
      <c r="A220" s="295">
        <v>45602</v>
      </c>
      <c r="B220" s="296">
        <f t="shared" si="118"/>
        <v>229704.26159744183</v>
      </c>
      <c r="C220" s="312">
        <f t="shared" si="119"/>
        <v>3.8483429990818566E-4</v>
      </c>
      <c r="D220" s="296">
        <f t="shared" si="120"/>
        <v>122088.90449207112</v>
      </c>
      <c r="E220" s="312">
        <f t="shared" si="121"/>
        <v>3.8486937629780057E-4</v>
      </c>
      <c r="F220" s="296">
        <f t="shared" si="122"/>
        <v>24742.428564192665</v>
      </c>
      <c r="G220" s="312">
        <f t="shared" si="123"/>
        <v>3.846486960160404E-4</v>
      </c>
      <c r="H220" s="398">
        <v>0</v>
      </c>
      <c r="I220" s="312">
        <f t="shared" si="124"/>
        <v>0</v>
      </c>
      <c r="J220" s="457" t="e">
        <f t="shared" si="137"/>
        <v>#DIV/0!</v>
      </c>
      <c r="K220" s="369" t="e">
        <f t="shared" si="125"/>
        <v>#DIV/0!</v>
      </c>
      <c r="L220" s="404" t="e">
        <f t="shared" si="138"/>
        <v>#DIV/0!</v>
      </c>
      <c r="M220" s="312" t="e">
        <f t="shared" si="139"/>
        <v>#DIV/0!</v>
      </c>
      <c r="N220" s="298">
        <f t="shared" si="140"/>
        <v>20590.778258405411</v>
      </c>
      <c r="O220" s="312">
        <f t="shared" si="141"/>
        <v>3.6059110494382702E-4</v>
      </c>
      <c r="P220" s="404" t="e">
        <f t="shared" si="142"/>
        <v>#DIV/0!</v>
      </c>
      <c r="Q220" s="312" t="e">
        <f t="shared" si="145"/>
        <v>#DIV/0!</v>
      </c>
      <c r="R220" s="298"/>
      <c r="S220" s="312"/>
      <c r="T220" s="298"/>
      <c r="U220" s="312"/>
      <c r="V220" s="454">
        <f t="shared" si="143"/>
        <v>0</v>
      </c>
      <c r="W220" s="312">
        <f t="shared" si="146"/>
        <v>-1.0000002752637027</v>
      </c>
      <c r="X220" s="454">
        <f t="shared" si="144"/>
        <v>0</v>
      </c>
      <c r="Y220" s="312">
        <f t="shared" si="126"/>
        <v>-1</v>
      </c>
      <c r="Z220" s="674">
        <f t="shared" si="127"/>
        <v>0</v>
      </c>
      <c r="AA220" s="329"/>
      <c r="AB220" s="379">
        <f t="shared" si="127"/>
        <v>0</v>
      </c>
      <c r="AC220" s="329"/>
      <c r="AD220" s="413">
        <f t="shared" si="128"/>
        <v>0</v>
      </c>
      <c r="AE220" s="329"/>
      <c r="AG220" s="400" t="e">
        <f t="shared" si="129"/>
        <v>#DIV/0!</v>
      </c>
      <c r="AH220" s="401">
        <f t="shared" si="130"/>
        <v>0</v>
      </c>
      <c r="AI220" s="407">
        <f t="shared" si="131"/>
        <v>0</v>
      </c>
      <c r="AJ220" s="498"/>
      <c r="AK220" s="502">
        <f t="shared" si="132"/>
        <v>0</v>
      </c>
      <c r="AL220" s="503" t="e">
        <f t="shared" si="133"/>
        <v>#DIV/0!</v>
      </c>
      <c r="AM220" s="504" t="e">
        <f>AG220-AK220-AO220</f>
        <v>#DIV/0!</v>
      </c>
      <c r="AN220" s="503" t="e">
        <f t="shared" si="134"/>
        <v>#DIV/0!</v>
      </c>
      <c r="AO220" s="502">
        <f t="shared" si="135"/>
        <v>0</v>
      </c>
      <c r="AP220" s="503" t="e">
        <f t="shared" si="136"/>
        <v>#DIV/0!</v>
      </c>
      <c r="AQ220" s="314"/>
      <c r="AR220" s="110">
        <v>51014</v>
      </c>
      <c r="AS220" s="98">
        <f t="shared" si="116"/>
        <v>0</v>
      </c>
      <c r="AT220" s="98">
        <f t="shared" si="117"/>
        <v>0</v>
      </c>
      <c r="AU220" s="98"/>
      <c r="AV220" s="308"/>
      <c r="AW220" s="308"/>
      <c r="AX220" s="308"/>
      <c r="AY220" s="313"/>
      <c r="AZ220" s="313"/>
      <c r="BA220" s="313"/>
      <c r="BB220" s="313"/>
    </row>
    <row r="221" spans="1:54">
      <c r="A221" s="295">
        <v>45603</v>
      </c>
      <c r="B221" s="296">
        <f t="shared" si="118"/>
        <v>229792.65967613962</v>
      </c>
      <c r="C221" s="312">
        <f t="shared" si="119"/>
        <v>3.8483429990824453E-4</v>
      </c>
      <c r="D221" s="296">
        <f t="shared" si="120"/>
        <v>122135.89277259586</v>
      </c>
      <c r="E221" s="312">
        <f t="shared" si="121"/>
        <v>3.8486937629781651E-4</v>
      </c>
      <c r="F221" s="296">
        <f t="shared" si="122"/>
        <v>24751.945707076153</v>
      </c>
      <c r="G221" s="312">
        <f t="shared" si="123"/>
        <v>3.8464869601606691E-4</v>
      </c>
      <c r="H221" s="398">
        <v>0</v>
      </c>
      <c r="I221" s="312">
        <f t="shared" si="124"/>
        <v>0</v>
      </c>
      <c r="J221" s="457" t="e">
        <f t="shared" si="137"/>
        <v>#DIV/0!</v>
      </c>
      <c r="K221" s="369" t="e">
        <f t="shared" si="125"/>
        <v>#DIV/0!</v>
      </c>
      <c r="L221" s="404" t="e">
        <f t="shared" si="138"/>
        <v>#DIV/0!</v>
      </c>
      <c r="M221" s="312" t="e">
        <f t="shared" si="139"/>
        <v>#DIV/0!</v>
      </c>
      <c r="N221" s="298">
        <f t="shared" si="140"/>
        <v>20598.203109889262</v>
      </c>
      <c r="O221" s="312">
        <f t="shared" si="141"/>
        <v>3.6059110494378847E-4</v>
      </c>
      <c r="P221" s="404" t="e">
        <f t="shared" si="142"/>
        <v>#DIV/0!</v>
      </c>
      <c r="Q221" s="312" t="e">
        <f t="shared" si="145"/>
        <v>#DIV/0!</v>
      </c>
      <c r="R221" s="298"/>
      <c r="S221" s="312"/>
      <c r="T221" s="298"/>
      <c r="U221" s="312"/>
      <c r="V221" s="454">
        <f t="shared" si="143"/>
        <v>0</v>
      </c>
      <c r="W221" s="312">
        <f t="shared" si="146"/>
        <v>-1.0000002752637027</v>
      </c>
      <c r="X221" s="454">
        <f t="shared" si="144"/>
        <v>0</v>
      </c>
      <c r="Y221" s="312">
        <f t="shared" si="126"/>
        <v>-1</v>
      </c>
      <c r="Z221" s="674">
        <f t="shared" si="127"/>
        <v>0</v>
      </c>
      <c r="AA221" s="297"/>
      <c r="AB221" s="379">
        <f t="shared" si="127"/>
        <v>0</v>
      </c>
      <c r="AC221" s="297"/>
      <c r="AD221" s="413">
        <f t="shared" si="128"/>
        <v>0</v>
      </c>
      <c r="AE221" s="297"/>
      <c r="AG221" s="400" t="e">
        <f t="shared" si="129"/>
        <v>#DIV/0!</v>
      </c>
      <c r="AH221" s="401">
        <f t="shared" si="130"/>
        <v>0</v>
      </c>
      <c r="AI221" s="407">
        <f t="shared" si="131"/>
        <v>0</v>
      </c>
      <c r="AJ221" s="498"/>
      <c r="AK221" s="502">
        <f t="shared" si="132"/>
        <v>0</v>
      </c>
      <c r="AL221" s="503" t="e">
        <f t="shared" si="133"/>
        <v>#DIV/0!</v>
      </c>
      <c r="AM221" s="504" t="e">
        <f>AG221-AK221-AO221</f>
        <v>#DIV/0!</v>
      </c>
      <c r="AN221" s="503" t="e">
        <f t="shared" si="134"/>
        <v>#DIV/0!</v>
      </c>
      <c r="AO221" s="502">
        <f t="shared" si="135"/>
        <v>0</v>
      </c>
      <c r="AP221" s="503" t="e">
        <f t="shared" si="136"/>
        <v>#DIV/0!</v>
      </c>
      <c r="AQ221" s="314"/>
      <c r="AR221" s="110">
        <v>51044</v>
      </c>
      <c r="AS221" s="98">
        <f t="shared" si="116"/>
        <v>0</v>
      </c>
      <c r="AT221" s="98">
        <f t="shared" si="117"/>
        <v>0</v>
      </c>
      <c r="AU221" s="98"/>
      <c r="AV221" s="308"/>
      <c r="AW221" s="308"/>
      <c r="AX221" s="308"/>
      <c r="AY221" s="313"/>
      <c r="AZ221" s="313"/>
      <c r="BA221" s="313"/>
      <c r="BB221" s="313"/>
    </row>
    <row r="222" spans="1:54">
      <c r="A222" s="295">
        <v>45604</v>
      </c>
      <c r="B222" s="296">
        <f t="shared" si="118"/>
        <v>229881.09177345014</v>
      </c>
      <c r="C222" s="312">
        <f t="shared" si="119"/>
        <v>3.8483429990824361E-4</v>
      </c>
      <c r="D222" s="296">
        <f t="shared" si="120"/>
        <v>122182.89913747083</v>
      </c>
      <c r="E222" s="312">
        <f t="shared" si="121"/>
        <v>3.8486937629779851E-4</v>
      </c>
      <c r="F222" s="296">
        <f t="shared" si="122"/>
        <v>24761.46651071624</v>
      </c>
      <c r="G222" s="312">
        <f t="shared" si="123"/>
        <v>3.8464869601606387E-4</v>
      </c>
      <c r="H222" s="398">
        <v>0</v>
      </c>
      <c r="I222" s="312">
        <f t="shared" si="124"/>
        <v>0</v>
      </c>
      <c r="J222" s="457" t="e">
        <f t="shared" si="137"/>
        <v>#DIV/0!</v>
      </c>
      <c r="K222" s="369" t="e">
        <f t="shared" si="125"/>
        <v>#DIV/0!</v>
      </c>
      <c r="L222" s="404" t="e">
        <f t="shared" si="138"/>
        <v>#DIV/0!</v>
      </c>
      <c r="M222" s="312" t="e">
        <f t="shared" si="139"/>
        <v>#DIV/0!</v>
      </c>
      <c r="N222" s="298">
        <f t="shared" si="140"/>
        <v>20605.630638708513</v>
      </c>
      <c r="O222" s="312">
        <f t="shared" si="141"/>
        <v>3.6059110494376982E-4</v>
      </c>
      <c r="P222" s="404" t="e">
        <f t="shared" si="142"/>
        <v>#DIV/0!</v>
      </c>
      <c r="Q222" s="312" t="e">
        <f t="shared" si="145"/>
        <v>#DIV/0!</v>
      </c>
      <c r="R222" s="298"/>
      <c r="S222" s="312"/>
      <c r="T222" s="298"/>
      <c r="U222" s="312"/>
      <c r="V222" s="454">
        <f t="shared" si="143"/>
        <v>0</v>
      </c>
      <c r="W222" s="312">
        <f t="shared" si="146"/>
        <v>-1.0000002752637027</v>
      </c>
      <c r="X222" s="454">
        <f t="shared" si="144"/>
        <v>0</v>
      </c>
      <c r="Y222" s="312">
        <f t="shared" si="126"/>
        <v>-1</v>
      </c>
      <c r="Z222" s="674">
        <f t="shared" si="127"/>
        <v>0</v>
      </c>
      <c r="AA222" s="329"/>
      <c r="AB222" s="379">
        <f t="shared" si="127"/>
        <v>0</v>
      </c>
      <c r="AC222" s="329"/>
      <c r="AD222" s="413">
        <f t="shared" si="128"/>
        <v>0</v>
      </c>
      <c r="AE222" s="329"/>
      <c r="AG222" s="400" t="e">
        <f t="shared" si="129"/>
        <v>#DIV/0!</v>
      </c>
      <c r="AH222" s="401">
        <f t="shared" si="130"/>
        <v>0</v>
      </c>
      <c r="AI222" s="407">
        <f t="shared" si="131"/>
        <v>0</v>
      </c>
      <c r="AJ222" s="498"/>
      <c r="AK222" s="502">
        <f t="shared" si="132"/>
        <v>0</v>
      </c>
      <c r="AL222" s="503" t="e">
        <f t="shared" si="133"/>
        <v>#DIV/0!</v>
      </c>
      <c r="AM222" s="504" t="e">
        <f>AG222-AK222-AO222</f>
        <v>#DIV/0!</v>
      </c>
      <c r="AN222" s="503" t="e">
        <f t="shared" si="134"/>
        <v>#DIV/0!</v>
      </c>
      <c r="AO222" s="502">
        <f t="shared" si="135"/>
        <v>0</v>
      </c>
      <c r="AP222" s="503" t="e">
        <f t="shared" si="136"/>
        <v>#DIV/0!</v>
      </c>
      <c r="AQ222" s="314"/>
      <c r="AR222" s="110">
        <v>51075</v>
      </c>
      <c r="AS222" s="98">
        <f t="shared" si="116"/>
        <v>0</v>
      </c>
      <c r="AT222" s="98">
        <f t="shared" si="117"/>
        <v>0</v>
      </c>
      <c r="AU222" s="98"/>
      <c r="AV222" s="308"/>
      <c r="AW222" s="308"/>
      <c r="AX222" s="308"/>
      <c r="AY222" s="313"/>
      <c r="AZ222" s="313"/>
      <c r="BA222" s="313"/>
      <c r="BB222" s="313"/>
    </row>
    <row r="223" spans="1:54">
      <c r="A223" s="295">
        <v>45607</v>
      </c>
      <c r="B223" s="296">
        <f t="shared" si="118"/>
        <v>229969.55790246493</v>
      </c>
      <c r="C223" s="312">
        <f t="shared" si="119"/>
        <v>3.8483429990830454E-4</v>
      </c>
      <c r="D223" s="296">
        <f t="shared" si="120"/>
        <v>122229.92359365612</v>
      </c>
      <c r="E223" s="312">
        <f t="shared" si="121"/>
        <v>3.8486937629774538E-4</v>
      </c>
      <c r="F223" s="296">
        <f t="shared" si="122"/>
        <v>24770.990976521032</v>
      </c>
      <c r="G223" s="312">
        <f t="shared" si="123"/>
        <v>3.846486960160572E-4</v>
      </c>
      <c r="H223" s="398">
        <v>0</v>
      </c>
      <c r="I223" s="312">
        <f t="shared" si="124"/>
        <v>0</v>
      </c>
      <c r="J223" s="457" t="e">
        <f t="shared" si="137"/>
        <v>#DIV/0!</v>
      </c>
      <c r="K223" s="369" t="e">
        <f t="shared" si="125"/>
        <v>#DIV/0!</v>
      </c>
      <c r="L223" s="404" t="e">
        <f t="shared" si="138"/>
        <v>#DIV/0!</v>
      </c>
      <c r="M223" s="312" t="e">
        <f t="shared" si="139"/>
        <v>#DIV/0!</v>
      </c>
      <c r="N223" s="298">
        <f t="shared" si="140"/>
        <v>20613.06084582859</v>
      </c>
      <c r="O223" s="312">
        <f t="shared" si="141"/>
        <v>3.6059110494383168E-4</v>
      </c>
      <c r="P223" s="404" t="e">
        <f t="shared" si="142"/>
        <v>#DIV/0!</v>
      </c>
      <c r="Q223" s="312" t="e">
        <f t="shared" si="145"/>
        <v>#DIV/0!</v>
      </c>
      <c r="R223" s="298"/>
      <c r="S223" s="312"/>
      <c r="T223" s="298"/>
      <c r="U223" s="312"/>
      <c r="V223" s="454">
        <f t="shared" si="143"/>
        <v>0</v>
      </c>
      <c r="W223" s="312">
        <f t="shared" si="146"/>
        <v>-1.0000002752637027</v>
      </c>
      <c r="X223" s="454">
        <f t="shared" si="144"/>
        <v>0</v>
      </c>
      <c r="Y223" s="312">
        <f t="shared" si="126"/>
        <v>-1</v>
      </c>
      <c r="Z223" s="674">
        <f t="shared" si="127"/>
        <v>0</v>
      </c>
      <c r="AA223" s="297"/>
      <c r="AB223" s="379">
        <f t="shared" si="127"/>
        <v>0</v>
      </c>
      <c r="AC223" s="297"/>
      <c r="AD223" s="413">
        <f t="shared" si="128"/>
        <v>0</v>
      </c>
      <c r="AE223" s="297"/>
      <c r="AG223" s="400" t="e">
        <f t="shared" si="129"/>
        <v>#DIV/0!</v>
      </c>
      <c r="AH223" s="401">
        <f t="shared" si="130"/>
        <v>0</v>
      </c>
      <c r="AI223" s="407">
        <f t="shared" si="131"/>
        <v>0</v>
      </c>
      <c r="AJ223" s="498"/>
      <c r="AK223" s="502">
        <f t="shared" si="132"/>
        <v>0</v>
      </c>
      <c r="AL223" s="503" t="e">
        <f t="shared" si="133"/>
        <v>#DIV/0!</v>
      </c>
      <c r="AM223" s="504" t="e">
        <f>AG223-AK223-AO223</f>
        <v>#DIV/0!</v>
      </c>
      <c r="AN223" s="503" t="e">
        <f t="shared" si="134"/>
        <v>#DIV/0!</v>
      </c>
      <c r="AO223" s="502">
        <f t="shared" si="135"/>
        <v>0</v>
      </c>
      <c r="AP223" s="503" t="e">
        <f t="shared" si="136"/>
        <v>#DIV/0!</v>
      </c>
      <c r="AQ223" s="314"/>
      <c r="AR223" s="110">
        <v>51105</v>
      </c>
      <c r="AS223" s="98">
        <f t="shared" si="116"/>
        <v>0</v>
      </c>
      <c r="AT223" s="98">
        <f t="shared" si="117"/>
        <v>0</v>
      </c>
      <c r="AU223" s="98"/>
      <c r="AV223" s="308"/>
      <c r="AW223" s="308"/>
      <c r="AX223" s="308"/>
      <c r="AY223" s="313"/>
      <c r="AZ223" s="313"/>
      <c r="BA223" s="313"/>
      <c r="BB223" s="313"/>
    </row>
    <row r="224" spans="1:54">
      <c r="A224" s="295">
        <v>45608</v>
      </c>
      <c r="B224" s="296">
        <f t="shared" si="118"/>
        <v>230058.05807628055</v>
      </c>
      <c r="C224" s="312">
        <f t="shared" si="119"/>
        <v>3.8483429990828708E-4</v>
      </c>
      <c r="D224" s="296">
        <f t="shared" si="120"/>
        <v>122276.96614811453</v>
      </c>
      <c r="E224" s="312">
        <f t="shared" si="121"/>
        <v>3.8486937629776652E-4</v>
      </c>
      <c r="F224" s="296">
        <f t="shared" si="122"/>
        <v>24780.519105899177</v>
      </c>
      <c r="G224" s="312">
        <f t="shared" si="123"/>
        <v>3.8464869601606441E-4</v>
      </c>
      <c r="H224" s="398">
        <v>0</v>
      </c>
      <c r="I224" s="312">
        <f t="shared" si="124"/>
        <v>0</v>
      </c>
      <c r="J224" s="457" t="e">
        <f t="shared" si="137"/>
        <v>#DIV/0!</v>
      </c>
      <c r="K224" s="369" t="e">
        <f t="shared" si="125"/>
        <v>#DIV/0!</v>
      </c>
      <c r="L224" s="404" t="e">
        <f t="shared" si="138"/>
        <v>#DIV/0!</v>
      </c>
      <c r="M224" s="312" t="e">
        <f t="shared" si="139"/>
        <v>#DIV/0!</v>
      </c>
      <c r="N224" s="298">
        <f t="shared" si="140"/>
        <v>20620.493732215262</v>
      </c>
      <c r="O224" s="312">
        <f t="shared" si="141"/>
        <v>3.6059110494385184E-4</v>
      </c>
      <c r="P224" s="404" t="e">
        <f t="shared" si="142"/>
        <v>#DIV/0!</v>
      </c>
      <c r="Q224" s="312" t="e">
        <f t="shared" si="145"/>
        <v>#DIV/0!</v>
      </c>
      <c r="R224" s="298"/>
      <c r="S224" s="312"/>
      <c r="T224" s="298"/>
      <c r="U224" s="312"/>
      <c r="V224" s="454">
        <f t="shared" si="143"/>
        <v>0</v>
      </c>
      <c r="W224" s="312">
        <f t="shared" si="146"/>
        <v>-1.0000002752637027</v>
      </c>
      <c r="X224" s="454">
        <f t="shared" si="144"/>
        <v>0</v>
      </c>
      <c r="Y224" s="312">
        <f t="shared" si="126"/>
        <v>-1</v>
      </c>
      <c r="Z224" s="674">
        <f t="shared" si="127"/>
        <v>0</v>
      </c>
      <c r="AA224" s="329"/>
      <c r="AB224" s="379">
        <f t="shared" si="127"/>
        <v>0</v>
      </c>
      <c r="AC224" s="329"/>
      <c r="AD224" s="413">
        <f t="shared" si="128"/>
        <v>0</v>
      </c>
      <c r="AE224" s="329"/>
      <c r="AG224" s="400" t="e">
        <f t="shared" si="129"/>
        <v>#DIV/0!</v>
      </c>
      <c r="AH224" s="401">
        <f t="shared" si="130"/>
        <v>0</v>
      </c>
      <c r="AI224" s="407">
        <f t="shared" si="131"/>
        <v>0</v>
      </c>
      <c r="AJ224" s="498"/>
      <c r="AK224" s="502">
        <f t="shared" si="132"/>
        <v>0</v>
      </c>
      <c r="AL224" s="503" t="e">
        <f t="shared" si="133"/>
        <v>#DIV/0!</v>
      </c>
      <c r="AM224" s="504" t="e">
        <f>AG224-AK224-AO224</f>
        <v>#DIV/0!</v>
      </c>
      <c r="AN224" s="503" t="e">
        <f t="shared" si="134"/>
        <v>#DIV/0!</v>
      </c>
      <c r="AO224" s="502">
        <f t="shared" si="135"/>
        <v>0</v>
      </c>
      <c r="AP224" s="503" t="e">
        <f t="shared" si="136"/>
        <v>#DIV/0!</v>
      </c>
      <c r="AQ224" s="314"/>
      <c r="AR224" s="110">
        <v>51136</v>
      </c>
      <c r="AS224" s="98">
        <f t="shared" si="116"/>
        <v>0</v>
      </c>
      <c r="AT224" s="98">
        <f t="shared" si="117"/>
        <v>0</v>
      </c>
      <c r="AU224" s="98"/>
      <c r="AV224" s="308"/>
      <c r="AW224" s="308"/>
      <c r="AX224" s="308"/>
      <c r="AY224" s="313"/>
      <c r="AZ224" s="313"/>
      <c r="BA224" s="313"/>
      <c r="BB224" s="313"/>
    </row>
    <row r="225" spans="1:54">
      <c r="A225" s="295">
        <v>45609</v>
      </c>
      <c r="B225" s="296">
        <f t="shared" si="118"/>
        <v>230146.5923079986</v>
      </c>
      <c r="C225" s="312">
        <f t="shared" si="119"/>
        <v>3.8483429990829597E-4</v>
      </c>
      <c r="D225" s="296">
        <f t="shared" si="120"/>
        <v>122324.02680781153</v>
      </c>
      <c r="E225" s="312">
        <f t="shared" si="121"/>
        <v>3.8486937629772478E-4</v>
      </c>
      <c r="F225" s="296">
        <f t="shared" si="122"/>
        <v>24790.050900259863</v>
      </c>
      <c r="G225" s="312">
        <f t="shared" si="123"/>
        <v>3.8464869601609455E-4</v>
      </c>
      <c r="H225" s="398">
        <v>0</v>
      </c>
      <c r="I225" s="312">
        <f t="shared" si="124"/>
        <v>0</v>
      </c>
      <c r="J225" s="457" t="e">
        <f t="shared" si="137"/>
        <v>#DIV/0!</v>
      </c>
      <c r="K225" s="369" t="e">
        <f t="shared" si="125"/>
        <v>#DIV/0!</v>
      </c>
      <c r="L225" s="404" t="e">
        <f t="shared" si="138"/>
        <v>#DIV/0!</v>
      </c>
      <c r="M225" s="312" t="e">
        <f t="shared" si="139"/>
        <v>#DIV/0!</v>
      </c>
      <c r="N225" s="298">
        <f t="shared" si="140"/>
        <v>20627.92929883465</v>
      </c>
      <c r="O225" s="312">
        <f t="shared" si="141"/>
        <v>3.6059110494387879E-4</v>
      </c>
      <c r="P225" s="404" t="e">
        <f t="shared" si="142"/>
        <v>#DIV/0!</v>
      </c>
      <c r="Q225" s="312" t="e">
        <f t="shared" si="145"/>
        <v>#DIV/0!</v>
      </c>
      <c r="R225" s="298"/>
      <c r="S225" s="312"/>
      <c r="T225" s="298"/>
      <c r="U225" s="312"/>
      <c r="V225" s="454">
        <f t="shared" si="143"/>
        <v>0</v>
      </c>
      <c r="W225" s="312">
        <f t="shared" si="146"/>
        <v>-1.0000002752637027</v>
      </c>
      <c r="X225" s="454">
        <f t="shared" si="144"/>
        <v>0</v>
      </c>
      <c r="Y225" s="312">
        <f t="shared" si="126"/>
        <v>-1</v>
      </c>
      <c r="Z225" s="674">
        <f t="shared" si="127"/>
        <v>0</v>
      </c>
      <c r="AA225" s="297"/>
      <c r="AB225" s="379">
        <f t="shared" si="127"/>
        <v>0</v>
      </c>
      <c r="AC225" s="297"/>
      <c r="AD225" s="413">
        <f t="shared" si="128"/>
        <v>0</v>
      </c>
      <c r="AE225" s="297"/>
      <c r="AG225" s="400" t="e">
        <f t="shared" si="129"/>
        <v>#DIV/0!</v>
      </c>
      <c r="AH225" s="401">
        <f t="shared" si="130"/>
        <v>0</v>
      </c>
      <c r="AI225" s="407">
        <f t="shared" si="131"/>
        <v>0</v>
      </c>
      <c r="AJ225" s="498"/>
      <c r="AK225" s="502">
        <f t="shared" si="132"/>
        <v>0</v>
      </c>
      <c r="AL225" s="503" t="e">
        <f t="shared" si="133"/>
        <v>#DIV/0!</v>
      </c>
      <c r="AM225" s="504" t="e">
        <f>AG225-AK225-AO225</f>
        <v>#DIV/0!</v>
      </c>
      <c r="AN225" s="503" t="e">
        <f t="shared" si="134"/>
        <v>#DIV/0!</v>
      </c>
      <c r="AO225" s="502">
        <f t="shared" si="135"/>
        <v>0</v>
      </c>
      <c r="AP225" s="503" t="e">
        <f t="shared" si="136"/>
        <v>#DIV/0!</v>
      </c>
      <c r="AQ225" s="314"/>
      <c r="AR225" s="110">
        <v>51167</v>
      </c>
      <c r="AS225" s="98">
        <f t="shared" si="116"/>
        <v>0</v>
      </c>
      <c r="AT225" s="98">
        <f t="shared" si="117"/>
        <v>0</v>
      </c>
      <c r="AU225" s="98"/>
      <c r="AV225" s="308"/>
      <c r="AW225" s="308"/>
      <c r="AX225" s="308"/>
      <c r="AY225" s="313"/>
      <c r="AZ225" s="313"/>
      <c r="BA225" s="313"/>
      <c r="BB225" s="313"/>
    </row>
    <row r="226" spans="1:54">
      <c r="A226" s="295">
        <v>45610</v>
      </c>
      <c r="B226" s="296">
        <f t="shared" si="118"/>
        <v>230235.16061072572</v>
      </c>
      <c r="C226" s="312">
        <f t="shared" si="119"/>
        <v>3.8483429990830085E-4</v>
      </c>
      <c r="D226" s="296">
        <f t="shared" si="120"/>
        <v>122371.10557971528</v>
      </c>
      <c r="E226" s="312">
        <f t="shared" si="121"/>
        <v>3.8486937629771269E-4</v>
      </c>
      <c r="F226" s="296">
        <f t="shared" si="122"/>
        <v>24799.586361012822</v>
      </c>
      <c r="G226" s="312">
        <f t="shared" si="123"/>
        <v>3.8464869601614822E-4</v>
      </c>
      <c r="H226" s="398">
        <v>0</v>
      </c>
      <c r="I226" s="312">
        <f t="shared" si="124"/>
        <v>0</v>
      </c>
      <c r="J226" s="457" t="e">
        <f t="shared" si="137"/>
        <v>#DIV/0!</v>
      </c>
      <c r="K226" s="369" t="e">
        <f t="shared" si="125"/>
        <v>#DIV/0!</v>
      </c>
      <c r="L226" s="404" t="e">
        <f t="shared" si="138"/>
        <v>#DIV/0!</v>
      </c>
      <c r="M226" s="312" t="e">
        <f t="shared" si="139"/>
        <v>#DIV/0!</v>
      </c>
      <c r="N226" s="298">
        <f t="shared" si="140"/>
        <v>20635.367546653222</v>
      </c>
      <c r="O226" s="312">
        <f t="shared" si="141"/>
        <v>3.6059110494395468E-4</v>
      </c>
      <c r="P226" s="404" t="e">
        <f t="shared" si="142"/>
        <v>#DIV/0!</v>
      </c>
      <c r="Q226" s="312" t="e">
        <f t="shared" si="145"/>
        <v>#DIV/0!</v>
      </c>
      <c r="R226" s="298"/>
      <c r="S226" s="312"/>
      <c r="T226" s="298"/>
      <c r="U226" s="312"/>
      <c r="V226" s="454">
        <f t="shared" si="143"/>
        <v>0</v>
      </c>
      <c r="W226" s="312">
        <f t="shared" si="146"/>
        <v>-1.0000002752637027</v>
      </c>
      <c r="X226" s="454">
        <f t="shared" si="144"/>
        <v>0</v>
      </c>
      <c r="Y226" s="312">
        <f t="shared" si="126"/>
        <v>-1</v>
      </c>
      <c r="Z226" s="674">
        <f t="shared" si="127"/>
        <v>0</v>
      </c>
      <c r="AA226" s="329"/>
      <c r="AB226" s="379">
        <f t="shared" si="127"/>
        <v>0</v>
      </c>
      <c r="AC226" s="329"/>
      <c r="AD226" s="413">
        <f t="shared" si="128"/>
        <v>0</v>
      </c>
      <c r="AE226" s="329"/>
      <c r="AG226" s="400" t="e">
        <f t="shared" si="129"/>
        <v>#DIV/0!</v>
      </c>
      <c r="AH226" s="401">
        <f t="shared" si="130"/>
        <v>0</v>
      </c>
      <c r="AI226" s="407">
        <f t="shared" si="131"/>
        <v>0</v>
      </c>
      <c r="AJ226" s="498"/>
      <c r="AK226" s="502">
        <f t="shared" si="132"/>
        <v>0</v>
      </c>
      <c r="AL226" s="503" t="e">
        <f t="shared" si="133"/>
        <v>#DIV/0!</v>
      </c>
      <c r="AM226" s="504" t="e">
        <f>AG226-AK226-AO226</f>
        <v>#DIV/0!</v>
      </c>
      <c r="AN226" s="503" t="e">
        <f t="shared" si="134"/>
        <v>#DIV/0!</v>
      </c>
      <c r="AO226" s="502">
        <f t="shared" si="135"/>
        <v>0</v>
      </c>
      <c r="AP226" s="503" t="e">
        <f t="shared" si="136"/>
        <v>#DIV/0!</v>
      </c>
      <c r="AQ226" s="314"/>
      <c r="AR226" s="110">
        <v>51196</v>
      </c>
      <c r="AS226" s="98">
        <f t="shared" si="116"/>
        <v>0</v>
      </c>
      <c r="AT226" s="98">
        <f t="shared" si="117"/>
        <v>0</v>
      </c>
      <c r="AU226" s="98"/>
      <c r="AV226" s="308"/>
      <c r="AW226" s="308"/>
      <c r="AX226" s="308"/>
      <c r="AY226" s="313"/>
      <c r="AZ226" s="313"/>
      <c r="BA226" s="313"/>
      <c r="BB226" s="313"/>
    </row>
    <row r="227" spans="1:54">
      <c r="A227" s="295">
        <v>45614</v>
      </c>
      <c r="B227" s="296">
        <f t="shared" si="118"/>
        <v>230323.76299757362</v>
      </c>
      <c r="C227" s="312">
        <f t="shared" si="119"/>
        <v>3.8483429990826291E-4</v>
      </c>
      <c r="D227" s="296">
        <f t="shared" si="120"/>
        <v>122418.2024707966</v>
      </c>
      <c r="E227" s="312">
        <f t="shared" si="121"/>
        <v>3.8486937629769518E-4</v>
      </c>
      <c r="F227" s="296">
        <f t="shared" si="122"/>
        <v>24809.125489568327</v>
      </c>
      <c r="G227" s="312">
        <f t="shared" si="123"/>
        <v>3.8464869601621766E-4</v>
      </c>
      <c r="H227" s="398">
        <v>0</v>
      </c>
      <c r="I227" s="312">
        <f t="shared" si="124"/>
        <v>0</v>
      </c>
      <c r="J227" s="457" t="e">
        <f t="shared" si="137"/>
        <v>#DIV/0!</v>
      </c>
      <c r="K227" s="369" t="e">
        <f t="shared" si="125"/>
        <v>#DIV/0!</v>
      </c>
      <c r="L227" s="404" t="e">
        <f t="shared" si="138"/>
        <v>#DIV/0!</v>
      </c>
      <c r="M227" s="312" t="e">
        <f t="shared" si="139"/>
        <v>#DIV/0!</v>
      </c>
      <c r="N227" s="298">
        <f t="shared" si="140"/>
        <v>20642.808476637794</v>
      </c>
      <c r="O227" s="312">
        <f t="shared" si="141"/>
        <v>3.6059110494393945E-4</v>
      </c>
      <c r="P227" s="404" t="e">
        <f t="shared" si="142"/>
        <v>#DIV/0!</v>
      </c>
      <c r="Q227" s="312" t="e">
        <f t="shared" si="145"/>
        <v>#DIV/0!</v>
      </c>
      <c r="R227" s="298"/>
      <c r="S227" s="312"/>
      <c r="T227" s="298"/>
      <c r="U227" s="312"/>
      <c r="V227" s="454">
        <f t="shared" si="143"/>
        <v>0</v>
      </c>
      <c r="W227" s="312">
        <f t="shared" si="146"/>
        <v>-1.0000002752637027</v>
      </c>
      <c r="X227" s="454">
        <f t="shared" si="144"/>
        <v>0</v>
      </c>
      <c r="Y227" s="312">
        <f t="shared" si="126"/>
        <v>-1</v>
      </c>
      <c r="Z227" s="674">
        <f t="shared" si="127"/>
        <v>0</v>
      </c>
      <c r="AA227" s="297"/>
      <c r="AB227" s="379">
        <f t="shared" si="127"/>
        <v>0</v>
      </c>
      <c r="AC227" s="297"/>
      <c r="AD227" s="413">
        <f t="shared" si="128"/>
        <v>0</v>
      </c>
      <c r="AE227" s="297"/>
      <c r="AG227" s="400" t="e">
        <f t="shared" si="129"/>
        <v>#DIV/0!</v>
      </c>
      <c r="AH227" s="401">
        <f t="shared" si="130"/>
        <v>0</v>
      </c>
      <c r="AI227" s="407">
        <f t="shared" si="131"/>
        <v>0</v>
      </c>
      <c r="AJ227" s="498"/>
      <c r="AK227" s="502">
        <f t="shared" si="132"/>
        <v>0</v>
      </c>
      <c r="AL227" s="503" t="e">
        <f t="shared" si="133"/>
        <v>#DIV/0!</v>
      </c>
      <c r="AM227" s="504" t="e">
        <f>AG227-AK227-AO227</f>
        <v>#DIV/0!</v>
      </c>
      <c r="AN227" s="503" t="e">
        <f t="shared" si="134"/>
        <v>#DIV/0!</v>
      </c>
      <c r="AO227" s="502">
        <f t="shared" si="135"/>
        <v>0</v>
      </c>
      <c r="AP227" s="503" t="e">
        <f t="shared" si="136"/>
        <v>#DIV/0!</v>
      </c>
      <c r="AQ227" s="314"/>
      <c r="AR227" s="110">
        <v>51227</v>
      </c>
      <c r="AS227" s="98">
        <f t="shared" si="116"/>
        <v>0</v>
      </c>
      <c r="AT227" s="98">
        <f t="shared" si="117"/>
        <v>0</v>
      </c>
      <c r="AU227" s="98"/>
      <c r="AV227" s="308"/>
      <c r="AW227" s="308"/>
      <c r="AX227" s="308"/>
      <c r="AY227" s="313"/>
      <c r="AZ227" s="313"/>
      <c r="BA227" s="313"/>
      <c r="BB227" s="313"/>
    </row>
    <row r="228" spans="1:54">
      <c r="A228" s="295">
        <v>45615</v>
      </c>
      <c r="B228" s="296">
        <f t="shared" si="118"/>
        <v>230412.39948165903</v>
      </c>
      <c r="C228" s="312">
        <f t="shared" si="119"/>
        <v>3.8483429990826144E-4</v>
      </c>
      <c r="D228" s="296">
        <f t="shared" si="120"/>
        <v>122465.31748802903</v>
      </c>
      <c r="E228" s="312">
        <f t="shared" si="121"/>
        <v>3.8486937629774788E-4</v>
      </c>
      <c r="F228" s="296">
        <f t="shared" si="122"/>
        <v>24818.668287337194</v>
      </c>
      <c r="G228" s="312">
        <f t="shared" si="123"/>
        <v>3.8464869601628667E-4</v>
      </c>
      <c r="H228" s="398">
        <v>0</v>
      </c>
      <c r="I228" s="312">
        <f t="shared" si="124"/>
        <v>0</v>
      </c>
      <c r="J228" s="457" t="e">
        <f t="shared" si="137"/>
        <v>#DIV/0!</v>
      </c>
      <c r="K228" s="369" t="e">
        <f t="shared" si="125"/>
        <v>#DIV/0!</v>
      </c>
      <c r="L228" s="404" t="e">
        <f t="shared" si="138"/>
        <v>#DIV/0!</v>
      </c>
      <c r="M228" s="312" t="e">
        <f t="shared" si="139"/>
        <v>#DIV/0!</v>
      </c>
      <c r="N228" s="298">
        <f t="shared" si="140"/>
        <v>20650.25208975553</v>
      </c>
      <c r="O228" s="312">
        <f t="shared" si="141"/>
        <v>3.6059110494386317E-4</v>
      </c>
      <c r="P228" s="404" t="e">
        <f t="shared" si="142"/>
        <v>#DIV/0!</v>
      </c>
      <c r="Q228" s="312" t="e">
        <f t="shared" si="145"/>
        <v>#DIV/0!</v>
      </c>
      <c r="R228" s="298"/>
      <c r="S228" s="312"/>
      <c r="T228" s="298"/>
      <c r="U228" s="312"/>
      <c r="V228" s="454">
        <f t="shared" si="143"/>
        <v>0</v>
      </c>
      <c r="W228" s="312">
        <f t="shared" si="146"/>
        <v>-1.0000002752637027</v>
      </c>
      <c r="X228" s="454">
        <f t="shared" si="144"/>
        <v>0</v>
      </c>
      <c r="Y228" s="312">
        <f t="shared" si="126"/>
        <v>-1</v>
      </c>
      <c r="Z228" s="674">
        <f t="shared" si="127"/>
        <v>0</v>
      </c>
      <c r="AA228" s="329"/>
      <c r="AB228" s="379">
        <f t="shared" si="127"/>
        <v>0</v>
      </c>
      <c r="AC228" s="329"/>
      <c r="AD228" s="413">
        <f t="shared" si="128"/>
        <v>0</v>
      </c>
      <c r="AE228" s="329"/>
      <c r="AG228" s="400" t="e">
        <f t="shared" si="129"/>
        <v>#DIV/0!</v>
      </c>
      <c r="AH228" s="401">
        <f t="shared" si="130"/>
        <v>0</v>
      </c>
      <c r="AI228" s="407">
        <f t="shared" si="131"/>
        <v>0</v>
      </c>
      <c r="AJ228" s="498"/>
      <c r="AK228" s="502">
        <f t="shared" si="132"/>
        <v>0</v>
      </c>
      <c r="AL228" s="503" t="e">
        <f t="shared" si="133"/>
        <v>#DIV/0!</v>
      </c>
      <c r="AM228" s="504" t="e">
        <f>AG228-AK228-AO228</f>
        <v>#DIV/0!</v>
      </c>
      <c r="AN228" s="503" t="e">
        <f t="shared" si="134"/>
        <v>#DIV/0!</v>
      </c>
      <c r="AO228" s="502">
        <f t="shared" si="135"/>
        <v>0</v>
      </c>
      <c r="AP228" s="503" t="e">
        <f t="shared" si="136"/>
        <v>#DIV/0!</v>
      </c>
      <c r="AQ228" s="314"/>
      <c r="AR228" s="110">
        <v>51257</v>
      </c>
      <c r="AS228" s="98">
        <f t="shared" si="116"/>
        <v>0</v>
      </c>
      <c r="AT228" s="98">
        <f t="shared" si="117"/>
        <v>0</v>
      </c>
      <c r="AU228" s="98"/>
      <c r="AV228" s="308"/>
      <c r="AW228" s="308"/>
      <c r="AX228" s="308"/>
      <c r="AY228" s="313"/>
      <c r="AZ228" s="313"/>
      <c r="BA228" s="313"/>
      <c r="BB228" s="313"/>
    </row>
    <row r="229" spans="1:54">
      <c r="A229" s="295">
        <v>45616</v>
      </c>
      <c r="B229" s="296">
        <f t="shared" si="118"/>
        <v>230501.07007610373</v>
      </c>
      <c r="C229" s="312">
        <f t="shared" si="119"/>
        <v>3.8483429990824073E-4</v>
      </c>
      <c r="D229" s="296">
        <f t="shared" si="120"/>
        <v>122512.45063838875</v>
      </c>
      <c r="E229" s="312">
        <f t="shared" si="121"/>
        <v>3.8486937629770001E-4</v>
      </c>
      <c r="F229" s="296">
        <f t="shared" si="122"/>
        <v>24828.21475573078</v>
      </c>
      <c r="G229" s="312">
        <f t="shared" si="123"/>
        <v>3.8464869601633069E-4</v>
      </c>
      <c r="H229" s="398">
        <v>0</v>
      </c>
      <c r="I229" s="312">
        <f t="shared" si="124"/>
        <v>0</v>
      </c>
      <c r="J229" s="457" t="e">
        <f t="shared" si="137"/>
        <v>#DIV/0!</v>
      </c>
      <c r="K229" s="369" t="e">
        <f t="shared" si="125"/>
        <v>#DIV/0!</v>
      </c>
      <c r="L229" s="404" t="e">
        <f t="shared" si="138"/>
        <v>#DIV/0!</v>
      </c>
      <c r="M229" s="312" t="e">
        <f t="shared" si="139"/>
        <v>#DIV/0!</v>
      </c>
      <c r="N229" s="298">
        <f t="shared" si="140"/>
        <v>20657.698386973945</v>
      </c>
      <c r="O229" s="312">
        <f t="shared" si="141"/>
        <v>3.6059110494392611E-4</v>
      </c>
      <c r="P229" s="404" t="e">
        <f t="shared" si="142"/>
        <v>#DIV/0!</v>
      </c>
      <c r="Q229" s="312" t="e">
        <f t="shared" si="145"/>
        <v>#DIV/0!</v>
      </c>
      <c r="R229" s="298"/>
      <c r="S229" s="312"/>
      <c r="T229" s="298"/>
      <c r="U229" s="312"/>
      <c r="V229" s="454">
        <f t="shared" si="143"/>
        <v>0</v>
      </c>
      <c r="W229" s="312">
        <f t="shared" si="146"/>
        <v>-1.0000002752637027</v>
      </c>
      <c r="X229" s="454">
        <f t="shared" si="144"/>
        <v>0</v>
      </c>
      <c r="Y229" s="312">
        <f t="shared" si="126"/>
        <v>-1</v>
      </c>
      <c r="Z229" s="674">
        <f t="shared" si="127"/>
        <v>0</v>
      </c>
      <c r="AA229" s="297"/>
      <c r="AB229" s="379">
        <f t="shared" si="127"/>
        <v>0</v>
      </c>
      <c r="AC229" s="297"/>
      <c r="AD229" s="413">
        <f t="shared" si="128"/>
        <v>0</v>
      </c>
      <c r="AE229" s="297"/>
      <c r="AG229" s="400" t="e">
        <f t="shared" si="129"/>
        <v>#DIV/0!</v>
      </c>
      <c r="AH229" s="401">
        <f t="shared" si="130"/>
        <v>0</v>
      </c>
      <c r="AI229" s="407">
        <f t="shared" si="131"/>
        <v>0</v>
      </c>
      <c r="AJ229" s="498"/>
      <c r="AK229" s="502">
        <f t="shared" si="132"/>
        <v>0</v>
      </c>
      <c r="AL229" s="503" t="e">
        <f t="shared" si="133"/>
        <v>#DIV/0!</v>
      </c>
      <c r="AM229" s="504" t="e">
        <f>AG229-AK229-AO229</f>
        <v>#DIV/0!</v>
      </c>
      <c r="AN229" s="503" t="e">
        <f t="shared" si="134"/>
        <v>#DIV/0!</v>
      </c>
      <c r="AO229" s="502">
        <f t="shared" si="135"/>
        <v>0</v>
      </c>
      <c r="AP229" s="503" t="e">
        <f t="shared" si="136"/>
        <v>#DIV/0!</v>
      </c>
      <c r="AQ229" s="314"/>
      <c r="AR229" s="110">
        <v>51288</v>
      </c>
      <c r="AS229" s="98">
        <f t="shared" ref="AS229:AS292" si="147">AS228*0.9%+AS228</f>
        <v>0</v>
      </c>
      <c r="AT229" s="98">
        <f t="shared" ref="AT229:AT292" si="148">AT228*1%+AT228</f>
        <v>0</v>
      </c>
      <c r="AU229" s="98"/>
      <c r="AV229" s="308"/>
      <c r="AW229" s="308"/>
      <c r="AX229" s="308"/>
      <c r="AY229" s="313"/>
      <c r="AZ229" s="313"/>
      <c r="BA229" s="313"/>
      <c r="BB229" s="313"/>
    </row>
    <row r="230" spans="1:54">
      <c r="A230" s="295">
        <v>45617</v>
      </c>
      <c r="B230" s="296">
        <f t="shared" si="118"/>
        <v>230589.77479403457</v>
      </c>
      <c r="C230" s="312">
        <f t="shared" si="119"/>
        <v>3.8483429990826318E-4</v>
      </c>
      <c r="D230" s="296">
        <f t="shared" si="120"/>
        <v>122559.60192885465</v>
      </c>
      <c r="E230" s="312">
        <f t="shared" si="121"/>
        <v>3.8486937629772912E-4</v>
      </c>
      <c r="F230" s="296">
        <f t="shared" si="122"/>
        <v>24837.764896160985</v>
      </c>
      <c r="G230" s="312">
        <f t="shared" si="123"/>
        <v>3.8464869601631676E-4</v>
      </c>
      <c r="H230" s="398">
        <v>0</v>
      </c>
      <c r="I230" s="312">
        <f t="shared" si="124"/>
        <v>0</v>
      </c>
      <c r="J230" s="457" t="e">
        <f t="shared" si="137"/>
        <v>#DIV/0!</v>
      </c>
      <c r="K230" s="369" t="e">
        <f t="shared" si="125"/>
        <v>#DIV/0!</v>
      </c>
      <c r="L230" s="404" t="e">
        <f t="shared" si="138"/>
        <v>#DIV/0!</v>
      </c>
      <c r="M230" s="312" t="e">
        <f t="shared" si="139"/>
        <v>#DIV/0!</v>
      </c>
      <c r="N230" s="298">
        <f t="shared" si="140"/>
        <v>20665.147369260903</v>
      </c>
      <c r="O230" s="312">
        <f t="shared" si="141"/>
        <v>3.6059110494396986E-4</v>
      </c>
      <c r="P230" s="404" t="e">
        <f t="shared" si="142"/>
        <v>#DIV/0!</v>
      </c>
      <c r="Q230" s="312" t="e">
        <f t="shared" si="145"/>
        <v>#DIV/0!</v>
      </c>
      <c r="R230" s="298"/>
      <c r="S230" s="312"/>
      <c r="T230" s="298"/>
      <c r="U230" s="312"/>
      <c r="V230" s="454">
        <f t="shared" si="143"/>
        <v>0</v>
      </c>
      <c r="W230" s="312">
        <f t="shared" si="146"/>
        <v>-1.0000002752637027</v>
      </c>
      <c r="X230" s="454">
        <f t="shared" si="144"/>
        <v>0</v>
      </c>
      <c r="Y230" s="312">
        <f t="shared" si="126"/>
        <v>-1</v>
      </c>
      <c r="Z230" s="674">
        <f t="shared" si="127"/>
        <v>0</v>
      </c>
      <c r="AA230" s="329"/>
      <c r="AB230" s="379">
        <f t="shared" si="127"/>
        <v>0</v>
      </c>
      <c r="AC230" s="329"/>
      <c r="AD230" s="413">
        <f t="shared" si="128"/>
        <v>0</v>
      </c>
      <c r="AE230" s="329"/>
      <c r="AG230" s="400" t="e">
        <f t="shared" si="129"/>
        <v>#DIV/0!</v>
      </c>
      <c r="AH230" s="401">
        <f t="shared" si="130"/>
        <v>0</v>
      </c>
      <c r="AI230" s="407">
        <f t="shared" si="131"/>
        <v>0</v>
      </c>
      <c r="AJ230" s="498"/>
      <c r="AK230" s="502">
        <f t="shared" si="132"/>
        <v>0</v>
      </c>
      <c r="AL230" s="503" t="e">
        <f t="shared" si="133"/>
        <v>#DIV/0!</v>
      </c>
      <c r="AM230" s="504" t="e">
        <f>AG230-AK230-AO230</f>
        <v>#DIV/0!</v>
      </c>
      <c r="AN230" s="503" t="e">
        <f t="shared" si="134"/>
        <v>#DIV/0!</v>
      </c>
      <c r="AO230" s="502">
        <f t="shared" si="135"/>
        <v>0</v>
      </c>
      <c r="AP230" s="503" t="e">
        <f t="shared" si="136"/>
        <v>#DIV/0!</v>
      </c>
      <c r="AQ230" s="314"/>
      <c r="AR230" s="110">
        <v>51318</v>
      </c>
      <c r="AS230" s="98">
        <f t="shared" si="147"/>
        <v>0</v>
      </c>
      <c r="AT230" s="98">
        <f t="shared" si="148"/>
        <v>0</v>
      </c>
      <c r="AU230" s="98"/>
      <c r="AV230" s="308"/>
      <c r="AW230" s="308"/>
      <c r="AX230" s="308"/>
      <c r="AY230" s="313"/>
      <c r="AZ230" s="313"/>
      <c r="BA230" s="313"/>
      <c r="BB230" s="313"/>
    </row>
    <row r="231" spans="1:54">
      <c r="A231" s="295">
        <v>45618</v>
      </c>
      <c r="B231" s="296">
        <f t="shared" si="118"/>
        <v>230678.51364858344</v>
      </c>
      <c r="C231" s="312">
        <f t="shared" si="119"/>
        <v>3.8483429990825624E-4</v>
      </c>
      <c r="D231" s="296">
        <f t="shared" si="120"/>
        <v>122606.77136640831</v>
      </c>
      <c r="E231" s="312">
        <f t="shared" si="121"/>
        <v>3.8486937629776647E-4</v>
      </c>
      <c r="F231" s="296">
        <f t="shared" si="122"/>
        <v>24847.318710040254</v>
      </c>
      <c r="G231" s="312">
        <f t="shared" si="123"/>
        <v>3.8464869601635021E-4</v>
      </c>
      <c r="H231" s="398">
        <v>0</v>
      </c>
      <c r="I231" s="312">
        <f t="shared" si="124"/>
        <v>0</v>
      </c>
      <c r="J231" s="457" t="e">
        <f t="shared" si="137"/>
        <v>#DIV/0!</v>
      </c>
      <c r="K231" s="369" t="e">
        <f t="shared" si="125"/>
        <v>#DIV/0!</v>
      </c>
      <c r="L231" s="404" t="e">
        <f t="shared" si="138"/>
        <v>#DIV/0!</v>
      </c>
      <c r="M231" s="312" t="e">
        <f t="shared" si="139"/>
        <v>#DIV/0!</v>
      </c>
      <c r="N231" s="298">
        <f t="shared" si="140"/>
        <v>20672.599037584616</v>
      </c>
      <c r="O231" s="312">
        <f t="shared" si="141"/>
        <v>3.6059110494400613E-4</v>
      </c>
      <c r="P231" s="404" t="e">
        <f t="shared" si="142"/>
        <v>#DIV/0!</v>
      </c>
      <c r="Q231" s="312" t="e">
        <f t="shared" si="145"/>
        <v>#DIV/0!</v>
      </c>
      <c r="R231" s="298"/>
      <c r="S231" s="312"/>
      <c r="T231" s="298"/>
      <c r="U231" s="312"/>
      <c r="V231" s="454">
        <f t="shared" si="143"/>
        <v>0</v>
      </c>
      <c r="W231" s="312">
        <f t="shared" si="146"/>
        <v>-1.0000002752637027</v>
      </c>
      <c r="X231" s="454">
        <f t="shared" si="144"/>
        <v>0</v>
      </c>
      <c r="Y231" s="312">
        <f t="shared" si="126"/>
        <v>-1</v>
      </c>
      <c r="Z231" s="674">
        <f t="shared" si="127"/>
        <v>0</v>
      </c>
      <c r="AA231" s="297"/>
      <c r="AB231" s="379">
        <f t="shared" si="127"/>
        <v>0</v>
      </c>
      <c r="AC231" s="297"/>
      <c r="AD231" s="413">
        <f t="shared" si="128"/>
        <v>0</v>
      </c>
      <c r="AE231" s="297"/>
      <c r="AG231" s="400" t="e">
        <f t="shared" si="129"/>
        <v>#DIV/0!</v>
      </c>
      <c r="AH231" s="401">
        <f t="shared" si="130"/>
        <v>0</v>
      </c>
      <c r="AI231" s="407">
        <f t="shared" si="131"/>
        <v>0</v>
      </c>
      <c r="AJ231" s="498"/>
      <c r="AK231" s="502">
        <f t="shared" si="132"/>
        <v>0</v>
      </c>
      <c r="AL231" s="503" t="e">
        <f t="shared" si="133"/>
        <v>#DIV/0!</v>
      </c>
      <c r="AM231" s="504" t="e">
        <f>AG231-AK231-AO231</f>
        <v>#DIV/0!</v>
      </c>
      <c r="AN231" s="503" t="e">
        <f t="shared" si="134"/>
        <v>#DIV/0!</v>
      </c>
      <c r="AO231" s="502">
        <f t="shared" si="135"/>
        <v>0</v>
      </c>
      <c r="AP231" s="503" t="e">
        <f t="shared" si="136"/>
        <v>#DIV/0!</v>
      </c>
      <c r="AQ231" s="314"/>
      <c r="AR231" s="110">
        <v>51349</v>
      </c>
      <c r="AS231" s="98">
        <f t="shared" si="147"/>
        <v>0</v>
      </c>
      <c r="AT231" s="98">
        <f t="shared" si="148"/>
        <v>0</v>
      </c>
      <c r="AU231" s="98"/>
      <c r="AV231" s="308"/>
      <c r="AW231" s="308"/>
      <c r="AX231" s="308"/>
      <c r="AY231" s="313"/>
      <c r="AZ231" s="313"/>
      <c r="BA231" s="313"/>
      <c r="BB231" s="313"/>
    </row>
    <row r="232" spans="1:54">
      <c r="A232" s="295">
        <v>45621</v>
      </c>
      <c r="B232" s="296">
        <f t="shared" si="118"/>
        <v>230767.28665288727</v>
      </c>
      <c r="C232" s="312">
        <f t="shared" si="119"/>
        <v>3.8483429990826535E-4</v>
      </c>
      <c r="D232" s="296">
        <f t="shared" si="120"/>
        <v>122653.95895803398</v>
      </c>
      <c r="E232" s="312">
        <f t="shared" si="121"/>
        <v>3.8486937629773508E-4</v>
      </c>
      <c r="F232" s="296">
        <f t="shared" si="122"/>
        <v>24856.876198781574</v>
      </c>
      <c r="G232" s="312">
        <f t="shared" si="123"/>
        <v>3.8464869601638111E-4</v>
      </c>
      <c r="H232" s="398">
        <v>0</v>
      </c>
      <c r="I232" s="312">
        <f t="shared" si="124"/>
        <v>0</v>
      </c>
      <c r="J232" s="457" t="e">
        <f t="shared" si="137"/>
        <v>#DIV/0!</v>
      </c>
      <c r="K232" s="369" t="e">
        <f t="shared" si="125"/>
        <v>#DIV/0!</v>
      </c>
      <c r="L232" s="404" t="e">
        <f t="shared" si="138"/>
        <v>#DIV/0!</v>
      </c>
      <c r="M232" s="312" t="e">
        <f t="shared" si="139"/>
        <v>#DIV/0!</v>
      </c>
      <c r="N232" s="298">
        <f t="shared" si="140"/>
        <v>20680.053392913644</v>
      </c>
      <c r="O232" s="312">
        <f t="shared" si="141"/>
        <v>3.6059110494404066E-4</v>
      </c>
      <c r="P232" s="404" t="e">
        <f t="shared" si="142"/>
        <v>#DIV/0!</v>
      </c>
      <c r="Q232" s="312" t="e">
        <f t="shared" si="145"/>
        <v>#DIV/0!</v>
      </c>
      <c r="R232" s="298"/>
      <c r="S232" s="312"/>
      <c r="T232" s="298"/>
      <c r="U232" s="312"/>
      <c r="V232" s="454">
        <f t="shared" si="143"/>
        <v>0</v>
      </c>
      <c r="W232" s="312">
        <f t="shared" si="146"/>
        <v>-1.0000002752637027</v>
      </c>
      <c r="X232" s="454">
        <f t="shared" si="144"/>
        <v>0</v>
      </c>
      <c r="Y232" s="312">
        <f t="shared" si="126"/>
        <v>-1</v>
      </c>
      <c r="Z232" s="674">
        <f t="shared" si="127"/>
        <v>0</v>
      </c>
      <c r="AA232" s="329"/>
      <c r="AB232" s="379">
        <f t="shared" si="127"/>
        <v>0</v>
      </c>
      <c r="AC232" s="329"/>
      <c r="AD232" s="413">
        <f t="shared" si="128"/>
        <v>0</v>
      </c>
      <c r="AE232" s="329"/>
      <c r="AF232" s="287"/>
      <c r="AG232" s="400" t="e">
        <f t="shared" si="129"/>
        <v>#DIV/0!</v>
      </c>
      <c r="AH232" s="401">
        <f t="shared" si="130"/>
        <v>0</v>
      </c>
      <c r="AI232" s="407">
        <f t="shared" si="131"/>
        <v>0</v>
      </c>
      <c r="AJ232" s="498"/>
      <c r="AK232" s="502">
        <f t="shared" si="132"/>
        <v>0</v>
      </c>
      <c r="AL232" s="503" t="e">
        <f t="shared" si="133"/>
        <v>#DIV/0!</v>
      </c>
      <c r="AM232" s="504" t="e">
        <f>AG232-AK232-AO232</f>
        <v>#DIV/0!</v>
      </c>
      <c r="AN232" s="503" t="e">
        <f t="shared" si="134"/>
        <v>#DIV/0!</v>
      </c>
      <c r="AO232" s="502">
        <f t="shared" si="135"/>
        <v>0</v>
      </c>
      <c r="AP232" s="503" t="e">
        <f t="shared" si="136"/>
        <v>#DIV/0!</v>
      </c>
      <c r="AQ232" s="314"/>
      <c r="AR232" s="110">
        <v>51380</v>
      </c>
      <c r="AS232" s="98">
        <f t="shared" si="147"/>
        <v>0</v>
      </c>
      <c r="AT232" s="98">
        <f t="shared" si="148"/>
        <v>0</v>
      </c>
      <c r="AU232" s="98"/>
      <c r="AV232" s="308"/>
      <c r="AW232" s="308"/>
      <c r="AX232" s="308"/>
      <c r="AY232" s="313"/>
      <c r="AZ232" s="313"/>
      <c r="BA232" s="313"/>
      <c r="BB232" s="313"/>
    </row>
    <row r="233" spans="1:54">
      <c r="A233" s="295">
        <v>45622</v>
      </c>
      <c r="B233" s="296">
        <f t="shared" si="118"/>
        <v>230856.09382008808</v>
      </c>
      <c r="C233" s="312">
        <f t="shared" si="119"/>
        <v>3.8483429990832742E-4</v>
      </c>
      <c r="D233" s="296">
        <f t="shared" si="120"/>
        <v>122701.16471071861</v>
      </c>
      <c r="E233" s="312">
        <f t="shared" si="121"/>
        <v>3.8486937629778696E-4</v>
      </c>
      <c r="F233" s="296">
        <f t="shared" si="122"/>
        <v>24866.437363798475</v>
      </c>
      <c r="G233" s="312">
        <f t="shared" si="123"/>
        <v>3.846486960163514E-4</v>
      </c>
      <c r="H233" s="398">
        <v>0</v>
      </c>
      <c r="I233" s="312">
        <f t="shared" si="124"/>
        <v>0</v>
      </c>
      <c r="J233" s="457" t="e">
        <f t="shared" si="137"/>
        <v>#DIV/0!</v>
      </c>
      <c r="K233" s="369" t="e">
        <f t="shared" si="125"/>
        <v>#DIV/0!</v>
      </c>
      <c r="L233" s="404" t="e">
        <f t="shared" si="138"/>
        <v>#DIV/0!</v>
      </c>
      <c r="M233" s="312" t="e">
        <f t="shared" si="139"/>
        <v>#DIV/0!</v>
      </c>
      <c r="N233" s="298">
        <f t="shared" si="140"/>
        <v>20687.510436216897</v>
      </c>
      <c r="O233" s="312">
        <f t="shared" si="141"/>
        <v>3.6059110494407308E-4</v>
      </c>
      <c r="P233" s="404" t="e">
        <f t="shared" si="142"/>
        <v>#DIV/0!</v>
      </c>
      <c r="Q233" s="312" t="e">
        <f t="shared" si="145"/>
        <v>#DIV/0!</v>
      </c>
      <c r="R233" s="298"/>
      <c r="S233" s="312"/>
      <c r="T233" s="298"/>
      <c r="U233" s="312"/>
      <c r="V233" s="454">
        <f t="shared" si="143"/>
        <v>0</v>
      </c>
      <c r="W233" s="312">
        <f t="shared" si="146"/>
        <v>-1.0000002752637027</v>
      </c>
      <c r="X233" s="454">
        <f t="shared" si="144"/>
        <v>0</v>
      </c>
      <c r="Y233" s="312">
        <f t="shared" si="126"/>
        <v>-1</v>
      </c>
      <c r="Z233" s="674">
        <f t="shared" si="127"/>
        <v>0</v>
      </c>
      <c r="AA233" s="297"/>
      <c r="AB233" s="379">
        <f t="shared" si="127"/>
        <v>0</v>
      </c>
      <c r="AC233" s="297"/>
      <c r="AD233" s="413">
        <f t="shared" si="128"/>
        <v>0</v>
      </c>
      <c r="AE233" s="297"/>
      <c r="AG233" s="400" t="e">
        <f t="shared" si="129"/>
        <v>#DIV/0!</v>
      </c>
      <c r="AH233" s="401">
        <f t="shared" si="130"/>
        <v>0</v>
      </c>
      <c r="AI233" s="407">
        <f t="shared" si="131"/>
        <v>0</v>
      </c>
      <c r="AJ233" s="498"/>
      <c r="AK233" s="502">
        <f t="shared" si="132"/>
        <v>0</v>
      </c>
      <c r="AL233" s="503" t="e">
        <f t="shared" si="133"/>
        <v>#DIV/0!</v>
      </c>
      <c r="AM233" s="504" t="e">
        <f>AG233-AK233-AO233</f>
        <v>#DIV/0!</v>
      </c>
      <c r="AN233" s="503" t="e">
        <f t="shared" si="134"/>
        <v>#DIV/0!</v>
      </c>
      <c r="AO233" s="502">
        <f t="shared" si="135"/>
        <v>0</v>
      </c>
      <c r="AP233" s="503" t="e">
        <f t="shared" si="136"/>
        <v>#DIV/0!</v>
      </c>
      <c r="AQ233" s="314"/>
      <c r="AR233" s="110">
        <v>51410</v>
      </c>
      <c r="AS233" s="98">
        <f t="shared" si="147"/>
        <v>0</v>
      </c>
      <c r="AT233" s="98">
        <f t="shared" si="148"/>
        <v>0</v>
      </c>
      <c r="AU233" s="98"/>
      <c r="AV233" s="308"/>
      <c r="AW233" s="308"/>
      <c r="AX233" s="308"/>
      <c r="AY233" s="313"/>
      <c r="AZ233" s="313"/>
      <c r="BA233" s="313"/>
      <c r="BB233" s="313"/>
    </row>
    <row r="234" spans="1:54">
      <c r="A234" s="295">
        <v>45623</v>
      </c>
      <c r="B234" s="296">
        <f t="shared" si="118"/>
        <v>230944.93516333291</v>
      </c>
      <c r="C234" s="312">
        <f t="shared" si="119"/>
        <v>3.8483429990834476E-4</v>
      </c>
      <c r="D234" s="296">
        <f t="shared" si="120"/>
        <v>122748.38863145185</v>
      </c>
      <c r="E234" s="312">
        <f t="shared" si="121"/>
        <v>3.8486937629782816E-4</v>
      </c>
      <c r="F234" s="296">
        <f t="shared" si="122"/>
        <v>24876.002206505033</v>
      </c>
      <c r="G234" s="312">
        <f t="shared" si="123"/>
        <v>3.8464869601634088E-4</v>
      </c>
      <c r="H234" s="398">
        <v>0</v>
      </c>
      <c r="I234" s="312">
        <f t="shared" si="124"/>
        <v>0</v>
      </c>
      <c r="J234" s="457" t="e">
        <f t="shared" si="137"/>
        <v>#DIV/0!</v>
      </c>
      <c r="K234" s="369" t="e">
        <f t="shared" si="125"/>
        <v>#DIV/0!</v>
      </c>
      <c r="L234" s="404" t="e">
        <f t="shared" si="138"/>
        <v>#DIV/0!</v>
      </c>
      <c r="M234" s="312" t="e">
        <f t="shared" si="139"/>
        <v>#DIV/0!</v>
      </c>
      <c r="N234" s="298">
        <f t="shared" si="140"/>
        <v>20694.970168463635</v>
      </c>
      <c r="O234" s="312">
        <f t="shared" si="141"/>
        <v>3.6059110494409682E-4</v>
      </c>
      <c r="P234" s="404" t="e">
        <f t="shared" si="142"/>
        <v>#DIV/0!</v>
      </c>
      <c r="Q234" s="312" t="e">
        <f t="shared" si="145"/>
        <v>#DIV/0!</v>
      </c>
      <c r="R234" s="298"/>
      <c r="S234" s="312"/>
      <c r="T234" s="298"/>
      <c r="U234" s="312"/>
      <c r="V234" s="454">
        <f t="shared" si="143"/>
        <v>0</v>
      </c>
      <c r="W234" s="312">
        <f t="shared" si="146"/>
        <v>-1.0000002752637027</v>
      </c>
      <c r="X234" s="454">
        <f t="shared" si="144"/>
        <v>0</v>
      </c>
      <c r="Y234" s="312">
        <f t="shared" si="126"/>
        <v>-1</v>
      </c>
      <c r="Z234" s="674">
        <f t="shared" si="127"/>
        <v>0</v>
      </c>
      <c r="AA234" s="329"/>
      <c r="AB234" s="379">
        <f t="shared" si="127"/>
        <v>0</v>
      </c>
      <c r="AC234" s="329"/>
      <c r="AD234" s="413">
        <f t="shared" si="128"/>
        <v>0</v>
      </c>
      <c r="AE234" s="329"/>
      <c r="AG234" s="400" t="e">
        <f t="shared" si="129"/>
        <v>#DIV/0!</v>
      </c>
      <c r="AH234" s="401">
        <f t="shared" si="130"/>
        <v>0</v>
      </c>
      <c r="AI234" s="407">
        <f t="shared" si="131"/>
        <v>0</v>
      </c>
      <c r="AJ234" s="498"/>
      <c r="AK234" s="502">
        <f t="shared" si="132"/>
        <v>0</v>
      </c>
      <c r="AL234" s="503" t="e">
        <f t="shared" si="133"/>
        <v>#DIV/0!</v>
      </c>
      <c r="AM234" s="504" t="e">
        <f>AG234-AK234-AO234</f>
        <v>#DIV/0!</v>
      </c>
      <c r="AN234" s="503" t="e">
        <f t="shared" si="134"/>
        <v>#DIV/0!</v>
      </c>
      <c r="AO234" s="502">
        <f t="shared" si="135"/>
        <v>0</v>
      </c>
      <c r="AP234" s="503" t="e">
        <f t="shared" si="136"/>
        <v>#DIV/0!</v>
      </c>
      <c r="AQ234" s="314"/>
      <c r="AR234" s="110">
        <v>51441</v>
      </c>
      <c r="AS234" s="98">
        <f t="shared" si="147"/>
        <v>0</v>
      </c>
      <c r="AT234" s="98">
        <f t="shared" si="148"/>
        <v>0</v>
      </c>
      <c r="AU234" s="98"/>
      <c r="AV234" s="308"/>
      <c r="AW234" s="308"/>
      <c r="AX234" s="308"/>
      <c r="AY234" s="313"/>
      <c r="AZ234" s="313"/>
      <c r="BA234" s="313"/>
      <c r="BB234" s="313"/>
    </row>
    <row r="235" spans="1:54">
      <c r="A235" s="295">
        <v>45624</v>
      </c>
      <c r="B235" s="296">
        <f t="shared" si="118"/>
        <v>231033.81069577386</v>
      </c>
      <c r="C235" s="312">
        <f t="shared" si="119"/>
        <v>3.848342999083375E-4</v>
      </c>
      <c r="D235" s="296">
        <f t="shared" si="120"/>
        <v>122795.630727226</v>
      </c>
      <c r="E235" s="312">
        <f t="shared" si="121"/>
        <v>3.84869376297875E-4</v>
      </c>
      <c r="F235" s="296">
        <f t="shared" si="122"/>
        <v>24885.570728315863</v>
      </c>
      <c r="G235" s="312">
        <f t="shared" si="123"/>
        <v>3.8464869601627475E-4</v>
      </c>
      <c r="H235" s="398">
        <v>0</v>
      </c>
      <c r="I235" s="312">
        <f t="shared" si="124"/>
        <v>0</v>
      </c>
      <c r="J235" s="457" t="e">
        <f t="shared" si="137"/>
        <v>#DIV/0!</v>
      </c>
      <c r="K235" s="369" t="e">
        <f t="shared" si="125"/>
        <v>#DIV/0!</v>
      </c>
      <c r="L235" s="404" t="e">
        <f t="shared" si="138"/>
        <v>#DIV/0!</v>
      </c>
      <c r="M235" s="312" t="e">
        <f t="shared" si="139"/>
        <v>#DIV/0!</v>
      </c>
      <c r="N235" s="298">
        <f t="shared" si="140"/>
        <v>20702.432590623466</v>
      </c>
      <c r="O235" s="312">
        <f t="shared" si="141"/>
        <v>3.6059110494409937E-4</v>
      </c>
      <c r="P235" s="404" t="e">
        <f t="shared" si="142"/>
        <v>#DIV/0!</v>
      </c>
      <c r="Q235" s="312" t="e">
        <f t="shared" si="145"/>
        <v>#DIV/0!</v>
      </c>
      <c r="R235" s="298"/>
      <c r="S235" s="312"/>
      <c r="T235" s="298"/>
      <c r="U235" s="312"/>
      <c r="V235" s="454">
        <f t="shared" si="143"/>
        <v>0</v>
      </c>
      <c r="W235" s="312">
        <f t="shared" si="146"/>
        <v>-1.0000002752637027</v>
      </c>
      <c r="X235" s="454">
        <f t="shared" si="144"/>
        <v>0</v>
      </c>
      <c r="Y235" s="312">
        <f t="shared" si="126"/>
        <v>-1</v>
      </c>
      <c r="Z235" s="674">
        <f t="shared" si="127"/>
        <v>0</v>
      </c>
      <c r="AA235" s="297"/>
      <c r="AB235" s="379">
        <f t="shared" si="127"/>
        <v>0</v>
      </c>
      <c r="AC235" s="297"/>
      <c r="AD235" s="413">
        <f t="shared" si="128"/>
        <v>0</v>
      </c>
      <c r="AE235" s="297"/>
      <c r="AF235" s="287"/>
      <c r="AG235" s="400" t="e">
        <f t="shared" si="129"/>
        <v>#DIV/0!</v>
      </c>
      <c r="AH235" s="401">
        <f t="shared" si="130"/>
        <v>0</v>
      </c>
      <c r="AI235" s="407">
        <f t="shared" si="131"/>
        <v>0</v>
      </c>
      <c r="AJ235" s="498"/>
      <c r="AK235" s="502">
        <f t="shared" si="132"/>
        <v>0</v>
      </c>
      <c r="AL235" s="503" t="e">
        <f t="shared" si="133"/>
        <v>#DIV/0!</v>
      </c>
      <c r="AM235" s="504" t="e">
        <f>AG235-AK235-AO235</f>
        <v>#DIV/0!</v>
      </c>
      <c r="AN235" s="503" t="e">
        <f t="shared" si="134"/>
        <v>#DIV/0!</v>
      </c>
      <c r="AO235" s="502">
        <f t="shared" si="135"/>
        <v>0</v>
      </c>
      <c r="AP235" s="503" t="e">
        <f t="shared" si="136"/>
        <v>#DIV/0!</v>
      </c>
      <c r="AQ235" s="314"/>
      <c r="AR235" s="110">
        <v>51471</v>
      </c>
      <c r="AS235" s="98">
        <f t="shared" si="147"/>
        <v>0</v>
      </c>
      <c r="AT235" s="98">
        <f t="shared" si="148"/>
        <v>0</v>
      </c>
      <c r="AU235" s="98"/>
      <c r="AV235" s="308"/>
      <c r="AW235" s="308"/>
      <c r="AX235" s="308"/>
      <c r="AY235" s="313"/>
      <c r="AZ235" s="313"/>
      <c r="BA235" s="313"/>
      <c r="BB235" s="313"/>
    </row>
    <row r="236" spans="1:54">
      <c r="A236" s="295">
        <v>45625</v>
      </c>
      <c r="B236" s="296">
        <f t="shared" si="118"/>
        <v>231122.72043056812</v>
      </c>
      <c r="C236" s="312">
        <f t="shared" si="119"/>
        <v>3.8483429990831728E-4</v>
      </c>
      <c r="D236" s="296">
        <f t="shared" si="120"/>
        <v>122842.89100503609</v>
      </c>
      <c r="E236" s="312">
        <f t="shared" si="121"/>
        <v>3.8486937629781694E-4</v>
      </c>
      <c r="F236" s="296">
        <f t="shared" si="122"/>
        <v>24895.142930646129</v>
      </c>
      <c r="G236" s="312">
        <f t="shared" si="123"/>
        <v>3.8464869601621593E-4</v>
      </c>
      <c r="H236" s="398">
        <v>0</v>
      </c>
      <c r="I236" s="312">
        <f t="shared" si="124"/>
        <v>0</v>
      </c>
      <c r="J236" s="457" t="e">
        <f t="shared" si="137"/>
        <v>#DIV/0!</v>
      </c>
      <c r="K236" s="369" t="e">
        <f t="shared" si="125"/>
        <v>#DIV/0!</v>
      </c>
      <c r="L236" s="404" t="e">
        <f t="shared" si="138"/>
        <v>#DIV/0!</v>
      </c>
      <c r="M236" s="312" t="e">
        <f t="shared" si="139"/>
        <v>#DIV/0!</v>
      </c>
      <c r="N236" s="298">
        <f t="shared" si="140"/>
        <v>20709.897703666349</v>
      </c>
      <c r="O236" s="312">
        <f t="shared" si="141"/>
        <v>3.6059110494406202E-4</v>
      </c>
      <c r="P236" s="404" t="e">
        <f t="shared" si="142"/>
        <v>#DIV/0!</v>
      </c>
      <c r="Q236" s="312" t="e">
        <f t="shared" si="145"/>
        <v>#DIV/0!</v>
      </c>
      <c r="R236" s="298"/>
      <c r="S236" s="312"/>
      <c r="T236" s="298"/>
      <c r="U236" s="312"/>
      <c r="V236" s="454">
        <f t="shared" si="143"/>
        <v>0</v>
      </c>
      <c r="W236" s="312">
        <f t="shared" si="146"/>
        <v>-1.0000002752637027</v>
      </c>
      <c r="X236" s="454">
        <f t="shared" si="144"/>
        <v>0</v>
      </c>
      <c r="Y236" s="312">
        <f t="shared" si="126"/>
        <v>-1</v>
      </c>
      <c r="Z236" s="674">
        <f t="shared" si="127"/>
        <v>0</v>
      </c>
      <c r="AA236" s="329"/>
      <c r="AB236" s="379">
        <f t="shared" si="127"/>
        <v>0</v>
      </c>
      <c r="AC236" s="329"/>
      <c r="AD236" s="413">
        <f t="shared" si="128"/>
        <v>0</v>
      </c>
      <c r="AE236" s="329"/>
      <c r="AG236" s="400" t="e">
        <f t="shared" si="129"/>
        <v>#DIV/0!</v>
      </c>
      <c r="AH236" s="401">
        <f t="shared" si="130"/>
        <v>0</v>
      </c>
      <c r="AI236" s="407">
        <f t="shared" si="131"/>
        <v>0</v>
      </c>
      <c r="AJ236" s="498"/>
      <c r="AK236" s="502">
        <f t="shared" si="132"/>
        <v>0</v>
      </c>
      <c r="AL236" s="503" t="e">
        <f t="shared" si="133"/>
        <v>#DIV/0!</v>
      </c>
      <c r="AM236" s="504" t="e">
        <f>AG236-AK236-AO236</f>
        <v>#DIV/0!</v>
      </c>
      <c r="AN236" s="503" t="e">
        <f t="shared" si="134"/>
        <v>#DIV/0!</v>
      </c>
      <c r="AO236" s="502">
        <f t="shared" si="135"/>
        <v>0</v>
      </c>
      <c r="AP236" s="503" t="e">
        <f t="shared" si="136"/>
        <v>#DIV/0!</v>
      </c>
      <c r="AQ236" s="314"/>
      <c r="AR236" s="110">
        <v>51502</v>
      </c>
      <c r="AS236" s="98">
        <f t="shared" si="147"/>
        <v>0</v>
      </c>
      <c r="AT236" s="98">
        <f t="shared" si="148"/>
        <v>0</v>
      </c>
      <c r="AU236" s="98"/>
      <c r="AV236" s="308"/>
      <c r="AW236" s="308"/>
      <c r="AX236" s="308"/>
      <c r="AY236" s="313"/>
      <c r="AZ236" s="313"/>
      <c r="BA236" s="313"/>
      <c r="BB236" s="313"/>
    </row>
    <row r="237" spans="1:54">
      <c r="A237" s="295">
        <v>45628</v>
      </c>
      <c r="B237" s="296">
        <f t="shared" si="118"/>
        <v>231211.66438087792</v>
      </c>
      <c r="C237" s="312">
        <f t="shared" si="119"/>
        <v>3.848342999082873E-4</v>
      </c>
      <c r="D237" s="296">
        <f t="shared" si="120"/>
        <v>122890.16947187981</v>
      </c>
      <c r="E237" s="312">
        <f t="shared" si="121"/>
        <v>3.8486937629777211E-4</v>
      </c>
      <c r="F237" s="296">
        <f t="shared" si="122"/>
        <v>24904.718814911539</v>
      </c>
      <c r="G237" s="312">
        <f t="shared" si="123"/>
        <v>3.8464869601621886E-4</v>
      </c>
      <c r="H237" s="398">
        <v>0</v>
      </c>
      <c r="I237" s="312">
        <f t="shared" si="124"/>
        <v>0</v>
      </c>
      <c r="J237" s="457" t="e">
        <f t="shared" si="137"/>
        <v>#DIV/0!</v>
      </c>
      <c r="K237" s="369" t="e">
        <f t="shared" si="125"/>
        <v>#DIV/0!</v>
      </c>
      <c r="L237" s="404" t="e">
        <f t="shared" si="138"/>
        <v>#DIV/0!</v>
      </c>
      <c r="M237" s="312" t="e">
        <f t="shared" si="139"/>
        <v>#DIV/0!</v>
      </c>
      <c r="N237" s="298">
        <f t="shared" si="140"/>
        <v>20717.365508562594</v>
      </c>
      <c r="O237" s="312">
        <f t="shared" si="141"/>
        <v>3.6059110494413585E-4</v>
      </c>
      <c r="P237" s="404" t="e">
        <f t="shared" si="142"/>
        <v>#DIV/0!</v>
      </c>
      <c r="Q237" s="312" t="e">
        <f t="shared" si="145"/>
        <v>#DIV/0!</v>
      </c>
      <c r="R237" s="298"/>
      <c r="S237" s="312"/>
      <c r="T237" s="298"/>
      <c r="U237" s="312"/>
      <c r="V237" s="454">
        <f t="shared" si="143"/>
        <v>0</v>
      </c>
      <c r="W237" s="312">
        <f t="shared" si="146"/>
        <v>-1.0000002752637027</v>
      </c>
      <c r="X237" s="454">
        <f t="shared" si="144"/>
        <v>0</v>
      </c>
      <c r="Y237" s="312">
        <f t="shared" si="126"/>
        <v>-1</v>
      </c>
      <c r="Z237" s="674">
        <f t="shared" si="127"/>
        <v>0</v>
      </c>
      <c r="AA237" s="297"/>
      <c r="AB237" s="379">
        <f t="shared" si="127"/>
        <v>0</v>
      </c>
      <c r="AC237" s="297"/>
      <c r="AD237" s="413">
        <f t="shared" si="128"/>
        <v>0</v>
      </c>
      <c r="AE237" s="297"/>
      <c r="AG237" s="400" t="e">
        <f t="shared" si="129"/>
        <v>#DIV/0!</v>
      </c>
      <c r="AH237" s="401">
        <f t="shared" si="130"/>
        <v>0</v>
      </c>
      <c r="AI237" s="407">
        <f t="shared" si="131"/>
        <v>0</v>
      </c>
      <c r="AJ237" s="498"/>
      <c r="AK237" s="502">
        <f t="shared" si="132"/>
        <v>0</v>
      </c>
      <c r="AL237" s="503" t="e">
        <f t="shared" si="133"/>
        <v>#DIV/0!</v>
      </c>
      <c r="AM237" s="504" t="e">
        <f>AG237-AK237-AO237</f>
        <v>#DIV/0!</v>
      </c>
      <c r="AN237" s="503" t="e">
        <f t="shared" si="134"/>
        <v>#DIV/0!</v>
      </c>
      <c r="AO237" s="502">
        <f t="shared" si="135"/>
        <v>0</v>
      </c>
      <c r="AP237" s="503" t="e">
        <f t="shared" si="136"/>
        <v>#DIV/0!</v>
      </c>
      <c r="AQ237" s="314"/>
      <c r="AR237" s="110">
        <v>51533</v>
      </c>
      <c r="AS237" s="98">
        <f t="shared" si="147"/>
        <v>0</v>
      </c>
      <c r="AT237" s="98">
        <f t="shared" si="148"/>
        <v>0</v>
      </c>
      <c r="AU237" s="98"/>
      <c r="AV237" s="308"/>
      <c r="AW237" s="308"/>
      <c r="AX237" s="308"/>
      <c r="AY237" s="313"/>
      <c r="AZ237" s="313"/>
      <c r="BA237" s="313"/>
      <c r="BB237" s="313"/>
    </row>
    <row r="238" spans="1:54">
      <c r="A238" s="295">
        <v>45629</v>
      </c>
      <c r="B238" s="296">
        <f t="shared" si="118"/>
        <v>231300.64255987055</v>
      </c>
      <c r="C238" s="312">
        <f t="shared" si="119"/>
        <v>3.8483429990824231E-4</v>
      </c>
      <c r="D238" s="296">
        <f t="shared" si="120"/>
        <v>122937.46613475757</v>
      </c>
      <c r="E238" s="312">
        <f t="shared" si="121"/>
        <v>3.8486937629773145E-4</v>
      </c>
      <c r="F238" s="296">
        <f t="shared" si="122"/>
        <v>24914.298382528345</v>
      </c>
      <c r="G238" s="312">
        <f t="shared" si="123"/>
        <v>3.8464869601618351E-4</v>
      </c>
      <c r="H238" s="398">
        <v>0</v>
      </c>
      <c r="I238" s="312">
        <f t="shared" si="124"/>
        <v>0</v>
      </c>
      <c r="J238" s="457" t="e">
        <f t="shared" si="137"/>
        <v>#DIV/0!</v>
      </c>
      <c r="K238" s="369" t="e">
        <f t="shared" si="125"/>
        <v>#DIV/0!</v>
      </c>
      <c r="L238" s="404" t="e">
        <f t="shared" si="138"/>
        <v>#DIV/0!</v>
      </c>
      <c r="M238" s="312" t="e">
        <f t="shared" si="139"/>
        <v>#DIV/0!</v>
      </c>
      <c r="N238" s="298">
        <f t="shared" si="140"/>
        <v>20724.836006282858</v>
      </c>
      <c r="O238" s="312">
        <f t="shared" si="141"/>
        <v>3.6059110494411417E-4</v>
      </c>
      <c r="P238" s="404" t="e">
        <f t="shared" si="142"/>
        <v>#DIV/0!</v>
      </c>
      <c r="Q238" s="312" t="e">
        <f t="shared" si="145"/>
        <v>#DIV/0!</v>
      </c>
      <c r="R238" s="298"/>
      <c r="S238" s="312"/>
      <c r="T238" s="298"/>
      <c r="U238" s="312"/>
      <c r="V238" s="454">
        <f t="shared" si="143"/>
        <v>0</v>
      </c>
      <c r="W238" s="312">
        <f t="shared" si="146"/>
        <v>-1.0000002752637027</v>
      </c>
      <c r="X238" s="454">
        <f t="shared" si="144"/>
        <v>0</v>
      </c>
      <c r="Y238" s="312">
        <f t="shared" si="126"/>
        <v>-1</v>
      </c>
      <c r="Z238" s="674">
        <f t="shared" si="127"/>
        <v>0</v>
      </c>
      <c r="AA238" s="329"/>
      <c r="AB238" s="379">
        <f t="shared" si="127"/>
        <v>0</v>
      </c>
      <c r="AC238" s="329"/>
      <c r="AD238" s="413">
        <f t="shared" si="128"/>
        <v>0</v>
      </c>
      <c r="AE238" s="329"/>
      <c r="AG238" s="400" t="e">
        <f t="shared" si="129"/>
        <v>#DIV/0!</v>
      </c>
      <c r="AH238" s="401">
        <f t="shared" si="130"/>
        <v>0</v>
      </c>
      <c r="AI238" s="407">
        <f t="shared" si="131"/>
        <v>0</v>
      </c>
      <c r="AJ238" s="498"/>
      <c r="AK238" s="502">
        <f t="shared" si="132"/>
        <v>0</v>
      </c>
      <c r="AL238" s="503" t="e">
        <f t="shared" si="133"/>
        <v>#DIV/0!</v>
      </c>
      <c r="AM238" s="504" t="e">
        <f>AG238-AK238-AO238</f>
        <v>#DIV/0!</v>
      </c>
      <c r="AN238" s="503" t="e">
        <f t="shared" si="134"/>
        <v>#DIV/0!</v>
      </c>
      <c r="AO238" s="502">
        <f t="shared" si="135"/>
        <v>0</v>
      </c>
      <c r="AP238" s="503" t="e">
        <f t="shared" si="136"/>
        <v>#DIV/0!</v>
      </c>
      <c r="AQ238" s="314"/>
      <c r="AR238" s="110">
        <v>51561</v>
      </c>
      <c r="AS238" s="98">
        <f t="shared" si="147"/>
        <v>0</v>
      </c>
      <c r="AT238" s="98">
        <f t="shared" si="148"/>
        <v>0</v>
      </c>
      <c r="AU238" s="98"/>
      <c r="AV238" s="308"/>
      <c r="AW238" s="308"/>
      <c r="AX238" s="308"/>
      <c r="AY238" s="313"/>
      <c r="AZ238" s="313"/>
      <c r="BA238" s="313"/>
      <c r="BB238" s="313"/>
    </row>
    <row r="239" spans="1:54">
      <c r="A239" s="295">
        <v>45630</v>
      </c>
      <c r="B239" s="296">
        <f t="shared" si="118"/>
        <v>231389.65498071842</v>
      </c>
      <c r="C239" s="312">
        <f t="shared" si="119"/>
        <v>3.8483429990829451E-4</v>
      </c>
      <c r="D239" s="296">
        <f t="shared" si="120"/>
        <v>122984.78100067248</v>
      </c>
      <c r="E239" s="312">
        <f t="shared" si="121"/>
        <v>3.8486937629767767E-4</v>
      </c>
      <c r="F239" s="296">
        <f t="shared" si="122"/>
        <v>24923.881634913341</v>
      </c>
      <c r="G239" s="312">
        <f t="shared" si="123"/>
        <v>3.8464869601614746E-4</v>
      </c>
      <c r="H239" s="398">
        <v>0</v>
      </c>
      <c r="I239" s="312">
        <f t="shared" si="124"/>
        <v>0</v>
      </c>
      <c r="J239" s="457" t="e">
        <f t="shared" si="137"/>
        <v>#DIV/0!</v>
      </c>
      <c r="K239" s="369" t="e">
        <f t="shared" si="125"/>
        <v>#DIV/0!</v>
      </c>
      <c r="L239" s="404" t="e">
        <f t="shared" si="138"/>
        <v>#DIV/0!</v>
      </c>
      <c r="M239" s="312" t="e">
        <f t="shared" si="139"/>
        <v>#DIV/0!</v>
      </c>
      <c r="N239" s="298">
        <f t="shared" si="140"/>
        <v>20732.309197798149</v>
      </c>
      <c r="O239" s="312">
        <f t="shared" si="141"/>
        <v>3.605911049441358E-4</v>
      </c>
      <c r="P239" s="404" t="e">
        <f t="shared" si="142"/>
        <v>#DIV/0!</v>
      </c>
      <c r="Q239" s="312" t="e">
        <f t="shared" si="145"/>
        <v>#DIV/0!</v>
      </c>
      <c r="R239" s="298"/>
      <c r="S239" s="312"/>
      <c r="T239" s="298"/>
      <c r="U239" s="312"/>
      <c r="V239" s="454">
        <f t="shared" si="143"/>
        <v>0</v>
      </c>
      <c r="W239" s="312">
        <f t="shared" si="146"/>
        <v>-1.0000002752637027</v>
      </c>
      <c r="X239" s="454">
        <f t="shared" si="144"/>
        <v>0</v>
      </c>
      <c r="Y239" s="312">
        <f t="shared" si="126"/>
        <v>-1</v>
      </c>
      <c r="Z239" s="674">
        <f t="shared" si="127"/>
        <v>0</v>
      </c>
      <c r="AA239" s="297"/>
      <c r="AB239" s="379">
        <f t="shared" si="127"/>
        <v>0</v>
      </c>
      <c r="AC239" s="297"/>
      <c r="AD239" s="413">
        <f t="shared" si="128"/>
        <v>0</v>
      </c>
      <c r="AE239" s="297"/>
      <c r="AG239" s="400" t="e">
        <f t="shared" si="129"/>
        <v>#DIV/0!</v>
      </c>
      <c r="AH239" s="401">
        <f t="shared" si="130"/>
        <v>0</v>
      </c>
      <c r="AI239" s="407">
        <f t="shared" si="131"/>
        <v>0</v>
      </c>
      <c r="AJ239" s="498"/>
      <c r="AK239" s="502">
        <f t="shared" si="132"/>
        <v>0</v>
      </c>
      <c r="AL239" s="503" t="e">
        <f t="shared" si="133"/>
        <v>#DIV/0!</v>
      </c>
      <c r="AM239" s="504" t="e">
        <f>AG239-AK239-AO239</f>
        <v>#DIV/0!</v>
      </c>
      <c r="AN239" s="503" t="e">
        <f t="shared" si="134"/>
        <v>#DIV/0!</v>
      </c>
      <c r="AO239" s="502">
        <f t="shared" si="135"/>
        <v>0</v>
      </c>
      <c r="AP239" s="503" t="e">
        <f t="shared" si="136"/>
        <v>#DIV/0!</v>
      </c>
      <c r="AQ239" s="314"/>
      <c r="AR239" s="110">
        <v>51592</v>
      </c>
      <c r="AS239" s="98">
        <f t="shared" si="147"/>
        <v>0</v>
      </c>
      <c r="AT239" s="98">
        <f t="shared" si="148"/>
        <v>0</v>
      </c>
      <c r="AU239" s="98"/>
      <c r="AV239" s="308"/>
      <c r="AW239" s="308"/>
      <c r="AX239" s="308"/>
      <c r="AY239" s="313"/>
      <c r="AZ239" s="313"/>
      <c r="BA239" s="313"/>
      <c r="BB239" s="313"/>
    </row>
    <row r="240" spans="1:54">
      <c r="A240" s="295">
        <v>45631</v>
      </c>
      <c r="B240" s="296">
        <f t="shared" si="118"/>
        <v>231478.70165659895</v>
      </c>
      <c r="C240" s="312">
        <f t="shared" si="119"/>
        <v>3.8483429990829581E-4</v>
      </c>
      <c r="D240" s="296">
        <f t="shared" si="120"/>
        <v>123032.11407663031</v>
      </c>
      <c r="E240" s="312">
        <f t="shared" si="121"/>
        <v>3.8486937629770332E-4</v>
      </c>
      <c r="F240" s="296">
        <f t="shared" si="122"/>
        <v>24933.468573483871</v>
      </c>
      <c r="G240" s="312">
        <f t="shared" si="123"/>
        <v>3.8464869601614003E-4</v>
      </c>
      <c r="H240" s="398">
        <v>0</v>
      </c>
      <c r="I240" s="312">
        <f t="shared" si="124"/>
        <v>0</v>
      </c>
      <c r="J240" s="457" t="e">
        <f t="shared" si="137"/>
        <v>#DIV/0!</v>
      </c>
      <c r="K240" s="369" t="e">
        <f t="shared" si="125"/>
        <v>#DIV/0!</v>
      </c>
      <c r="L240" s="404" t="e">
        <f t="shared" si="138"/>
        <v>#DIV/0!</v>
      </c>
      <c r="M240" s="312" t="e">
        <f t="shared" si="139"/>
        <v>#DIV/0!</v>
      </c>
      <c r="N240" s="298">
        <f t="shared" si="140"/>
        <v>20739.785084079827</v>
      </c>
      <c r="O240" s="312">
        <f t="shared" si="141"/>
        <v>3.605911049441577E-4</v>
      </c>
      <c r="P240" s="404" t="e">
        <f t="shared" si="142"/>
        <v>#DIV/0!</v>
      </c>
      <c r="Q240" s="312" t="e">
        <f t="shared" si="145"/>
        <v>#DIV/0!</v>
      </c>
      <c r="R240" s="298"/>
      <c r="S240" s="312"/>
      <c r="T240" s="298"/>
      <c r="U240" s="312"/>
      <c r="V240" s="454">
        <f t="shared" si="143"/>
        <v>0</v>
      </c>
      <c r="W240" s="312">
        <f t="shared" si="146"/>
        <v>-1.0000002752637027</v>
      </c>
      <c r="X240" s="454">
        <f t="shared" si="144"/>
        <v>0</v>
      </c>
      <c r="Y240" s="312">
        <f t="shared" si="126"/>
        <v>-1</v>
      </c>
      <c r="Z240" s="674">
        <f t="shared" si="127"/>
        <v>0</v>
      </c>
      <c r="AA240" s="329"/>
      <c r="AB240" s="379">
        <f t="shared" si="127"/>
        <v>0</v>
      </c>
      <c r="AC240" s="329"/>
      <c r="AD240" s="413">
        <f t="shared" si="128"/>
        <v>0</v>
      </c>
      <c r="AE240" s="329"/>
      <c r="AG240" s="400" t="e">
        <f t="shared" si="129"/>
        <v>#DIV/0!</v>
      </c>
      <c r="AH240" s="401">
        <f t="shared" si="130"/>
        <v>0</v>
      </c>
      <c r="AI240" s="407">
        <f t="shared" si="131"/>
        <v>0</v>
      </c>
      <c r="AJ240" s="498"/>
      <c r="AK240" s="502">
        <f t="shared" si="132"/>
        <v>0</v>
      </c>
      <c r="AL240" s="503" t="e">
        <f t="shared" si="133"/>
        <v>#DIV/0!</v>
      </c>
      <c r="AM240" s="504" t="e">
        <f>AG240-AK240-AO240</f>
        <v>#DIV/0!</v>
      </c>
      <c r="AN240" s="503" t="e">
        <f t="shared" si="134"/>
        <v>#DIV/0!</v>
      </c>
      <c r="AO240" s="502">
        <f t="shared" si="135"/>
        <v>0</v>
      </c>
      <c r="AP240" s="503" t="e">
        <f t="shared" si="136"/>
        <v>#DIV/0!</v>
      </c>
      <c r="AQ240" s="314"/>
      <c r="AR240" s="110">
        <v>51622</v>
      </c>
      <c r="AS240" s="98">
        <f t="shared" si="147"/>
        <v>0</v>
      </c>
      <c r="AT240" s="98">
        <f t="shared" si="148"/>
        <v>0</v>
      </c>
      <c r="AU240" s="98"/>
      <c r="AV240" s="308"/>
      <c r="AW240" s="308"/>
      <c r="AX240" s="308"/>
      <c r="AY240" s="313"/>
      <c r="AZ240" s="313"/>
      <c r="BA240" s="313"/>
      <c r="BB240" s="313"/>
    </row>
    <row r="241" spans="1:54">
      <c r="A241" s="295">
        <v>45632</v>
      </c>
      <c r="B241" s="296">
        <f t="shared" si="118"/>
        <v>231567.78260069466</v>
      </c>
      <c r="C241" s="312">
        <f t="shared" si="119"/>
        <v>3.8483429990834162E-4</v>
      </c>
      <c r="D241" s="296">
        <f t="shared" si="120"/>
        <v>123079.46536963957</v>
      </c>
      <c r="E241" s="312">
        <f t="shared" si="121"/>
        <v>3.8486937629765566E-4</v>
      </c>
      <c r="F241" s="296">
        <f t="shared" si="122"/>
        <v>24943.059199657822</v>
      </c>
      <c r="G241" s="312">
        <f t="shared" si="123"/>
        <v>3.8464869601618194E-4</v>
      </c>
      <c r="H241" s="398">
        <v>0</v>
      </c>
      <c r="I241" s="312">
        <f t="shared" si="124"/>
        <v>0</v>
      </c>
      <c r="J241" s="457" t="e">
        <f t="shared" si="137"/>
        <v>#DIV/0!</v>
      </c>
      <c r="K241" s="369" t="e">
        <f t="shared" si="125"/>
        <v>#DIV/0!</v>
      </c>
      <c r="L241" s="404" t="e">
        <f t="shared" si="138"/>
        <v>#DIV/0!</v>
      </c>
      <c r="M241" s="312" t="e">
        <f t="shared" si="139"/>
        <v>#DIV/0!</v>
      </c>
      <c r="N241" s="298">
        <f t="shared" si="140"/>
        <v>20747.2636660996</v>
      </c>
      <c r="O241" s="312">
        <f t="shared" si="141"/>
        <v>3.6059110494413081E-4</v>
      </c>
      <c r="P241" s="404" t="e">
        <f t="shared" si="142"/>
        <v>#DIV/0!</v>
      </c>
      <c r="Q241" s="312" t="e">
        <f t="shared" si="145"/>
        <v>#DIV/0!</v>
      </c>
      <c r="R241" s="298"/>
      <c r="S241" s="312"/>
      <c r="T241" s="298"/>
      <c r="U241" s="312"/>
      <c r="V241" s="454">
        <f t="shared" si="143"/>
        <v>0</v>
      </c>
      <c r="W241" s="312">
        <f t="shared" si="146"/>
        <v>-1.0000002752637027</v>
      </c>
      <c r="X241" s="454">
        <f t="shared" si="144"/>
        <v>0</v>
      </c>
      <c r="Y241" s="312">
        <f t="shared" si="126"/>
        <v>-1</v>
      </c>
      <c r="Z241" s="674">
        <f t="shared" si="127"/>
        <v>0</v>
      </c>
      <c r="AA241" s="297"/>
      <c r="AB241" s="379">
        <f t="shared" si="127"/>
        <v>0</v>
      </c>
      <c r="AC241" s="297"/>
      <c r="AD241" s="413">
        <f t="shared" si="128"/>
        <v>0</v>
      </c>
      <c r="AE241" s="297"/>
      <c r="AG241" s="400" t="e">
        <f t="shared" si="129"/>
        <v>#DIV/0!</v>
      </c>
      <c r="AH241" s="401">
        <f t="shared" si="130"/>
        <v>0</v>
      </c>
      <c r="AI241" s="407">
        <f t="shared" si="131"/>
        <v>0</v>
      </c>
      <c r="AJ241" s="498"/>
      <c r="AK241" s="502">
        <f t="shared" si="132"/>
        <v>0</v>
      </c>
      <c r="AL241" s="503" t="e">
        <f t="shared" si="133"/>
        <v>#DIV/0!</v>
      </c>
      <c r="AM241" s="504" t="e">
        <f>AG241-AK241-AO241</f>
        <v>#DIV/0!</v>
      </c>
      <c r="AN241" s="503" t="e">
        <f t="shared" si="134"/>
        <v>#DIV/0!</v>
      </c>
      <c r="AO241" s="502">
        <f t="shared" si="135"/>
        <v>0</v>
      </c>
      <c r="AP241" s="503" t="e">
        <f t="shared" si="136"/>
        <v>#DIV/0!</v>
      </c>
      <c r="AQ241" s="314"/>
      <c r="AR241" s="110">
        <v>51653</v>
      </c>
      <c r="AS241" s="98">
        <f t="shared" si="147"/>
        <v>0</v>
      </c>
      <c r="AT241" s="98">
        <f t="shared" si="148"/>
        <v>0</v>
      </c>
      <c r="AU241" s="98"/>
      <c r="AV241" s="308"/>
      <c r="AW241" s="308"/>
      <c r="AX241" s="308"/>
      <c r="AY241" s="313"/>
      <c r="AZ241" s="313"/>
      <c r="BA241" s="313"/>
      <c r="BB241" s="313"/>
    </row>
    <row r="242" spans="1:54">
      <c r="A242" s="295">
        <v>45635</v>
      </c>
      <c r="B242" s="296">
        <f t="shared" si="118"/>
        <v>231656.89782619313</v>
      </c>
      <c r="C242" s="312">
        <f t="shared" si="119"/>
        <v>3.8483429990839279E-4</v>
      </c>
      <c r="D242" s="296">
        <f t="shared" si="120"/>
        <v>123126.83488671143</v>
      </c>
      <c r="E242" s="312">
        <f t="shared" si="121"/>
        <v>3.8486937629761051E-4</v>
      </c>
      <c r="F242" s="296">
        <f t="shared" si="122"/>
        <v>24952.653514853624</v>
      </c>
      <c r="G242" s="312">
        <f t="shared" si="123"/>
        <v>3.8464869601613955E-4</v>
      </c>
      <c r="H242" s="398">
        <v>0</v>
      </c>
      <c r="I242" s="312">
        <f t="shared" si="124"/>
        <v>0</v>
      </c>
      <c r="J242" s="457" t="e">
        <f t="shared" si="137"/>
        <v>#DIV/0!</v>
      </c>
      <c r="K242" s="369" t="e">
        <f t="shared" si="125"/>
        <v>#DIV/0!</v>
      </c>
      <c r="L242" s="404" t="e">
        <f t="shared" si="138"/>
        <v>#DIV/0!</v>
      </c>
      <c r="M242" s="312" t="e">
        <f t="shared" si="139"/>
        <v>#DIV/0!</v>
      </c>
      <c r="N242" s="298">
        <f t="shared" si="140"/>
        <v>20754.744944829527</v>
      </c>
      <c r="O242" s="312">
        <f t="shared" si="141"/>
        <v>3.6059110494417542E-4</v>
      </c>
      <c r="P242" s="404" t="e">
        <f t="shared" si="142"/>
        <v>#DIV/0!</v>
      </c>
      <c r="Q242" s="312" t="e">
        <f t="shared" si="145"/>
        <v>#DIV/0!</v>
      </c>
      <c r="R242" s="298"/>
      <c r="S242" s="312"/>
      <c r="T242" s="298"/>
      <c r="U242" s="312"/>
      <c r="V242" s="454">
        <f t="shared" si="143"/>
        <v>0</v>
      </c>
      <c r="W242" s="312">
        <f t="shared" si="146"/>
        <v>-1.0000002752637027</v>
      </c>
      <c r="X242" s="454">
        <f t="shared" si="144"/>
        <v>0</v>
      </c>
      <c r="Y242" s="312">
        <f t="shared" si="126"/>
        <v>-1</v>
      </c>
      <c r="Z242" s="674">
        <f t="shared" si="127"/>
        <v>0</v>
      </c>
      <c r="AA242" s="329"/>
      <c r="AB242" s="379">
        <f t="shared" si="127"/>
        <v>0</v>
      </c>
      <c r="AC242" s="329"/>
      <c r="AD242" s="413">
        <f t="shared" si="128"/>
        <v>0</v>
      </c>
      <c r="AE242" s="329"/>
      <c r="AG242" s="400" t="e">
        <f t="shared" si="129"/>
        <v>#DIV/0!</v>
      </c>
      <c r="AH242" s="401">
        <f t="shared" si="130"/>
        <v>0</v>
      </c>
      <c r="AI242" s="407">
        <f t="shared" si="131"/>
        <v>0</v>
      </c>
      <c r="AJ242" s="498"/>
      <c r="AK242" s="502">
        <f t="shared" si="132"/>
        <v>0</v>
      </c>
      <c r="AL242" s="503" t="e">
        <f t="shared" si="133"/>
        <v>#DIV/0!</v>
      </c>
      <c r="AM242" s="504" t="e">
        <f>AG242-AK242-AO242</f>
        <v>#DIV/0!</v>
      </c>
      <c r="AN242" s="503" t="e">
        <f t="shared" si="134"/>
        <v>#DIV/0!</v>
      </c>
      <c r="AO242" s="502">
        <f t="shared" si="135"/>
        <v>0</v>
      </c>
      <c r="AP242" s="503" t="e">
        <f t="shared" si="136"/>
        <v>#DIV/0!</v>
      </c>
      <c r="AQ242" s="314"/>
      <c r="AR242" s="110">
        <v>51683</v>
      </c>
      <c r="AS242" s="98">
        <f t="shared" si="147"/>
        <v>0</v>
      </c>
      <c r="AT242" s="98">
        <f t="shared" si="148"/>
        <v>0</v>
      </c>
      <c r="AU242" s="98"/>
      <c r="AV242" s="308"/>
      <c r="AW242" s="308"/>
      <c r="AX242" s="308"/>
      <c r="AY242" s="313"/>
      <c r="AZ242" s="313"/>
      <c r="BA242" s="313"/>
      <c r="BB242" s="313"/>
    </row>
    <row r="243" spans="1:54">
      <c r="A243" s="295">
        <v>45636</v>
      </c>
      <c r="B243" s="296">
        <f t="shared" si="118"/>
        <v>231746.04734628703</v>
      </c>
      <c r="C243" s="312">
        <f t="shared" si="119"/>
        <v>3.8483429990840206E-4</v>
      </c>
      <c r="D243" s="296">
        <f t="shared" si="120"/>
        <v>123174.22263485978</v>
      </c>
      <c r="E243" s="312">
        <f t="shared" si="121"/>
        <v>3.8486937629763501E-4</v>
      </c>
      <c r="F243" s="296">
        <f t="shared" si="122"/>
        <v>24962.251520490256</v>
      </c>
      <c r="G243" s="312">
        <f t="shared" si="123"/>
        <v>3.8464869601616286E-4</v>
      </c>
      <c r="H243" s="398">
        <v>0</v>
      </c>
      <c r="I243" s="312">
        <f t="shared" si="124"/>
        <v>0</v>
      </c>
      <c r="J243" s="457" t="e">
        <f t="shared" si="137"/>
        <v>#DIV/0!</v>
      </c>
      <c r="K243" s="369" t="e">
        <f t="shared" si="125"/>
        <v>#DIV/0!</v>
      </c>
      <c r="L243" s="404" t="e">
        <f t="shared" si="138"/>
        <v>#DIV/0!</v>
      </c>
      <c r="M243" s="312" t="e">
        <f t="shared" si="139"/>
        <v>#DIV/0!</v>
      </c>
      <c r="N243" s="298">
        <f t="shared" si="140"/>
        <v>20762.228921242018</v>
      </c>
      <c r="O243" s="312">
        <f t="shared" si="141"/>
        <v>3.6059110494423028E-4</v>
      </c>
      <c r="P243" s="404" t="e">
        <f t="shared" si="142"/>
        <v>#DIV/0!</v>
      </c>
      <c r="Q243" s="312" t="e">
        <f t="shared" si="145"/>
        <v>#DIV/0!</v>
      </c>
      <c r="R243" s="298"/>
      <c r="S243" s="312"/>
      <c r="T243" s="298"/>
      <c r="U243" s="312"/>
      <c r="V243" s="454">
        <f t="shared" si="143"/>
        <v>0</v>
      </c>
      <c r="W243" s="312">
        <f t="shared" si="146"/>
        <v>-1.0000002752637027</v>
      </c>
      <c r="X243" s="454">
        <f t="shared" si="144"/>
        <v>0</v>
      </c>
      <c r="Y243" s="312">
        <f t="shared" si="126"/>
        <v>-1</v>
      </c>
      <c r="Z243" s="674">
        <f t="shared" si="127"/>
        <v>0</v>
      </c>
      <c r="AA243" s="297"/>
      <c r="AB243" s="379">
        <f t="shared" si="127"/>
        <v>0</v>
      </c>
      <c r="AC243" s="297"/>
      <c r="AD243" s="413">
        <f t="shared" si="128"/>
        <v>0</v>
      </c>
      <c r="AE243" s="297"/>
      <c r="AG243" s="400" t="e">
        <f t="shared" si="129"/>
        <v>#DIV/0!</v>
      </c>
      <c r="AH243" s="401">
        <f t="shared" si="130"/>
        <v>0</v>
      </c>
      <c r="AI243" s="407">
        <f t="shared" si="131"/>
        <v>0</v>
      </c>
      <c r="AJ243" s="498"/>
      <c r="AK243" s="502">
        <f t="shared" si="132"/>
        <v>0</v>
      </c>
      <c r="AL243" s="503" t="e">
        <f t="shared" si="133"/>
        <v>#DIV/0!</v>
      </c>
      <c r="AM243" s="504" t="e">
        <f>AG243-AK243-AO243</f>
        <v>#DIV/0!</v>
      </c>
      <c r="AN243" s="503" t="e">
        <f t="shared" si="134"/>
        <v>#DIV/0!</v>
      </c>
      <c r="AO243" s="502">
        <f t="shared" si="135"/>
        <v>0</v>
      </c>
      <c r="AP243" s="503" t="e">
        <f t="shared" si="136"/>
        <v>#DIV/0!</v>
      </c>
      <c r="AQ243" s="314"/>
      <c r="AR243" s="110">
        <v>51714</v>
      </c>
      <c r="AS243" s="98">
        <f t="shared" si="147"/>
        <v>0</v>
      </c>
      <c r="AT243" s="98">
        <f t="shared" si="148"/>
        <v>0</v>
      </c>
      <c r="AU243" s="98"/>
      <c r="AV243" s="308"/>
      <c r="AW243" s="308"/>
      <c r="AX243" s="308"/>
      <c r="AY243" s="313"/>
      <c r="AZ243" s="313"/>
      <c r="BA243" s="313"/>
      <c r="BB243" s="313"/>
    </row>
    <row r="244" spans="1:54">
      <c r="A244" s="295">
        <v>45637</v>
      </c>
      <c r="B244" s="296">
        <f t="shared" si="118"/>
        <v>231835.23117417409</v>
      </c>
      <c r="C244" s="312">
        <f t="shared" si="119"/>
        <v>3.8483429990843931E-4</v>
      </c>
      <c r="D244" s="296">
        <f t="shared" si="120"/>
        <v>123221.6286211012</v>
      </c>
      <c r="E244" s="312">
        <f t="shared" si="121"/>
        <v>3.8486937629766949E-4</v>
      </c>
      <c r="F244" s="296">
        <f t="shared" si="122"/>
        <v>24971.853217987238</v>
      </c>
      <c r="G244" s="312">
        <f t="shared" si="123"/>
        <v>3.8464869601610149E-4</v>
      </c>
      <c r="H244" s="398">
        <v>0</v>
      </c>
      <c r="I244" s="312">
        <f t="shared" si="124"/>
        <v>0</v>
      </c>
      <c r="J244" s="457" t="e">
        <f t="shared" si="137"/>
        <v>#DIV/0!</v>
      </c>
      <c r="K244" s="369" t="e">
        <f t="shared" si="125"/>
        <v>#DIV/0!</v>
      </c>
      <c r="L244" s="404" t="e">
        <f t="shared" si="138"/>
        <v>#DIV/0!</v>
      </c>
      <c r="M244" s="312" t="e">
        <f t="shared" si="139"/>
        <v>#DIV/0!</v>
      </c>
      <c r="N244" s="298">
        <f t="shared" si="140"/>
        <v>20769.715596309834</v>
      </c>
      <c r="O244" s="312">
        <f t="shared" si="141"/>
        <v>3.6059110494422806E-4</v>
      </c>
      <c r="P244" s="404" t="e">
        <f t="shared" si="142"/>
        <v>#DIV/0!</v>
      </c>
      <c r="Q244" s="312" t="e">
        <f t="shared" si="145"/>
        <v>#DIV/0!</v>
      </c>
      <c r="R244" s="298"/>
      <c r="S244" s="312"/>
      <c r="T244" s="298"/>
      <c r="U244" s="312"/>
      <c r="V244" s="454">
        <f t="shared" si="143"/>
        <v>0</v>
      </c>
      <c r="W244" s="312">
        <f t="shared" si="146"/>
        <v>-1.0000002752637027</v>
      </c>
      <c r="X244" s="454">
        <f t="shared" si="144"/>
        <v>0</v>
      </c>
      <c r="Y244" s="312">
        <f t="shared" si="126"/>
        <v>-1</v>
      </c>
      <c r="Z244" s="674">
        <f t="shared" si="127"/>
        <v>0</v>
      </c>
      <c r="AA244" s="329"/>
      <c r="AB244" s="379">
        <f t="shared" si="127"/>
        <v>0</v>
      </c>
      <c r="AC244" s="329"/>
      <c r="AD244" s="413">
        <f t="shared" si="128"/>
        <v>0</v>
      </c>
      <c r="AE244" s="329"/>
      <c r="AG244" s="400" t="e">
        <f t="shared" si="129"/>
        <v>#DIV/0!</v>
      </c>
      <c r="AH244" s="401">
        <f t="shared" si="130"/>
        <v>0</v>
      </c>
      <c r="AI244" s="407">
        <f t="shared" si="131"/>
        <v>0</v>
      </c>
      <c r="AJ244" s="498"/>
      <c r="AK244" s="502">
        <f t="shared" si="132"/>
        <v>0</v>
      </c>
      <c r="AL244" s="503" t="e">
        <f t="shared" si="133"/>
        <v>#DIV/0!</v>
      </c>
      <c r="AM244" s="504" t="e">
        <f>AG244-AK244-AO244</f>
        <v>#DIV/0!</v>
      </c>
      <c r="AN244" s="503" t="e">
        <f t="shared" si="134"/>
        <v>#DIV/0!</v>
      </c>
      <c r="AO244" s="502">
        <f t="shared" si="135"/>
        <v>0</v>
      </c>
      <c r="AP244" s="503" t="e">
        <f t="shared" si="136"/>
        <v>#DIV/0!</v>
      </c>
      <c r="AQ244" s="314"/>
      <c r="AR244" s="110">
        <v>51745</v>
      </c>
      <c r="AS244" s="98">
        <f t="shared" si="147"/>
        <v>0</v>
      </c>
      <c r="AT244" s="98">
        <f t="shared" si="148"/>
        <v>0</v>
      </c>
      <c r="AU244" s="98"/>
      <c r="AV244" s="308"/>
      <c r="AW244" s="308"/>
      <c r="AX244" s="308"/>
      <c r="AY244" s="313"/>
      <c r="AZ244" s="313"/>
      <c r="BA244" s="313"/>
      <c r="BB244" s="313"/>
    </row>
    <row r="245" spans="1:54">
      <c r="A245" s="295">
        <v>45638</v>
      </c>
      <c r="B245" s="296">
        <f t="shared" si="118"/>
        <v>231924.44932305711</v>
      </c>
      <c r="C245" s="312">
        <f t="shared" si="119"/>
        <v>3.8483429990844028E-4</v>
      </c>
      <c r="D245" s="296">
        <f t="shared" si="120"/>
        <v>123269.05285245499</v>
      </c>
      <c r="E245" s="312">
        <f t="shared" si="121"/>
        <v>3.8486937629764612E-4</v>
      </c>
      <c r="F245" s="296">
        <f t="shared" si="122"/>
        <v>24981.458608764642</v>
      </c>
      <c r="G245" s="312">
        <f t="shared" si="123"/>
        <v>3.8464869601608848E-4</v>
      </c>
      <c r="H245" s="398">
        <v>0</v>
      </c>
      <c r="I245" s="312">
        <f t="shared" si="124"/>
        <v>0</v>
      </c>
      <c r="J245" s="457" t="e">
        <f t="shared" si="137"/>
        <v>#DIV/0!</v>
      </c>
      <c r="K245" s="369" t="e">
        <f t="shared" si="125"/>
        <v>#DIV/0!</v>
      </c>
      <c r="L245" s="404" t="e">
        <f t="shared" si="138"/>
        <v>#DIV/0!</v>
      </c>
      <c r="M245" s="312" t="e">
        <f t="shared" si="139"/>
        <v>#DIV/0!</v>
      </c>
      <c r="N245" s="298">
        <f t="shared" si="140"/>
        <v>20777.204971006086</v>
      </c>
      <c r="O245" s="312">
        <f t="shared" si="141"/>
        <v>3.6059110494427073E-4</v>
      </c>
      <c r="P245" s="404" t="e">
        <f t="shared" si="142"/>
        <v>#DIV/0!</v>
      </c>
      <c r="Q245" s="312" t="e">
        <f t="shared" si="145"/>
        <v>#DIV/0!</v>
      </c>
      <c r="R245" s="298"/>
      <c r="S245" s="312"/>
      <c r="T245" s="298"/>
      <c r="U245" s="312"/>
      <c r="V245" s="454">
        <f t="shared" si="143"/>
        <v>0</v>
      </c>
      <c r="W245" s="312">
        <f t="shared" si="146"/>
        <v>-1.0000002752637027</v>
      </c>
      <c r="X245" s="454">
        <f t="shared" si="144"/>
        <v>0</v>
      </c>
      <c r="Y245" s="312">
        <f t="shared" si="126"/>
        <v>-1</v>
      </c>
      <c r="Z245" s="674">
        <f t="shared" si="127"/>
        <v>0</v>
      </c>
      <c r="AA245" s="297"/>
      <c r="AB245" s="379">
        <f t="shared" si="127"/>
        <v>0</v>
      </c>
      <c r="AC245" s="297"/>
      <c r="AD245" s="413">
        <f t="shared" si="128"/>
        <v>0</v>
      </c>
      <c r="AE245" s="297"/>
      <c r="AG245" s="400" t="e">
        <f t="shared" si="129"/>
        <v>#DIV/0!</v>
      </c>
      <c r="AH245" s="401">
        <f t="shared" si="130"/>
        <v>0</v>
      </c>
      <c r="AI245" s="407">
        <f t="shared" si="131"/>
        <v>0</v>
      </c>
      <c r="AJ245" s="498"/>
      <c r="AK245" s="502">
        <f t="shared" si="132"/>
        <v>0</v>
      </c>
      <c r="AL245" s="503" t="e">
        <f t="shared" si="133"/>
        <v>#DIV/0!</v>
      </c>
      <c r="AM245" s="504" t="e">
        <f>AG245-AK245-AO245</f>
        <v>#DIV/0!</v>
      </c>
      <c r="AN245" s="503" t="e">
        <f t="shared" si="134"/>
        <v>#DIV/0!</v>
      </c>
      <c r="AO245" s="502">
        <f t="shared" si="135"/>
        <v>0</v>
      </c>
      <c r="AP245" s="503" t="e">
        <f t="shared" si="136"/>
        <v>#DIV/0!</v>
      </c>
      <c r="AQ245" s="314"/>
      <c r="AR245" s="110">
        <v>51775</v>
      </c>
      <c r="AS245" s="98">
        <f t="shared" si="147"/>
        <v>0</v>
      </c>
      <c r="AT245" s="98">
        <f t="shared" si="148"/>
        <v>0</v>
      </c>
      <c r="AU245" s="98"/>
      <c r="AV245" s="308"/>
      <c r="AW245" s="308"/>
      <c r="AX245" s="308"/>
      <c r="AY245" s="313"/>
      <c r="AZ245" s="313"/>
      <c r="BA245" s="313"/>
      <c r="BB245" s="313"/>
    </row>
    <row r="246" spans="1:54">
      <c r="A246" s="295">
        <v>45639</v>
      </c>
      <c r="B246" s="296">
        <f t="shared" si="118"/>
        <v>232013.701806144</v>
      </c>
      <c r="C246" s="312">
        <f t="shared" si="119"/>
        <v>3.8483429990845801E-4</v>
      </c>
      <c r="D246" s="296">
        <f t="shared" si="120"/>
        <v>123316.49533594311</v>
      </c>
      <c r="E246" s="312">
        <f t="shared" si="121"/>
        <v>3.8486937629760671E-4</v>
      </c>
      <c r="F246" s="296">
        <f t="shared" si="122"/>
        <v>24991.067694243084</v>
      </c>
      <c r="G246" s="312">
        <f t="shared" si="123"/>
        <v>3.8464869601610247E-4</v>
      </c>
      <c r="H246" s="398">
        <v>0</v>
      </c>
      <c r="I246" s="312">
        <f t="shared" si="124"/>
        <v>0</v>
      </c>
      <c r="J246" s="457" t="e">
        <f t="shared" si="137"/>
        <v>#DIV/0!</v>
      </c>
      <c r="K246" s="369" t="e">
        <f t="shared" si="125"/>
        <v>#DIV/0!</v>
      </c>
      <c r="L246" s="404" t="e">
        <f t="shared" si="138"/>
        <v>#DIV/0!</v>
      </c>
      <c r="M246" s="312" t="e">
        <f t="shared" si="139"/>
        <v>#DIV/0!</v>
      </c>
      <c r="N246" s="298">
        <f t="shared" si="140"/>
        <v>20784.697046304234</v>
      </c>
      <c r="O246" s="312">
        <f t="shared" si="141"/>
        <v>3.6059110494427886E-4</v>
      </c>
      <c r="P246" s="404" t="e">
        <f t="shared" si="142"/>
        <v>#DIV/0!</v>
      </c>
      <c r="Q246" s="312" t="e">
        <f t="shared" si="145"/>
        <v>#DIV/0!</v>
      </c>
      <c r="R246" s="298"/>
      <c r="S246" s="312"/>
      <c r="T246" s="298"/>
      <c r="U246" s="312"/>
      <c r="V246" s="454">
        <f t="shared" si="143"/>
        <v>0</v>
      </c>
      <c r="W246" s="312">
        <f t="shared" si="146"/>
        <v>-1.0000002752637027</v>
      </c>
      <c r="X246" s="454">
        <f t="shared" si="144"/>
        <v>0</v>
      </c>
      <c r="Y246" s="312">
        <f t="shared" si="126"/>
        <v>-1</v>
      </c>
      <c r="Z246" s="674">
        <f t="shared" si="127"/>
        <v>0</v>
      </c>
      <c r="AA246" s="329"/>
      <c r="AB246" s="379">
        <f t="shared" si="127"/>
        <v>0</v>
      </c>
      <c r="AC246" s="329"/>
      <c r="AD246" s="413">
        <f t="shared" si="128"/>
        <v>0</v>
      </c>
      <c r="AE246" s="329"/>
      <c r="AG246" s="400" t="e">
        <f t="shared" si="129"/>
        <v>#DIV/0!</v>
      </c>
      <c r="AH246" s="401">
        <f t="shared" si="130"/>
        <v>0</v>
      </c>
      <c r="AI246" s="407">
        <f t="shared" si="131"/>
        <v>0</v>
      </c>
      <c r="AJ246" s="498"/>
      <c r="AK246" s="502">
        <f t="shared" si="132"/>
        <v>0</v>
      </c>
      <c r="AL246" s="503" t="e">
        <f t="shared" si="133"/>
        <v>#DIV/0!</v>
      </c>
      <c r="AM246" s="504" t="e">
        <f>AG246-AK246-AO246</f>
        <v>#DIV/0!</v>
      </c>
      <c r="AN246" s="503" t="e">
        <f t="shared" si="134"/>
        <v>#DIV/0!</v>
      </c>
      <c r="AO246" s="502">
        <f t="shared" si="135"/>
        <v>0</v>
      </c>
      <c r="AP246" s="503" t="e">
        <f t="shared" si="136"/>
        <v>#DIV/0!</v>
      </c>
      <c r="AQ246" s="314"/>
      <c r="AR246" s="110">
        <v>51806</v>
      </c>
      <c r="AS246" s="98">
        <f t="shared" si="147"/>
        <v>0</v>
      </c>
      <c r="AT246" s="98">
        <f t="shared" si="148"/>
        <v>0</v>
      </c>
      <c r="AU246" s="98"/>
      <c r="AV246" s="308"/>
      <c r="AW246" s="308"/>
      <c r="AX246" s="308"/>
      <c r="AY246" s="313"/>
      <c r="AZ246" s="313"/>
      <c r="BA246" s="313"/>
      <c r="BB246" s="313"/>
    </row>
    <row r="247" spans="1:54">
      <c r="A247" s="295">
        <v>45642</v>
      </c>
      <c r="B247" s="296">
        <f t="shared" si="118"/>
        <v>232102.98863664773</v>
      </c>
      <c r="C247" s="312">
        <f t="shared" si="119"/>
        <v>3.848342999084115E-4</v>
      </c>
      <c r="D247" s="296">
        <f t="shared" si="120"/>
        <v>123363.95607859026</v>
      </c>
      <c r="E247" s="312">
        <f t="shared" si="121"/>
        <v>3.848693762975847E-4</v>
      </c>
      <c r="F247" s="296">
        <f t="shared" si="122"/>
        <v>25000.680475843725</v>
      </c>
      <c r="G247" s="312">
        <f t="shared" si="123"/>
        <v>3.8464869601611374E-4</v>
      </c>
      <c r="H247" s="398">
        <v>0</v>
      </c>
      <c r="I247" s="312">
        <f t="shared" si="124"/>
        <v>0</v>
      </c>
      <c r="J247" s="457" t="e">
        <f t="shared" si="137"/>
        <v>#DIV/0!</v>
      </c>
      <c r="K247" s="369" t="e">
        <f t="shared" si="125"/>
        <v>#DIV/0!</v>
      </c>
      <c r="L247" s="404" t="e">
        <f t="shared" si="138"/>
        <v>#DIV/0!</v>
      </c>
      <c r="M247" s="312" t="e">
        <f t="shared" si="139"/>
        <v>#DIV/0!</v>
      </c>
      <c r="N247" s="298">
        <f t="shared" si="140"/>
        <v>20792.191823178095</v>
      </c>
      <c r="O247" s="312">
        <f t="shared" si="141"/>
        <v>3.6059110494434207E-4</v>
      </c>
      <c r="P247" s="404" t="e">
        <f t="shared" si="142"/>
        <v>#DIV/0!</v>
      </c>
      <c r="Q247" s="312" t="e">
        <f t="shared" si="145"/>
        <v>#DIV/0!</v>
      </c>
      <c r="R247" s="298"/>
      <c r="S247" s="312"/>
      <c r="T247" s="298"/>
      <c r="U247" s="312"/>
      <c r="V247" s="454">
        <f t="shared" si="143"/>
        <v>0</v>
      </c>
      <c r="W247" s="312">
        <f t="shared" si="146"/>
        <v>-1.0000002752637027</v>
      </c>
      <c r="X247" s="454">
        <f t="shared" si="144"/>
        <v>0</v>
      </c>
      <c r="Y247" s="312">
        <f t="shared" si="126"/>
        <v>-1</v>
      </c>
      <c r="Z247" s="674">
        <f t="shared" si="127"/>
        <v>0</v>
      </c>
      <c r="AA247" s="297"/>
      <c r="AB247" s="379">
        <f t="shared" si="127"/>
        <v>0</v>
      </c>
      <c r="AC247" s="297"/>
      <c r="AD247" s="413">
        <f t="shared" si="128"/>
        <v>0</v>
      </c>
      <c r="AE247" s="297"/>
      <c r="AG247" s="400" t="e">
        <f t="shared" si="129"/>
        <v>#DIV/0!</v>
      </c>
      <c r="AH247" s="401">
        <f t="shared" si="130"/>
        <v>0</v>
      </c>
      <c r="AI247" s="407">
        <f t="shared" si="131"/>
        <v>0</v>
      </c>
      <c r="AJ247" s="498"/>
      <c r="AK247" s="502">
        <f t="shared" si="132"/>
        <v>0</v>
      </c>
      <c r="AL247" s="503" t="e">
        <f t="shared" si="133"/>
        <v>#DIV/0!</v>
      </c>
      <c r="AM247" s="504" t="e">
        <f>AG247-AK247-AO247</f>
        <v>#DIV/0!</v>
      </c>
      <c r="AN247" s="503" t="e">
        <f t="shared" si="134"/>
        <v>#DIV/0!</v>
      </c>
      <c r="AO247" s="502">
        <f t="shared" si="135"/>
        <v>0</v>
      </c>
      <c r="AP247" s="503" t="e">
        <f t="shared" si="136"/>
        <v>#DIV/0!</v>
      </c>
      <c r="AQ247" s="314"/>
      <c r="AR247" s="110">
        <v>51836</v>
      </c>
      <c r="AS247" s="98">
        <f t="shared" si="147"/>
        <v>0</v>
      </c>
      <c r="AT247" s="98">
        <f t="shared" si="148"/>
        <v>0</v>
      </c>
      <c r="AU247" s="98"/>
      <c r="AV247" s="308"/>
      <c r="AW247" s="308"/>
      <c r="AX247" s="308"/>
      <c r="AY247" s="313"/>
      <c r="AZ247" s="313"/>
      <c r="BA247" s="313"/>
      <c r="BB247" s="313"/>
    </row>
    <row r="248" spans="1:54">
      <c r="A248" s="295">
        <v>45643</v>
      </c>
      <c r="B248" s="296">
        <f t="shared" si="118"/>
        <v>232192.30982778638</v>
      </c>
      <c r="C248" s="312">
        <f t="shared" si="119"/>
        <v>3.8483429990846224E-4</v>
      </c>
      <c r="D248" s="296">
        <f t="shared" si="120"/>
        <v>123411.43508742383</v>
      </c>
      <c r="E248" s="312">
        <f t="shared" si="121"/>
        <v>3.8486937629760487E-4</v>
      </c>
      <c r="F248" s="296">
        <f t="shared" si="122"/>
        <v>25010.296954988273</v>
      </c>
      <c r="G248" s="312">
        <f t="shared" si="123"/>
        <v>3.8464869601608425E-4</v>
      </c>
      <c r="H248" s="398">
        <v>0</v>
      </c>
      <c r="I248" s="312">
        <f t="shared" si="124"/>
        <v>0</v>
      </c>
      <c r="J248" s="457" t="e">
        <f t="shared" si="137"/>
        <v>#DIV/0!</v>
      </c>
      <c r="K248" s="369" t="e">
        <f t="shared" si="125"/>
        <v>#DIV/0!</v>
      </c>
      <c r="L248" s="404" t="e">
        <f t="shared" si="138"/>
        <v>#DIV/0!</v>
      </c>
      <c r="M248" s="312" t="e">
        <f t="shared" si="139"/>
        <v>#DIV/0!</v>
      </c>
      <c r="N248" s="298">
        <f t="shared" si="140"/>
        <v>20799.68930260183</v>
      </c>
      <c r="O248" s="312">
        <f t="shared" si="141"/>
        <v>3.6059110494436874E-4</v>
      </c>
      <c r="P248" s="404" t="e">
        <f t="shared" si="142"/>
        <v>#DIV/0!</v>
      </c>
      <c r="Q248" s="312" t="e">
        <f t="shared" si="145"/>
        <v>#DIV/0!</v>
      </c>
      <c r="R248" s="298"/>
      <c r="S248" s="312"/>
      <c r="T248" s="298"/>
      <c r="U248" s="312"/>
      <c r="V248" s="454">
        <f t="shared" si="143"/>
        <v>0</v>
      </c>
      <c r="W248" s="312">
        <f t="shared" si="146"/>
        <v>-1.0000002752637027</v>
      </c>
      <c r="X248" s="454">
        <f t="shared" si="144"/>
        <v>0</v>
      </c>
      <c r="Y248" s="312">
        <f t="shared" si="126"/>
        <v>-1</v>
      </c>
      <c r="Z248" s="674">
        <f t="shared" si="127"/>
        <v>0</v>
      </c>
      <c r="AA248" s="329"/>
      <c r="AB248" s="379">
        <f t="shared" si="127"/>
        <v>0</v>
      </c>
      <c r="AC248" s="329"/>
      <c r="AD248" s="413">
        <f t="shared" si="128"/>
        <v>0</v>
      </c>
      <c r="AE248" s="329"/>
      <c r="AG248" s="400" t="e">
        <f t="shared" si="129"/>
        <v>#DIV/0!</v>
      </c>
      <c r="AH248" s="401">
        <f t="shared" si="130"/>
        <v>0</v>
      </c>
      <c r="AI248" s="407">
        <f t="shared" si="131"/>
        <v>0</v>
      </c>
      <c r="AJ248" s="498"/>
      <c r="AK248" s="502">
        <f t="shared" si="132"/>
        <v>0</v>
      </c>
      <c r="AL248" s="503" t="e">
        <f t="shared" si="133"/>
        <v>#DIV/0!</v>
      </c>
      <c r="AM248" s="504" t="e">
        <f>AG248-AK248-AO248</f>
        <v>#DIV/0!</v>
      </c>
      <c r="AN248" s="503" t="e">
        <f t="shared" si="134"/>
        <v>#DIV/0!</v>
      </c>
      <c r="AO248" s="502">
        <f t="shared" si="135"/>
        <v>0</v>
      </c>
      <c r="AP248" s="503" t="e">
        <f t="shared" si="136"/>
        <v>#DIV/0!</v>
      </c>
      <c r="AQ248" s="314"/>
      <c r="AR248" s="110">
        <v>51867</v>
      </c>
      <c r="AS248" s="98">
        <f t="shared" si="147"/>
        <v>0</v>
      </c>
      <c r="AT248" s="98">
        <f t="shared" si="148"/>
        <v>0</v>
      </c>
      <c r="AU248" s="98"/>
      <c r="AV248" s="308"/>
      <c r="AW248" s="308"/>
      <c r="AX248" s="308"/>
      <c r="AY248" s="313"/>
      <c r="AZ248" s="313"/>
      <c r="BA248" s="313"/>
      <c r="BB248" s="313"/>
    </row>
    <row r="249" spans="1:54">
      <c r="A249" s="295">
        <v>45644</v>
      </c>
      <c r="B249" s="296">
        <f t="shared" si="118"/>
        <v>232281.66539278309</v>
      </c>
      <c r="C249" s="312">
        <f t="shared" si="119"/>
        <v>3.8483429990851238E-4</v>
      </c>
      <c r="D249" s="296">
        <f t="shared" si="120"/>
        <v>123458.93236947391</v>
      </c>
      <c r="E249" s="312">
        <f t="shared" si="121"/>
        <v>3.8486937629756568E-4</v>
      </c>
      <c r="F249" s="296">
        <f t="shared" si="122"/>
        <v>25019.917133098985</v>
      </c>
      <c r="G249" s="312">
        <f t="shared" si="123"/>
        <v>3.8464869601611315E-4</v>
      </c>
      <c r="H249" s="398">
        <v>0</v>
      </c>
      <c r="I249" s="312">
        <f t="shared" si="124"/>
        <v>0</v>
      </c>
      <c r="J249" s="457" t="e">
        <f t="shared" si="137"/>
        <v>#DIV/0!</v>
      </c>
      <c r="K249" s="369" t="e">
        <f t="shared" si="125"/>
        <v>#DIV/0!</v>
      </c>
      <c r="L249" s="404" t="e">
        <f t="shared" si="138"/>
        <v>#DIV/0!</v>
      </c>
      <c r="M249" s="312" t="e">
        <f t="shared" si="139"/>
        <v>#DIV/0!</v>
      </c>
      <c r="N249" s="298">
        <f t="shared" si="140"/>
        <v>20807.189485549956</v>
      </c>
      <c r="O249" s="312">
        <f t="shared" si="141"/>
        <v>3.6059110494443634E-4</v>
      </c>
      <c r="P249" s="404" t="e">
        <f t="shared" si="142"/>
        <v>#DIV/0!</v>
      </c>
      <c r="Q249" s="312" t="e">
        <f t="shared" si="145"/>
        <v>#DIV/0!</v>
      </c>
      <c r="R249" s="298"/>
      <c r="S249" s="312"/>
      <c r="T249" s="298"/>
      <c r="U249" s="312"/>
      <c r="V249" s="454">
        <f t="shared" si="143"/>
        <v>0</v>
      </c>
      <c r="W249" s="312">
        <f t="shared" si="146"/>
        <v>-1.0000002752637027</v>
      </c>
      <c r="X249" s="454">
        <f t="shared" si="144"/>
        <v>0</v>
      </c>
      <c r="Y249" s="312">
        <f t="shared" si="126"/>
        <v>-1</v>
      </c>
      <c r="Z249" s="674">
        <f t="shared" si="127"/>
        <v>0</v>
      </c>
      <c r="AA249" s="297"/>
      <c r="AB249" s="379">
        <f t="shared" si="127"/>
        <v>0</v>
      </c>
      <c r="AC249" s="297"/>
      <c r="AD249" s="413">
        <f t="shared" si="128"/>
        <v>0</v>
      </c>
      <c r="AE249" s="297"/>
      <c r="AG249" s="400" t="e">
        <f t="shared" si="129"/>
        <v>#DIV/0!</v>
      </c>
      <c r="AH249" s="401">
        <f t="shared" si="130"/>
        <v>0</v>
      </c>
      <c r="AI249" s="407">
        <f t="shared" si="131"/>
        <v>0</v>
      </c>
      <c r="AJ249" s="498"/>
      <c r="AK249" s="502">
        <f t="shared" si="132"/>
        <v>0</v>
      </c>
      <c r="AL249" s="503" t="e">
        <f t="shared" si="133"/>
        <v>#DIV/0!</v>
      </c>
      <c r="AM249" s="504" t="e">
        <f>AG249-AK249-AO249</f>
        <v>#DIV/0!</v>
      </c>
      <c r="AN249" s="503" t="e">
        <f t="shared" si="134"/>
        <v>#DIV/0!</v>
      </c>
      <c r="AO249" s="502">
        <f t="shared" si="135"/>
        <v>0</v>
      </c>
      <c r="AP249" s="503" t="e">
        <f t="shared" si="136"/>
        <v>#DIV/0!</v>
      </c>
      <c r="AQ249" s="314"/>
      <c r="AR249" s="110">
        <v>51898</v>
      </c>
      <c r="AS249" s="98">
        <f t="shared" si="147"/>
        <v>0</v>
      </c>
      <c r="AT249" s="98">
        <f t="shared" si="148"/>
        <v>0</v>
      </c>
      <c r="AU249" s="98"/>
      <c r="AV249" s="308"/>
      <c r="AW249" s="308"/>
      <c r="AX249" s="308"/>
      <c r="AY249" s="313"/>
      <c r="AZ249" s="313"/>
      <c r="BA249" s="313"/>
      <c r="BB249" s="313"/>
    </row>
    <row r="250" spans="1:54">
      <c r="A250" s="295">
        <v>45645</v>
      </c>
      <c r="B250" s="296">
        <f t="shared" si="118"/>
        <v>232371.05534486609</v>
      </c>
      <c r="C250" s="312">
        <f t="shared" si="119"/>
        <v>3.8483429990845568E-4</v>
      </c>
      <c r="D250" s="296">
        <f t="shared" si="120"/>
        <v>123506.44793177332</v>
      </c>
      <c r="E250" s="312">
        <f t="shared" si="121"/>
        <v>3.8486937629759311E-4</v>
      </c>
      <c r="F250" s="296">
        <f t="shared" si="122"/>
        <v>25029.541011598663</v>
      </c>
      <c r="G250" s="312">
        <f t="shared" si="123"/>
        <v>3.846486960161454E-4</v>
      </c>
      <c r="H250" s="398">
        <v>0</v>
      </c>
      <c r="I250" s="312">
        <f t="shared" si="124"/>
        <v>0</v>
      </c>
      <c r="J250" s="457" t="e">
        <f t="shared" si="137"/>
        <v>#DIV/0!</v>
      </c>
      <c r="K250" s="369" t="e">
        <f t="shared" si="125"/>
        <v>#DIV/0!</v>
      </c>
      <c r="L250" s="404" t="e">
        <f t="shared" si="138"/>
        <v>#DIV/0!</v>
      </c>
      <c r="M250" s="312" t="e">
        <f t="shared" si="139"/>
        <v>#DIV/0!</v>
      </c>
      <c r="N250" s="298">
        <f t="shared" si="140"/>
        <v>20814.692372997339</v>
      </c>
      <c r="O250" s="312">
        <f t="shared" si="141"/>
        <v>3.6059110494444122E-4</v>
      </c>
      <c r="P250" s="404" t="e">
        <f t="shared" si="142"/>
        <v>#DIV/0!</v>
      </c>
      <c r="Q250" s="312" t="e">
        <f t="shared" si="145"/>
        <v>#DIV/0!</v>
      </c>
      <c r="R250" s="298"/>
      <c r="S250" s="312"/>
      <c r="T250" s="298"/>
      <c r="U250" s="312"/>
      <c r="V250" s="454">
        <f t="shared" si="143"/>
        <v>0</v>
      </c>
      <c r="W250" s="312">
        <f t="shared" si="146"/>
        <v>-1.0000002752637027</v>
      </c>
      <c r="X250" s="454">
        <f t="shared" si="144"/>
        <v>0</v>
      </c>
      <c r="Y250" s="312">
        <f t="shared" si="126"/>
        <v>-1</v>
      </c>
      <c r="Z250" s="674">
        <f t="shared" si="127"/>
        <v>0</v>
      </c>
      <c r="AA250" s="329"/>
      <c r="AB250" s="379">
        <f t="shared" si="127"/>
        <v>0</v>
      </c>
      <c r="AC250" s="329"/>
      <c r="AD250" s="413">
        <f t="shared" si="128"/>
        <v>0</v>
      </c>
      <c r="AE250" s="329"/>
      <c r="AG250" s="400" t="e">
        <f t="shared" si="129"/>
        <v>#DIV/0!</v>
      </c>
      <c r="AH250" s="401">
        <f t="shared" si="130"/>
        <v>0</v>
      </c>
      <c r="AI250" s="407">
        <f t="shared" si="131"/>
        <v>0</v>
      </c>
      <c r="AJ250" s="498"/>
      <c r="AK250" s="502">
        <f t="shared" si="132"/>
        <v>0</v>
      </c>
      <c r="AL250" s="503" t="e">
        <f t="shared" si="133"/>
        <v>#DIV/0!</v>
      </c>
      <c r="AM250" s="504" t="e">
        <f>AG250-AK250-AO250</f>
        <v>#DIV/0!</v>
      </c>
      <c r="AN250" s="503" t="e">
        <f t="shared" si="134"/>
        <v>#DIV/0!</v>
      </c>
      <c r="AO250" s="502">
        <f t="shared" si="135"/>
        <v>0</v>
      </c>
      <c r="AP250" s="503" t="e">
        <f t="shared" si="136"/>
        <v>#DIV/0!</v>
      </c>
      <c r="AQ250" s="314"/>
      <c r="AR250" s="110">
        <v>51926</v>
      </c>
      <c r="AS250" s="98">
        <f t="shared" si="147"/>
        <v>0</v>
      </c>
      <c r="AT250" s="98">
        <f t="shared" si="148"/>
        <v>0</v>
      </c>
      <c r="AU250" s="98"/>
      <c r="AV250" s="308"/>
      <c r="AW250" s="308"/>
      <c r="AX250" s="308"/>
      <c r="AY250" s="313"/>
      <c r="AZ250" s="313"/>
      <c r="BA250" s="313"/>
      <c r="BB250" s="313"/>
    </row>
    <row r="251" spans="1:54">
      <c r="A251" s="295">
        <v>45646</v>
      </c>
      <c r="B251" s="296">
        <f t="shared" si="118"/>
        <v>232460.47969726872</v>
      </c>
      <c r="C251" s="312">
        <f t="shared" si="119"/>
        <v>3.8483429990842841E-4</v>
      </c>
      <c r="D251" s="296">
        <f t="shared" si="120"/>
        <v>123553.98178135755</v>
      </c>
      <c r="E251" s="312">
        <f t="shared" si="121"/>
        <v>3.8486937629756882E-4</v>
      </c>
      <c r="F251" s="296">
        <f t="shared" si="122"/>
        <v>25039.168591910657</v>
      </c>
      <c r="G251" s="312">
        <f t="shared" si="123"/>
        <v>3.8464869601611786E-4</v>
      </c>
      <c r="H251" s="398">
        <v>0</v>
      </c>
      <c r="I251" s="312">
        <f t="shared" si="124"/>
        <v>0</v>
      </c>
      <c r="J251" s="457" t="e">
        <f t="shared" si="137"/>
        <v>#DIV/0!</v>
      </c>
      <c r="K251" s="369" t="e">
        <f t="shared" si="125"/>
        <v>#DIV/0!</v>
      </c>
      <c r="L251" s="404" t="e">
        <f t="shared" si="138"/>
        <v>#DIV/0!</v>
      </c>
      <c r="M251" s="312" t="e">
        <f t="shared" si="139"/>
        <v>#DIV/0!</v>
      </c>
      <c r="N251" s="298">
        <f t="shared" si="140"/>
        <v>20822.197965919197</v>
      </c>
      <c r="O251" s="312">
        <f t="shared" si="141"/>
        <v>3.6059110494444859E-4</v>
      </c>
      <c r="P251" s="404" t="e">
        <f t="shared" si="142"/>
        <v>#DIV/0!</v>
      </c>
      <c r="Q251" s="312" t="e">
        <f t="shared" si="145"/>
        <v>#DIV/0!</v>
      </c>
      <c r="R251" s="298"/>
      <c r="S251" s="312"/>
      <c r="T251" s="298"/>
      <c r="U251" s="312"/>
      <c r="V251" s="454">
        <f t="shared" si="143"/>
        <v>0</v>
      </c>
      <c r="W251" s="312">
        <f t="shared" si="146"/>
        <v>-1.0000002752637027</v>
      </c>
      <c r="X251" s="454">
        <f t="shared" si="144"/>
        <v>0</v>
      </c>
      <c r="Y251" s="312">
        <f t="shared" si="126"/>
        <v>-1</v>
      </c>
      <c r="Z251" s="674">
        <f t="shared" si="127"/>
        <v>0</v>
      </c>
      <c r="AA251" s="297"/>
      <c r="AB251" s="379">
        <f t="shared" si="127"/>
        <v>0</v>
      </c>
      <c r="AC251" s="297"/>
      <c r="AD251" s="413">
        <f t="shared" si="128"/>
        <v>0</v>
      </c>
      <c r="AE251" s="297"/>
      <c r="AG251" s="400" t="e">
        <f t="shared" si="129"/>
        <v>#DIV/0!</v>
      </c>
      <c r="AH251" s="401">
        <f t="shared" si="130"/>
        <v>0</v>
      </c>
      <c r="AI251" s="407">
        <f t="shared" si="131"/>
        <v>0</v>
      </c>
      <c r="AJ251" s="498"/>
      <c r="AK251" s="502">
        <f t="shared" si="132"/>
        <v>0</v>
      </c>
      <c r="AL251" s="503" t="e">
        <f t="shared" si="133"/>
        <v>#DIV/0!</v>
      </c>
      <c r="AM251" s="504" t="e">
        <f>AG251-AK251-AO251</f>
        <v>#DIV/0!</v>
      </c>
      <c r="AN251" s="503" t="e">
        <f t="shared" si="134"/>
        <v>#DIV/0!</v>
      </c>
      <c r="AO251" s="502">
        <f t="shared" si="135"/>
        <v>0</v>
      </c>
      <c r="AP251" s="503" t="e">
        <f t="shared" si="136"/>
        <v>#DIV/0!</v>
      </c>
      <c r="AQ251" s="314"/>
      <c r="AR251" s="110">
        <v>51957</v>
      </c>
      <c r="AS251" s="98">
        <f t="shared" si="147"/>
        <v>0</v>
      </c>
      <c r="AT251" s="98">
        <f t="shared" si="148"/>
        <v>0</v>
      </c>
      <c r="AU251" s="98"/>
      <c r="AV251" s="308"/>
      <c r="AW251" s="308"/>
      <c r="AX251" s="308"/>
      <c r="AY251" s="313"/>
      <c r="AZ251" s="313"/>
      <c r="BA251" s="313"/>
      <c r="BB251" s="313"/>
    </row>
    <row r="252" spans="1:54">
      <c r="A252" s="295">
        <v>45649</v>
      </c>
      <c r="B252" s="296">
        <f t="shared" si="118"/>
        <v>232549.93846322939</v>
      </c>
      <c r="C252" s="312">
        <f t="shared" si="119"/>
        <v>3.8483429990843264E-4</v>
      </c>
      <c r="D252" s="296">
        <f t="shared" si="120"/>
        <v>123601.53392526483</v>
      </c>
      <c r="E252" s="312">
        <f t="shared" si="121"/>
        <v>3.8486937629760178E-4</v>
      </c>
      <c r="F252" s="296">
        <f t="shared" si="122"/>
        <v>25048.799875458863</v>
      </c>
      <c r="G252" s="312">
        <f t="shared" si="123"/>
        <v>3.8464869601610431E-4</v>
      </c>
      <c r="H252" s="398">
        <v>0</v>
      </c>
      <c r="I252" s="312">
        <f t="shared" si="124"/>
        <v>0</v>
      </c>
      <c r="J252" s="457" t="e">
        <f t="shared" si="137"/>
        <v>#DIV/0!</v>
      </c>
      <c r="K252" s="369" t="e">
        <f t="shared" si="125"/>
        <v>#DIV/0!</v>
      </c>
      <c r="L252" s="404" t="e">
        <f t="shared" si="138"/>
        <v>#DIV/0!</v>
      </c>
      <c r="M252" s="312" t="e">
        <f t="shared" si="139"/>
        <v>#DIV/0!</v>
      </c>
      <c r="N252" s="298">
        <f t="shared" si="140"/>
        <v>20829.706265291101</v>
      </c>
      <c r="O252" s="312">
        <f t="shared" si="141"/>
        <v>3.6059110494451744E-4</v>
      </c>
      <c r="P252" s="404" t="e">
        <f t="shared" si="142"/>
        <v>#DIV/0!</v>
      </c>
      <c r="Q252" s="312" t="e">
        <f t="shared" si="145"/>
        <v>#DIV/0!</v>
      </c>
      <c r="R252" s="298"/>
      <c r="S252" s="312"/>
      <c r="T252" s="298"/>
      <c r="U252" s="312"/>
      <c r="V252" s="454">
        <f t="shared" si="143"/>
        <v>0</v>
      </c>
      <c r="W252" s="312">
        <f t="shared" si="146"/>
        <v>-1.0000002752637027</v>
      </c>
      <c r="X252" s="454">
        <f t="shared" si="144"/>
        <v>0</v>
      </c>
      <c r="Y252" s="312">
        <f t="shared" si="126"/>
        <v>-1</v>
      </c>
      <c r="Z252" s="674">
        <f t="shared" si="127"/>
        <v>0</v>
      </c>
      <c r="AA252" s="329"/>
      <c r="AB252" s="379">
        <f t="shared" si="127"/>
        <v>0</v>
      </c>
      <c r="AC252" s="329"/>
      <c r="AD252" s="413">
        <f t="shared" si="128"/>
        <v>0</v>
      </c>
      <c r="AE252" s="329"/>
      <c r="AG252" s="400" t="e">
        <f t="shared" si="129"/>
        <v>#DIV/0!</v>
      </c>
      <c r="AH252" s="401">
        <f t="shared" si="130"/>
        <v>0</v>
      </c>
      <c r="AI252" s="407">
        <f t="shared" si="131"/>
        <v>0</v>
      </c>
      <c r="AJ252" s="498"/>
      <c r="AK252" s="502">
        <f t="shared" si="132"/>
        <v>0</v>
      </c>
      <c r="AL252" s="503" t="e">
        <f t="shared" si="133"/>
        <v>#DIV/0!</v>
      </c>
      <c r="AM252" s="504" t="e">
        <f>AG252-AK252-AO252</f>
        <v>#DIV/0!</v>
      </c>
      <c r="AN252" s="503" t="e">
        <f t="shared" si="134"/>
        <v>#DIV/0!</v>
      </c>
      <c r="AO252" s="502">
        <f t="shared" si="135"/>
        <v>0</v>
      </c>
      <c r="AP252" s="503" t="e">
        <f t="shared" si="136"/>
        <v>#DIV/0!</v>
      </c>
      <c r="AQ252" s="97"/>
      <c r="AR252" s="110">
        <v>51987</v>
      </c>
      <c r="AS252" s="98">
        <f t="shared" si="147"/>
        <v>0</v>
      </c>
      <c r="AT252" s="98">
        <f t="shared" si="148"/>
        <v>0</v>
      </c>
      <c r="AU252" s="98"/>
      <c r="AY252" s="313"/>
      <c r="AZ252" s="313"/>
      <c r="BA252" s="313"/>
      <c r="BB252" s="313"/>
    </row>
    <row r="253" spans="1:54">
      <c r="A253" s="295">
        <v>45650</v>
      </c>
      <c r="B253" s="296">
        <f t="shared" si="118"/>
        <v>232639.43165599165</v>
      </c>
      <c r="C253" s="312">
        <f t="shared" si="119"/>
        <v>3.8483429990846229E-4</v>
      </c>
      <c r="D253" s="296">
        <f t="shared" si="120"/>
        <v>123649.10437053606</v>
      </c>
      <c r="E253" s="312">
        <f t="shared" si="121"/>
        <v>3.8486937629755684E-4</v>
      </c>
      <c r="F253" s="296">
        <f t="shared" si="122"/>
        <v>25058.434863667728</v>
      </c>
      <c r="G253" s="312">
        <f t="shared" si="123"/>
        <v>3.8464869601616996E-4</v>
      </c>
      <c r="H253" s="398">
        <v>0</v>
      </c>
      <c r="I253" s="312">
        <f t="shared" si="124"/>
        <v>0</v>
      </c>
      <c r="J253" s="457" t="e">
        <f t="shared" si="137"/>
        <v>#DIV/0!</v>
      </c>
      <c r="K253" s="369" t="e">
        <f t="shared" si="125"/>
        <v>#DIV/0!</v>
      </c>
      <c r="L253" s="404" t="e">
        <f t="shared" si="138"/>
        <v>#DIV/0!</v>
      </c>
      <c r="M253" s="312" t="e">
        <f t="shared" si="139"/>
        <v>#DIV/0!</v>
      </c>
      <c r="N253" s="298">
        <f t="shared" si="140"/>
        <v>20837.217272088972</v>
      </c>
      <c r="O253" s="312">
        <f t="shared" si="141"/>
        <v>3.6059110494452589E-4</v>
      </c>
      <c r="P253" s="404" t="e">
        <f t="shared" si="142"/>
        <v>#DIV/0!</v>
      </c>
      <c r="Q253" s="312" t="e">
        <f t="shared" si="145"/>
        <v>#DIV/0!</v>
      </c>
      <c r="R253" s="298"/>
      <c r="S253" s="312"/>
      <c r="T253" s="298"/>
      <c r="U253" s="312"/>
      <c r="V253" s="454">
        <f t="shared" si="143"/>
        <v>0</v>
      </c>
      <c r="W253" s="312">
        <f t="shared" si="146"/>
        <v>-1.0000002752637027</v>
      </c>
      <c r="X253" s="454">
        <f t="shared" si="144"/>
        <v>0</v>
      </c>
      <c r="Y253" s="312">
        <f t="shared" si="126"/>
        <v>-1</v>
      </c>
      <c r="Z253" s="674">
        <f t="shared" si="127"/>
        <v>0</v>
      </c>
      <c r="AA253" s="297"/>
      <c r="AB253" s="379">
        <f t="shared" si="127"/>
        <v>0</v>
      </c>
      <c r="AC253" s="297"/>
      <c r="AD253" s="413">
        <f t="shared" si="128"/>
        <v>0</v>
      </c>
      <c r="AE253" s="297"/>
      <c r="AG253" s="400" t="e">
        <f t="shared" si="129"/>
        <v>#DIV/0!</v>
      </c>
      <c r="AH253" s="401">
        <f t="shared" si="130"/>
        <v>0</v>
      </c>
      <c r="AI253" s="407">
        <f t="shared" si="131"/>
        <v>0</v>
      </c>
      <c r="AJ253" s="498"/>
      <c r="AK253" s="502">
        <f t="shared" si="132"/>
        <v>0</v>
      </c>
      <c r="AL253" s="503" t="e">
        <f t="shared" si="133"/>
        <v>#DIV/0!</v>
      </c>
      <c r="AM253" s="504" t="e">
        <f>AG253-AK253-AO253</f>
        <v>#DIV/0!</v>
      </c>
      <c r="AN253" s="503" t="e">
        <f t="shared" si="134"/>
        <v>#DIV/0!</v>
      </c>
      <c r="AO253" s="502">
        <f t="shared" si="135"/>
        <v>0</v>
      </c>
      <c r="AP253" s="503" t="e">
        <f t="shared" si="136"/>
        <v>#DIV/0!</v>
      </c>
      <c r="AR253" s="110">
        <v>52018</v>
      </c>
      <c r="AS253" s="98">
        <f t="shared" si="147"/>
        <v>0</v>
      </c>
      <c r="AT253" s="98">
        <f t="shared" si="148"/>
        <v>0</v>
      </c>
      <c r="AU253" s="98"/>
    </row>
    <row r="254" spans="1:54">
      <c r="A254" s="295">
        <v>45652</v>
      </c>
      <c r="B254" s="296">
        <f t="shared" si="118"/>
        <v>232728.95928880409</v>
      </c>
      <c r="C254" s="312">
        <f t="shared" si="119"/>
        <v>3.8483429990850273E-4</v>
      </c>
      <c r="D254" s="296">
        <f t="shared" si="120"/>
        <v>123696.6931242149</v>
      </c>
      <c r="E254" s="312">
        <f t="shared" si="121"/>
        <v>3.8486937629752616E-4</v>
      </c>
      <c r="F254" s="296">
        <f t="shared" si="122"/>
        <v>25068.073557962245</v>
      </c>
      <c r="G254" s="312">
        <f t="shared" si="123"/>
        <v>3.8464869601622634E-4</v>
      </c>
      <c r="H254" s="398">
        <v>0</v>
      </c>
      <c r="I254" s="312">
        <f t="shared" si="124"/>
        <v>0</v>
      </c>
      <c r="J254" s="457" t="e">
        <f t="shared" si="137"/>
        <v>#DIV/0!</v>
      </c>
      <c r="K254" s="369" t="e">
        <f t="shared" si="125"/>
        <v>#DIV/0!</v>
      </c>
      <c r="L254" s="404" t="e">
        <f t="shared" si="138"/>
        <v>#DIV/0!</v>
      </c>
      <c r="M254" s="312" t="e">
        <f t="shared" si="139"/>
        <v>#DIV/0!</v>
      </c>
      <c r="N254" s="298">
        <f t="shared" si="140"/>
        <v>20844.730987289084</v>
      </c>
      <c r="O254" s="312">
        <f t="shared" si="141"/>
        <v>3.6059110494452096E-4</v>
      </c>
      <c r="P254" s="404" t="e">
        <f t="shared" si="142"/>
        <v>#DIV/0!</v>
      </c>
      <c r="Q254" s="312" t="e">
        <f t="shared" si="145"/>
        <v>#DIV/0!</v>
      </c>
      <c r="R254" s="298"/>
      <c r="S254" s="312"/>
      <c r="T254" s="298"/>
      <c r="U254" s="312"/>
      <c r="V254" s="454">
        <f t="shared" si="143"/>
        <v>0</v>
      </c>
      <c r="W254" s="312">
        <f t="shared" si="146"/>
        <v>-1.0000002752637027</v>
      </c>
      <c r="X254" s="454">
        <f t="shared" si="144"/>
        <v>0</v>
      </c>
      <c r="Y254" s="312">
        <f t="shared" si="126"/>
        <v>-1</v>
      </c>
      <c r="Z254" s="674">
        <f t="shared" si="127"/>
        <v>0</v>
      </c>
      <c r="AA254" s="329"/>
      <c r="AB254" s="379">
        <f t="shared" si="127"/>
        <v>0</v>
      </c>
      <c r="AC254" s="329"/>
      <c r="AD254" s="413">
        <f t="shared" si="128"/>
        <v>0</v>
      </c>
      <c r="AE254" s="329"/>
      <c r="AG254" s="400" t="e">
        <f t="shared" si="129"/>
        <v>#DIV/0!</v>
      </c>
      <c r="AH254" s="401">
        <f t="shared" si="130"/>
        <v>0</v>
      </c>
      <c r="AI254" s="407">
        <f t="shared" si="131"/>
        <v>0</v>
      </c>
      <c r="AJ254" s="498"/>
      <c r="AK254" s="502">
        <f t="shared" si="132"/>
        <v>0</v>
      </c>
      <c r="AL254" s="503" t="e">
        <f t="shared" si="133"/>
        <v>#DIV/0!</v>
      </c>
      <c r="AM254" s="504" t="e">
        <f>AG254-AK254-AO254</f>
        <v>#DIV/0!</v>
      </c>
      <c r="AN254" s="503" t="e">
        <f t="shared" si="134"/>
        <v>#DIV/0!</v>
      </c>
      <c r="AO254" s="502">
        <f t="shared" si="135"/>
        <v>0</v>
      </c>
      <c r="AP254" s="503" t="e">
        <f t="shared" si="136"/>
        <v>#DIV/0!</v>
      </c>
      <c r="AR254" s="110">
        <v>52048</v>
      </c>
      <c r="AS254" s="98">
        <f t="shared" si="147"/>
        <v>0</v>
      </c>
      <c r="AT254" s="98">
        <f t="shared" si="148"/>
        <v>0</v>
      </c>
      <c r="AU254" s="98"/>
    </row>
    <row r="255" spans="1:54">
      <c r="A255" s="295">
        <v>45653</v>
      </c>
      <c r="B255" s="296">
        <f t="shared" si="118"/>
        <v>232818.52137492044</v>
      </c>
      <c r="C255" s="312">
        <f t="shared" si="119"/>
        <v>3.8483429990853097E-4</v>
      </c>
      <c r="D255" s="296">
        <f t="shared" si="120"/>
        <v>123744.30019334768</v>
      </c>
      <c r="E255" s="312">
        <f t="shared" si="121"/>
        <v>3.8486937629747552E-4</v>
      </c>
      <c r="F255" s="296">
        <f t="shared" si="122"/>
        <v>25077.715959767953</v>
      </c>
      <c r="G255" s="312">
        <f t="shared" si="123"/>
        <v>3.8464869601617673E-4</v>
      </c>
      <c r="H255" s="398">
        <v>0</v>
      </c>
      <c r="I255" s="312">
        <f t="shared" si="124"/>
        <v>0</v>
      </c>
      <c r="J255" s="457" t="e">
        <f t="shared" si="137"/>
        <v>#DIV/0!</v>
      </c>
      <c r="K255" s="369" t="e">
        <f t="shared" si="125"/>
        <v>#DIV/0!</v>
      </c>
      <c r="L255" s="404" t="e">
        <f t="shared" si="138"/>
        <v>#DIV/0!</v>
      </c>
      <c r="M255" s="312" t="e">
        <f t="shared" si="139"/>
        <v>#DIV/0!</v>
      </c>
      <c r="N255" s="298">
        <f t="shared" si="140"/>
        <v>20852.247411868062</v>
      </c>
      <c r="O255" s="312">
        <f t="shared" si="141"/>
        <v>3.6059110494454324E-4</v>
      </c>
      <c r="P255" s="404" t="e">
        <f t="shared" si="142"/>
        <v>#DIV/0!</v>
      </c>
      <c r="Q255" s="312" t="e">
        <f t="shared" si="145"/>
        <v>#DIV/0!</v>
      </c>
      <c r="R255" s="298"/>
      <c r="S255" s="312"/>
      <c r="T255" s="298"/>
      <c r="U255" s="312"/>
      <c r="V255" s="454">
        <f t="shared" si="143"/>
        <v>0</v>
      </c>
      <c r="W255" s="312">
        <f t="shared" si="146"/>
        <v>-1.0000002752637027</v>
      </c>
      <c r="X255" s="454">
        <f t="shared" si="144"/>
        <v>0</v>
      </c>
      <c r="Y255" s="312">
        <f t="shared" si="126"/>
        <v>-1</v>
      </c>
      <c r="Z255" s="674">
        <f t="shared" si="127"/>
        <v>0</v>
      </c>
      <c r="AA255" s="297"/>
      <c r="AB255" s="379">
        <f t="shared" si="127"/>
        <v>0</v>
      </c>
      <c r="AC255" s="297"/>
      <c r="AD255" s="413">
        <f t="shared" si="128"/>
        <v>0</v>
      </c>
      <c r="AE255" s="297"/>
      <c r="AF255" s="287"/>
      <c r="AG255" s="400" t="e">
        <f t="shared" si="129"/>
        <v>#DIV/0!</v>
      </c>
      <c r="AH255" s="401">
        <f t="shared" si="130"/>
        <v>0</v>
      </c>
      <c r="AI255" s="407">
        <f t="shared" si="131"/>
        <v>0</v>
      </c>
      <c r="AJ255" s="498"/>
      <c r="AK255" s="502">
        <f t="shared" si="132"/>
        <v>0</v>
      </c>
      <c r="AL255" s="503" t="e">
        <f t="shared" si="133"/>
        <v>#DIV/0!</v>
      </c>
      <c r="AM255" s="504" t="e">
        <f>AG255-AK255-AO255</f>
        <v>#DIV/0!</v>
      </c>
      <c r="AN255" s="503" t="e">
        <f t="shared" si="134"/>
        <v>#DIV/0!</v>
      </c>
      <c r="AO255" s="502">
        <f t="shared" si="135"/>
        <v>0</v>
      </c>
      <c r="AP255" s="503" t="e">
        <f t="shared" si="136"/>
        <v>#DIV/0!</v>
      </c>
      <c r="AR255" s="110">
        <v>52079</v>
      </c>
      <c r="AS255" s="98">
        <f t="shared" si="147"/>
        <v>0</v>
      </c>
      <c r="AT255" s="98">
        <f t="shared" si="148"/>
        <v>0</v>
      </c>
      <c r="AU255" s="98"/>
    </row>
    <row r="256" spans="1:54">
      <c r="A256" s="295">
        <v>45656</v>
      </c>
      <c r="B256" s="296">
        <f t="shared" si="118"/>
        <v>232908.11792759949</v>
      </c>
      <c r="C256" s="312">
        <f t="shared" si="119"/>
        <v>3.8483429990851558E-4</v>
      </c>
      <c r="D256" s="296">
        <f>D255+D255*E255</f>
        <v>123791.92558498346</v>
      </c>
      <c r="E256" s="312">
        <f>(D256-D255)/D255</f>
        <v>3.8486937629747997E-4</v>
      </c>
      <c r="F256" s="296">
        <f>F255+F255*G255</f>
        <v>25087.362070510942</v>
      </c>
      <c r="G256" s="312">
        <f>(F256-F255)/F255</f>
        <v>3.8464869601620633E-4</v>
      </c>
      <c r="H256" s="398">
        <v>0</v>
      </c>
      <c r="I256" s="312">
        <f t="shared" si="124"/>
        <v>0</v>
      </c>
      <c r="J256" s="457" t="e">
        <f t="shared" si="137"/>
        <v>#DIV/0!</v>
      </c>
      <c r="K256" s="369" t="e">
        <f>(J256-J255)/J255</f>
        <v>#DIV/0!</v>
      </c>
      <c r="L256" s="404" t="e">
        <f t="shared" si="138"/>
        <v>#DIV/0!</v>
      </c>
      <c r="M256" s="312" t="e">
        <f>(L256-L255)/L255</f>
        <v>#DIV/0!</v>
      </c>
      <c r="N256" s="298">
        <f>N255+N255*O255</f>
        <v>20859.766546802886</v>
      </c>
      <c r="O256" s="312">
        <f>(N256-N255)/N255</f>
        <v>3.6059110494462737E-4</v>
      </c>
      <c r="P256" s="404" t="e">
        <f t="shared" si="142"/>
        <v>#DIV/0!</v>
      </c>
      <c r="Q256" s="312" t="e">
        <f t="shared" si="145"/>
        <v>#DIV/0!</v>
      </c>
      <c r="R256" s="298"/>
      <c r="S256" s="312"/>
      <c r="T256" s="298"/>
      <c r="U256" s="312"/>
      <c r="V256" s="454">
        <f t="shared" si="143"/>
        <v>0</v>
      </c>
      <c r="W256" s="312">
        <f t="shared" si="146"/>
        <v>-1.0000002752637027</v>
      </c>
      <c r="X256" s="454">
        <f t="shared" si="144"/>
        <v>0</v>
      </c>
      <c r="Y256" s="312">
        <f t="shared" si="126"/>
        <v>-1</v>
      </c>
      <c r="Z256" s="674">
        <f t="shared" si="127"/>
        <v>0</v>
      </c>
      <c r="AA256" s="297"/>
      <c r="AB256" s="379">
        <f t="shared" si="127"/>
        <v>0</v>
      </c>
      <c r="AC256" s="297"/>
      <c r="AD256" s="413">
        <f t="shared" si="128"/>
        <v>0</v>
      </c>
      <c r="AE256" s="297"/>
      <c r="AG256" s="400" t="e">
        <f t="shared" si="129"/>
        <v>#DIV/0!</v>
      </c>
      <c r="AH256" s="401">
        <f t="shared" si="130"/>
        <v>0</v>
      </c>
      <c r="AI256" s="407">
        <f t="shared" si="131"/>
        <v>0</v>
      </c>
      <c r="AJ256" s="498"/>
      <c r="AK256" s="502">
        <f t="shared" si="132"/>
        <v>0</v>
      </c>
      <c r="AL256" s="503" t="e">
        <f t="shared" si="133"/>
        <v>#DIV/0!</v>
      </c>
      <c r="AM256" s="504" t="e">
        <f>AG256-AK256-AO256</f>
        <v>#DIV/0!</v>
      </c>
      <c r="AN256" s="503" t="e">
        <f t="shared" si="134"/>
        <v>#DIV/0!</v>
      </c>
      <c r="AO256" s="502">
        <f t="shared" si="135"/>
        <v>0</v>
      </c>
      <c r="AP256" s="503" t="e">
        <f t="shared" si="136"/>
        <v>#DIV/0!</v>
      </c>
      <c r="AR256" s="110">
        <v>52110</v>
      </c>
      <c r="AS256" s="98">
        <f t="shared" si="147"/>
        <v>0</v>
      </c>
      <c r="AT256" s="98">
        <f t="shared" si="148"/>
        <v>0</v>
      </c>
      <c r="AU256" s="98"/>
    </row>
    <row r="257" spans="1:47">
      <c r="A257" s="295">
        <v>45657</v>
      </c>
      <c r="B257" s="296">
        <f t="shared" si="118"/>
        <v>232997.74896010518</v>
      </c>
      <c r="C257" s="312">
        <f t="shared" si="119"/>
        <v>3.8483429990854176E-4</v>
      </c>
      <c r="D257" s="296">
        <f>D256+D256*E256</f>
        <v>123839.56930617402</v>
      </c>
      <c r="E257" s="312">
        <f>(D257-D256)/D256</f>
        <v>3.8486937629748853E-4</v>
      </c>
      <c r="F257" s="296">
        <f>F256+F256*G256</f>
        <v>25097.011891617851</v>
      </c>
      <c r="G257" s="312">
        <f>(F257-F256)/F256</f>
        <v>3.8464869601620156E-4</v>
      </c>
      <c r="H257" s="398">
        <v>0</v>
      </c>
      <c r="I257" s="312">
        <f t="shared" si="124"/>
        <v>0</v>
      </c>
      <c r="J257" s="457" t="e">
        <f t="shared" si="137"/>
        <v>#DIV/0!</v>
      </c>
      <c r="K257" s="369" t="e">
        <f>(J257-J256)/J256</f>
        <v>#DIV/0!</v>
      </c>
      <c r="L257" s="404" t="e">
        <f t="shared" si="138"/>
        <v>#DIV/0!</v>
      </c>
      <c r="M257" s="312" t="e">
        <f>(L257-L256)/L256</f>
        <v>#DIV/0!</v>
      </c>
      <c r="N257" s="298">
        <f>N256+N256*O256</f>
        <v>20867.288393070885</v>
      </c>
      <c r="O257" s="312">
        <f>(N257-N256)/N256</f>
        <v>3.6059110494462732E-4</v>
      </c>
      <c r="P257" s="404" t="e">
        <f t="shared" si="142"/>
        <v>#DIV/0!</v>
      </c>
      <c r="Q257" s="312" t="e">
        <f t="shared" si="145"/>
        <v>#DIV/0!</v>
      </c>
      <c r="R257" s="298"/>
      <c r="S257" s="312"/>
      <c r="T257" s="298"/>
      <c r="U257" s="312"/>
      <c r="V257" s="454">
        <f t="shared" si="143"/>
        <v>0</v>
      </c>
      <c r="W257" s="312">
        <f t="shared" si="146"/>
        <v>-1.0000002752637027</v>
      </c>
      <c r="X257" s="454">
        <f t="shared" si="144"/>
        <v>0</v>
      </c>
      <c r="Y257" s="312">
        <f t="shared" si="126"/>
        <v>-1</v>
      </c>
      <c r="Z257" s="674">
        <f t="shared" si="127"/>
        <v>0</v>
      </c>
      <c r="AA257" s="297"/>
      <c r="AB257" s="379">
        <f t="shared" si="127"/>
        <v>0</v>
      </c>
      <c r="AC257" s="297"/>
      <c r="AD257" s="413">
        <f t="shared" si="128"/>
        <v>0</v>
      </c>
      <c r="AE257" s="297"/>
      <c r="AG257" s="400" t="e">
        <f t="shared" si="129"/>
        <v>#DIV/0!</v>
      </c>
      <c r="AH257" s="401">
        <f t="shared" si="130"/>
        <v>0</v>
      </c>
      <c r="AI257" s="407">
        <f t="shared" si="131"/>
        <v>0</v>
      </c>
      <c r="AJ257" s="498"/>
      <c r="AK257" s="502">
        <f t="shared" si="132"/>
        <v>0</v>
      </c>
      <c r="AL257" s="503" t="e">
        <f t="shared" si="133"/>
        <v>#DIV/0!</v>
      </c>
      <c r="AM257" s="504" t="e">
        <f>AG257-AK257-AO257</f>
        <v>#DIV/0!</v>
      </c>
      <c r="AN257" s="503" t="e">
        <f t="shared" si="134"/>
        <v>#DIV/0!</v>
      </c>
      <c r="AO257" s="502">
        <f t="shared" si="135"/>
        <v>0</v>
      </c>
      <c r="AP257" s="503" t="e">
        <f t="shared" si="136"/>
        <v>#DIV/0!</v>
      </c>
      <c r="AR257" s="110">
        <v>52140</v>
      </c>
      <c r="AS257" s="98">
        <f t="shared" si="147"/>
        <v>0</v>
      </c>
      <c r="AT257" s="98">
        <f t="shared" si="148"/>
        <v>0</v>
      </c>
      <c r="AU257" s="98"/>
    </row>
    <row r="258" spans="1:47">
      <c r="A258" s="295">
        <v>45658</v>
      </c>
      <c r="B258" s="296"/>
      <c r="C258" s="312"/>
      <c r="D258" s="296"/>
      <c r="E258" s="312"/>
      <c r="F258" s="296"/>
      <c r="G258" s="312"/>
      <c r="H258" s="325"/>
      <c r="I258" s="312"/>
      <c r="J258" s="416"/>
      <c r="K258" s="369"/>
      <c r="L258" s="378"/>
      <c r="M258" s="312"/>
      <c r="N258" s="298"/>
      <c r="O258" s="312"/>
      <c r="P258" s="404" t="e">
        <f t="shared" si="142"/>
        <v>#DIV/0!</v>
      </c>
      <c r="Q258" s="312" t="e">
        <f t="shared" si="145"/>
        <v>#DIV/0!</v>
      </c>
      <c r="R258" s="298"/>
      <c r="S258" s="312"/>
      <c r="T258" s="298"/>
      <c r="U258" s="312"/>
      <c r="V258" s="454">
        <f t="shared" si="143"/>
        <v>0</v>
      </c>
      <c r="W258" s="312"/>
      <c r="X258" s="454">
        <f t="shared" si="144"/>
        <v>0</v>
      </c>
      <c r="Y258" s="312"/>
      <c r="Z258" s="379"/>
      <c r="AA258" s="297"/>
      <c r="AB258" s="379"/>
      <c r="AC258" s="297"/>
      <c r="AD258" s="413"/>
      <c r="AE258" s="297"/>
      <c r="AG258" s="294"/>
      <c r="AH258" s="380"/>
      <c r="AI258" s="408"/>
      <c r="AJ258" s="498"/>
      <c r="AK258" s="498"/>
      <c r="AL258" s="503" t="e">
        <f t="shared" si="133"/>
        <v>#DIV/0!</v>
      </c>
      <c r="AM258" s="498"/>
      <c r="AN258" s="503" t="e">
        <f t="shared" si="134"/>
        <v>#DIV/0!</v>
      </c>
      <c r="AO258" s="498"/>
      <c r="AP258" s="503" t="e">
        <f t="shared" si="136"/>
        <v>#DIV/0!</v>
      </c>
      <c r="AR258" s="110">
        <v>52171</v>
      </c>
      <c r="AS258" s="98">
        <f t="shared" si="147"/>
        <v>0</v>
      </c>
      <c r="AT258" s="98">
        <f t="shared" si="148"/>
        <v>0</v>
      </c>
      <c r="AU258" s="98"/>
    </row>
    <row r="259" spans="1:47">
      <c r="A259" s="295">
        <v>45659</v>
      </c>
      <c r="B259" s="296"/>
      <c r="C259" s="312"/>
      <c r="D259" s="296"/>
      <c r="E259" s="312"/>
      <c r="F259" s="296"/>
      <c r="G259" s="312"/>
      <c r="H259" s="325"/>
      <c r="I259" s="312"/>
      <c r="J259" s="416"/>
      <c r="K259" s="369"/>
      <c r="L259" s="378"/>
      <c r="M259" s="312"/>
      <c r="N259" s="298"/>
      <c r="O259" s="312"/>
      <c r="P259" s="404" t="e">
        <f t="shared" si="142"/>
        <v>#DIV/0!</v>
      </c>
      <c r="Q259" s="312" t="e">
        <f t="shared" si="145"/>
        <v>#DIV/0!</v>
      </c>
      <c r="R259" s="298"/>
      <c r="S259" s="312"/>
      <c r="T259" s="298"/>
      <c r="U259" s="312"/>
      <c r="V259" s="454">
        <f t="shared" si="143"/>
        <v>0</v>
      </c>
      <c r="W259" s="312"/>
      <c r="X259" s="454">
        <f t="shared" si="144"/>
        <v>0</v>
      </c>
      <c r="Y259" s="312"/>
      <c r="Z259" s="379"/>
      <c r="AA259" s="297"/>
      <c r="AB259" s="379"/>
      <c r="AC259" s="297"/>
      <c r="AD259" s="413"/>
      <c r="AE259" s="297"/>
      <c r="AG259" s="294"/>
      <c r="AH259" s="380"/>
      <c r="AI259" s="408"/>
      <c r="AJ259" s="498"/>
      <c r="AK259" s="498"/>
      <c r="AL259" s="503" t="e">
        <f t="shared" si="133"/>
        <v>#DIV/0!</v>
      </c>
      <c r="AM259" s="498"/>
      <c r="AN259" s="503" t="e">
        <f t="shared" si="134"/>
        <v>#DIV/0!</v>
      </c>
      <c r="AO259" s="498"/>
      <c r="AP259" s="503" t="e">
        <f t="shared" si="136"/>
        <v>#DIV/0!</v>
      </c>
      <c r="AR259" s="110">
        <v>52201</v>
      </c>
      <c r="AS259" s="98">
        <f t="shared" si="147"/>
        <v>0</v>
      </c>
      <c r="AT259" s="98">
        <f t="shared" si="148"/>
        <v>0</v>
      </c>
      <c r="AU259" s="98"/>
    </row>
    <row r="260" spans="1:47">
      <c r="A260" s="295">
        <v>45660</v>
      </c>
      <c r="B260" s="296"/>
      <c r="C260" s="312"/>
      <c r="D260" s="296"/>
      <c r="E260" s="312"/>
      <c r="F260" s="296"/>
      <c r="G260" s="312"/>
      <c r="H260" s="325"/>
      <c r="I260" s="312"/>
      <c r="J260" s="416"/>
      <c r="K260" s="369"/>
      <c r="L260" s="378"/>
      <c r="M260" s="312"/>
      <c r="N260" s="298"/>
      <c r="O260" s="312"/>
      <c r="P260" s="404" t="e">
        <f t="shared" si="142"/>
        <v>#DIV/0!</v>
      </c>
      <c r="Q260" s="312" t="e">
        <f t="shared" si="145"/>
        <v>#DIV/0!</v>
      </c>
      <c r="R260" s="298"/>
      <c r="S260" s="312"/>
      <c r="T260" s="298"/>
      <c r="U260" s="312"/>
      <c r="V260" s="454">
        <f t="shared" si="143"/>
        <v>0</v>
      </c>
      <c r="W260" s="312"/>
      <c r="X260" s="454">
        <f t="shared" si="144"/>
        <v>0</v>
      </c>
      <c r="Y260" s="312"/>
      <c r="Z260" s="379"/>
      <c r="AA260" s="297"/>
      <c r="AB260" s="379"/>
      <c r="AC260" s="297"/>
      <c r="AD260" s="413"/>
      <c r="AE260" s="297"/>
      <c r="AG260" s="294"/>
      <c r="AH260" s="380"/>
      <c r="AI260" s="408"/>
      <c r="AJ260" s="498"/>
      <c r="AK260" s="498"/>
      <c r="AL260" s="503" t="e">
        <f t="shared" ref="AL260:AL323" si="149">AK260/AG260</f>
        <v>#DIV/0!</v>
      </c>
      <c r="AM260" s="498"/>
      <c r="AN260" s="503" t="e">
        <f t="shared" ref="AN260:AN323" si="150">AM260/AG260</f>
        <v>#DIV/0!</v>
      </c>
      <c r="AO260" s="498"/>
      <c r="AP260" s="503" t="e">
        <f t="shared" ref="AP260:AP323" si="151">AO260/AG260</f>
        <v>#DIV/0!</v>
      </c>
      <c r="AR260" s="110">
        <v>52232</v>
      </c>
      <c r="AS260" s="98">
        <f t="shared" si="147"/>
        <v>0</v>
      </c>
      <c r="AT260" s="98">
        <f t="shared" si="148"/>
        <v>0</v>
      </c>
      <c r="AU260" s="98"/>
    </row>
    <row r="261" spans="1:47">
      <c r="A261" s="295">
        <v>45663</v>
      </c>
      <c r="B261" s="296"/>
      <c r="C261" s="312"/>
      <c r="D261" s="296"/>
      <c r="E261" s="312"/>
      <c r="F261" s="296"/>
      <c r="G261" s="312"/>
      <c r="H261" s="325"/>
      <c r="I261" s="312"/>
      <c r="J261" s="416"/>
      <c r="K261" s="369"/>
      <c r="L261" s="378"/>
      <c r="M261" s="312"/>
      <c r="N261" s="298"/>
      <c r="O261" s="312"/>
      <c r="P261" s="404" t="e">
        <f t="shared" ref="P261:P324" si="152">P260+P260*Q260</f>
        <v>#DIV/0!</v>
      </c>
      <c r="Q261" s="312" t="e">
        <f t="shared" si="145"/>
        <v>#DIV/0!</v>
      </c>
      <c r="R261" s="298"/>
      <c r="S261" s="312"/>
      <c r="T261" s="298"/>
      <c r="U261" s="312"/>
      <c r="V261" s="454">
        <f t="shared" ref="V261:V324" si="153">V260</f>
        <v>0</v>
      </c>
      <c r="W261" s="312"/>
      <c r="X261" s="454">
        <f t="shared" ref="X261:X324" si="154">X260</f>
        <v>0</v>
      </c>
      <c r="Y261" s="312"/>
      <c r="Z261" s="379"/>
      <c r="AA261" s="297"/>
      <c r="AB261" s="379"/>
      <c r="AC261" s="297"/>
      <c r="AD261" s="413"/>
      <c r="AE261" s="297"/>
      <c r="AG261" s="294"/>
      <c r="AH261" s="380"/>
      <c r="AI261" s="408"/>
      <c r="AJ261" s="498"/>
      <c r="AK261" s="498"/>
      <c r="AL261" s="503" t="e">
        <f t="shared" si="149"/>
        <v>#DIV/0!</v>
      </c>
      <c r="AM261" s="498"/>
      <c r="AN261" s="503" t="e">
        <f t="shared" si="150"/>
        <v>#DIV/0!</v>
      </c>
      <c r="AO261" s="498"/>
      <c r="AP261" s="503" t="e">
        <f t="shared" si="151"/>
        <v>#DIV/0!</v>
      </c>
      <c r="AR261" s="110">
        <v>52263</v>
      </c>
      <c r="AS261" s="98">
        <f t="shared" si="147"/>
        <v>0</v>
      </c>
      <c r="AT261" s="98">
        <f t="shared" si="148"/>
        <v>0</v>
      </c>
      <c r="AU261" s="98"/>
    </row>
    <row r="262" spans="1:47">
      <c r="A262" s="295">
        <v>45664</v>
      </c>
      <c r="B262" s="296"/>
      <c r="C262" s="312"/>
      <c r="D262" s="296"/>
      <c r="E262" s="312"/>
      <c r="F262" s="296"/>
      <c r="G262" s="312"/>
      <c r="H262" s="325"/>
      <c r="I262" s="312"/>
      <c r="J262" s="416"/>
      <c r="K262" s="369"/>
      <c r="L262" s="378"/>
      <c r="M262" s="312"/>
      <c r="N262" s="298"/>
      <c r="O262" s="312"/>
      <c r="P262" s="404" t="e">
        <f t="shared" si="152"/>
        <v>#DIV/0!</v>
      </c>
      <c r="Q262" s="312" t="e">
        <f t="shared" si="145"/>
        <v>#DIV/0!</v>
      </c>
      <c r="R262" s="298"/>
      <c r="S262" s="312"/>
      <c r="T262" s="298"/>
      <c r="U262" s="312"/>
      <c r="V262" s="454">
        <f t="shared" si="153"/>
        <v>0</v>
      </c>
      <c r="W262" s="312"/>
      <c r="X262" s="454">
        <f t="shared" si="154"/>
        <v>0</v>
      </c>
      <c r="Y262" s="312"/>
      <c r="Z262" s="379"/>
      <c r="AA262" s="297"/>
      <c r="AB262" s="379"/>
      <c r="AC262" s="297"/>
      <c r="AD262" s="413"/>
      <c r="AE262" s="297"/>
      <c r="AG262" s="294"/>
      <c r="AH262" s="380"/>
      <c r="AI262" s="408"/>
      <c r="AJ262" s="498"/>
      <c r="AK262" s="498"/>
      <c r="AL262" s="503" t="e">
        <f t="shared" si="149"/>
        <v>#DIV/0!</v>
      </c>
      <c r="AM262" s="498"/>
      <c r="AN262" s="503" t="e">
        <f t="shared" si="150"/>
        <v>#DIV/0!</v>
      </c>
      <c r="AO262" s="498"/>
      <c r="AP262" s="503" t="e">
        <f t="shared" si="151"/>
        <v>#DIV/0!</v>
      </c>
      <c r="AR262" s="110">
        <v>52291</v>
      </c>
      <c r="AS262" s="98">
        <f t="shared" si="147"/>
        <v>0</v>
      </c>
      <c r="AT262" s="98">
        <f t="shared" si="148"/>
        <v>0</v>
      </c>
      <c r="AU262" s="98"/>
    </row>
    <row r="263" spans="1:47">
      <c r="A263" s="295">
        <v>45665</v>
      </c>
      <c r="B263" s="296"/>
      <c r="C263" s="312"/>
      <c r="D263" s="296"/>
      <c r="E263" s="312"/>
      <c r="F263" s="296"/>
      <c r="G263" s="312"/>
      <c r="H263" s="325"/>
      <c r="I263" s="312"/>
      <c r="J263" s="416"/>
      <c r="K263" s="369"/>
      <c r="L263" s="378"/>
      <c r="M263" s="312"/>
      <c r="N263" s="298"/>
      <c r="O263" s="312"/>
      <c r="P263" s="404" t="e">
        <f t="shared" si="152"/>
        <v>#DIV/0!</v>
      </c>
      <c r="Q263" s="312" t="e">
        <f t="shared" si="145"/>
        <v>#DIV/0!</v>
      </c>
      <c r="R263" s="298"/>
      <c r="S263" s="312"/>
      <c r="T263" s="298"/>
      <c r="U263" s="312"/>
      <c r="V263" s="454">
        <f t="shared" si="153"/>
        <v>0</v>
      </c>
      <c r="W263" s="312"/>
      <c r="X263" s="454">
        <f t="shared" si="154"/>
        <v>0</v>
      </c>
      <c r="Y263" s="312"/>
      <c r="Z263" s="379"/>
      <c r="AA263" s="297"/>
      <c r="AB263" s="379"/>
      <c r="AC263" s="297"/>
      <c r="AD263" s="413"/>
      <c r="AE263" s="297"/>
      <c r="AG263" s="294"/>
      <c r="AH263" s="380"/>
      <c r="AI263" s="408"/>
      <c r="AJ263" s="498"/>
      <c r="AK263" s="498"/>
      <c r="AL263" s="503" t="e">
        <f t="shared" si="149"/>
        <v>#DIV/0!</v>
      </c>
      <c r="AM263" s="498"/>
      <c r="AN263" s="503" t="e">
        <f t="shared" si="150"/>
        <v>#DIV/0!</v>
      </c>
      <c r="AO263" s="498"/>
      <c r="AP263" s="503" t="e">
        <f t="shared" si="151"/>
        <v>#DIV/0!</v>
      </c>
      <c r="AR263" s="110">
        <v>52322</v>
      </c>
      <c r="AS263" s="98">
        <f t="shared" si="147"/>
        <v>0</v>
      </c>
      <c r="AT263" s="98">
        <f t="shared" si="148"/>
        <v>0</v>
      </c>
      <c r="AU263" s="98"/>
    </row>
    <row r="264" spans="1:47">
      <c r="A264" s="295">
        <v>45666</v>
      </c>
      <c r="B264" s="296"/>
      <c r="C264" s="312"/>
      <c r="D264" s="296"/>
      <c r="E264" s="312"/>
      <c r="F264" s="296"/>
      <c r="G264" s="312"/>
      <c r="H264" s="325"/>
      <c r="I264" s="312"/>
      <c r="J264" s="416"/>
      <c r="K264" s="369"/>
      <c r="L264" s="378"/>
      <c r="M264" s="312"/>
      <c r="N264" s="298"/>
      <c r="O264" s="312"/>
      <c r="P264" s="404" t="e">
        <f t="shared" si="152"/>
        <v>#DIV/0!</v>
      </c>
      <c r="Q264" s="312" t="e">
        <f t="shared" si="145"/>
        <v>#DIV/0!</v>
      </c>
      <c r="R264" s="298"/>
      <c r="S264" s="312"/>
      <c r="T264" s="298"/>
      <c r="U264" s="312"/>
      <c r="V264" s="454">
        <f t="shared" si="153"/>
        <v>0</v>
      </c>
      <c r="W264" s="312"/>
      <c r="X264" s="454">
        <f t="shared" si="154"/>
        <v>0</v>
      </c>
      <c r="Y264" s="312"/>
      <c r="Z264" s="379"/>
      <c r="AA264" s="297"/>
      <c r="AB264" s="379"/>
      <c r="AC264" s="297"/>
      <c r="AD264" s="413"/>
      <c r="AE264" s="297"/>
      <c r="AG264" s="294"/>
      <c r="AH264" s="380"/>
      <c r="AI264" s="408"/>
      <c r="AJ264" s="498"/>
      <c r="AK264" s="498"/>
      <c r="AL264" s="503" t="e">
        <f t="shared" si="149"/>
        <v>#DIV/0!</v>
      </c>
      <c r="AM264" s="498"/>
      <c r="AN264" s="503" t="e">
        <f t="shared" si="150"/>
        <v>#DIV/0!</v>
      </c>
      <c r="AO264" s="498"/>
      <c r="AP264" s="503" t="e">
        <f t="shared" si="151"/>
        <v>#DIV/0!</v>
      </c>
      <c r="AR264" s="110">
        <v>52352</v>
      </c>
      <c r="AS264" s="98">
        <f t="shared" si="147"/>
        <v>0</v>
      </c>
      <c r="AT264" s="98">
        <f t="shared" si="148"/>
        <v>0</v>
      </c>
      <c r="AU264" s="98"/>
    </row>
    <row r="265" spans="1:47">
      <c r="A265" s="295">
        <v>45667</v>
      </c>
      <c r="B265" s="296"/>
      <c r="C265" s="312"/>
      <c r="D265" s="296"/>
      <c r="E265" s="312"/>
      <c r="F265" s="296"/>
      <c r="G265" s="312"/>
      <c r="H265" s="325"/>
      <c r="I265" s="312"/>
      <c r="J265" s="416"/>
      <c r="K265" s="369"/>
      <c r="L265" s="378"/>
      <c r="M265" s="312"/>
      <c r="N265" s="298"/>
      <c r="O265" s="312"/>
      <c r="P265" s="404" t="e">
        <f t="shared" si="152"/>
        <v>#DIV/0!</v>
      </c>
      <c r="Q265" s="312" t="e">
        <f t="shared" si="145"/>
        <v>#DIV/0!</v>
      </c>
      <c r="R265" s="298"/>
      <c r="S265" s="312"/>
      <c r="T265" s="298"/>
      <c r="U265" s="312"/>
      <c r="V265" s="454">
        <f t="shared" si="153"/>
        <v>0</v>
      </c>
      <c r="W265" s="312"/>
      <c r="X265" s="454">
        <f t="shared" si="154"/>
        <v>0</v>
      </c>
      <c r="Y265" s="312"/>
      <c r="Z265" s="379"/>
      <c r="AA265" s="297"/>
      <c r="AB265" s="379"/>
      <c r="AC265" s="297"/>
      <c r="AD265" s="413"/>
      <c r="AE265" s="297"/>
      <c r="AG265" s="294"/>
      <c r="AH265" s="380"/>
      <c r="AI265" s="408"/>
      <c r="AJ265" s="498"/>
      <c r="AK265" s="498"/>
      <c r="AL265" s="503" t="e">
        <f t="shared" si="149"/>
        <v>#DIV/0!</v>
      </c>
      <c r="AM265" s="498"/>
      <c r="AN265" s="503" t="e">
        <f t="shared" si="150"/>
        <v>#DIV/0!</v>
      </c>
      <c r="AO265" s="498"/>
      <c r="AP265" s="503" t="e">
        <f t="shared" si="151"/>
        <v>#DIV/0!</v>
      </c>
      <c r="AR265" s="110">
        <v>52383</v>
      </c>
      <c r="AS265" s="98">
        <f t="shared" si="147"/>
        <v>0</v>
      </c>
      <c r="AT265" s="98">
        <f t="shared" si="148"/>
        <v>0</v>
      </c>
      <c r="AU265" s="98"/>
    </row>
    <row r="266" spans="1:47">
      <c r="A266" s="295">
        <v>45670</v>
      </c>
      <c r="B266" s="296"/>
      <c r="C266" s="312"/>
      <c r="D266" s="296"/>
      <c r="E266" s="312"/>
      <c r="F266" s="296"/>
      <c r="G266" s="312"/>
      <c r="H266" s="325"/>
      <c r="I266" s="312"/>
      <c r="J266" s="416"/>
      <c r="K266" s="369"/>
      <c r="L266" s="378"/>
      <c r="M266" s="312"/>
      <c r="N266" s="298"/>
      <c r="O266" s="312"/>
      <c r="P266" s="404" t="e">
        <f t="shared" si="152"/>
        <v>#DIV/0!</v>
      </c>
      <c r="Q266" s="312" t="e">
        <f t="shared" si="145"/>
        <v>#DIV/0!</v>
      </c>
      <c r="R266" s="298"/>
      <c r="S266" s="312"/>
      <c r="T266" s="298"/>
      <c r="U266" s="312"/>
      <c r="V266" s="454">
        <f t="shared" si="153"/>
        <v>0</v>
      </c>
      <c r="W266" s="312"/>
      <c r="X266" s="454">
        <f t="shared" si="154"/>
        <v>0</v>
      </c>
      <c r="Y266" s="312"/>
      <c r="Z266" s="379"/>
      <c r="AA266" s="297"/>
      <c r="AB266" s="379"/>
      <c r="AC266" s="297"/>
      <c r="AD266" s="413"/>
      <c r="AE266" s="297"/>
      <c r="AG266" s="294"/>
      <c r="AH266" s="380"/>
      <c r="AI266" s="408"/>
      <c r="AJ266" s="498"/>
      <c r="AK266" s="498"/>
      <c r="AL266" s="503" t="e">
        <f t="shared" si="149"/>
        <v>#DIV/0!</v>
      </c>
      <c r="AM266" s="498"/>
      <c r="AN266" s="503" t="e">
        <f t="shared" si="150"/>
        <v>#DIV/0!</v>
      </c>
      <c r="AO266" s="498"/>
      <c r="AP266" s="503" t="e">
        <f t="shared" si="151"/>
        <v>#DIV/0!</v>
      </c>
      <c r="AR266" s="110">
        <v>52413</v>
      </c>
      <c r="AS266" s="98">
        <f t="shared" si="147"/>
        <v>0</v>
      </c>
      <c r="AT266" s="98">
        <f t="shared" si="148"/>
        <v>0</v>
      </c>
      <c r="AU266" s="98"/>
    </row>
    <row r="267" spans="1:47">
      <c r="A267" s="295">
        <v>45671</v>
      </c>
      <c r="B267" s="296"/>
      <c r="C267" s="312"/>
      <c r="D267" s="296"/>
      <c r="E267" s="312"/>
      <c r="F267" s="296"/>
      <c r="G267" s="312"/>
      <c r="H267" s="325"/>
      <c r="I267" s="312"/>
      <c r="J267" s="416"/>
      <c r="K267" s="369"/>
      <c r="L267" s="378"/>
      <c r="M267" s="312"/>
      <c r="N267" s="298"/>
      <c r="O267" s="312"/>
      <c r="P267" s="404" t="e">
        <f t="shared" si="152"/>
        <v>#DIV/0!</v>
      </c>
      <c r="Q267" s="312" t="e">
        <f t="shared" ref="Q267:Q330" si="155">(P267+2243.33-P266)/P266</f>
        <v>#DIV/0!</v>
      </c>
      <c r="R267" s="298"/>
      <c r="S267" s="312"/>
      <c r="T267" s="298"/>
      <c r="U267" s="312"/>
      <c r="V267" s="454">
        <f t="shared" si="153"/>
        <v>0</v>
      </c>
      <c r="W267" s="312"/>
      <c r="X267" s="454">
        <f t="shared" si="154"/>
        <v>0</v>
      </c>
      <c r="Y267" s="312"/>
      <c r="Z267" s="379"/>
      <c r="AA267" s="297"/>
      <c r="AB267" s="379"/>
      <c r="AC267" s="297"/>
      <c r="AD267" s="413"/>
      <c r="AE267" s="297"/>
      <c r="AG267" s="294"/>
      <c r="AH267" s="380"/>
      <c r="AI267" s="408"/>
      <c r="AJ267" s="498"/>
      <c r="AK267" s="498"/>
      <c r="AL267" s="503" t="e">
        <f t="shared" si="149"/>
        <v>#DIV/0!</v>
      </c>
      <c r="AM267" s="498"/>
      <c r="AN267" s="503" t="e">
        <f t="shared" si="150"/>
        <v>#DIV/0!</v>
      </c>
      <c r="AO267" s="498"/>
      <c r="AP267" s="503" t="e">
        <f t="shared" si="151"/>
        <v>#DIV/0!</v>
      </c>
      <c r="AR267" s="110">
        <v>52444</v>
      </c>
      <c r="AS267" s="98">
        <f t="shared" si="147"/>
        <v>0</v>
      </c>
      <c r="AT267" s="98">
        <f t="shared" si="148"/>
        <v>0</v>
      </c>
      <c r="AU267" s="98"/>
    </row>
    <row r="268" spans="1:47">
      <c r="A268" s="295">
        <v>45672</v>
      </c>
      <c r="B268" s="296"/>
      <c r="C268" s="312"/>
      <c r="D268" s="296"/>
      <c r="E268" s="312"/>
      <c r="F268" s="296"/>
      <c r="G268" s="312"/>
      <c r="H268" s="325"/>
      <c r="I268" s="312"/>
      <c r="J268" s="416"/>
      <c r="K268" s="369"/>
      <c r="L268" s="378"/>
      <c r="M268" s="312"/>
      <c r="N268" s="298"/>
      <c r="O268" s="312"/>
      <c r="P268" s="404" t="e">
        <f t="shared" si="152"/>
        <v>#DIV/0!</v>
      </c>
      <c r="Q268" s="312" t="e">
        <f t="shared" si="155"/>
        <v>#DIV/0!</v>
      </c>
      <c r="R268" s="298"/>
      <c r="S268" s="312"/>
      <c r="T268" s="298"/>
      <c r="U268" s="312"/>
      <c r="V268" s="454">
        <f t="shared" si="153"/>
        <v>0</v>
      </c>
      <c r="W268" s="312"/>
      <c r="X268" s="454">
        <f t="shared" si="154"/>
        <v>0</v>
      </c>
      <c r="Y268" s="312"/>
      <c r="Z268" s="379"/>
      <c r="AA268" s="297"/>
      <c r="AB268" s="379"/>
      <c r="AC268" s="297"/>
      <c r="AD268" s="413"/>
      <c r="AE268" s="297"/>
      <c r="AG268" s="294"/>
      <c r="AH268" s="380"/>
      <c r="AI268" s="408"/>
      <c r="AJ268" s="498"/>
      <c r="AK268" s="498"/>
      <c r="AL268" s="503" t="e">
        <f t="shared" si="149"/>
        <v>#DIV/0!</v>
      </c>
      <c r="AM268" s="498"/>
      <c r="AN268" s="503" t="e">
        <f t="shared" si="150"/>
        <v>#DIV/0!</v>
      </c>
      <c r="AO268" s="498"/>
      <c r="AP268" s="503" t="e">
        <f t="shared" si="151"/>
        <v>#DIV/0!</v>
      </c>
      <c r="AR268" s="110">
        <v>52475</v>
      </c>
      <c r="AS268" s="98">
        <f t="shared" si="147"/>
        <v>0</v>
      </c>
      <c r="AT268" s="98">
        <f t="shared" si="148"/>
        <v>0</v>
      </c>
      <c r="AU268" s="98"/>
    </row>
    <row r="269" spans="1:47">
      <c r="A269" s="295">
        <v>45673</v>
      </c>
      <c r="B269" s="296"/>
      <c r="C269" s="312"/>
      <c r="D269" s="296"/>
      <c r="E269" s="312"/>
      <c r="F269" s="296"/>
      <c r="G269" s="312"/>
      <c r="H269" s="325"/>
      <c r="I269" s="312"/>
      <c r="J269" s="416"/>
      <c r="K269" s="369"/>
      <c r="L269" s="378"/>
      <c r="M269" s="312"/>
      <c r="N269" s="298"/>
      <c r="O269" s="312"/>
      <c r="P269" s="404" t="e">
        <f t="shared" si="152"/>
        <v>#DIV/0!</v>
      </c>
      <c r="Q269" s="312" t="e">
        <f t="shared" si="155"/>
        <v>#DIV/0!</v>
      </c>
      <c r="R269" s="298"/>
      <c r="S269" s="312"/>
      <c r="T269" s="298"/>
      <c r="U269" s="312"/>
      <c r="V269" s="454">
        <f t="shared" si="153"/>
        <v>0</v>
      </c>
      <c r="W269" s="312"/>
      <c r="X269" s="454">
        <f t="shared" si="154"/>
        <v>0</v>
      </c>
      <c r="Y269" s="312"/>
      <c r="Z269" s="379"/>
      <c r="AA269" s="297"/>
      <c r="AB269" s="379"/>
      <c r="AC269" s="297"/>
      <c r="AD269" s="413"/>
      <c r="AE269" s="297"/>
      <c r="AG269" s="294"/>
      <c r="AH269" s="380"/>
      <c r="AI269" s="408"/>
      <c r="AJ269" s="498"/>
      <c r="AK269" s="498"/>
      <c r="AL269" s="503" t="e">
        <f t="shared" si="149"/>
        <v>#DIV/0!</v>
      </c>
      <c r="AM269" s="498"/>
      <c r="AN269" s="503" t="e">
        <f t="shared" si="150"/>
        <v>#DIV/0!</v>
      </c>
      <c r="AO269" s="498"/>
      <c r="AP269" s="503" t="e">
        <f t="shared" si="151"/>
        <v>#DIV/0!</v>
      </c>
      <c r="AR269" s="110">
        <v>52505</v>
      </c>
      <c r="AS269" s="98">
        <f t="shared" si="147"/>
        <v>0</v>
      </c>
      <c r="AT269" s="98">
        <f t="shared" si="148"/>
        <v>0</v>
      </c>
      <c r="AU269" s="98"/>
    </row>
    <row r="270" spans="1:47">
      <c r="A270" s="295">
        <v>45674</v>
      </c>
      <c r="B270" s="296"/>
      <c r="C270" s="312"/>
      <c r="D270" s="296"/>
      <c r="E270" s="312"/>
      <c r="F270" s="296"/>
      <c r="G270" s="312"/>
      <c r="H270" s="325"/>
      <c r="I270" s="312"/>
      <c r="J270" s="416"/>
      <c r="K270" s="369"/>
      <c r="L270" s="378"/>
      <c r="M270" s="312"/>
      <c r="N270" s="298"/>
      <c r="O270" s="312"/>
      <c r="P270" s="404" t="e">
        <f t="shared" si="152"/>
        <v>#DIV/0!</v>
      </c>
      <c r="Q270" s="312" t="e">
        <f t="shared" si="155"/>
        <v>#DIV/0!</v>
      </c>
      <c r="R270" s="298"/>
      <c r="S270" s="312"/>
      <c r="T270" s="298"/>
      <c r="U270" s="312"/>
      <c r="V270" s="454">
        <f t="shared" si="153"/>
        <v>0</v>
      </c>
      <c r="W270" s="312"/>
      <c r="X270" s="454">
        <f t="shared" si="154"/>
        <v>0</v>
      </c>
      <c r="Y270" s="312"/>
      <c r="Z270" s="379"/>
      <c r="AA270" s="297"/>
      <c r="AB270" s="379"/>
      <c r="AC270" s="297"/>
      <c r="AD270" s="413"/>
      <c r="AE270" s="297"/>
      <c r="AG270" s="294"/>
      <c r="AH270" s="380"/>
      <c r="AI270" s="408"/>
      <c r="AJ270" s="498"/>
      <c r="AK270" s="498"/>
      <c r="AL270" s="503" t="e">
        <f t="shared" si="149"/>
        <v>#DIV/0!</v>
      </c>
      <c r="AM270" s="498"/>
      <c r="AN270" s="503" t="e">
        <f t="shared" si="150"/>
        <v>#DIV/0!</v>
      </c>
      <c r="AO270" s="498"/>
      <c r="AP270" s="503" t="e">
        <f t="shared" si="151"/>
        <v>#DIV/0!</v>
      </c>
      <c r="AR270" s="110">
        <v>52536</v>
      </c>
      <c r="AS270" s="98">
        <f t="shared" si="147"/>
        <v>0</v>
      </c>
      <c r="AT270" s="98">
        <f t="shared" si="148"/>
        <v>0</v>
      </c>
      <c r="AU270" s="98"/>
    </row>
    <row r="271" spans="1:47">
      <c r="A271" s="295">
        <v>45677</v>
      </c>
      <c r="B271" s="296"/>
      <c r="C271" s="312"/>
      <c r="D271" s="296"/>
      <c r="E271" s="312"/>
      <c r="F271" s="296"/>
      <c r="G271" s="312"/>
      <c r="H271" s="325"/>
      <c r="I271" s="312"/>
      <c r="J271" s="416"/>
      <c r="K271" s="369"/>
      <c r="L271" s="378"/>
      <c r="M271" s="312"/>
      <c r="N271" s="298"/>
      <c r="O271" s="312"/>
      <c r="P271" s="404" t="e">
        <f t="shared" si="152"/>
        <v>#DIV/0!</v>
      </c>
      <c r="Q271" s="312" t="e">
        <f t="shared" si="155"/>
        <v>#DIV/0!</v>
      </c>
      <c r="R271" s="298"/>
      <c r="S271" s="312"/>
      <c r="T271" s="298"/>
      <c r="U271" s="312"/>
      <c r="V271" s="454">
        <f t="shared" si="153"/>
        <v>0</v>
      </c>
      <c r="W271" s="312"/>
      <c r="X271" s="454">
        <f t="shared" si="154"/>
        <v>0</v>
      </c>
      <c r="Y271" s="312"/>
      <c r="Z271" s="379"/>
      <c r="AA271" s="297"/>
      <c r="AB271" s="379"/>
      <c r="AC271" s="297"/>
      <c r="AD271" s="413"/>
      <c r="AE271" s="297"/>
      <c r="AG271" s="294"/>
      <c r="AH271" s="380"/>
      <c r="AI271" s="408"/>
      <c r="AJ271" s="498"/>
      <c r="AK271" s="498"/>
      <c r="AL271" s="503" t="e">
        <f t="shared" si="149"/>
        <v>#DIV/0!</v>
      </c>
      <c r="AM271" s="498"/>
      <c r="AN271" s="503" t="e">
        <f t="shared" si="150"/>
        <v>#DIV/0!</v>
      </c>
      <c r="AO271" s="498"/>
      <c r="AP271" s="503" t="e">
        <f t="shared" si="151"/>
        <v>#DIV/0!</v>
      </c>
      <c r="AR271" s="110">
        <v>52566</v>
      </c>
      <c r="AS271" s="98">
        <f t="shared" si="147"/>
        <v>0</v>
      </c>
      <c r="AT271" s="98">
        <f t="shared" si="148"/>
        <v>0</v>
      </c>
      <c r="AU271" s="98"/>
    </row>
    <row r="272" spans="1:47">
      <c r="A272" s="295">
        <v>45678</v>
      </c>
      <c r="B272" s="296"/>
      <c r="C272" s="312"/>
      <c r="D272" s="296"/>
      <c r="E272" s="312"/>
      <c r="F272" s="296"/>
      <c r="G272" s="312"/>
      <c r="H272" s="325"/>
      <c r="I272" s="312"/>
      <c r="J272" s="416"/>
      <c r="K272" s="369"/>
      <c r="L272" s="378"/>
      <c r="M272" s="312"/>
      <c r="N272" s="298"/>
      <c r="O272" s="312"/>
      <c r="P272" s="404" t="e">
        <f t="shared" si="152"/>
        <v>#DIV/0!</v>
      </c>
      <c r="Q272" s="312" t="e">
        <f t="shared" si="155"/>
        <v>#DIV/0!</v>
      </c>
      <c r="R272" s="298"/>
      <c r="S272" s="312"/>
      <c r="T272" s="298"/>
      <c r="U272" s="312"/>
      <c r="V272" s="454">
        <f t="shared" si="153"/>
        <v>0</v>
      </c>
      <c r="W272" s="312"/>
      <c r="X272" s="454">
        <f t="shared" si="154"/>
        <v>0</v>
      </c>
      <c r="Y272" s="312"/>
      <c r="Z272" s="379"/>
      <c r="AA272" s="297"/>
      <c r="AB272" s="379"/>
      <c r="AC272" s="297"/>
      <c r="AD272" s="413"/>
      <c r="AE272" s="297"/>
      <c r="AG272" s="294"/>
      <c r="AH272" s="380"/>
      <c r="AI272" s="408"/>
      <c r="AJ272" s="498"/>
      <c r="AK272" s="498"/>
      <c r="AL272" s="503" t="e">
        <f t="shared" si="149"/>
        <v>#DIV/0!</v>
      </c>
      <c r="AM272" s="498"/>
      <c r="AN272" s="503" t="e">
        <f t="shared" si="150"/>
        <v>#DIV/0!</v>
      </c>
      <c r="AO272" s="498"/>
      <c r="AP272" s="503" t="e">
        <f t="shared" si="151"/>
        <v>#DIV/0!</v>
      </c>
      <c r="AR272" s="110">
        <v>52597</v>
      </c>
      <c r="AS272" s="98">
        <f t="shared" si="147"/>
        <v>0</v>
      </c>
      <c r="AT272" s="98">
        <f t="shared" si="148"/>
        <v>0</v>
      </c>
      <c r="AU272" s="98"/>
    </row>
    <row r="273" spans="1:47">
      <c r="A273" s="295">
        <v>45679</v>
      </c>
      <c r="B273" s="296"/>
      <c r="C273" s="312"/>
      <c r="D273" s="296"/>
      <c r="E273" s="312"/>
      <c r="F273" s="296"/>
      <c r="G273" s="312"/>
      <c r="H273" s="325"/>
      <c r="I273" s="312"/>
      <c r="J273" s="416"/>
      <c r="K273" s="369"/>
      <c r="L273" s="378"/>
      <c r="M273" s="312"/>
      <c r="N273" s="298"/>
      <c r="O273" s="312"/>
      <c r="P273" s="404" t="e">
        <f t="shared" si="152"/>
        <v>#DIV/0!</v>
      </c>
      <c r="Q273" s="312" t="e">
        <f t="shared" si="155"/>
        <v>#DIV/0!</v>
      </c>
      <c r="R273" s="298"/>
      <c r="S273" s="312"/>
      <c r="T273" s="298"/>
      <c r="U273" s="312"/>
      <c r="V273" s="454">
        <f t="shared" si="153"/>
        <v>0</v>
      </c>
      <c r="W273" s="312"/>
      <c r="X273" s="454">
        <f t="shared" si="154"/>
        <v>0</v>
      </c>
      <c r="Y273" s="312"/>
      <c r="Z273" s="379"/>
      <c r="AA273" s="297"/>
      <c r="AB273" s="379"/>
      <c r="AC273" s="297"/>
      <c r="AD273" s="413"/>
      <c r="AE273" s="297"/>
      <c r="AG273" s="294"/>
      <c r="AH273" s="380"/>
      <c r="AI273" s="408"/>
      <c r="AJ273" s="498"/>
      <c r="AK273" s="498"/>
      <c r="AL273" s="503" t="e">
        <f t="shared" si="149"/>
        <v>#DIV/0!</v>
      </c>
      <c r="AM273" s="498"/>
      <c r="AN273" s="503" t="e">
        <f t="shared" si="150"/>
        <v>#DIV/0!</v>
      </c>
      <c r="AO273" s="498"/>
      <c r="AP273" s="503" t="e">
        <f t="shared" si="151"/>
        <v>#DIV/0!</v>
      </c>
      <c r="AR273" s="110">
        <v>52628</v>
      </c>
      <c r="AS273" s="98">
        <f t="shared" si="147"/>
        <v>0</v>
      </c>
      <c r="AT273" s="98">
        <f t="shared" si="148"/>
        <v>0</v>
      </c>
      <c r="AU273" s="98"/>
    </row>
    <row r="274" spans="1:47">
      <c r="A274" s="295">
        <v>45680</v>
      </c>
      <c r="B274" s="296"/>
      <c r="C274" s="312"/>
      <c r="D274" s="296"/>
      <c r="E274" s="312"/>
      <c r="F274" s="296"/>
      <c r="G274" s="312"/>
      <c r="H274" s="325"/>
      <c r="I274" s="312"/>
      <c r="J274" s="416"/>
      <c r="K274" s="369"/>
      <c r="L274" s="378"/>
      <c r="M274" s="312"/>
      <c r="N274" s="298"/>
      <c r="O274" s="312"/>
      <c r="P274" s="404" t="e">
        <f t="shared" si="152"/>
        <v>#DIV/0!</v>
      </c>
      <c r="Q274" s="312" t="e">
        <f t="shared" si="155"/>
        <v>#DIV/0!</v>
      </c>
      <c r="R274" s="298"/>
      <c r="S274" s="312"/>
      <c r="T274" s="298"/>
      <c r="U274" s="312"/>
      <c r="V274" s="454">
        <f t="shared" si="153"/>
        <v>0</v>
      </c>
      <c r="W274" s="312"/>
      <c r="X274" s="454">
        <f t="shared" si="154"/>
        <v>0</v>
      </c>
      <c r="Y274" s="312"/>
      <c r="Z274" s="379"/>
      <c r="AA274" s="297"/>
      <c r="AB274" s="379"/>
      <c r="AC274" s="297"/>
      <c r="AD274" s="413"/>
      <c r="AE274" s="297"/>
      <c r="AG274" s="294"/>
      <c r="AH274" s="380"/>
      <c r="AI274" s="408"/>
      <c r="AJ274" s="498"/>
      <c r="AK274" s="498"/>
      <c r="AL274" s="503" t="e">
        <f t="shared" si="149"/>
        <v>#DIV/0!</v>
      </c>
      <c r="AM274" s="498"/>
      <c r="AN274" s="503" t="e">
        <f t="shared" si="150"/>
        <v>#DIV/0!</v>
      </c>
      <c r="AO274" s="498"/>
      <c r="AP274" s="503" t="e">
        <f t="shared" si="151"/>
        <v>#DIV/0!</v>
      </c>
      <c r="AR274" s="110">
        <v>52657</v>
      </c>
      <c r="AS274" s="98">
        <f t="shared" si="147"/>
        <v>0</v>
      </c>
      <c r="AT274" s="98">
        <f t="shared" si="148"/>
        <v>0</v>
      </c>
      <c r="AU274" s="98"/>
    </row>
    <row r="275" spans="1:47">
      <c r="A275" s="295">
        <v>45681</v>
      </c>
      <c r="B275" s="296"/>
      <c r="C275" s="312"/>
      <c r="D275" s="296"/>
      <c r="E275" s="312"/>
      <c r="F275" s="296"/>
      <c r="G275" s="312"/>
      <c r="H275" s="325"/>
      <c r="I275" s="312"/>
      <c r="J275" s="416"/>
      <c r="K275" s="369"/>
      <c r="L275" s="378"/>
      <c r="M275" s="312"/>
      <c r="N275" s="298"/>
      <c r="O275" s="312"/>
      <c r="P275" s="404" t="e">
        <f t="shared" si="152"/>
        <v>#DIV/0!</v>
      </c>
      <c r="Q275" s="312" t="e">
        <f t="shared" si="155"/>
        <v>#DIV/0!</v>
      </c>
      <c r="R275" s="298"/>
      <c r="S275" s="312"/>
      <c r="T275" s="298"/>
      <c r="U275" s="312"/>
      <c r="V275" s="454">
        <f t="shared" si="153"/>
        <v>0</v>
      </c>
      <c r="W275" s="312"/>
      <c r="X275" s="454">
        <f t="shared" si="154"/>
        <v>0</v>
      </c>
      <c r="Y275" s="312"/>
      <c r="Z275" s="379"/>
      <c r="AA275" s="297"/>
      <c r="AB275" s="379"/>
      <c r="AC275" s="297"/>
      <c r="AD275" s="413"/>
      <c r="AE275" s="297"/>
      <c r="AG275" s="294"/>
      <c r="AH275" s="380"/>
      <c r="AI275" s="408"/>
      <c r="AJ275" s="498"/>
      <c r="AK275" s="498"/>
      <c r="AL275" s="503" t="e">
        <f t="shared" si="149"/>
        <v>#DIV/0!</v>
      </c>
      <c r="AM275" s="498"/>
      <c r="AN275" s="503" t="e">
        <f t="shared" si="150"/>
        <v>#DIV/0!</v>
      </c>
      <c r="AO275" s="498"/>
      <c r="AP275" s="503" t="e">
        <f t="shared" si="151"/>
        <v>#DIV/0!</v>
      </c>
      <c r="AR275" s="110">
        <v>52688</v>
      </c>
      <c r="AS275" s="98">
        <f t="shared" si="147"/>
        <v>0</v>
      </c>
      <c r="AT275" s="98">
        <f t="shared" si="148"/>
        <v>0</v>
      </c>
      <c r="AU275" s="98"/>
    </row>
    <row r="276" spans="1:47">
      <c r="A276" s="295">
        <v>45684</v>
      </c>
      <c r="B276" s="296"/>
      <c r="C276" s="312"/>
      <c r="D276" s="296"/>
      <c r="E276" s="312"/>
      <c r="F276" s="296"/>
      <c r="G276" s="312"/>
      <c r="H276" s="325"/>
      <c r="I276" s="312"/>
      <c r="J276" s="416"/>
      <c r="K276" s="369"/>
      <c r="L276" s="378"/>
      <c r="M276" s="312"/>
      <c r="N276" s="298"/>
      <c r="O276" s="312"/>
      <c r="P276" s="404" t="e">
        <f t="shared" si="152"/>
        <v>#DIV/0!</v>
      </c>
      <c r="Q276" s="312" t="e">
        <f t="shared" si="155"/>
        <v>#DIV/0!</v>
      </c>
      <c r="R276" s="298"/>
      <c r="S276" s="312"/>
      <c r="T276" s="298"/>
      <c r="U276" s="312"/>
      <c r="V276" s="454">
        <f t="shared" si="153"/>
        <v>0</v>
      </c>
      <c r="W276" s="312"/>
      <c r="X276" s="454">
        <f t="shared" si="154"/>
        <v>0</v>
      </c>
      <c r="Y276" s="312"/>
      <c r="Z276" s="379"/>
      <c r="AA276" s="297"/>
      <c r="AB276" s="379"/>
      <c r="AC276" s="297"/>
      <c r="AD276" s="413"/>
      <c r="AE276" s="297"/>
      <c r="AG276" s="294"/>
      <c r="AH276" s="380"/>
      <c r="AI276" s="408"/>
      <c r="AJ276" s="498"/>
      <c r="AK276" s="498"/>
      <c r="AL276" s="503" t="e">
        <f t="shared" si="149"/>
        <v>#DIV/0!</v>
      </c>
      <c r="AM276" s="498"/>
      <c r="AN276" s="503" t="e">
        <f t="shared" si="150"/>
        <v>#DIV/0!</v>
      </c>
      <c r="AO276" s="498"/>
      <c r="AP276" s="503" t="e">
        <f t="shared" si="151"/>
        <v>#DIV/0!</v>
      </c>
      <c r="AR276" s="110">
        <v>52718</v>
      </c>
      <c r="AS276" s="98">
        <f t="shared" si="147"/>
        <v>0</v>
      </c>
      <c r="AT276" s="98">
        <f t="shared" si="148"/>
        <v>0</v>
      </c>
      <c r="AU276" s="98"/>
    </row>
    <row r="277" spans="1:47">
      <c r="A277" s="295">
        <v>45685</v>
      </c>
      <c r="B277" s="296"/>
      <c r="C277" s="312"/>
      <c r="D277" s="296"/>
      <c r="E277" s="312"/>
      <c r="F277" s="296"/>
      <c r="G277" s="312"/>
      <c r="H277" s="325"/>
      <c r="I277" s="312"/>
      <c r="J277" s="416"/>
      <c r="K277" s="369"/>
      <c r="L277" s="378"/>
      <c r="M277" s="312"/>
      <c r="N277" s="298"/>
      <c r="O277" s="312"/>
      <c r="P277" s="404" t="e">
        <f t="shared" si="152"/>
        <v>#DIV/0!</v>
      </c>
      <c r="Q277" s="312" t="e">
        <f t="shared" si="155"/>
        <v>#DIV/0!</v>
      </c>
      <c r="R277" s="298"/>
      <c r="S277" s="312"/>
      <c r="T277" s="298"/>
      <c r="U277" s="312"/>
      <c r="V277" s="454">
        <f t="shared" si="153"/>
        <v>0</v>
      </c>
      <c r="W277" s="312"/>
      <c r="X277" s="454">
        <f t="shared" si="154"/>
        <v>0</v>
      </c>
      <c r="Y277" s="312"/>
      <c r="Z277" s="379"/>
      <c r="AA277" s="297"/>
      <c r="AB277" s="379"/>
      <c r="AC277" s="297"/>
      <c r="AD277" s="413"/>
      <c r="AE277" s="297"/>
      <c r="AG277" s="294"/>
      <c r="AH277" s="380"/>
      <c r="AI277" s="408"/>
      <c r="AJ277" s="498"/>
      <c r="AK277" s="498"/>
      <c r="AL277" s="503" t="e">
        <f t="shared" si="149"/>
        <v>#DIV/0!</v>
      </c>
      <c r="AM277" s="498"/>
      <c r="AN277" s="503" t="e">
        <f t="shared" si="150"/>
        <v>#DIV/0!</v>
      </c>
      <c r="AO277" s="498"/>
      <c r="AP277" s="503" t="e">
        <f t="shared" si="151"/>
        <v>#DIV/0!</v>
      </c>
      <c r="AR277" s="110">
        <v>52749</v>
      </c>
      <c r="AS277" s="98">
        <f t="shared" si="147"/>
        <v>0</v>
      </c>
      <c r="AT277" s="98">
        <f t="shared" si="148"/>
        <v>0</v>
      </c>
      <c r="AU277" s="98"/>
    </row>
    <row r="278" spans="1:47">
      <c r="A278" s="295">
        <v>45686</v>
      </c>
      <c r="B278" s="296"/>
      <c r="C278" s="312"/>
      <c r="D278" s="296"/>
      <c r="E278" s="312"/>
      <c r="F278" s="296"/>
      <c r="G278" s="312"/>
      <c r="H278" s="325"/>
      <c r="I278" s="312"/>
      <c r="J278" s="416"/>
      <c r="K278" s="369"/>
      <c r="L278" s="378"/>
      <c r="M278" s="312"/>
      <c r="N278" s="298"/>
      <c r="O278" s="312"/>
      <c r="P278" s="404" t="e">
        <f t="shared" si="152"/>
        <v>#DIV/0!</v>
      </c>
      <c r="Q278" s="312" t="e">
        <f t="shared" si="155"/>
        <v>#DIV/0!</v>
      </c>
      <c r="R278" s="298"/>
      <c r="S278" s="312"/>
      <c r="T278" s="298"/>
      <c r="U278" s="312"/>
      <c r="V278" s="454">
        <f t="shared" si="153"/>
        <v>0</v>
      </c>
      <c r="W278" s="312"/>
      <c r="X278" s="454">
        <f t="shared" si="154"/>
        <v>0</v>
      </c>
      <c r="Y278" s="312"/>
      <c r="Z278" s="379"/>
      <c r="AA278" s="297"/>
      <c r="AB278" s="379"/>
      <c r="AC278" s="297"/>
      <c r="AD278" s="413"/>
      <c r="AE278" s="297"/>
      <c r="AG278" s="294"/>
      <c r="AH278" s="380"/>
      <c r="AI278" s="408"/>
      <c r="AJ278" s="498"/>
      <c r="AK278" s="498"/>
      <c r="AL278" s="503" t="e">
        <f t="shared" si="149"/>
        <v>#DIV/0!</v>
      </c>
      <c r="AM278" s="498"/>
      <c r="AN278" s="503" t="e">
        <f t="shared" si="150"/>
        <v>#DIV/0!</v>
      </c>
      <c r="AO278" s="498"/>
      <c r="AP278" s="503" t="e">
        <f t="shared" si="151"/>
        <v>#DIV/0!</v>
      </c>
      <c r="AR278" s="110">
        <v>52779</v>
      </c>
      <c r="AS278" s="98">
        <f t="shared" si="147"/>
        <v>0</v>
      </c>
      <c r="AT278" s="98">
        <f t="shared" si="148"/>
        <v>0</v>
      </c>
      <c r="AU278" s="98"/>
    </row>
    <row r="279" spans="1:47">
      <c r="A279" s="295">
        <v>45687</v>
      </c>
      <c r="B279" s="296"/>
      <c r="C279" s="312"/>
      <c r="D279" s="296"/>
      <c r="E279" s="312"/>
      <c r="F279" s="296"/>
      <c r="G279" s="312"/>
      <c r="H279" s="325"/>
      <c r="I279" s="312"/>
      <c r="J279" s="416"/>
      <c r="K279" s="369"/>
      <c r="L279" s="378"/>
      <c r="M279" s="312"/>
      <c r="N279" s="298"/>
      <c r="O279" s="312"/>
      <c r="P279" s="404" t="e">
        <f t="shared" si="152"/>
        <v>#DIV/0!</v>
      </c>
      <c r="Q279" s="312" t="e">
        <f t="shared" si="155"/>
        <v>#DIV/0!</v>
      </c>
      <c r="R279" s="298"/>
      <c r="S279" s="312"/>
      <c r="T279" s="298"/>
      <c r="U279" s="312"/>
      <c r="V279" s="454">
        <f t="shared" si="153"/>
        <v>0</v>
      </c>
      <c r="W279" s="312"/>
      <c r="X279" s="454">
        <f t="shared" si="154"/>
        <v>0</v>
      </c>
      <c r="Y279" s="312"/>
      <c r="Z279" s="379"/>
      <c r="AA279" s="297"/>
      <c r="AB279" s="379"/>
      <c r="AC279" s="297"/>
      <c r="AD279" s="413"/>
      <c r="AE279" s="297"/>
      <c r="AG279" s="294"/>
      <c r="AH279" s="380"/>
      <c r="AI279" s="408"/>
      <c r="AJ279" s="498"/>
      <c r="AK279" s="498"/>
      <c r="AL279" s="503" t="e">
        <f t="shared" si="149"/>
        <v>#DIV/0!</v>
      </c>
      <c r="AM279" s="498"/>
      <c r="AN279" s="503" t="e">
        <f t="shared" si="150"/>
        <v>#DIV/0!</v>
      </c>
      <c r="AO279" s="498"/>
      <c r="AP279" s="503" t="e">
        <f t="shared" si="151"/>
        <v>#DIV/0!</v>
      </c>
      <c r="AR279" s="110">
        <v>52810</v>
      </c>
      <c r="AS279" s="98">
        <f t="shared" si="147"/>
        <v>0</v>
      </c>
      <c r="AT279" s="98">
        <f t="shared" si="148"/>
        <v>0</v>
      </c>
      <c r="AU279" s="98"/>
    </row>
    <row r="280" spans="1:47">
      <c r="A280" s="295">
        <v>45688</v>
      </c>
      <c r="B280" s="296"/>
      <c r="C280" s="312"/>
      <c r="D280" s="296"/>
      <c r="E280" s="312"/>
      <c r="F280" s="296"/>
      <c r="G280" s="312"/>
      <c r="H280" s="325"/>
      <c r="I280" s="312"/>
      <c r="J280" s="416"/>
      <c r="K280" s="369"/>
      <c r="L280" s="378"/>
      <c r="M280" s="312"/>
      <c r="N280" s="298"/>
      <c r="O280" s="312"/>
      <c r="P280" s="404" t="e">
        <f t="shared" si="152"/>
        <v>#DIV/0!</v>
      </c>
      <c r="Q280" s="312" t="e">
        <f t="shared" si="155"/>
        <v>#DIV/0!</v>
      </c>
      <c r="R280" s="298"/>
      <c r="S280" s="312"/>
      <c r="T280" s="298"/>
      <c r="U280" s="312"/>
      <c r="V280" s="454">
        <f t="shared" si="153"/>
        <v>0</v>
      </c>
      <c r="W280" s="312"/>
      <c r="X280" s="454">
        <f t="shared" si="154"/>
        <v>0</v>
      </c>
      <c r="Y280" s="312"/>
      <c r="Z280" s="379"/>
      <c r="AA280" s="297"/>
      <c r="AB280" s="379"/>
      <c r="AC280" s="297"/>
      <c r="AD280" s="413"/>
      <c r="AE280" s="297"/>
      <c r="AG280" s="294"/>
      <c r="AH280" s="380"/>
      <c r="AI280" s="408"/>
      <c r="AJ280" s="498"/>
      <c r="AK280" s="498"/>
      <c r="AL280" s="503" t="e">
        <f t="shared" si="149"/>
        <v>#DIV/0!</v>
      </c>
      <c r="AM280" s="498"/>
      <c r="AN280" s="503" t="e">
        <f t="shared" si="150"/>
        <v>#DIV/0!</v>
      </c>
      <c r="AO280" s="498"/>
      <c r="AP280" s="503" t="e">
        <f t="shared" si="151"/>
        <v>#DIV/0!</v>
      </c>
      <c r="AR280" s="110">
        <v>52841</v>
      </c>
      <c r="AS280" s="98">
        <f t="shared" si="147"/>
        <v>0</v>
      </c>
      <c r="AT280" s="98">
        <f t="shared" si="148"/>
        <v>0</v>
      </c>
      <c r="AU280" s="98"/>
    </row>
    <row r="281" spans="1:47">
      <c r="A281" s="295">
        <v>45691</v>
      </c>
      <c r="B281" s="296"/>
      <c r="C281" s="312"/>
      <c r="D281" s="296"/>
      <c r="E281" s="312"/>
      <c r="F281" s="296"/>
      <c r="G281" s="312"/>
      <c r="H281" s="325"/>
      <c r="I281" s="312"/>
      <c r="J281" s="416"/>
      <c r="K281" s="369"/>
      <c r="L281" s="378"/>
      <c r="M281" s="312"/>
      <c r="N281" s="298"/>
      <c r="O281" s="312"/>
      <c r="P281" s="404" t="e">
        <f t="shared" si="152"/>
        <v>#DIV/0!</v>
      </c>
      <c r="Q281" s="312" t="e">
        <f t="shared" si="155"/>
        <v>#DIV/0!</v>
      </c>
      <c r="R281" s="298"/>
      <c r="S281" s="312"/>
      <c r="T281" s="298"/>
      <c r="U281" s="312"/>
      <c r="V281" s="454">
        <f t="shared" si="153"/>
        <v>0</v>
      </c>
      <c r="W281" s="312"/>
      <c r="X281" s="454">
        <f t="shared" si="154"/>
        <v>0</v>
      </c>
      <c r="Y281" s="312"/>
      <c r="Z281" s="379"/>
      <c r="AA281" s="297"/>
      <c r="AB281" s="379"/>
      <c r="AC281" s="297"/>
      <c r="AD281" s="413"/>
      <c r="AE281" s="297"/>
      <c r="AG281" s="294"/>
      <c r="AH281" s="380"/>
      <c r="AI281" s="408"/>
      <c r="AJ281" s="498"/>
      <c r="AK281" s="498"/>
      <c r="AL281" s="503" t="e">
        <f t="shared" si="149"/>
        <v>#DIV/0!</v>
      </c>
      <c r="AM281" s="498"/>
      <c r="AN281" s="503" t="e">
        <f t="shared" si="150"/>
        <v>#DIV/0!</v>
      </c>
      <c r="AO281" s="498"/>
      <c r="AP281" s="503" t="e">
        <f t="shared" si="151"/>
        <v>#DIV/0!</v>
      </c>
      <c r="AR281" s="110">
        <v>52871</v>
      </c>
      <c r="AS281" s="98">
        <f t="shared" si="147"/>
        <v>0</v>
      </c>
      <c r="AT281" s="98">
        <f t="shared" si="148"/>
        <v>0</v>
      </c>
      <c r="AU281" s="98"/>
    </row>
    <row r="282" spans="1:47">
      <c r="A282" s="295">
        <v>45692</v>
      </c>
      <c r="B282" s="296"/>
      <c r="C282" s="312"/>
      <c r="D282" s="296"/>
      <c r="E282" s="312"/>
      <c r="F282" s="296"/>
      <c r="G282" s="312"/>
      <c r="H282" s="325"/>
      <c r="I282" s="312"/>
      <c r="J282" s="416"/>
      <c r="K282" s="369"/>
      <c r="L282" s="378"/>
      <c r="M282" s="312"/>
      <c r="N282" s="298"/>
      <c r="O282" s="312"/>
      <c r="P282" s="404" t="e">
        <f t="shared" si="152"/>
        <v>#DIV/0!</v>
      </c>
      <c r="Q282" s="312" t="e">
        <f t="shared" si="155"/>
        <v>#DIV/0!</v>
      </c>
      <c r="R282" s="298"/>
      <c r="S282" s="312"/>
      <c r="T282" s="298"/>
      <c r="U282" s="312"/>
      <c r="V282" s="454">
        <f t="shared" si="153"/>
        <v>0</v>
      </c>
      <c r="W282" s="312"/>
      <c r="X282" s="454">
        <f t="shared" si="154"/>
        <v>0</v>
      </c>
      <c r="Y282" s="312"/>
      <c r="Z282" s="379"/>
      <c r="AA282" s="297"/>
      <c r="AB282" s="379"/>
      <c r="AC282" s="297"/>
      <c r="AD282" s="413"/>
      <c r="AE282" s="297"/>
      <c r="AG282" s="294"/>
      <c r="AH282" s="380"/>
      <c r="AI282" s="408"/>
      <c r="AJ282" s="498"/>
      <c r="AK282" s="498"/>
      <c r="AL282" s="503" t="e">
        <f t="shared" si="149"/>
        <v>#DIV/0!</v>
      </c>
      <c r="AM282" s="498"/>
      <c r="AN282" s="503" t="e">
        <f t="shared" si="150"/>
        <v>#DIV/0!</v>
      </c>
      <c r="AO282" s="498"/>
      <c r="AP282" s="503" t="e">
        <f t="shared" si="151"/>
        <v>#DIV/0!</v>
      </c>
      <c r="AR282" s="110">
        <v>52902</v>
      </c>
      <c r="AS282" s="98">
        <f t="shared" si="147"/>
        <v>0</v>
      </c>
      <c r="AT282" s="98">
        <f t="shared" si="148"/>
        <v>0</v>
      </c>
      <c r="AU282" s="98"/>
    </row>
    <row r="283" spans="1:47">
      <c r="A283" s="295">
        <v>45693</v>
      </c>
      <c r="B283" s="296"/>
      <c r="C283" s="312"/>
      <c r="D283" s="296"/>
      <c r="E283" s="312"/>
      <c r="F283" s="296"/>
      <c r="G283" s="312"/>
      <c r="H283" s="325"/>
      <c r="I283" s="312"/>
      <c r="J283" s="416"/>
      <c r="K283" s="369"/>
      <c r="L283" s="378"/>
      <c r="M283" s="312"/>
      <c r="N283" s="298"/>
      <c r="O283" s="312"/>
      <c r="P283" s="404" t="e">
        <f t="shared" si="152"/>
        <v>#DIV/0!</v>
      </c>
      <c r="Q283" s="312" t="e">
        <f t="shared" si="155"/>
        <v>#DIV/0!</v>
      </c>
      <c r="R283" s="298"/>
      <c r="S283" s="312"/>
      <c r="T283" s="298"/>
      <c r="U283" s="312"/>
      <c r="V283" s="454">
        <f t="shared" si="153"/>
        <v>0</v>
      </c>
      <c r="W283" s="312"/>
      <c r="X283" s="454">
        <f t="shared" si="154"/>
        <v>0</v>
      </c>
      <c r="Y283" s="312"/>
      <c r="Z283" s="379"/>
      <c r="AA283" s="297"/>
      <c r="AB283" s="379"/>
      <c r="AC283" s="297"/>
      <c r="AD283" s="413"/>
      <c r="AE283" s="297"/>
      <c r="AG283" s="294"/>
      <c r="AH283" s="380"/>
      <c r="AI283" s="408"/>
      <c r="AJ283" s="498"/>
      <c r="AK283" s="498"/>
      <c r="AL283" s="503" t="e">
        <f t="shared" si="149"/>
        <v>#DIV/0!</v>
      </c>
      <c r="AM283" s="498"/>
      <c r="AN283" s="503" t="e">
        <f t="shared" si="150"/>
        <v>#DIV/0!</v>
      </c>
      <c r="AO283" s="498"/>
      <c r="AP283" s="503" t="e">
        <f t="shared" si="151"/>
        <v>#DIV/0!</v>
      </c>
      <c r="AR283" s="110">
        <v>52932</v>
      </c>
      <c r="AS283" s="98">
        <f t="shared" si="147"/>
        <v>0</v>
      </c>
      <c r="AT283" s="98">
        <f t="shared" si="148"/>
        <v>0</v>
      </c>
      <c r="AU283" s="98"/>
    </row>
    <row r="284" spans="1:47">
      <c r="A284" s="295">
        <v>45694</v>
      </c>
      <c r="B284" s="296"/>
      <c r="C284" s="312"/>
      <c r="D284" s="296"/>
      <c r="E284" s="312"/>
      <c r="F284" s="296"/>
      <c r="G284" s="312"/>
      <c r="H284" s="325"/>
      <c r="I284" s="312"/>
      <c r="J284" s="416"/>
      <c r="K284" s="369"/>
      <c r="L284" s="378"/>
      <c r="M284" s="312"/>
      <c r="N284" s="298"/>
      <c r="O284" s="312"/>
      <c r="P284" s="404" t="e">
        <f t="shared" si="152"/>
        <v>#DIV/0!</v>
      </c>
      <c r="Q284" s="312" t="e">
        <f t="shared" si="155"/>
        <v>#DIV/0!</v>
      </c>
      <c r="R284" s="298"/>
      <c r="S284" s="312"/>
      <c r="T284" s="298"/>
      <c r="U284" s="312"/>
      <c r="V284" s="454">
        <f t="shared" si="153"/>
        <v>0</v>
      </c>
      <c r="W284" s="312"/>
      <c r="X284" s="454">
        <f t="shared" si="154"/>
        <v>0</v>
      </c>
      <c r="Y284" s="312"/>
      <c r="Z284" s="379"/>
      <c r="AA284" s="297"/>
      <c r="AB284" s="379"/>
      <c r="AC284" s="297"/>
      <c r="AD284" s="413"/>
      <c r="AE284" s="297"/>
      <c r="AG284" s="294"/>
      <c r="AH284" s="380"/>
      <c r="AI284" s="408"/>
      <c r="AJ284" s="498"/>
      <c r="AK284" s="498"/>
      <c r="AL284" s="503" t="e">
        <f t="shared" si="149"/>
        <v>#DIV/0!</v>
      </c>
      <c r="AM284" s="498"/>
      <c r="AN284" s="503" t="e">
        <f t="shared" si="150"/>
        <v>#DIV/0!</v>
      </c>
      <c r="AO284" s="498"/>
      <c r="AP284" s="503" t="e">
        <f t="shared" si="151"/>
        <v>#DIV/0!</v>
      </c>
      <c r="AR284" s="110">
        <v>52963</v>
      </c>
      <c r="AS284" s="98">
        <f t="shared" si="147"/>
        <v>0</v>
      </c>
      <c r="AT284" s="98">
        <f t="shared" si="148"/>
        <v>0</v>
      </c>
      <c r="AU284" s="98"/>
    </row>
    <row r="285" spans="1:47">
      <c r="A285" s="295">
        <v>45695</v>
      </c>
      <c r="B285" s="296"/>
      <c r="C285" s="312"/>
      <c r="D285" s="296"/>
      <c r="E285" s="312"/>
      <c r="F285" s="296"/>
      <c r="G285" s="312"/>
      <c r="H285" s="325"/>
      <c r="I285" s="312"/>
      <c r="J285" s="416"/>
      <c r="K285" s="369"/>
      <c r="L285" s="378"/>
      <c r="M285" s="312"/>
      <c r="N285" s="298"/>
      <c r="O285" s="312"/>
      <c r="P285" s="404" t="e">
        <f t="shared" si="152"/>
        <v>#DIV/0!</v>
      </c>
      <c r="Q285" s="312" t="e">
        <f t="shared" si="155"/>
        <v>#DIV/0!</v>
      </c>
      <c r="R285" s="298"/>
      <c r="S285" s="312"/>
      <c r="T285" s="298"/>
      <c r="U285" s="312"/>
      <c r="V285" s="454">
        <f t="shared" si="153"/>
        <v>0</v>
      </c>
      <c r="W285" s="312"/>
      <c r="X285" s="454">
        <f t="shared" si="154"/>
        <v>0</v>
      </c>
      <c r="Y285" s="312"/>
      <c r="Z285" s="379"/>
      <c r="AA285" s="297"/>
      <c r="AB285" s="379"/>
      <c r="AC285" s="297"/>
      <c r="AD285" s="413"/>
      <c r="AE285" s="297"/>
      <c r="AG285" s="294"/>
      <c r="AH285" s="380"/>
      <c r="AI285" s="408"/>
      <c r="AJ285" s="498"/>
      <c r="AK285" s="498"/>
      <c r="AL285" s="503" t="e">
        <f t="shared" si="149"/>
        <v>#DIV/0!</v>
      </c>
      <c r="AM285" s="498"/>
      <c r="AN285" s="503" t="e">
        <f t="shared" si="150"/>
        <v>#DIV/0!</v>
      </c>
      <c r="AO285" s="498"/>
      <c r="AP285" s="503" t="e">
        <f t="shared" si="151"/>
        <v>#DIV/0!</v>
      </c>
      <c r="AR285" s="110">
        <v>52994</v>
      </c>
      <c r="AS285" s="98">
        <f t="shared" si="147"/>
        <v>0</v>
      </c>
      <c r="AT285" s="98">
        <f t="shared" si="148"/>
        <v>0</v>
      </c>
      <c r="AU285" s="98"/>
    </row>
    <row r="286" spans="1:47">
      <c r="A286" s="295">
        <v>45698</v>
      </c>
      <c r="B286" s="296"/>
      <c r="C286" s="312"/>
      <c r="D286" s="296"/>
      <c r="E286" s="312"/>
      <c r="F286" s="296"/>
      <c r="G286" s="312"/>
      <c r="H286" s="325"/>
      <c r="I286" s="312"/>
      <c r="J286" s="416"/>
      <c r="K286" s="369"/>
      <c r="L286" s="378"/>
      <c r="M286" s="312"/>
      <c r="N286" s="298"/>
      <c r="O286" s="312"/>
      <c r="P286" s="404" t="e">
        <f t="shared" si="152"/>
        <v>#DIV/0!</v>
      </c>
      <c r="Q286" s="312" t="e">
        <f t="shared" si="155"/>
        <v>#DIV/0!</v>
      </c>
      <c r="R286" s="298"/>
      <c r="S286" s="312"/>
      <c r="T286" s="298"/>
      <c r="U286" s="312"/>
      <c r="V286" s="454">
        <f t="shared" si="153"/>
        <v>0</v>
      </c>
      <c r="W286" s="312"/>
      <c r="X286" s="454">
        <f t="shared" si="154"/>
        <v>0</v>
      </c>
      <c r="Y286" s="312"/>
      <c r="Z286" s="379"/>
      <c r="AA286" s="297"/>
      <c r="AB286" s="379"/>
      <c r="AC286" s="297"/>
      <c r="AD286" s="413"/>
      <c r="AE286" s="297"/>
      <c r="AG286" s="294"/>
      <c r="AH286" s="380"/>
      <c r="AI286" s="408"/>
      <c r="AJ286" s="498"/>
      <c r="AK286" s="498"/>
      <c r="AL286" s="503" t="e">
        <f t="shared" si="149"/>
        <v>#DIV/0!</v>
      </c>
      <c r="AM286" s="498"/>
      <c r="AN286" s="503" t="e">
        <f t="shared" si="150"/>
        <v>#DIV/0!</v>
      </c>
      <c r="AO286" s="498"/>
      <c r="AP286" s="503" t="e">
        <f t="shared" si="151"/>
        <v>#DIV/0!</v>
      </c>
      <c r="AR286" s="110">
        <v>53022</v>
      </c>
      <c r="AS286" s="98">
        <f t="shared" si="147"/>
        <v>0</v>
      </c>
      <c r="AT286" s="98">
        <f t="shared" si="148"/>
        <v>0</v>
      </c>
      <c r="AU286" s="98"/>
    </row>
    <row r="287" spans="1:47">
      <c r="A287" s="295">
        <v>45699</v>
      </c>
      <c r="B287" s="296"/>
      <c r="C287" s="312"/>
      <c r="D287" s="296"/>
      <c r="E287" s="312"/>
      <c r="F287" s="296"/>
      <c r="G287" s="312"/>
      <c r="H287" s="325"/>
      <c r="I287" s="312"/>
      <c r="J287" s="416"/>
      <c r="K287" s="369"/>
      <c r="L287" s="378"/>
      <c r="M287" s="312"/>
      <c r="N287" s="298"/>
      <c r="O287" s="312"/>
      <c r="P287" s="404" t="e">
        <f t="shared" si="152"/>
        <v>#DIV/0!</v>
      </c>
      <c r="Q287" s="312" t="e">
        <f t="shared" si="155"/>
        <v>#DIV/0!</v>
      </c>
      <c r="R287" s="298"/>
      <c r="S287" s="312"/>
      <c r="T287" s="298"/>
      <c r="U287" s="312"/>
      <c r="V287" s="454">
        <f t="shared" si="153"/>
        <v>0</v>
      </c>
      <c r="W287" s="312"/>
      <c r="X287" s="454">
        <f t="shared" si="154"/>
        <v>0</v>
      </c>
      <c r="Y287" s="312"/>
      <c r="Z287" s="379"/>
      <c r="AA287" s="297"/>
      <c r="AB287" s="379"/>
      <c r="AC287" s="297"/>
      <c r="AD287" s="413"/>
      <c r="AE287" s="297"/>
      <c r="AG287" s="294"/>
      <c r="AH287" s="380"/>
      <c r="AI287" s="408"/>
      <c r="AJ287" s="498"/>
      <c r="AK287" s="498"/>
      <c r="AL287" s="503" t="e">
        <f t="shared" si="149"/>
        <v>#DIV/0!</v>
      </c>
      <c r="AM287" s="498"/>
      <c r="AN287" s="503" t="e">
        <f t="shared" si="150"/>
        <v>#DIV/0!</v>
      </c>
      <c r="AO287" s="498"/>
      <c r="AP287" s="503" t="e">
        <f t="shared" si="151"/>
        <v>#DIV/0!</v>
      </c>
      <c r="AR287" s="110">
        <v>53053</v>
      </c>
      <c r="AS287" s="98">
        <f t="shared" si="147"/>
        <v>0</v>
      </c>
      <c r="AT287" s="98">
        <f t="shared" si="148"/>
        <v>0</v>
      </c>
      <c r="AU287" s="98"/>
    </row>
    <row r="288" spans="1:47">
      <c r="A288" s="295">
        <v>45700</v>
      </c>
      <c r="B288" s="296"/>
      <c r="C288" s="312"/>
      <c r="D288" s="296"/>
      <c r="E288" s="312"/>
      <c r="F288" s="296"/>
      <c r="G288" s="312"/>
      <c r="H288" s="325"/>
      <c r="I288" s="312"/>
      <c r="J288" s="416"/>
      <c r="K288" s="369"/>
      <c r="L288" s="378"/>
      <c r="M288" s="312"/>
      <c r="N288" s="298"/>
      <c r="O288" s="312"/>
      <c r="P288" s="404" t="e">
        <f t="shared" si="152"/>
        <v>#DIV/0!</v>
      </c>
      <c r="Q288" s="312" t="e">
        <f t="shared" si="155"/>
        <v>#DIV/0!</v>
      </c>
      <c r="R288" s="298"/>
      <c r="S288" s="312"/>
      <c r="T288" s="298"/>
      <c r="U288" s="312"/>
      <c r="V288" s="454">
        <f t="shared" si="153"/>
        <v>0</v>
      </c>
      <c r="W288" s="312"/>
      <c r="X288" s="454">
        <f t="shared" si="154"/>
        <v>0</v>
      </c>
      <c r="Y288" s="312"/>
      <c r="Z288" s="379"/>
      <c r="AA288" s="297"/>
      <c r="AB288" s="379"/>
      <c r="AC288" s="297"/>
      <c r="AD288" s="413"/>
      <c r="AE288" s="297"/>
      <c r="AG288" s="294"/>
      <c r="AH288" s="380"/>
      <c r="AI288" s="408"/>
      <c r="AJ288" s="498"/>
      <c r="AK288" s="498"/>
      <c r="AL288" s="503" t="e">
        <f t="shared" si="149"/>
        <v>#DIV/0!</v>
      </c>
      <c r="AM288" s="498"/>
      <c r="AN288" s="503" t="e">
        <f t="shared" si="150"/>
        <v>#DIV/0!</v>
      </c>
      <c r="AO288" s="498"/>
      <c r="AP288" s="503" t="e">
        <f t="shared" si="151"/>
        <v>#DIV/0!</v>
      </c>
      <c r="AR288" s="110">
        <v>53083</v>
      </c>
      <c r="AS288" s="98">
        <f t="shared" si="147"/>
        <v>0</v>
      </c>
      <c r="AT288" s="98">
        <f t="shared" si="148"/>
        <v>0</v>
      </c>
      <c r="AU288" s="98"/>
    </row>
    <row r="289" spans="1:47">
      <c r="A289" s="295">
        <v>45701</v>
      </c>
      <c r="B289" s="296"/>
      <c r="C289" s="312"/>
      <c r="D289" s="296"/>
      <c r="E289" s="312"/>
      <c r="F289" s="296"/>
      <c r="G289" s="312"/>
      <c r="H289" s="325"/>
      <c r="I289" s="312"/>
      <c r="J289" s="416"/>
      <c r="K289" s="369"/>
      <c r="L289" s="378"/>
      <c r="M289" s="312"/>
      <c r="N289" s="298"/>
      <c r="O289" s="312"/>
      <c r="P289" s="404" t="e">
        <f t="shared" si="152"/>
        <v>#DIV/0!</v>
      </c>
      <c r="Q289" s="312" t="e">
        <f t="shared" si="155"/>
        <v>#DIV/0!</v>
      </c>
      <c r="R289" s="298"/>
      <c r="S289" s="312"/>
      <c r="T289" s="298"/>
      <c r="U289" s="312"/>
      <c r="V289" s="454">
        <f t="shared" si="153"/>
        <v>0</v>
      </c>
      <c r="W289" s="312"/>
      <c r="X289" s="454">
        <f t="shared" si="154"/>
        <v>0</v>
      </c>
      <c r="Y289" s="312"/>
      <c r="Z289" s="379"/>
      <c r="AA289" s="297"/>
      <c r="AB289" s="379"/>
      <c r="AC289" s="297"/>
      <c r="AD289" s="413"/>
      <c r="AE289" s="297"/>
      <c r="AG289" s="294"/>
      <c r="AH289" s="380"/>
      <c r="AI289" s="408"/>
      <c r="AJ289" s="498"/>
      <c r="AK289" s="498"/>
      <c r="AL289" s="503" t="e">
        <f t="shared" si="149"/>
        <v>#DIV/0!</v>
      </c>
      <c r="AM289" s="498"/>
      <c r="AN289" s="503" t="e">
        <f t="shared" si="150"/>
        <v>#DIV/0!</v>
      </c>
      <c r="AO289" s="498"/>
      <c r="AP289" s="503" t="e">
        <f t="shared" si="151"/>
        <v>#DIV/0!</v>
      </c>
      <c r="AR289" s="110">
        <v>53114</v>
      </c>
      <c r="AS289" s="98">
        <f t="shared" si="147"/>
        <v>0</v>
      </c>
      <c r="AT289" s="98">
        <f t="shared" si="148"/>
        <v>0</v>
      </c>
      <c r="AU289" s="98"/>
    </row>
    <row r="290" spans="1:47">
      <c r="A290" s="295">
        <v>45702</v>
      </c>
      <c r="B290" s="296"/>
      <c r="C290" s="312"/>
      <c r="D290" s="296"/>
      <c r="E290" s="312"/>
      <c r="F290" s="296"/>
      <c r="G290" s="312"/>
      <c r="H290" s="325"/>
      <c r="I290" s="312"/>
      <c r="J290" s="416"/>
      <c r="K290" s="369"/>
      <c r="L290" s="378"/>
      <c r="M290" s="312"/>
      <c r="N290" s="298"/>
      <c r="O290" s="312"/>
      <c r="P290" s="404" t="e">
        <f t="shared" si="152"/>
        <v>#DIV/0!</v>
      </c>
      <c r="Q290" s="312" t="e">
        <f t="shared" si="155"/>
        <v>#DIV/0!</v>
      </c>
      <c r="R290" s="298"/>
      <c r="S290" s="312"/>
      <c r="T290" s="298"/>
      <c r="U290" s="312"/>
      <c r="V290" s="454">
        <f t="shared" si="153"/>
        <v>0</v>
      </c>
      <c r="W290" s="312"/>
      <c r="X290" s="454">
        <f t="shared" si="154"/>
        <v>0</v>
      </c>
      <c r="Y290" s="312"/>
      <c r="Z290" s="379"/>
      <c r="AA290" s="297"/>
      <c r="AB290" s="379"/>
      <c r="AC290" s="297"/>
      <c r="AD290" s="413"/>
      <c r="AE290" s="297"/>
      <c r="AG290" s="294"/>
      <c r="AH290" s="380"/>
      <c r="AI290" s="408"/>
      <c r="AJ290" s="498"/>
      <c r="AK290" s="498"/>
      <c r="AL290" s="503" t="e">
        <f t="shared" si="149"/>
        <v>#DIV/0!</v>
      </c>
      <c r="AM290" s="498"/>
      <c r="AN290" s="503" t="e">
        <f t="shared" si="150"/>
        <v>#DIV/0!</v>
      </c>
      <c r="AO290" s="498"/>
      <c r="AP290" s="503" t="e">
        <f t="shared" si="151"/>
        <v>#DIV/0!</v>
      </c>
      <c r="AR290" s="110">
        <v>53144</v>
      </c>
      <c r="AS290" s="98">
        <f t="shared" si="147"/>
        <v>0</v>
      </c>
      <c r="AT290" s="98">
        <f t="shared" si="148"/>
        <v>0</v>
      </c>
      <c r="AU290" s="98"/>
    </row>
    <row r="291" spans="1:47">
      <c r="A291" s="295">
        <v>45705</v>
      </c>
      <c r="B291" s="296"/>
      <c r="C291" s="312"/>
      <c r="D291" s="296"/>
      <c r="E291" s="312"/>
      <c r="F291" s="296"/>
      <c r="G291" s="312"/>
      <c r="H291" s="325"/>
      <c r="I291" s="312"/>
      <c r="J291" s="416"/>
      <c r="K291" s="369"/>
      <c r="L291" s="378"/>
      <c r="M291" s="312"/>
      <c r="N291" s="298"/>
      <c r="O291" s="312"/>
      <c r="P291" s="404" t="e">
        <f t="shared" si="152"/>
        <v>#DIV/0!</v>
      </c>
      <c r="Q291" s="312" t="e">
        <f t="shared" si="155"/>
        <v>#DIV/0!</v>
      </c>
      <c r="R291" s="298"/>
      <c r="S291" s="312"/>
      <c r="T291" s="298"/>
      <c r="U291" s="312"/>
      <c r="V291" s="454">
        <f t="shared" si="153"/>
        <v>0</v>
      </c>
      <c r="W291" s="312"/>
      <c r="X291" s="454">
        <f t="shared" si="154"/>
        <v>0</v>
      </c>
      <c r="Y291" s="312"/>
      <c r="Z291" s="379"/>
      <c r="AA291" s="297"/>
      <c r="AB291" s="379"/>
      <c r="AC291" s="297"/>
      <c r="AD291" s="413"/>
      <c r="AE291" s="297"/>
      <c r="AG291" s="294"/>
      <c r="AH291" s="380"/>
      <c r="AI291" s="408"/>
      <c r="AJ291" s="498"/>
      <c r="AK291" s="498"/>
      <c r="AL291" s="503" t="e">
        <f t="shared" si="149"/>
        <v>#DIV/0!</v>
      </c>
      <c r="AM291" s="498"/>
      <c r="AN291" s="503" t="e">
        <f t="shared" si="150"/>
        <v>#DIV/0!</v>
      </c>
      <c r="AO291" s="498"/>
      <c r="AP291" s="503" t="e">
        <f t="shared" si="151"/>
        <v>#DIV/0!</v>
      </c>
      <c r="AR291" s="110">
        <v>53175</v>
      </c>
      <c r="AS291" s="98">
        <f t="shared" si="147"/>
        <v>0</v>
      </c>
      <c r="AT291" s="98">
        <f t="shared" si="148"/>
        <v>0</v>
      </c>
      <c r="AU291" s="98"/>
    </row>
    <row r="292" spans="1:47">
      <c r="A292" s="295">
        <v>45706</v>
      </c>
      <c r="B292" s="296"/>
      <c r="C292" s="312"/>
      <c r="D292" s="296"/>
      <c r="E292" s="312"/>
      <c r="F292" s="296"/>
      <c r="G292" s="312"/>
      <c r="H292" s="325"/>
      <c r="I292" s="312"/>
      <c r="J292" s="416"/>
      <c r="K292" s="369"/>
      <c r="L292" s="378"/>
      <c r="M292" s="312"/>
      <c r="N292" s="298"/>
      <c r="O292" s="312"/>
      <c r="P292" s="404" t="e">
        <f t="shared" si="152"/>
        <v>#DIV/0!</v>
      </c>
      <c r="Q292" s="312" t="e">
        <f t="shared" si="155"/>
        <v>#DIV/0!</v>
      </c>
      <c r="R292" s="298"/>
      <c r="S292" s="312"/>
      <c r="T292" s="298"/>
      <c r="U292" s="312"/>
      <c r="V292" s="454">
        <f t="shared" si="153"/>
        <v>0</v>
      </c>
      <c r="W292" s="312"/>
      <c r="X292" s="454">
        <f t="shared" si="154"/>
        <v>0</v>
      </c>
      <c r="Y292" s="312"/>
      <c r="Z292" s="379"/>
      <c r="AA292" s="297"/>
      <c r="AB292" s="379"/>
      <c r="AC292" s="297"/>
      <c r="AD292" s="413"/>
      <c r="AE292" s="297"/>
      <c r="AG292" s="294"/>
      <c r="AH292" s="380"/>
      <c r="AI292" s="408"/>
      <c r="AJ292" s="498"/>
      <c r="AK292" s="498"/>
      <c r="AL292" s="503" t="e">
        <f t="shared" si="149"/>
        <v>#DIV/0!</v>
      </c>
      <c r="AM292" s="498"/>
      <c r="AN292" s="503" t="e">
        <f t="shared" si="150"/>
        <v>#DIV/0!</v>
      </c>
      <c r="AO292" s="498"/>
      <c r="AP292" s="503" t="e">
        <f t="shared" si="151"/>
        <v>#DIV/0!</v>
      </c>
      <c r="AR292" s="110">
        <v>53206</v>
      </c>
      <c r="AS292" s="98">
        <f t="shared" si="147"/>
        <v>0</v>
      </c>
      <c r="AT292" s="98">
        <f t="shared" si="148"/>
        <v>0</v>
      </c>
      <c r="AU292" s="98"/>
    </row>
    <row r="293" spans="1:47">
      <c r="A293" s="295">
        <v>45707</v>
      </c>
      <c r="B293" s="296"/>
      <c r="C293" s="312"/>
      <c r="D293" s="296"/>
      <c r="E293" s="312"/>
      <c r="F293" s="296"/>
      <c r="G293" s="312"/>
      <c r="H293" s="325"/>
      <c r="I293" s="312"/>
      <c r="J293" s="416"/>
      <c r="K293" s="369"/>
      <c r="L293" s="378"/>
      <c r="M293" s="312"/>
      <c r="N293" s="298"/>
      <c r="O293" s="312"/>
      <c r="P293" s="404" t="e">
        <f t="shared" si="152"/>
        <v>#DIV/0!</v>
      </c>
      <c r="Q293" s="312" t="e">
        <f t="shared" si="155"/>
        <v>#DIV/0!</v>
      </c>
      <c r="R293" s="298"/>
      <c r="S293" s="312"/>
      <c r="T293" s="298"/>
      <c r="U293" s="312"/>
      <c r="V293" s="454">
        <f t="shared" si="153"/>
        <v>0</v>
      </c>
      <c r="W293" s="312"/>
      <c r="X293" s="454">
        <f t="shared" si="154"/>
        <v>0</v>
      </c>
      <c r="Y293" s="312"/>
      <c r="Z293" s="379"/>
      <c r="AA293" s="297"/>
      <c r="AB293" s="379"/>
      <c r="AC293" s="297"/>
      <c r="AD293" s="413"/>
      <c r="AE293" s="297"/>
      <c r="AG293" s="294"/>
      <c r="AH293" s="380"/>
      <c r="AI293" s="408"/>
      <c r="AJ293" s="498"/>
      <c r="AK293" s="498"/>
      <c r="AL293" s="503" t="e">
        <f t="shared" si="149"/>
        <v>#DIV/0!</v>
      </c>
      <c r="AM293" s="498"/>
      <c r="AN293" s="503" t="e">
        <f t="shared" si="150"/>
        <v>#DIV/0!</v>
      </c>
      <c r="AO293" s="498"/>
      <c r="AP293" s="503" t="e">
        <f t="shared" si="151"/>
        <v>#DIV/0!</v>
      </c>
      <c r="AR293" s="110">
        <v>53236</v>
      </c>
      <c r="AS293" s="98">
        <f t="shared" ref="AS293:AS356" si="156">AS292*0.9%+AS292</f>
        <v>0</v>
      </c>
      <c r="AT293" s="98">
        <f t="shared" ref="AT293:AT356" si="157">AT292*1%+AT292</f>
        <v>0</v>
      </c>
      <c r="AU293" s="98"/>
    </row>
    <row r="294" spans="1:47">
      <c r="A294" s="295">
        <v>45708</v>
      </c>
      <c r="B294" s="296"/>
      <c r="C294" s="312"/>
      <c r="D294" s="296"/>
      <c r="E294" s="312"/>
      <c r="F294" s="296"/>
      <c r="G294" s="312"/>
      <c r="H294" s="325"/>
      <c r="I294" s="312"/>
      <c r="J294" s="416"/>
      <c r="K294" s="369"/>
      <c r="L294" s="378"/>
      <c r="M294" s="312"/>
      <c r="N294" s="298"/>
      <c r="O294" s="312"/>
      <c r="P294" s="404" t="e">
        <f t="shared" si="152"/>
        <v>#DIV/0!</v>
      </c>
      <c r="Q294" s="312" t="e">
        <f t="shared" si="155"/>
        <v>#DIV/0!</v>
      </c>
      <c r="R294" s="298"/>
      <c r="S294" s="312"/>
      <c r="T294" s="298"/>
      <c r="U294" s="312"/>
      <c r="V294" s="454">
        <f t="shared" si="153"/>
        <v>0</v>
      </c>
      <c r="W294" s="312"/>
      <c r="X294" s="454">
        <f t="shared" si="154"/>
        <v>0</v>
      </c>
      <c r="Y294" s="312"/>
      <c r="Z294" s="379"/>
      <c r="AA294" s="297"/>
      <c r="AB294" s="379"/>
      <c r="AC294" s="297"/>
      <c r="AD294" s="413"/>
      <c r="AE294" s="297"/>
      <c r="AG294" s="294"/>
      <c r="AH294" s="380"/>
      <c r="AI294" s="408"/>
      <c r="AJ294" s="498"/>
      <c r="AK294" s="498"/>
      <c r="AL294" s="503" t="e">
        <f t="shared" si="149"/>
        <v>#DIV/0!</v>
      </c>
      <c r="AM294" s="498"/>
      <c r="AN294" s="503" t="e">
        <f t="shared" si="150"/>
        <v>#DIV/0!</v>
      </c>
      <c r="AO294" s="498"/>
      <c r="AP294" s="503" t="e">
        <f t="shared" si="151"/>
        <v>#DIV/0!</v>
      </c>
      <c r="AR294" s="110">
        <v>53267</v>
      </c>
      <c r="AS294" s="98">
        <f t="shared" si="156"/>
        <v>0</v>
      </c>
      <c r="AT294" s="98">
        <f t="shared" si="157"/>
        <v>0</v>
      </c>
      <c r="AU294" s="98"/>
    </row>
    <row r="295" spans="1:47">
      <c r="A295" s="295">
        <v>45709</v>
      </c>
      <c r="B295" s="296"/>
      <c r="C295" s="312"/>
      <c r="D295" s="296"/>
      <c r="E295" s="312"/>
      <c r="F295" s="296"/>
      <c r="G295" s="312"/>
      <c r="H295" s="325"/>
      <c r="I295" s="312"/>
      <c r="J295" s="416"/>
      <c r="K295" s="369"/>
      <c r="L295" s="378"/>
      <c r="M295" s="312"/>
      <c r="N295" s="298"/>
      <c r="O295" s="312"/>
      <c r="P295" s="404" t="e">
        <f t="shared" si="152"/>
        <v>#DIV/0!</v>
      </c>
      <c r="Q295" s="312" t="e">
        <f t="shared" si="155"/>
        <v>#DIV/0!</v>
      </c>
      <c r="R295" s="298"/>
      <c r="S295" s="312"/>
      <c r="T295" s="298"/>
      <c r="U295" s="312"/>
      <c r="V295" s="454">
        <f t="shared" si="153"/>
        <v>0</v>
      </c>
      <c r="W295" s="312"/>
      <c r="X295" s="454">
        <f t="shared" si="154"/>
        <v>0</v>
      </c>
      <c r="Y295" s="312"/>
      <c r="Z295" s="379"/>
      <c r="AA295" s="297"/>
      <c r="AB295" s="379"/>
      <c r="AC295" s="297"/>
      <c r="AD295" s="413"/>
      <c r="AE295" s="297"/>
      <c r="AG295" s="294"/>
      <c r="AH295" s="380"/>
      <c r="AI295" s="408"/>
      <c r="AJ295" s="498"/>
      <c r="AK295" s="498"/>
      <c r="AL295" s="503" t="e">
        <f t="shared" si="149"/>
        <v>#DIV/0!</v>
      </c>
      <c r="AM295" s="498"/>
      <c r="AN295" s="503" t="e">
        <f t="shared" si="150"/>
        <v>#DIV/0!</v>
      </c>
      <c r="AO295" s="498"/>
      <c r="AP295" s="503" t="e">
        <f t="shared" si="151"/>
        <v>#DIV/0!</v>
      </c>
      <c r="AR295" s="110">
        <v>53297</v>
      </c>
      <c r="AS295" s="98">
        <f t="shared" si="156"/>
        <v>0</v>
      </c>
      <c r="AT295" s="98">
        <f t="shared" si="157"/>
        <v>0</v>
      </c>
      <c r="AU295" s="98"/>
    </row>
    <row r="296" spans="1:47">
      <c r="A296" s="295">
        <v>45712</v>
      </c>
      <c r="B296" s="296"/>
      <c r="C296" s="312"/>
      <c r="D296" s="296"/>
      <c r="E296" s="312"/>
      <c r="F296" s="296"/>
      <c r="G296" s="312"/>
      <c r="H296" s="325"/>
      <c r="I296" s="312"/>
      <c r="J296" s="416"/>
      <c r="K296" s="369"/>
      <c r="L296" s="378"/>
      <c r="M296" s="312"/>
      <c r="N296" s="298"/>
      <c r="O296" s="312"/>
      <c r="P296" s="404" t="e">
        <f t="shared" si="152"/>
        <v>#DIV/0!</v>
      </c>
      <c r="Q296" s="312" t="e">
        <f t="shared" si="155"/>
        <v>#DIV/0!</v>
      </c>
      <c r="R296" s="298"/>
      <c r="S296" s="312"/>
      <c r="T296" s="298"/>
      <c r="U296" s="312"/>
      <c r="V296" s="454">
        <f t="shared" si="153"/>
        <v>0</v>
      </c>
      <c r="W296" s="312"/>
      <c r="X296" s="454">
        <f t="shared" si="154"/>
        <v>0</v>
      </c>
      <c r="Y296" s="312"/>
      <c r="Z296" s="379"/>
      <c r="AA296" s="297"/>
      <c r="AB296" s="379"/>
      <c r="AC296" s="297"/>
      <c r="AD296" s="413"/>
      <c r="AE296" s="297"/>
      <c r="AG296" s="294"/>
      <c r="AH296" s="380"/>
      <c r="AI296" s="408"/>
      <c r="AJ296" s="498"/>
      <c r="AK296" s="498"/>
      <c r="AL296" s="503" t="e">
        <f t="shared" si="149"/>
        <v>#DIV/0!</v>
      </c>
      <c r="AM296" s="498"/>
      <c r="AN296" s="503" t="e">
        <f t="shared" si="150"/>
        <v>#DIV/0!</v>
      </c>
      <c r="AO296" s="498"/>
      <c r="AP296" s="503" t="e">
        <f t="shared" si="151"/>
        <v>#DIV/0!</v>
      </c>
      <c r="AR296" s="110">
        <v>53328</v>
      </c>
      <c r="AS296" s="98">
        <f t="shared" si="156"/>
        <v>0</v>
      </c>
      <c r="AT296" s="98">
        <f t="shared" si="157"/>
        <v>0</v>
      </c>
      <c r="AU296" s="98"/>
    </row>
    <row r="297" spans="1:47">
      <c r="A297" s="295">
        <v>45713</v>
      </c>
      <c r="B297" s="296"/>
      <c r="C297" s="312"/>
      <c r="D297" s="296"/>
      <c r="E297" s="312"/>
      <c r="F297" s="296"/>
      <c r="G297" s="312"/>
      <c r="H297" s="325"/>
      <c r="I297" s="312"/>
      <c r="J297" s="416"/>
      <c r="K297" s="369"/>
      <c r="L297" s="378"/>
      <c r="M297" s="312"/>
      <c r="N297" s="298"/>
      <c r="O297" s="312"/>
      <c r="P297" s="404" t="e">
        <f t="shared" si="152"/>
        <v>#DIV/0!</v>
      </c>
      <c r="Q297" s="312" t="e">
        <f t="shared" si="155"/>
        <v>#DIV/0!</v>
      </c>
      <c r="R297" s="298"/>
      <c r="S297" s="312"/>
      <c r="T297" s="298"/>
      <c r="U297" s="312"/>
      <c r="V297" s="454">
        <f t="shared" si="153"/>
        <v>0</v>
      </c>
      <c r="W297" s="312"/>
      <c r="X297" s="454">
        <f t="shared" si="154"/>
        <v>0</v>
      </c>
      <c r="Y297" s="312"/>
      <c r="Z297" s="379"/>
      <c r="AA297" s="297"/>
      <c r="AB297" s="379"/>
      <c r="AC297" s="297"/>
      <c r="AD297" s="413"/>
      <c r="AE297" s="297"/>
      <c r="AG297" s="294"/>
      <c r="AH297" s="380"/>
      <c r="AI297" s="408"/>
      <c r="AJ297" s="498"/>
      <c r="AK297" s="498"/>
      <c r="AL297" s="503" t="e">
        <f t="shared" si="149"/>
        <v>#DIV/0!</v>
      </c>
      <c r="AM297" s="498"/>
      <c r="AN297" s="503" t="e">
        <f t="shared" si="150"/>
        <v>#DIV/0!</v>
      </c>
      <c r="AO297" s="498"/>
      <c r="AP297" s="503" t="e">
        <f t="shared" si="151"/>
        <v>#DIV/0!</v>
      </c>
      <c r="AR297" s="110">
        <v>53359</v>
      </c>
      <c r="AS297" s="98">
        <f t="shared" si="156"/>
        <v>0</v>
      </c>
      <c r="AT297" s="98">
        <f t="shared" si="157"/>
        <v>0</v>
      </c>
      <c r="AU297" s="98"/>
    </row>
    <row r="298" spans="1:47">
      <c r="A298" s="295">
        <v>45714</v>
      </c>
      <c r="B298" s="296"/>
      <c r="C298" s="312"/>
      <c r="D298" s="296"/>
      <c r="E298" s="312"/>
      <c r="F298" s="296"/>
      <c r="G298" s="312"/>
      <c r="H298" s="325"/>
      <c r="I298" s="312"/>
      <c r="J298" s="416"/>
      <c r="K298" s="369"/>
      <c r="L298" s="378"/>
      <c r="M298" s="312"/>
      <c r="N298" s="298"/>
      <c r="O298" s="312"/>
      <c r="P298" s="404" t="e">
        <f t="shared" si="152"/>
        <v>#DIV/0!</v>
      </c>
      <c r="Q298" s="312" t="e">
        <f t="shared" si="155"/>
        <v>#DIV/0!</v>
      </c>
      <c r="R298" s="298"/>
      <c r="S298" s="312"/>
      <c r="T298" s="298"/>
      <c r="U298" s="312"/>
      <c r="V298" s="454">
        <f t="shared" si="153"/>
        <v>0</v>
      </c>
      <c r="W298" s="312"/>
      <c r="X298" s="454">
        <f t="shared" si="154"/>
        <v>0</v>
      </c>
      <c r="Y298" s="312"/>
      <c r="Z298" s="379"/>
      <c r="AA298" s="297"/>
      <c r="AB298" s="379"/>
      <c r="AC298" s="297"/>
      <c r="AD298" s="413"/>
      <c r="AE298" s="297"/>
      <c r="AG298" s="294"/>
      <c r="AH298" s="380"/>
      <c r="AI298" s="408"/>
      <c r="AJ298" s="498"/>
      <c r="AK298" s="498"/>
      <c r="AL298" s="503" t="e">
        <f t="shared" si="149"/>
        <v>#DIV/0!</v>
      </c>
      <c r="AM298" s="498"/>
      <c r="AN298" s="503" t="e">
        <f t="shared" si="150"/>
        <v>#DIV/0!</v>
      </c>
      <c r="AO298" s="498"/>
      <c r="AP298" s="503" t="e">
        <f t="shared" si="151"/>
        <v>#DIV/0!</v>
      </c>
      <c r="AR298" s="110">
        <v>53387</v>
      </c>
      <c r="AS298" s="98">
        <f t="shared" si="156"/>
        <v>0</v>
      </c>
      <c r="AT298" s="98">
        <f t="shared" si="157"/>
        <v>0</v>
      </c>
      <c r="AU298" s="98"/>
    </row>
    <row r="299" spans="1:47">
      <c r="A299" s="295">
        <v>45715</v>
      </c>
      <c r="B299" s="296"/>
      <c r="C299" s="312"/>
      <c r="D299" s="296"/>
      <c r="E299" s="312"/>
      <c r="F299" s="296"/>
      <c r="G299" s="312"/>
      <c r="H299" s="325"/>
      <c r="I299" s="312"/>
      <c r="J299" s="416"/>
      <c r="K299" s="369"/>
      <c r="L299" s="378"/>
      <c r="M299" s="312"/>
      <c r="N299" s="298"/>
      <c r="O299" s="312"/>
      <c r="P299" s="404" t="e">
        <f t="shared" si="152"/>
        <v>#DIV/0!</v>
      </c>
      <c r="Q299" s="312" t="e">
        <f t="shared" si="155"/>
        <v>#DIV/0!</v>
      </c>
      <c r="R299" s="298"/>
      <c r="S299" s="312"/>
      <c r="T299" s="298"/>
      <c r="U299" s="312"/>
      <c r="V299" s="454">
        <f t="shared" si="153"/>
        <v>0</v>
      </c>
      <c r="W299" s="312"/>
      <c r="X299" s="454">
        <f t="shared" si="154"/>
        <v>0</v>
      </c>
      <c r="Y299" s="312"/>
      <c r="Z299" s="379"/>
      <c r="AA299" s="297"/>
      <c r="AB299" s="379"/>
      <c r="AC299" s="297"/>
      <c r="AD299" s="413"/>
      <c r="AE299" s="297"/>
      <c r="AG299" s="294"/>
      <c r="AH299" s="380"/>
      <c r="AI299" s="408"/>
      <c r="AJ299" s="498"/>
      <c r="AK299" s="498"/>
      <c r="AL299" s="503" t="e">
        <f t="shared" si="149"/>
        <v>#DIV/0!</v>
      </c>
      <c r="AM299" s="498"/>
      <c r="AN299" s="503" t="e">
        <f t="shared" si="150"/>
        <v>#DIV/0!</v>
      </c>
      <c r="AO299" s="498"/>
      <c r="AP299" s="503" t="e">
        <f t="shared" si="151"/>
        <v>#DIV/0!</v>
      </c>
      <c r="AR299" s="110">
        <v>53418</v>
      </c>
      <c r="AS299" s="98">
        <f t="shared" si="156"/>
        <v>0</v>
      </c>
      <c r="AT299" s="98">
        <f t="shared" si="157"/>
        <v>0</v>
      </c>
      <c r="AU299" s="98"/>
    </row>
    <row r="300" spans="1:47">
      <c r="A300" s="295">
        <v>45716</v>
      </c>
      <c r="B300" s="296"/>
      <c r="C300" s="312"/>
      <c r="D300" s="296"/>
      <c r="E300" s="312"/>
      <c r="F300" s="296"/>
      <c r="G300" s="312"/>
      <c r="H300" s="325"/>
      <c r="I300" s="312"/>
      <c r="J300" s="416"/>
      <c r="K300" s="369"/>
      <c r="L300" s="378"/>
      <c r="M300" s="312"/>
      <c r="N300" s="298"/>
      <c r="O300" s="312"/>
      <c r="P300" s="404" t="e">
        <f t="shared" si="152"/>
        <v>#DIV/0!</v>
      </c>
      <c r="Q300" s="312" t="e">
        <f t="shared" si="155"/>
        <v>#DIV/0!</v>
      </c>
      <c r="R300" s="298"/>
      <c r="S300" s="312"/>
      <c r="T300" s="298"/>
      <c r="U300" s="312"/>
      <c r="V300" s="454">
        <f t="shared" si="153"/>
        <v>0</v>
      </c>
      <c r="W300" s="312"/>
      <c r="X300" s="454">
        <f t="shared" si="154"/>
        <v>0</v>
      </c>
      <c r="Y300" s="312"/>
      <c r="Z300" s="379"/>
      <c r="AA300" s="297"/>
      <c r="AB300" s="379"/>
      <c r="AC300" s="297"/>
      <c r="AD300" s="413"/>
      <c r="AE300" s="297"/>
      <c r="AG300" s="294"/>
      <c r="AH300" s="380"/>
      <c r="AI300" s="408"/>
      <c r="AJ300" s="498"/>
      <c r="AK300" s="498"/>
      <c r="AL300" s="503" t="e">
        <f t="shared" si="149"/>
        <v>#DIV/0!</v>
      </c>
      <c r="AM300" s="498"/>
      <c r="AN300" s="503" t="e">
        <f t="shared" si="150"/>
        <v>#DIV/0!</v>
      </c>
      <c r="AO300" s="498"/>
      <c r="AP300" s="503" t="e">
        <f t="shared" si="151"/>
        <v>#DIV/0!</v>
      </c>
      <c r="AR300" s="110">
        <v>53448</v>
      </c>
      <c r="AS300" s="98">
        <f t="shared" si="156"/>
        <v>0</v>
      </c>
      <c r="AT300" s="98">
        <f t="shared" si="157"/>
        <v>0</v>
      </c>
      <c r="AU300" s="98"/>
    </row>
    <row r="301" spans="1:47">
      <c r="A301" s="295">
        <v>45719</v>
      </c>
      <c r="B301" s="296"/>
      <c r="C301" s="312"/>
      <c r="D301" s="296"/>
      <c r="E301" s="312"/>
      <c r="F301" s="296"/>
      <c r="G301" s="312"/>
      <c r="H301" s="325"/>
      <c r="I301" s="312"/>
      <c r="J301" s="416"/>
      <c r="K301" s="369"/>
      <c r="L301" s="378"/>
      <c r="M301" s="312"/>
      <c r="N301" s="298"/>
      <c r="O301" s="312"/>
      <c r="P301" s="404" t="e">
        <f t="shared" si="152"/>
        <v>#DIV/0!</v>
      </c>
      <c r="Q301" s="312" t="e">
        <f t="shared" si="155"/>
        <v>#DIV/0!</v>
      </c>
      <c r="R301" s="298"/>
      <c r="S301" s="312"/>
      <c r="T301" s="298"/>
      <c r="U301" s="312"/>
      <c r="V301" s="454">
        <f t="shared" si="153"/>
        <v>0</v>
      </c>
      <c r="W301" s="312"/>
      <c r="X301" s="454">
        <f t="shared" si="154"/>
        <v>0</v>
      </c>
      <c r="Y301" s="312"/>
      <c r="Z301" s="379"/>
      <c r="AA301" s="297"/>
      <c r="AB301" s="379"/>
      <c r="AC301" s="297"/>
      <c r="AD301" s="413"/>
      <c r="AE301" s="297"/>
      <c r="AG301" s="294"/>
      <c r="AH301" s="380"/>
      <c r="AI301" s="408"/>
      <c r="AJ301" s="498"/>
      <c r="AK301" s="498"/>
      <c r="AL301" s="503" t="e">
        <f t="shared" si="149"/>
        <v>#DIV/0!</v>
      </c>
      <c r="AM301" s="498"/>
      <c r="AN301" s="503" t="e">
        <f t="shared" si="150"/>
        <v>#DIV/0!</v>
      </c>
      <c r="AO301" s="498"/>
      <c r="AP301" s="503" t="e">
        <f t="shared" si="151"/>
        <v>#DIV/0!</v>
      </c>
      <c r="AR301" s="110">
        <v>53479</v>
      </c>
      <c r="AS301" s="98">
        <f t="shared" si="156"/>
        <v>0</v>
      </c>
      <c r="AT301" s="98">
        <f t="shared" si="157"/>
        <v>0</v>
      </c>
      <c r="AU301" s="98"/>
    </row>
    <row r="302" spans="1:47">
      <c r="A302" s="295">
        <v>45720</v>
      </c>
      <c r="B302" s="296"/>
      <c r="C302" s="312"/>
      <c r="D302" s="296"/>
      <c r="E302" s="312"/>
      <c r="F302" s="296"/>
      <c r="G302" s="312"/>
      <c r="H302" s="325"/>
      <c r="I302" s="312"/>
      <c r="J302" s="416"/>
      <c r="K302" s="369"/>
      <c r="L302" s="378"/>
      <c r="M302" s="312"/>
      <c r="N302" s="298"/>
      <c r="O302" s="312"/>
      <c r="P302" s="404" t="e">
        <f t="shared" si="152"/>
        <v>#DIV/0!</v>
      </c>
      <c r="Q302" s="312" t="e">
        <f t="shared" si="155"/>
        <v>#DIV/0!</v>
      </c>
      <c r="R302" s="298"/>
      <c r="S302" s="312"/>
      <c r="T302" s="298"/>
      <c r="U302" s="312"/>
      <c r="V302" s="454">
        <f t="shared" si="153"/>
        <v>0</v>
      </c>
      <c r="W302" s="312"/>
      <c r="X302" s="454">
        <f t="shared" si="154"/>
        <v>0</v>
      </c>
      <c r="Y302" s="312"/>
      <c r="Z302" s="379"/>
      <c r="AA302" s="297"/>
      <c r="AB302" s="379"/>
      <c r="AC302" s="297"/>
      <c r="AD302" s="413"/>
      <c r="AE302" s="297"/>
      <c r="AG302" s="294"/>
      <c r="AH302" s="380"/>
      <c r="AI302" s="408"/>
      <c r="AJ302" s="498"/>
      <c r="AK302" s="498"/>
      <c r="AL302" s="503" t="e">
        <f t="shared" si="149"/>
        <v>#DIV/0!</v>
      </c>
      <c r="AM302" s="498"/>
      <c r="AN302" s="503" t="e">
        <f t="shared" si="150"/>
        <v>#DIV/0!</v>
      </c>
      <c r="AO302" s="498"/>
      <c r="AP302" s="503" t="e">
        <f t="shared" si="151"/>
        <v>#DIV/0!</v>
      </c>
      <c r="AR302" s="110">
        <v>53509</v>
      </c>
      <c r="AS302" s="98">
        <f t="shared" si="156"/>
        <v>0</v>
      </c>
      <c r="AT302" s="98">
        <f t="shared" si="157"/>
        <v>0</v>
      </c>
      <c r="AU302" s="98"/>
    </row>
    <row r="303" spans="1:47">
      <c r="A303" s="295">
        <v>45721</v>
      </c>
      <c r="B303" s="296"/>
      <c r="C303" s="312"/>
      <c r="D303" s="296"/>
      <c r="E303" s="312"/>
      <c r="F303" s="296"/>
      <c r="G303" s="312"/>
      <c r="H303" s="325"/>
      <c r="I303" s="312"/>
      <c r="J303" s="416"/>
      <c r="K303" s="369"/>
      <c r="L303" s="378"/>
      <c r="M303" s="312"/>
      <c r="N303" s="298"/>
      <c r="O303" s="312"/>
      <c r="P303" s="404" t="e">
        <f t="shared" si="152"/>
        <v>#DIV/0!</v>
      </c>
      <c r="Q303" s="312" t="e">
        <f t="shared" si="155"/>
        <v>#DIV/0!</v>
      </c>
      <c r="R303" s="298"/>
      <c r="S303" s="312"/>
      <c r="T303" s="298"/>
      <c r="U303" s="312"/>
      <c r="V303" s="454">
        <f t="shared" si="153"/>
        <v>0</v>
      </c>
      <c r="W303" s="312"/>
      <c r="X303" s="454">
        <f t="shared" si="154"/>
        <v>0</v>
      </c>
      <c r="Y303" s="312"/>
      <c r="Z303" s="379"/>
      <c r="AA303" s="297"/>
      <c r="AB303" s="379"/>
      <c r="AC303" s="297"/>
      <c r="AD303" s="413"/>
      <c r="AE303" s="297"/>
      <c r="AG303" s="294"/>
      <c r="AH303" s="380"/>
      <c r="AI303" s="408"/>
      <c r="AJ303" s="498"/>
      <c r="AK303" s="498"/>
      <c r="AL303" s="503" t="e">
        <f t="shared" si="149"/>
        <v>#DIV/0!</v>
      </c>
      <c r="AM303" s="498"/>
      <c r="AN303" s="503" t="e">
        <f t="shared" si="150"/>
        <v>#DIV/0!</v>
      </c>
      <c r="AO303" s="498"/>
      <c r="AP303" s="503" t="e">
        <f t="shared" si="151"/>
        <v>#DIV/0!</v>
      </c>
      <c r="AR303" s="110">
        <v>53540</v>
      </c>
      <c r="AS303" s="98">
        <f t="shared" si="156"/>
        <v>0</v>
      </c>
      <c r="AT303" s="98">
        <f t="shared" si="157"/>
        <v>0</v>
      </c>
      <c r="AU303" s="98"/>
    </row>
    <row r="304" spans="1:47">
      <c r="A304" s="295">
        <v>45722</v>
      </c>
      <c r="B304" s="296"/>
      <c r="C304" s="312"/>
      <c r="D304" s="296"/>
      <c r="E304" s="312"/>
      <c r="F304" s="296"/>
      <c r="G304" s="312"/>
      <c r="H304" s="325"/>
      <c r="I304" s="312"/>
      <c r="J304" s="416"/>
      <c r="K304" s="369"/>
      <c r="L304" s="378"/>
      <c r="M304" s="312"/>
      <c r="N304" s="298"/>
      <c r="O304" s="312"/>
      <c r="P304" s="404" t="e">
        <f t="shared" si="152"/>
        <v>#DIV/0!</v>
      </c>
      <c r="Q304" s="312" t="e">
        <f t="shared" si="155"/>
        <v>#DIV/0!</v>
      </c>
      <c r="R304" s="298"/>
      <c r="S304" s="312"/>
      <c r="T304" s="298"/>
      <c r="U304" s="312"/>
      <c r="V304" s="454">
        <f t="shared" si="153"/>
        <v>0</v>
      </c>
      <c r="W304" s="312"/>
      <c r="X304" s="454">
        <f t="shared" si="154"/>
        <v>0</v>
      </c>
      <c r="Y304" s="312"/>
      <c r="Z304" s="379"/>
      <c r="AA304" s="297"/>
      <c r="AB304" s="379"/>
      <c r="AC304" s="297"/>
      <c r="AD304" s="413"/>
      <c r="AE304" s="297"/>
      <c r="AG304" s="294"/>
      <c r="AH304" s="380"/>
      <c r="AI304" s="408"/>
      <c r="AJ304" s="498"/>
      <c r="AK304" s="498"/>
      <c r="AL304" s="503" t="e">
        <f t="shared" si="149"/>
        <v>#DIV/0!</v>
      </c>
      <c r="AM304" s="498"/>
      <c r="AN304" s="503" t="e">
        <f t="shared" si="150"/>
        <v>#DIV/0!</v>
      </c>
      <c r="AO304" s="498"/>
      <c r="AP304" s="503" t="e">
        <f t="shared" si="151"/>
        <v>#DIV/0!</v>
      </c>
      <c r="AR304" s="110">
        <v>53571</v>
      </c>
      <c r="AS304" s="98">
        <f t="shared" si="156"/>
        <v>0</v>
      </c>
      <c r="AT304" s="98">
        <f t="shared" si="157"/>
        <v>0</v>
      </c>
      <c r="AU304" s="98"/>
    </row>
    <row r="305" spans="1:47">
      <c r="A305" s="295">
        <v>45723</v>
      </c>
      <c r="B305" s="296"/>
      <c r="C305" s="312"/>
      <c r="D305" s="296"/>
      <c r="E305" s="312"/>
      <c r="F305" s="296"/>
      <c r="G305" s="312"/>
      <c r="H305" s="325"/>
      <c r="I305" s="312"/>
      <c r="J305" s="416"/>
      <c r="K305" s="369"/>
      <c r="L305" s="378"/>
      <c r="M305" s="312"/>
      <c r="N305" s="298"/>
      <c r="O305" s="312"/>
      <c r="P305" s="404" t="e">
        <f t="shared" si="152"/>
        <v>#DIV/0!</v>
      </c>
      <c r="Q305" s="312" t="e">
        <f t="shared" si="155"/>
        <v>#DIV/0!</v>
      </c>
      <c r="R305" s="298"/>
      <c r="S305" s="312"/>
      <c r="T305" s="298"/>
      <c r="U305" s="312"/>
      <c r="V305" s="454">
        <f t="shared" si="153"/>
        <v>0</v>
      </c>
      <c r="W305" s="312"/>
      <c r="X305" s="454">
        <f t="shared" si="154"/>
        <v>0</v>
      </c>
      <c r="Y305" s="312"/>
      <c r="Z305" s="379"/>
      <c r="AA305" s="297"/>
      <c r="AB305" s="379"/>
      <c r="AC305" s="297"/>
      <c r="AD305" s="413"/>
      <c r="AE305" s="297"/>
      <c r="AG305" s="294"/>
      <c r="AH305" s="380"/>
      <c r="AI305" s="408"/>
      <c r="AJ305" s="498"/>
      <c r="AK305" s="498"/>
      <c r="AL305" s="503" t="e">
        <f t="shared" si="149"/>
        <v>#DIV/0!</v>
      </c>
      <c r="AM305" s="498"/>
      <c r="AN305" s="503" t="e">
        <f t="shared" si="150"/>
        <v>#DIV/0!</v>
      </c>
      <c r="AO305" s="498"/>
      <c r="AP305" s="503" t="e">
        <f t="shared" si="151"/>
        <v>#DIV/0!</v>
      </c>
      <c r="AR305" s="110">
        <v>53601</v>
      </c>
      <c r="AS305" s="98">
        <f t="shared" si="156"/>
        <v>0</v>
      </c>
      <c r="AT305" s="98">
        <f t="shared" si="157"/>
        <v>0</v>
      </c>
      <c r="AU305" s="98"/>
    </row>
    <row r="306" spans="1:47">
      <c r="A306" s="295">
        <v>45726</v>
      </c>
      <c r="B306" s="296"/>
      <c r="C306" s="312"/>
      <c r="D306" s="296"/>
      <c r="E306" s="312"/>
      <c r="F306" s="296"/>
      <c r="G306" s="312"/>
      <c r="H306" s="325"/>
      <c r="I306" s="312"/>
      <c r="J306" s="416"/>
      <c r="K306" s="369"/>
      <c r="L306" s="378"/>
      <c r="M306" s="312"/>
      <c r="N306" s="298"/>
      <c r="O306" s="312"/>
      <c r="P306" s="404" t="e">
        <f t="shared" si="152"/>
        <v>#DIV/0!</v>
      </c>
      <c r="Q306" s="312" t="e">
        <f t="shared" si="155"/>
        <v>#DIV/0!</v>
      </c>
      <c r="R306" s="298"/>
      <c r="S306" s="312"/>
      <c r="T306" s="298"/>
      <c r="U306" s="312"/>
      <c r="V306" s="454">
        <f t="shared" si="153"/>
        <v>0</v>
      </c>
      <c r="W306" s="312"/>
      <c r="X306" s="454">
        <f t="shared" si="154"/>
        <v>0</v>
      </c>
      <c r="Y306" s="312"/>
      <c r="Z306" s="379"/>
      <c r="AA306" s="297"/>
      <c r="AB306" s="379"/>
      <c r="AC306" s="297"/>
      <c r="AD306" s="413"/>
      <c r="AE306" s="297"/>
      <c r="AG306" s="294"/>
      <c r="AH306" s="380"/>
      <c r="AI306" s="408"/>
      <c r="AJ306" s="498"/>
      <c r="AK306" s="498"/>
      <c r="AL306" s="503" t="e">
        <f t="shared" si="149"/>
        <v>#DIV/0!</v>
      </c>
      <c r="AM306" s="498"/>
      <c r="AN306" s="503" t="e">
        <f t="shared" si="150"/>
        <v>#DIV/0!</v>
      </c>
      <c r="AO306" s="498"/>
      <c r="AP306" s="503" t="e">
        <f t="shared" si="151"/>
        <v>#DIV/0!</v>
      </c>
      <c r="AR306" s="110">
        <v>53632</v>
      </c>
      <c r="AS306" s="98">
        <f t="shared" si="156"/>
        <v>0</v>
      </c>
      <c r="AT306" s="98">
        <f t="shared" si="157"/>
        <v>0</v>
      </c>
      <c r="AU306" s="98"/>
    </row>
    <row r="307" spans="1:47">
      <c r="A307" s="295">
        <v>45727</v>
      </c>
      <c r="B307" s="296"/>
      <c r="C307" s="312"/>
      <c r="D307" s="296"/>
      <c r="E307" s="312"/>
      <c r="F307" s="296"/>
      <c r="G307" s="312"/>
      <c r="H307" s="325"/>
      <c r="I307" s="312"/>
      <c r="J307" s="416"/>
      <c r="K307" s="369"/>
      <c r="L307" s="378"/>
      <c r="M307" s="312"/>
      <c r="N307" s="298"/>
      <c r="O307" s="312"/>
      <c r="P307" s="404" t="e">
        <f t="shared" si="152"/>
        <v>#DIV/0!</v>
      </c>
      <c r="Q307" s="312" t="e">
        <f t="shared" si="155"/>
        <v>#DIV/0!</v>
      </c>
      <c r="R307" s="298"/>
      <c r="S307" s="312"/>
      <c r="T307" s="298"/>
      <c r="U307" s="312"/>
      <c r="V307" s="454">
        <f t="shared" si="153"/>
        <v>0</v>
      </c>
      <c r="W307" s="312"/>
      <c r="X307" s="454">
        <f t="shared" si="154"/>
        <v>0</v>
      </c>
      <c r="Y307" s="312"/>
      <c r="Z307" s="379"/>
      <c r="AA307" s="297"/>
      <c r="AB307" s="379"/>
      <c r="AC307" s="297"/>
      <c r="AD307" s="413"/>
      <c r="AE307" s="297"/>
      <c r="AG307" s="294"/>
      <c r="AH307" s="380"/>
      <c r="AI307" s="408"/>
      <c r="AJ307" s="498"/>
      <c r="AK307" s="498"/>
      <c r="AL307" s="503" t="e">
        <f t="shared" si="149"/>
        <v>#DIV/0!</v>
      </c>
      <c r="AM307" s="498"/>
      <c r="AN307" s="503" t="e">
        <f t="shared" si="150"/>
        <v>#DIV/0!</v>
      </c>
      <c r="AO307" s="498"/>
      <c r="AP307" s="503" t="e">
        <f t="shared" si="151"/>
        <v>#DIV/0!</v>
      </c>
      <c r="AR307" s="110">
        <v>53662</v>
      </c>
      <c r="AS307" s="98">
        <f t="shared" si="156"/>
        <v>0</v>
      </c>
      <c r="AT307" s="98">
        <f t="shared" si="157"/>
        <v>0</v>
      </c>
      <c r="AU307" s="98"/>
    </row>
    <row r="308" spans="1:47">
      <c r="A308" s="295">
        <v>45728</v>
      </c>
      <c r="B308" s="296"/>
      <c r="C308" s="312"/>
      <c r="D308" s="296"/>
      <c r="E308" s="312"/>
      <c r="F308" s="296"/>
      <c r="G308" s="312"/>
      <c r="H308" s="325"/>
      <c r="I308" s="312"/>
      <c r="J308" s="416"/>
      <c r="K308" s="369"/>
      <c r="L308" s="378"/>
      <c r="M308" s="312"/>
      <c r="N308" s="298"/>
      <c r="O308" s="312"/>
      <c r="P308" s="404" t="e">
        <f t="shared" si="152"/>
        <v>#DIV/0!</v>
      </c>
      <c r="Q308" s="312" t="e">
        <f t="shared" si="155"/>
        <v>#DIV/0!</v>
      </c>
      <c r="R308" s="298"/>
      <c r="S308" s="312"/>
      <c r="T308" s="298"/>
      <c r="U308" s="312"/>
      <c r="V308" s="454">
        <f t="shared" si="153"/>
        <v>0</v>
      </c>
      <c r="W308" s="312"/>
      <c r="X308" s="454">
        <f t="shared" si="154"/>
        <v>0</v>
      </c>
      <c r="Y308" s="312"/>
      <c r="Z308" s="379"/>
      <c r="AA308" s="297"/>
      <c r="AB308" s="379"/>
      <c r="AC308" s="297"/>
      <c r="AD308" s="413"/>
      <c r="AE308" s="297"/>
      <c r="AG308" s="294"/>
      <c r="AH308" s="380"/>
      <c r="AI308" s="408"/>
      <c r="AJ308" s="498"/>
      <c r="AK308" s="498"/>
      <c r="AL308" s="503" t="e">
        <f t="shared" si="149"/>
        <v>#DIV/0!</v>
      </c>
      <c r="AM308" s="498"/>
      <c r="AN308" s="503" t="e">
        <f t="shared" si="150"/>
        <v>#DIV/0!</v>
      </c>
      <c r="AO308" s="498"/>
      <c r="AP308" s="503" t="e">
        <f t="shared" si="151"/>
        <v>#DIV/0!</v>
      </c>
      <c r="AR308" s="110">
        <v>53693</v>
      </c>
      <c r="AS308" s="98">
        <f t="shared" si="156"/>
        <v>0</v>
      </c>
      <c r="AT308" s="98">
        <f t="shared" si="157"/>
        <v>0</v>
      </c>
      <c r="AU308" s="98"/>
    </row>
    <row r="309" spans="1:47">
      <c r="A309" s="295">
        <v>45729</v>
      </c>
      <c r="B309" s="296"/>
      <c r="C309" s="312"/>
      <c r="D309" s="296"/>
      <c r="E309" s="312"/>
      <c r="F309" s="296"/>
      <c r="G309" s="312"/>
      <c r="H309" s="325"/>
      <c r="I309" s="312"/>
      <c r="J309" s="416"/>
      <c r="K309" s="369"/>
      <c r="L309" s="378"/>
      <c r="M309" s="312"/>
      <c r="N309" s="298"/>
      <c r="O309" s="312"/>
      <c r="P309" s="404" t="e">
        <f t="shared" si="152"/>
        <v>#DIV/0!</v>
      </c>
      <c r="Q309" s="312" t="e">
        <f t="shared" si="155"/>
        <v>#DIV/0!</v>
      </c>
      <c r="R309" s="298"/>
      <c r="S309" s="312"/>
      <c r="T309" s="298"/>
      <c r="U309" s="312"/>
      <c r="V309" s="454">
        <f t="shared" si="153"/>
        <v>0</v>
      </c>
      <c r="W309" s="312"/>
      <c r="X309" s="454">
        <f t="shared" si="154"/>
        <v>0</v>
      </c>
      <c r="Y309" s="312"/>
      <c r="Z309" s="379"/>
      <c r="AA309" s="297"/>
      <c r="AB309" s="379"/>
      <c r="AC309" s="297"/>
      <c r="AD309" s="413"/>
      <c r="AE309" s="297"/>
      <c r="AG309" s="294"/>
      <c r="AH309" s="380"/>
      <c r="AI309" s="408"/>
      <c r="AJ309" s="498"/>
      <c r="AK309" s="498"/>
      <c r="AL309" s="503" t="e">
        <f t="shared" si="149"/>
        <v>#DIV/0!</v>
      </c>
      <c r="AM309" s="498"/>
      <c r="AN309" s="503" t="e">
        <f t="shared" si="150"/>
        <v>#DIV/0!</v>
      </c>
      <c r="AO309" s="498"/>
      <c r="AP309" s="503" t="e">
        <f t="shared" si="151"/>
        <v>#DIV/0!</v>
      </c>
      <c r="AR309" s="110">
        <v>53724</v>
      </c>
      <c r="AS309" s="98">
        <f t="shared" si="156"/>
        <v>0</v>
      </c>
      <c r="AT309" s="98">
        <f t="shared" si="157"/>
        <v>0</v>
      </c>
      <c r="AU309" s="98"/>
    </row>
    <row r="310" spans="1:47">
      <c r="A310" s="295">
        <v>45730</v>
      </c>
      <c r="B310" s="296"/>
      <c r="C310" s="312"/>
      <c r="D310" s="296"/>
      <c r="E310" s="312"/>
      <c r="F310" s="296"/>
      <c r="G310" s="312"/>
      <c r="H310" s="325"/>
      <c r="I310" s="312"/>
      <c r="J310" s="416"/>
      <c r="K310" s="369"/>
      <c r="L310" s="378"/>
      <c r="M310" s="312"/>
      <c r="N310" s="298"/>
      <c r="O310" s="312"/>
      <c r="P310" s="404" t="e">
        <f t="shared" si="152"/>
        <v>#DIV/0!</v>
      </c>
      <c r="Q310" s="312" t="e">
        <f t="shared" si="155"/>
        <v>#DIV/0!</v>
      </c>
      <c r="R310" s="298"/>
      <c r="S310" s="312"/>
      <c r="T310" s="298"/>
      <c r="U310" s="312"/>
      <c r="V310" s="454">
        <f t="shared" si="153"/>
        <v>0</v>
      </c>
      <c r="W310" s="312"/>
      <c r="X310" s="454">
        <f t="shared" si="154"/>
        <v>0</v>
      </c>
      <c r="Y310" s="312"/>
      <c r="Z310" s="379"/>
      <c r="AA310" s="297"/>
      <c r="AB310" s="379"/>
      <c r="AC310" s="297"/>
      <c r="AD310" s="413"/>
      <c r="AE310" s="297"/>
      <c r="AG310" s="294"/>
      <c r="AH310" s="380"/>
      <c r="AI310" s="408"/>
      <c r="AJ310" s="498"/>
      <c r="AK310" s="498"/>
      <c r="AL310" s="503" t="e">
        <f t="shared" si="149"/>
        <v>#DIV/0!</v>
      </c>
      <c r="AM310" s="498"/>
      <c r="AN310" s="503" t="e">
        <f t="shared" si="150"/>
        <v>#DIV/0!</v>
      </c>
      <c r="AO310" s="498"/>
      <c r="AP310" s="503" t="e">
        <f t="shared" si="151"/>
        <v>#DIV/0!</v>
      </c>
      <c r="AR310" s="110">
        <v>53752</v>
      </c>
      <c r="AS310" s="98">
        <f t="shared" si="156"/>
        <v>0</v>
      </c>
      <c r="AT310" s="98">
        <f t="shared" si="157"/>
        <v>0</v>
      </c>
      <c r="AU310" s="98"/>
    </row>
    <row r="311" spans="1:47">
      <c r="A311" s="295">
        <v>45733</v>
      </c>
      <c r="B311" s="296"/>
      <c r="C311" s="312"/>
      <c r="D311" s="296"/>
      <c r="E311" s="312"/>
      <c r="F311" s="296"/>
      <c r="G311" s="312"/>
      <c r="H311" s="325"/>
      <c r="I311" s="312"/>
      <c r="J311" s="416"/>
      <c r="K311" s="369"/>
      <c r="L311" s="378"/>
      <c r="M311" s="312"/>
      <c r="N311" s="298"/>
      <c r="O311" s="312"/>
      <c r="P311" s="404" t="e">
        <f t="shared" si="152"/>
        <v>#DIV/0!</v>
      </c>
      <c r="Q311" s="312" t="e">
        <f t="shared" si="155"/>
        <v>#DIV/0!</v>
      </c>
      <c r="R311" s="298"/>
      <c r="S311" s="312"/>
      <c r="T311" s="298"/>
      <c r="U311" s="312"/>
      <c r="V311" s="454">
        <f t="shared" si="153"/>
        <v>0</v>
      </c>
      <c r="W311" s="312"/>
      <c r="X311" s="454">
        <f t="shared" si="154"/>
        <v>0</v>
      </c>
      <c r="Y311" s="312"/>
      <c r="Z311" s="379"/>
      <c r="AA311" s="297"/>
      <c r="AB311" s="379"/>
      <c r="AC311" s="297"/>
      <c r="AD311" s="413"/>
      <c r="AE311" s="297"/>
      <c r="AG311" s="294"/>
      <c r="AH311" s="380"/>
      <c r="AI311" s="408"/>
      <c r="AJ311" s="498"/>
      <c r="AK311" s="498"/>
      <c r="AL311" s="503" t="e">
        <f t="shared" si="149"/>
        <v>#DIV/0!</v>
      </c>
      <c r="AM311" s="498"/>
      <c r="AN311" s="503" t="e">
        <f t="shared" si="150"/>
        <v>#DIV/0!</v>
      </c>
      <c r="AO311" s="498"/>
      <c r="AP311" s="503" t="e">
        <f t="shared" si="151"/>
        <v>#DIV/0!</v>
      </c>
      <c r="AR311" s="110">
        <v>53783</v>
      </c>
      <c r="AS311" s="98">
        <f t="shared" si="156"/>
        <v>0</v>
      </c>
      <c r="AT311" s="98">
        <f t="shared" si="157"/>
        <v>0</v>
      </c>
      <c r="AU311" s="98"/>
    </row>
    <row r="312" spans="1:47">
      <c r="A312" s="295">
        <v>45734</v>
      </c>
      <c r="B312" s="296"/>
      <c r="C312" s="312"/>
      <c r="D312" s="296"/>
      <c r="E312" s="312"/>
      <c r="F312" s="296"/>
      <c r="G312" s="312"/>
      <c r="H312" s="325"/>
      <c r="I312" s="312"/>
      <c r="J312" s="416"/>
      <c r="K312" s="369"/>
      <c r="L312" s="378"/>
      <c r="M312" s="312"/>
      <c r="N312" s="298"/>
      <c r="O312" s="312"/>
      <c r="P312" s="404" t="e">
        <f t="shared" si="152"/>
        <v>#DIV/0!</v>
      </c>
      <c r="Q312" s="312" t="e">
        <f t="shared" si="155"/>
        <v>#DIV/0!</v>
      </c>
      <c r="R312" s="298"/>
      <c r="S312" s="312"/>
      <c r="T312" s="298"/>
      <c r="U312" s="312"/>
      <c r="V312" s="454">
        <f t="shared" si="153"/>
        <v>0</v>
      </c>
      <c r="W312" s="312"/>
      <c r="X312" s="454">
        <f t="shared" si="154"/>
        <v>0</v>
      </c>
      <c r="Y312" s="312"/>
      <c r="Z312" s="379"/>
      <c r="AA312" s="297"/>
      <c r="AB312" s="379"/>
      <c r="AC312" s="297"/>
      <c r="AD312" s="413"/>
      <c r="AE312" s="297"/>
      <c r="AG312" s="294"/>
      <c r="AH312" s="380"/>
      <c r="AI312" s="408"/>
      <c r="AJ312" s="498"/>
      <c r="AK312" s="498"/>
      <c r="AL312" s="503" t="e">
        <f t="shared" si="149"/>
        <v>#DIV/0!</v>
      </c>
      <c r="AM312" s="498"/>
      <c r="AN312" s="503" t="e">
        <f t="shared" si="150"/>
        <v>#DIV/0!</v>
      </c>
      <c r="AO312" s="498"/>
      <c r="AP312" s="503" t="e">
        <f t="shared" si="151"/>
        <v>#DIV/0!</v>
      </c>
      <c r="AR312" s="110">
        <v>53813</v>
      </c>
      <c r="AS312" s="98">
        <f t="shared" si="156"/>
        <v>0</v>
      </c>
      <c r="AT312" s="98">
        <f t="shared" si="157"/>
        <v>0</v>
      </c>
      <c r="AU312" s="98"/>
    </row>
    <row r="313" spans="1:47">
      <c r="A313" s="295">
        <v>45735</v>
      </c>
      <c r="B313" s="296"/>
      <c r="C313" s="312"/>
      <c r="D313" s="296"/>
      <c r="E313" s="312"/>
      <c r="F313" s="296"/>
      <c r="G313" s="312"/>
      <c r="H313" s="325"/>
      <c r="I313" s="312"/>
      <c r="J313" s="416"/>
      <c r="K313" s="369"/>
      <c r="L313" s="378"/>
      <c r="M313" s="312"/>
      <c r="N313" s="298"/>
      <c r="O313" s="312"/>
      <c r="P313" s="404" t="e">
        <f t="shared" si="152"/>
        <v>#DIV/0!</v>
      </c>
      <c r="Q313" s="312" t="e">
        <f t="shared" si="155"/>
        <v>#DIV/0!</v>
      </c>
      <c r="R313" s="298"/>
      <c r="S313" s="312"/>
      <c r="T313" s="298"/>
      <c r="U313" s="312"/>
      <c r="V313" s="454">
        <f t="shared" si="153"/>
        <v>0</v>
      </c>
      <c r="W313" s="312"/>
      <c r="X313" s="454">
        <f t="shared" si="154"/>
        <v>0</v>
      </c>
      <c r="Y313" s="312"/>
      <c r="Z313" s="379"/>
      <c r="AA313" s="297"/>
      <c r="AB313" s="379"/>
      <c r="AC313" s="297"/>
      <c r="AD313" s="413"/>
      <c r="AE313" s="297"/>
      <c r="AG313" s="294"/>
      <c r="AH313" s="380"/>
      <c r="AI313" s="408"/>
      <c r="AJ313" s="498"/>
      <c r="AK313" s="498"/>
      <c r="AL313" s="503" t="e">
        <f t="shared" si="149"/>
        <v>#DIV/0!</v>
      </c>
      <c r="AM313" s="498"/>
      <c r="AN313" s="503" t="e">
        <f t="shared" si="150"/>
        <v>#DIV/0!</v>
      </c>
      <c r="AO313" s="498"/>
      <c r="AP313" s="503" t="e">
        <f t="shared" si="151"/>
        <v>#DIV/0!</v>
      </c>
      <c r="AR313" s="110">
        <v>53844</v>
      </c>
      <c r="AS313" s="98">
        <f t="shared" si="156"/>
        <v>0</v>
      </c>
      <c r="AT313" s="98">
        <f t="shared" si="157"/>
        <v>0</v>
      </c>
      <c r="AU313" s="98"/>
    </row>
    <row r="314" spans="1:47">
      <c r="A314" s="295">
        <v>45736</v>
      </c>
      <c r="B314" s="296"/>
      <c r="C314" s="312"/>
      <c r="D314" s="296"/>
      <c r="E314" s="312"/>
      <c r="F314" s="296"/>
      <c r="G314" s="312"/>
      <c r="H314" s="325"/>
      <c r="I314" s="312"/>
      <c r="J314" s="416"/>
      <c r="K314" s="369"/>
      <c r="L314" s="378"/>
      <c r="M314" s="312"/>
      <c r="N314" s="298"/>
      <c r="O314" s="312"/>
      <c r="P314" s="404" t="e">
        <f t="shared" si="152"/>
        <v>#DIV/0!</v>
      </c>
      <c r="Q314" s="312" t="e">
        <f t="shared" si="155"/>
        <v>#DIV/0!</v>
      </c>
      <c r="R314" s="298"/>
      <c r="S314" s="312"/>
      <c r="T314" s="298"/>
      <c r="U314" s="312"/>
      <c r="V314" s="454">
        <f t="shared" si="153"/>
        <v>0</v>
      </c>
      <c r="W314" s="312"/>
      <c r="X314" s="454">
        <f t="shared" si="154"/>
        <v>0</v>
      </c>
      <c r="Y314" s="312"/>
      <c r="Z314" s="379"/>
      <c r="AA314" s="297"/>
      <c r="AB314" s="379"/>
      <c r="AC314" s="297"/>
      <c r="AD314" s="413"/>
      <c r="AE314" s="297"/>
      <c r="AG314" s="294"/>
      <c r="AH314" s="380"/>
      <c r="AI314" s="408"/>
      <c r="AJ314" s="498"/>
      <c r="AK314" s="498"/>
      <c r="AL314" s="503" t="e">
        <f t="shared" si="149"/>
        <v>#DIV/0!</v>
      </c>
      <c r="AM314" s="498"/>
      <c r="AN314" s="503" t="e">
        <f t="shared" si="150"/>
        <v>#DIV/0!</v>
      </c>
      <c r="AO314" s="498"/>
      <c r="AP314" s="503" t="e">
        <f t="shared" si="151"/>
        <v>#DIV/0!</v>
      </c>
      <c r="AR314" s="110">
        <v>53874</v>
      </c>
      <c r="AS314" s="98">
        <f t="shared" si="156"/>
        <v>0</v>
      </c>
      <c r="AT314" s="98">
        <f t="shared" si="157"/>
        <v>0</v>
      </c>
      <c r="AU314" s="98"/>
    </row>
    <row r="315" spans="1:47">
      <c r="A315" s="295">
        <v>45737</v>
      </c>
      <c r="B315" s="296"/>
      <c r="C315" s="312"/>
      <c r="D315" s="296"/>
      <c r="E315" s="312"/>
      <c r="F315" s="296"/>
      <c r="G315" s="312"/>
      <c r="H315" s="325"/>
      <c r="I315" s="312"/>
      <c r="J315" s="416"/>
      <c r="K315" s="369"/>
      <c r="L315" s="378"/>
      <c r="M315" s="312"/>
      <c r="N315" s="298"/>
      <c r="O315" s="312"/>
      <c r="P315" s="404" t="e">
        <f t="shared" si="152"/>
        <v>#DIV/0!</v>
      </c>
      <c r="Q315" s="312" t="e">
        <f t="shared" si="155"/>
        <v>#DIV/0!</v>
      </c>
      <c r="R315" s="298"/>
      <c r="S315" s="312"/>
      <c r="T315" s="298"/>
      <c r="U315" s="312"/>
      <c r="V315" s="454">
        <f t="shared" si="153"/>
        <v>0</v>
      </c>
      <c r="W315" s="312"/>
      <c r="X315" s="454">
        <f t="shared" si="154"/>
        <v>0</v>
      </c>
      <c r="Y315" s="312"/>
      <c r="Z315" s="379"/>
      <c r="AA315" s="297"/>
      <c r="AB315" s="379"/>
      <c r="AC315" s="297"/>
      <c r="AD315" s="413"/>
      <c r="AE315" s="297"/>
      <c r="AG315" s="294"/>
      <c r="AH315" s="380"/>
      <c r="AI315" s="408"/>
      <c r="AJ315" s="498"/>
      <c r="AK315" s="498"/>
      <c r="AL315" s="503" t="e">
        <f t="shared" si="149"/>
        <v>#DIV/0!</v>
      </c>
      <c r="AM315" s="498"/>
      <c r="AN315" s="503" t="e">
        <f t="shared" si="150"/>
        <v>#DIV/0!</v>
      </c>
      <c r="AO315" s="498"/>
      <c r="AP315" s="503" t="e">
        <f t="shared" si="151"/>
        <v>#DIV/0!</v>
      </c>
      <c r="AR315" s="110">
        <v>53905</v>
      </c>
      <c r="AS315" s="98">
        <f t="shared" si="156"/>
        <v>0</v>
      </c>
      <c r="AT315" s="98">
        <f t="shared" si="157"/>
        <v>0</v>
      </c>
      <c r="AU315" s="98"/>
    </row>
    <row r="316" spans="1:47">
      <c r="A316" s="295">
        <v>45740</v>
      </c>
      <c r="B316" s="296"/>
      <c r="C316" s="312"/>
      <c r="D316" s="296"/>
      <c r="E316" s="312"/>
      <c r="F316" s="296"/>
      <c r="G316" s="312"/>
      <c r="H316" s="325"/>
      <c r="I316" s="312"/>
      <c r="J316" s="416"/>
      <c r="K316" s="369"/>
      <c r="L316" s="378"/>
      <c r="M316" s="312"/>
      <c r="N316" s="298"/>
      <c r="O316" s="312"/>
      <c r="P316" s="404" t="e">
        <f t="shared" si="152"/>
        <v>#DIV/0!</v>
      </c>
      <c r="Q316" s="312" t="e">
        <f t="shared" si="155"/>
        <v>#DIV/0!</v>
      </c>
      <c r="R316" s="298"/>
      <c r="S316" s="312"/>
      <c r="T316" s="298"/>
      <c r="U316" s="312"/>
      <c r="V316" s="454">
        <f t="shared" si="153"/>
        <v>0</v>
      </c>
      <c r="W316" s="312"/>
      <c r="X316" s="454">
        <f t="shared" si="154"/>
        <v>0</v>
      </c>
      <c r="Y316" s="312"/>
      <c r="Z316" s="379"/>
      <c r="AA316" s="297"/>
      <c r="AB316" s="379"/>
      <c r="AC316" s="297"/>
      <c r="AD316" s="413"/>
      <c r="AE316" s="297"/>
      <c r="AG316" s="294"/>
      <c r="AH316" s="380"/>
      <c r="AI316" s="408"/>
      <c r="AJ316" s="498"/>
      <c r="AK316" s="498"/>
      <c r="AL316" s="503" t="e">
        <f t="shared" si="149"/>
        <v>#DIV/0!</v>
      </c>
      <c r="AM316" s="498"/>
      <c r="AN316" s="503" t="e">
        <f t="shared" si="150"/>
        <v>#DIV/0!</v>
      </c>
      <c r="AO316" s="498"/>
      <c r="AP316" s="503" t="e">
        <f t="shared" si="151"/>
        <v>#DIV/0!</v>
      </c>
      <c r="AR316" s="110">
        <v>53936</v>
      </c>
      <c r="AS316" s="98">
        <f t="shared" si="156"/>
        <v>0</v>
      </c>
      <c r="AT316" s="98">
        <f t="shared" si="157"/>
        <v>0</v>
      </c>
      <c r="AU316" s="98"/>
    </row>
    <row r="317" spans="1:47">
      <c r="A317" s="295">
        <v>45741</v>
      </c>
      <c r="B317" s="296"/>
      <c r="C317" s="312"/>
      <c r="D317" s="296"/>
      <c r="E317" s="312"/>
      <c r="F317" s="296"/>
      <c r="G317" s="312"/>
      <c r="H317" s="325"/>
      <c r="I317" s="312"/>
      <c r="J317" s="416"/>
      <c r="K317" s="369"/>
      <c r="L317" s="378"/>
      <c r="M317" s="312"/>
      <c r="N317" s="298"/>
      <c r="O317" s="312"/>
      <c r="P317" s="404" t="e">
        <f t="shared" si="152"/>
        <v>#DIV/0!</v>
      </c>
      <c r="Q317" s="312" t="e">
        <f t="shared" si="155"/>
        <v>#DIV/0!</v>
      </c>
      <c r="R317" s="298"/>
      <c r="S317" s="312"/>
      <c r="T317" s="298"/>
      <c r="U317" s="312"/>
      <c r="V317" s="454">
        <f t="shared" si="153"/>
        <v>0</v>
      </c>
      <c r="W317" s="312"/>
      <c r="X317" s="454">
        <f t="shared" si="154"/>
        <v>0</v>
      </c>
      <c r="Y317" s="312"/>
      <c r="Z317" s="379"/>
      <c r="AA317" s="297"/>
      <c r="AB317" s="379"/>
      <c r="AC317" s="297"/>
      <c r="AD317" s="413"/>
      <c r="AE317" s="297"/>
      <c r="AG317" s="294"/>
      <c r="AH317" s="380"/>
      <c r="AI317" s="408"/>
      <c r="AJ317" s="498"/>
      <c r="AK317" s="498"/>
      <c r="AL317" s="503" t="e">
        <f t="shared" si="149"/>
        <v>#DIV/0!</v>
      </c>
      <c r="AM317" s="498"/>
      <c r="AN317" s="503" t="e">
        <f t="shared" si="150"/>
        <v>#DIV/0!</v>
      </c>
      <c r="AO317" s="498"/>
      <c r="AP317" s="503" t="e">
        <f t="shared" si="151"/>
        <v>#DIV/0!</v>
      </c>
      <c r="AR317" s="110">
        <v>53966</v>
      </c>
      <c r="AS317" s="98">
        <f t="shared" si="156"/>
        <v>0</v>
      </c>
      <c r="AT317" s="98">
        <f t="shared" si="157"/>
        <v>0</v>
      </c>
      <c r="AU317" s="98"/>
    </row>
    <row r="318" spans="1:47">
      <c r="A318" s="295">
        <v>45742</v>
      </c>
      <c r="B318" s="296"/>
      <c r="C318" s="312"/>
      <c r="D318" s="296"/>
      <c r="E318" s="312"/>
      <c r="F318" s="296"/>
      <c r="G318" s="312"/>
      <c r="H318" s="325"/>
      <c r="I318" s="312"/>
      <c r="J318" s="416"/>
      <c r="K318" s="369"/>
      <c r="L318" s="378"/>
      <c r="M318" s="312"/>
      <c r="N318" s="298"/>
      <c r="O318" s="312"/>
      <c r="P318" s="404" t="e">
        <f t="shared" si="152"/>
        <v>#DIV/0!</v>
      </c>
      <c r="Q318" s="312" t="e">
        <f t="shared" si="155"/>
        <v>#DIV/0!</v>
      </c>
      <c r="R318" s="298"/>
      <c r="S318" s="312"/>
      <c r="T318" s="298"/>
      <c r="U318" s="312"/>
      <c r="V318" s="454">
        <f t="shared" si="153"/>
        <v>0</v>
      </c>
      <c r="W318" s="312"/>
      <c r="X318" s="454">
        <f t="shared" si="154"/>
        <v>0</v>
      </c>
      <c r="Y318" s="312"/>
      <c r="Z318" s="379"/>
      <c r="AA318" s="297"/>
      <c r="AB318" s="379"/>
      <c r="AC318" s="297"/>
      <c r="AD318" s="413"/>
      <c r="AE318" s="297"/>
      <c r="AG318" s="294"/>
      <c r="AH318" s="380"/>
      <c r="AI318" s="408"/>
      <c r="AJ318" s="498"/>
      <c r="AK318" s="498"/>
      <c r="AL318" s="503" t="e">
        <f t="shared" si="149"/>
        <v>#DIV/0!</v>
      </c>
      <c r="AM318" s="498"/>
      <c r="AN318" s="503" t="e">
        <f t="shared" si="150"/>
        <v>#DIV/0!</v>
      </c>
      <c r="AO318" s="498"/>
      <c r="AP318" s="503" t="e">
        <f t="shared" si="151"/>
        <v>#DIV/0!</v>
      </c>
      <c r="AR318" s="110">
        <v>53997</v>
      </c>
      <c r="AS318" s="98">
        <f t="shared" si="156"/>
        <v>0</v>
      </c>
      <c r="AT318" s="98">
        <f t="shared" si="157"/>
        <v>0</v>
      </c>
      <c r="AU318" s="98"/>
    </row>
    <row r="319" spans="1:47">
      <c r="A319" s="295">
        <v>45743</v>
      </c>
      <c r="B319" s="296"/>
      <c r="C319" s="312"/>
      <c r="D319" s="296"/>
      <c r="E319" s="312"/>
      <c r="F319" s="296"/>
      <c r="G319" s="312"/>
      <c r="H319" s="325"/>
      <c r="I319" s="312"/>
      <c r="J319" s="416"/>
      <c r="K319" s="369"/>
      <c r="L319" s="378"/>
      <c r="M319" s="312"/>
      <c r="N319" s="298"/>
      <c r="O319" s="312"/>
      <c r="P319" s="404" t="e">
        <f t="shared" si="152"/>
        <v>#DIV/0!</v>
      </c>
      <c r="Q319" s="312" t="e">
        <f t="shared" si="155"/>
        <v>#DIV/0!</v>
      </c>
      <c r="R319" s="298"/>
      <c r="S319" s="312"/>
      <c r="T319" s="298"/>
      <c r="U319" s="312"/>
      <c r="V319" s="454">
        <f t="shared" si="153"/>
        <v>0</v>
      </c>
      <c r="W319" s="312"/>
      <c r="X319" s="454">
        <f t="shared" si="154"/>
        <v>0</v>
      </c>
      <c r="Y319" s="312"/>
      <c r="Z319" s="379"/>
      <c r="AA319" s="297"/>
      <c r="AB319" s="379"/>
      <c r="AC319" s="297"/>
      <c r="AD319" s="413"/>
      <c r="AE319" s="297"/>
      <c r="AG319" s="294"/>
      <c r="AH319" s="380"/>
      <c r="AI319" s="408"/>
      <c r="AJ319" s="498"/>
      <c r="AK319" s="498"/>
      <c r="AL319" s="503" t="e">
        <f t="shared" si="149"/>
        <v>#DIV/0!</v>
      </c>
      <c r="AM319" s="498"/>
      <c r="AN319" s="503" t="e">
        <f t="shared" si="150"/>
        <v>#DIV/0!</v>
      </c>
      <c r="AO319" s="498"/>
      <c r="AP319" s="503" t="e">
        <f t="shared" si="151"/>
        <v>#DIV/0!</v>
      </c>
      <c r="AR319" s="110">
        <v>54027</v>
      </c>
      <c r="AS319" s="98">
        <f t="shared" si="156"/>
        <v>0</v>
      </c>
      <c r="AT319" s="98">
        <f t="shared" si="157"/>
        <v>0</v>
      </c>
      <c r="AU319" s="98"/>
    </row>
    <row r="320" spans="1:47">
      <c r="A320" s="295">
        <v>45744</v>
      </c>
      <c r="B320" s="296"/>
      <c r="C320" s="312"/>
      <c r="D320" s="296"/>
      <c r="E320" s="312"/>
      <c r="F320" s="296"/>
      <c r="G320" s="312"/>
      <c r="H320" s="325"/>
      <c r="I320" s="312"/>
      <c r="J320" s="416"/>
      <c r="K320" s="369"/>
      <c r="L320" s="378"/>
      <c r="M320" s="312"/>
      <c r="N320" s="298"/>
      <c r="O320" s="312"/>
      <c r="P320" s="404" t="e">
        <f t="shared" si="152"/>
        <v>#DIV/0!</v>
      </c>
      <c r="Q320" s="312" t="e">
        <f t="shared" si="155"/>
        <v>#DIV/0!</v>
      </c>
      <c r="R320" s="298"/>
      <c r="S320" s="312"/>
      <c r="T320" s="298"/>
      <c r="U320" s="312"/>
      <c r="V320" s="454">
        <f t="shared" si="153"/>
        <v>0</v>
      </c>
      <c r="W320" s="312"/>
      <c r="X320" s="454">
        <f t="shared" si="154"/>
        <v>0</v>
      </c>
      <c r="Y320" s="312"/>
      <c r="Z320" s="379"/>
      <c r="AA320" s="297"/>
      <c r="AB320" s="379"/>
      <c r="AC320" s="297"/>
      <c r="AD320" s="413"/>
      <c r="AE320" s="297"/>
      <c r="AG320" s="294"/>
      <c r="AH320" s="380"/>
      <c r="AI320" s="408"/>
      <c r="AJ320" s="498"/>
      <c r="AK320" s="498"/>
      <c r="AL320" s="503" t="e">
        <f t="shared" si="149"/>
        <v>#DIV/0!</v>
      </c>
      <c r="AM320" s="498"/>
      <c r="AN320" s="503" t="e">
        <f t="shared" si="150"/>
        <v>#DIV/0!</v>
      </c>
      <c r="AO320" s="498"/>
      <c r="AP320" s="503" t="e">
        <f t="shared" si="151"/>
        <v>#DIV/0!</v>
      </c>
      <c r="AR320" s="110">
        <v>54058</v>
      </c>
      <c r="AS320" s="98">
        <f t="shared" si="156"/>
        <v>0</v>
      </c>
      <c r="AT320" s="98">
        <f t="shared" si="157"/>
        <v>0</v>
      </c>
      <c r="AU320" s="98"/>
    </row>
    <row r="321" spans="1:47">
      <c r="A321" s="295">
        <v>45747</v>
      </c>
      <c r="B321" s="296"/>
      <c r="C321" s="312"/>
      <c r="D321" s="296"/>
      <c r="E321" s="312"/>
      <c r="F321" s="296"/>
      <c r="G321" s="312"/>
      <c r="H321" s="325"/>
      <c r="I321" s="312"/>
      <c r="J321" s="416"/>
      <c r="K321" s="369"/>
      <c r="L321" s="378"/>
      <c r="M321" s="312"/>
      <c r="N321" s="298"/>
      <c r="O321" s="312"/>
      <c r="P321" s="404" t="e">
        <f t="shared" si="152"/>
        <v>#DIV/0!</v>
      </c>
      <c r="Q321" s="312" t="e">
        <f t="shared" si="155"/>
        <v>#DIV/0!</v>
      </c>
      <c r="R321" s="298"/>
      <c r="S321" s="312"/>
      <c r="T321" s="298"/>
      <c r="U321" s="312"/>
      <c r="V321" s="454">
        <f t="shared" si="153"/>
        <v>0</v>
      </c>
      <c r="W321" s="312"/>
      <c r="X321" s="454">
        <f t="shared" si="154"/>
        <v>0</v>
      </c>
      <c r="Y321" s="312"/>
      <c r="Z321" s="379"/>
      <c r="AA321" s="297"/>
      <c r="AB321" s="379"/>
      <c r="AC321" s="297"/>
      <c r="AD321" s="413"/>
      <c r="AE321" s="297"/>
      <c r="AG321" s="294"/>
      <c r="AH321" s="380"/>
      <c r="AI321" s="408"/>
      <c r="AJ321" s="498"/>
      <c r="AK321" s="498"/>
      <c r="AL321" s="503" t="e">
        <f t="shared" si="149"/>
        <v>#DIV/0!</v>
      </c>
      <c r="AM321" s="498"/>
      <c r="AN321" s="503" t="e">
        <f t="shared" si="150"/>
        <v>#DIV/0!</v>
      </c>
      <c r="AO321" s="498"/>
      <c r="AP321" s="503" t="e">
        <f t="shared" si="151"/>
        <v>#DIV/0!</v>
      </c>
      <c r="AR321" s="110">
        <v>54089</v>
      </c>
      <c r="AS321" s="98">
        <f t="shared" si="156"/>
        <v>0</v>
      </c>
      <c r="AT321" s="98">
        <f t="shared" si="157"/>
        <v>0</v>
      </c>
      <c r="AU321" s="98"/>
    </row>
    <row r="322" spans="1:47">
      <c r="A322" s="295">
        <v>45748</v>
      </c>
      <c r="B322" s="296"/>
      <c r="C322" s="312"/>
      <c r="D322" s="296"/>
      <c r="E322" s="312"/>
      <c r="F322" s="296"/>
      <c r="G322" s="312"/>
      <c r="H322" s="325"/>
      <c r="I322" s="312"/>
      <c r="J322" s="416"/>
      <c r="K322" s="369"/>
      <c r="L322" s="378"/>
      <c r="M322" s="312"/>
      <c r="N322" s="298"/>
      <c r="O322" s="312"/>
      <c r="P322" s="404" t="e">
        <f t="shared" si="152"/>
        <v>#DIV/0!</v>
      </c>
      <c r="Q322" s="312" t="e">
        <f t="shared" si="155"/>
        <v>#DIV/0!</v>
      </c>
      <c r="R322" s="298"/>
      <c r="S322" s="312"/>
      <c r="T322" s="298"/>
      <c r="U322" s="312"/>
      <c r="V322" s="454">
        <f t="shared" si="153"/>
        <v>0</v>
      </c>
      <c r="W322" s="312"/>
      <c r="X322" s="454">
        <f t="shared" si="154"/>
        <v>0</v>
      </c>
      <c r="Y322" s="312"/>
      <c r="Z322" s="379"/>
      <c r="AA322" s="297"/>
      <c r="AB322" s="379"/>
      <c r="AC322" s="297"/>
      <c r="AD322" s="413"/>
      <c r="AE322" s="297"/>
      <c r="AG322" s="294"/>
      <c r="AH322" s="380"/>
      <c r="AI322" s="408"/>
      <c r="AJ322" s="498"/>
      <c r="AK322" s="498"/>
      <c r="AL322" s="503" t="e">
        <f t="shared" si="149"/>
        <v>#DIV/0!</v>
      </c>
      <c r="AM322" s="498"/>
      <c r="AN322" s="503" t="e">
        <f t="shared" si="150"/>
        <v>#DIV/0!</v>
      </c>
      <c r="AO322" s="498"/>
      <c r="AP322" s="503" t="e">
        <f t="shared" si="151"/>
        <v>#DIV/0!</v>
      </c>
      <c r="AR322" s="110">
        <v>54118</v>
      </c>
      <c r="AS322" s="98">
        <f t="shared" si="156"/>
        <v>0</v>
      </c>
      <c r="AT322" s="98">
        <f t="shared" si="157"/>
        <v>0</v>
      </c>
      <c r="AU322" s="98"/>
    </row>
    <row r="323" spans="1:47">
      <c r="A323" s="295">
        <v>45749</v>
      </c>
      <c r="B323" s="296"/>
      <c r="C323" s="312"/>
      <c r="D323" s="296"/>
      <c r="E323" s="312"/>
      <c r="F323" s="296"/>
      <c r="G323" s="312"/>
      <c r="H323" s="325"/>
      <c r="I323" s="312"/>
      <c r="J323" s="416"/>
      <c r="K323" s="369"/>
      <c r="L323" s="378"/>
      <c r="M323" s="312"/>
      <c r="N323" s="298"/>
      <c r="O323" s="312"/>
      <c r="P323" s="404" t="e">
        <f t="shared" si="152"/>
        <v>#DIV/0!</v>
      </c>
      <c r="Q323" s="312" t="e">
        <f t="shared" si="155"/>
        <v>#DIV/0!</v>
      </c>
      <c r="R323" s="298"/>
      <c r="S323" s="312"/>
      <c r="T323" s="298"/>
      <c r="U323" s="312"/>
      <c r="V323" s="454">
        <f t="shared" si="153"/>
        <v>0</v>
      </c>
      <c r="W323" s="312"/>
      <c r="X323" s="454">
        <f t="shared" si="154"/>
        <v>0</v>
      </c>
      <c r="Y323" s="312"/>
      <c r="Z323" s="379"/>
      <c r="AA323" s="297"/>
      <c r="AB323" s="379"/>
      <c r="AC323" s="297"/>
      <c r="AD323" s="413"/>
      <c r="AE323" s="297"/>
      <c r="AG323" s="294"/>
      <c r="AH323" s="380"/>
      <c r="AI323" s="408"/>
      <c r="AJ323" s="498"/>
      <c r="AK323" s="498"/>
      <c r="AL323" s="503" t="e">
        <f t="shared" si="149"/>
        <v>#DIV/0!</v>
      </c>
      <c r="AM323" s="498"/>
      <c r="AN323" s="503" t="e">
        <f t="shared" si="150"/>
        <v>#DIV/0!</v>
      </c>
      <c r="AO323" s="498"/>
      <c r="AP323" s="503" t="e">
        <f t="shared" si="151"/>
        <v>#DIV/0!</v>
      </c>
      <c r="AR323" s="110">
        <v>54149</v>
      </c>
      <c r="AS323" s="98">
        <f t="shared" si="156"/>
        <v>0</v>
      </c>
      <c r="AT323" s="98">
        <f t="shared" si="157"/>
        <v>0</v>
      </c>
      <c r="AU323" s="98"/>
    </row>
    <row r="324" spans="1:47">
      <c r="A324" s="295">
        <v>45750</v>
      </c>
      <c r="B324" s="296"/>
      <c r="C324" s="312"/>
      <c r="D324" s="296"/>
      <c r="E324" s="312"/>
      <c r="F324" s="296"/>
      <c r="G324" s="312"/>
      <c r="H324" s="325"/>
      <c r="I324" s="312"/>
      <c r="J324" s="416"/>
      <c r="K324" s="369"/>
      <c r="L324" s="378"/>
      <c r="M324" s="312"/>
      <c r="N324" s="298"/>
      <c r="O324" s="312"/>
      <c r="P324" s="404" t="e">
        <f t="shared" si="152"/>
        <v>#DIV/0!</v>
      </c>
      <c r="Q324" s="312" t="e">
        <f t="shared" si="155"/>
        <v>#DIV/0!</v>
      </c>
      <c r="R324" s="298"/>
      <c r="S324" s="312"/>
      <c r="T324" s="298"/>
      <c r="U324" s="312"/>
      <c r="V324" s="454">
        <f t="shared" si="153"/>
        <v>0</v>
      </c>
      <c r="W324" s="312"/>
      <c r="X324" s="454">
        <f t="shared" si="154"/>
        <v>0</v>
      </c>
      <c r="Y324" s="312"/>
      <c r="Z324" s="379"/>
      <c r="AA324" s="297"/>
      <c r="AB324" s="379"/>
      <c r="AC324" s="297"/>
      <c r="AD324" s="413"/>
      <c r="AE324" s="297"/>
      <c r="AG324" s="294"/>
      <c r="AH324" s="380"/>
      <c r="AI324" s="408"/>
      <c r="AJ324" s="498"/>
      <c r="AK324" s="498"/>
      <c r="AL324" s="503" t="e">
        <f t="shared" ref="AL324:AL387" si="158">AK324/AG324</f>
        <v>#DIV/0!</v>
      </c>
      <c r="AM324" s="498"/>
      <c r="AN324" s="503" t="e">
        <f t="shared" ref="AN324:AN387" si="159">AM324/AG324</f>
        <v>#DIV/0!</v>
      </c>
      <c r="AO324" s="498"/>
      <c r="AP324" s="503" t="e">
        <f t="shared" ref="AP324:AP387" si="160">AO324/AG324</f>
        <v>#DIV/0!</v>
      </c>
      <c r="AR324" s="110">
        <v>54179</v>
      </c>
      <c r="AS324" s="98">
        <f t="shared" si="156"/>
        <v>0</v>
      </c>
      <c r="AT324" s="98">
        <f t="shared" si="157"/>
        <v>0</v>
      </c>
      <c r="AU324" s="98"/>
    </row>
    <row r="325" spans="1:47">
      <c r="A325" s="295">
        <v>45751</v>
      </c>
      <c r="B325" s="296"/>
      <c r="C325" s="312"/>
      <c r="D325" s="296"/>
      <c r="E325" s="312"/>
      <c r="F325" s="296"/>
      <c r="G325" s="312"/>
      <c r="H325" s="325"/>
      <c r="I325" s="312"/>
      <c r="J325" s="416"/>
      <c r="K325" s="369"/>
      <c r="L325" s="378"/>
      <c r="M325" s="312"/>
      <c r="N325" s="298"/>
      <c r="O325" s="312"/>
      <c r="P325" s="404" t="e">
        <f t="shared" ref="P325:P388" si="161">P324+P324*Q324</f>
        <v>#DIV/0!</v>
      </c>
      <c r="Q325" s="312" t="e">
        <f t="shared" si="155"/>
        <v>#DIV/0!</v>
      </c>
      <c r="R325" s="298"/>
      <c r="S325" s="312"/>
      <c r="T325" s="298"/>
      <c r="U325" s="312"/>
      <c r="V325" s="454">
        <f t="shared" ref="V325:V388" si="162">V324</f>
        <v>0</v>
      </c>
      <c r="W325" s="312"/>
      <c r="X325" s="454">
        <f t="shared" ref="X325:X388" si="163">X324</f>
        <v>0</v>
      </c>
      <c r="Y325" s="312"/>
      <c r="Z325" s="379"/>
      <c r="AA325" s="297"/>
      <c r="AB325" s="379"/>
      <c r="AC325" s="297"/>
      <c r="AD325" s="413"/>
      <c r="AE325" s="297"/>
      <c r="AG325" s="294"/>
      <c r="AH325" s="380"/>
      <c r="AI325" s="408"/>
      <c r="AJ325" s="498"/>
      <c r="AK325" s="498"/>
      <c r="AL325" s="503" t="e">
        <f t="shared" si="158"/>
        <v>#DIV/0!</v>
      </c>
      <c r="AM325" s="498"/>
      <c r="AN325" s="503" t="e">
        <f t="shared" si="159"/>
        <v>#DIV/0!</v>
      </c>
      <c r="AO325" s="498"/>
      <c r="AP325" s="503" t="e">
        <f t="shared" si="160"/>
        <v>#DIV/0!</v>
      </c>
      <c r="AR325" s="110">
        <v>54210</v>
      </c>
      <c r="AS325" s="98">
        <f t="shared" si="156"/>
        <v>0</v>
      </c>
      <c r="AT325" s="98">
        <f t="shared" si="157"/>
        <v>0</v>
      </c>
      <c r="AU325" s="98"/>
    </row>
    <row r="326" spans="1:47">
      <c r="A326" s="295">
        <v>45754</v>
      </c>
      <c r="B326" s="296"/>
      <c r="C326" s="312"/>
      <c r="D326" s="296"/>
      <c r="E326" s="312"/>
      <c r="F326" s="296"/>
      <c r="G326" s="312"/>
      <c r="H326" s="325"/>
      <c r="I326" s="312"/>
      <c r="J326" s="416"/>
      <c r="K326" s="369"/>
      <c r="L326" s="378"/>
      <c r="M326" s="312"/>
      <c r="N326" s="298"/>
      <c r="O326" s="312"/>
      <c r="P326" s="404" t="e">
        <f t="shared" si="161"/>
        <v>#DIV/0!</v>
      </c>
      <c r="Q326" s="312" t="e">
        <f t="shared" si="155"/>
        <v>#DIV/0!</v>
      </c>
      <c r="R326" s="298"/>
      <c r="S326" s="312"/>
      <c r="T326" s="298"/>
      <c r="U326" s="312"/>
      <c r="V326" s="454">
        <f t="shared" si="162"/>
        <v>0</v>
      </c>
      <c r="W326" s="312"/>
      <c r="X326" s="454">
        <f t="shared" si="163"/>
        <v>0</v>
      </c>
      <c r="Y326" s="312"/>
      <c r="Z326" s="379"/>
      <c r="AA326" s="297"/>
      <c r="AB326" s="379"/>
      <c r="AC326" s="297"/>
      <c r="AD326" s="413"/>
      <c r="AE326" s="297"/>
      <c r="AG326" s="294"/>
      <c r="AH326" s="380"/>
      <c r="AI326" s="408"/>
      <c r="AJ326" s="498"/>
      <c r="AK326" s="498"/>
      <c r="AL326" s="503" t="e">
        <f t="shared" si="158"/>
        <v>#DIV/0!</v>
      </c>
      <c r="AM326" s="498"/>
      <c r="AN326" s="503" t="e">
        <f t="shared" si="159"/>
        <v>#DIV/0!</v>
      </c>
      <c r="AO326" s="498"/>
      <c r="AP326" s="503" t="e">
        <f t="shared" si="160"/>
        <v>#DIV/0!</v>
      </c>
      <c r="AR326" s="110">
        <v>54240</v>
      </c>
      <c r="AS326" s="98">
        <f t="shared" si="156"/>
        <v>0</v>
      </c>
      <c r="AT326" s="98">
        <f t="shared" si="157"/>
        <v>0</v>
      </c>
      <c r="AU326" s="98"/>
    </row>
    <row r="327" spans="1:47">
      <c r="A327" s="295">
        <v>45755</v>
      </c>
      <c r="B327" s="296"/>
      <c r="C327" s="312"/>
      <c r="D327" s="296"/>
      <c r="E327" s="312"/>
      <c r="F327" s="296"/>
      <c r="G327" s="312"/>
      <c r="H327" s="325"/>
      <c r="I327" s="312"/>
      <c r="J327" s="416"/>
      <c r="K327" s="369"/>
      <c r="L327" s="378"/>
      <c r="M327" s="312"/>
      <c r="N327" s="298"/>
      <c r="O327" s="312"/>
      <c r="P327" s="404" t="e">
        <f t="shared" si="161"/>
        <v>#DIV/0!</v>
      </c>
      <c r="Q327" s="312" t="e">
        <f t="shared" si="155"/>
        <v>#DIV/0!</v>
      </c>
      <c r="R327" s="298"/>
      <c r="S327" s="312"/>
      <c r="T327" s="298"/>
      <c r="U327" s="312"/>
      <c r="V327" s="454">
        <f t="shared" si="162"/>
        <v>0</v>
      </c>
      <c r="W327" s="312"/>
      <c r="X327" s="454">
        <f t="shared" si="163"/>
        <v>0</v>
      </c>
      <c r="Y327" s="312"/>
      <c r="Z327" s="379"/>
      <c r="AA327" s="297"/>
      <c r="AB327" s="379"/>
      <c r="AC327" s="297"/>
      <c r="AD327" s="413"/>
      <c r="AE327" s="297"/>
      <c r="AG327" s="294"/>
      <c r="AH327" s="380"/>
      <c r="AI327" s="408"/>
      <c r="AJ327" s="498"/>
      <c r="AK327" s="498"/>
      <c r="AL327" s="503" t="e">
        <f t="shared" si="158"/>
        <v>#DIV/0!</v>
      </c>
      <c r="AM327" s="498"/>
      <c r="AN327" s="503" t="e">
        <f t="shared" si="159"/>
        <v>#DIV/0!</v>
      </c>
      <c r="AO327" s="498"/>
      <c r="AP327" s="503" t="e">
        <f t="shared" si="160"/>
        <v>#DIV/0!</v>
      </c>
      <c r="AR327" s="110">
        <v>54271</v>
      </c>
      <c r="AS327" s="98">
        <f t="shared" si="156"/>
        <v>0</v>
      </c>
      <c r="AT327" s="98">
        <f t="shared" si="157"/>
        <v>0</v>
      </c>
      <c r="AU327" s="98"/>
    </row>
    <row r="328" spans="1:47">
      <c r="A328" s="295">
        <v>45756</v>
      </c>
      <c r="B328" s="296"/>
      <c r="C328" s="312"/>
      <c r="D328" s="296"/>
      <c r="E328" s="312"/>
      <c r="F328" s="296"/>
      <c r="G328" s="312"/>
      <c r="H328" s="325"/>
      <c r="I328" s="312"/>
      <c r="J328" s="416"/>
      <c r="K328" s="369"/>
      <c r="L328" s="378"/>
      <c r="M328" s="312"/>
      <c r="N328" s="298"/>
      <c r="O328" s="312"/>
      <c r="P328" s="404" t="e">
        <f t="shared" si="161"/>
        <v>#DIV/0!</v>
      </c>
      <c r="Q328" s="312" t="e">
        <f t="shared" si="155"/>
        <v>#DIV/0!</v>
      </c>
      <c r="R328" s="298"/>
      <c r="S328" s="312"/>
      <c r="T328" s="298"/>
      <c r="U328" s="312"/>
      <c r="V328" s="454">
        <f t="shared" si="162"/>
        <v>0</v>
      </c>
      <c r="W328" s="312"/>
      <c r="X328" s="454">
        <f t="shared" si="163"/>
        <v>0</v>
      </c>
      <c r="Y328" s="312"/>
      <c r="Z328" s="379"/>
      <c r="AA328" s="297"/>
      <c r="AB328" s="379"/>
      <c r="AC328" s="297"/>
      <c r="AD328" s="413"/>
      <c r="AE328" s="297"/>
      <c r="AG328" s="294"/>
      <c r="AH328" s="380"/>
      <c r="AI328" s="408"/>
      <c r="AJ328" s="498"/>
      <c r="AK328" s="498"/>
      <c r="AL328" s="503" t="e">
        <f t="shared" si="158"/>
        <v>#DIV/0!</v>
      </c>
      <c r="AM328" s="498"/>
      <c r="AN328" s="503" t="e">
        <f t="shared" si="159"/>
        <v>#DIV/0!</v>
      </c>
      <c r="AO328" s="498"/>
      <c r="AP328" s="503" t="e">
        <f t="shared" si="160"/>
        <v>#DIV/0!</v>
      </c>
      <c r="AR328" s="110">
        <v>54302</v>
      </c>
      <c r="AS328" s="98">
        <f t="shared" si="156"/>
        <v>0</v>
      </c>
      <c r="AT328" s="98">
        <f t="shared" si="157"/>
        <v>0</v>
      </c>
      <c r="AU328" s="98"/>
    </row>
    <row r="329" spans="1:47">
      <c r="A329" s="295">
        <v>45757</v>
      </c>
      <c r="B329" s="296"/>
      <c r="C329" s="312"/>
      <c r="D329" s="296"/>
      <c r="E329" s="312"/>
      <c r="F329" s="296"/>
      <c r="G329" s="312"/>
      <c r="H329" s="325"/>
      <c r="I329" s="312"/>
      <c r="J329" s="416"/>
      <c r="K329" s="369"/>
      <c r="L329" s="378"/>
      <c r="M329" s="312"/>
      <c r="N329" s="298"/>
      <c r="O329" s="312"/>
      <c r="P329" s="404" t="e">
        <f t="shared" si="161"/>
        <v>#DIV/0!</v>
      </c>
      <c r="Q329" s="312" t="e">
        <f t="shared" si="155"/>
        <v>#DIV/0!</v>
      </c>
      <c r="R329" s="298"/>
      <c r="S329" s="312"/>
      <c r="T329" s="298"/>
      <c r="U329" s="312"/>
      <c r="V329" s="454">
        <f t="shared" si="162"/>
        <v>0</v>
      </c>
      <c r="W329" s="312"/>
      <c r="X329" s="454">
        <f t="shared" si="163"/>
        <v>0</v>
      </c>
      <c r="Y329" s="312"/>
      <c r="Z329" s="379"/>
      <c r="AA329" s="297"/>
      <c r="AB329" s="379"/>
      <c r="AC329" s="297"/>
      <c r="AD329" s="413"/>
      <c r="AE329" s="297"/>
      <c r="AG329" s="294"/>
      <c r="AH329" s="380"/>
      <c r="AI329" s="408"/>
      <c r="AJ329" s="498"/>
      <c r="AK329" s="498"/>
      <c r="AL329" s="503" t="e">
        <f t="shared" si="158"/>
        <v>#DIV/0!</v>
      </c>
      <c r="AM329" s="498"/>
      <c r="AN329" s="503" t="e">
        <f t="shared" si="159"/>
        <v>#DIV/0!</v>
      </c>
      <c r="AO329" s="498"/>
      <c r="AP329" s="503" t="e">
        <f t="shared" si="160"/>
        <v>#DIV/0!</v>
      </c>
      <c r="AR329" s="110">
        <v>54332</v>
      </c>
      <c r="AS329" s="98">
        <f t="shared" si="156"/>
        <v>0</v>
      </c>
      <c r="AT329" s="98">
        <f t="shared" si="157"/>
        <v>0</v>
      </c>
      <c r="AU329" s="98"/>
    </row>
    <row r="330" spans="1:47">
      <c r="A330" s="295">
        <v>45758</v>
      </c>
      <c r="B330" s="296"/>
      <c r="C330" s="312"/>
      <c r="D330" s="296"/>
      <c r="E330" s="312"/>
      <c r="F330" s="296"/>
      <c r="G330" s="312"/>
      <c r="H330" s="325"/>
      <c r="I330" s="312"/>
      <c r="J330" s="416"/>
      <c r="K330" s="369"/>
      <c r="L330" s="378"/>
      <c r="M330" s="312"/>
      <c r="N330" s="298"/>
      <c r="O330" s="312"/>
      <c r="P330" s="404" t="e">
        <f t="shared" si="161"/>
        <v>#DIV/0!</v>
      </c>
      <c r="Q330" s="312" t="e">
        <f t="shared" si="155"/>
        <v>#DIV/0!</v>
      </c>
      <c r="R330" s="298"/>
      <c r="S330" s="312"/>
      <c r="T330" s="298"/>
      <c r="U330" s="312"/>
      <c r="V330" s="454">
        <f t="shared" si="162"/>
        <v>0</v>
      </c>
      <c r="W330" s="312"/>
      <c r="X330" s="454">
        <f t="shared" si="163"/>
        <v>0</v>
      </c>
      <c r="Y330" s="312"/>
      <c r="Z330" s="379"/>
      <c r="AA330" s="297"/>
      <c r="AB330" s="379"/>
      <c r="AC330" s="297"/>
      <c r="AD330" s="413"/>
      <c r="AE330" s="297"/>
      <c r="AG330" s="294"/>
      <c r="AH330" s="380"/>
      <c r="AI330" s="408"/>
      <c r="AJ330" s="498"/>
      <c r="AK330" s="498"/>
      <c r="AL330" s="503" t="e">
        <f t="shared" si="158"/>
        <v>#DIV/0!</v>
      </c>
      <c r="AM330" s="498"/>
      <c r="AN330" s="503" t="e">
        <f t="shared" si="159"/>
        <v>#DIV/0!</v>
      </c>
      <c r="AO330" s="498"/>
      <c r="AP330" s="503" t="e">
        <f t="shared" si="160"/>
        <v>#DIV/0!</v>
      </c>
      <c r="AR330" s="110">
        <v>54363</v>
      </c>
      <c r="AS330" s="98">
        <f t="shared" si="156"/>
        <v>0</v>
      </c>
      <c r="AT330" s="98">
        <f t="shared" si="157"/>
        <v>0</v>
      </c>
      <c r="AU330" s="98"/>
    </row>
    <row r="331" spans="1:47">
      <c r="A331" s="295">
        <v>45761</v>
      </c>
      <c r="B331" s="296"/>
      <c r="C331" s="312"/>
      <c r="D331" s="296"/>
      <c r="E331" s="312"/>
      <c r="F331" s="296"/>
      <c r="G331" s="312"/>
      <c r="H331" s="325"/>
      <c r="I331" s="312"/>
      <c r="J331" s="416"/>
      <c r="K331" s="369"/>
      <c r="L331" s="378"/>
      <c r="M331" s="312"/>
      <c r="N331" s="298"/>
      <c r="O331" s="312"/>
      <c r="P331" s="404" t="e">
        <f t="shared" si="161"/>
        <v>#DIV/0!</v>
      </c>
      <c r="Q331" s="312" t="e">
        <f t="shared" ref="Q331:Q394" si="164">(P331+2243.33-P330)/P330</f>
        <v>#DIV/0!</v>
      </c>
      <c r="R331" s="298"/>
      <c r="S331" s="312"/>
      <c r="T331" s="298"/>
      <c r="U331" s="312"/>
      <c r="V331" s="454">
        <f t="shared" si="162"/>
        <v>0</v>
      </c>
      <c r="W331" s="312"/>
      <c r="X331" s="454">
        <f t="shared" si="163"/>
        <v>0</v>
      </c>
      <c r="Y331" s="312"/>
      <c r="Z331" s="379"/>
      <c r="AA331" s="297"/>
      <c r="AB331" s="379"/>
      <c r="AC331" s="297"/>
      <c r="AD331" s="413"/>
      <c r="AE331" s="297"/>
      <c r="AG331" s="294"/>
      <c r="AH331" s="380"/>
      <c r="AI331" s="408"/>
      <c r="AJ331" s="498"/>
      <c r="AK331" s="498"/>
      <c r="AL331" s="503" t="e">
        <f t="shared" si="158"/>
        <v>#DIV/0!</v>
      </c>
      <c r="AM331" s="498"/>
      <c r="AN331" s="503" t="e">
        <f t="shared" si="159"/>
        <v>#DIV/0!</v>
      </c>
      <c r="AO331" s="498"/>
      <c r="AP331" s="503" t="e">
        <f t="shared" si="160"/>
        <v>#DIV/0!</v>
      </c>
      <c r="AR331" s="110">
        <v>54393</v>
      </c>
      <c r="AS331" s="98">
        <f t="shared" si="156"/>
        <v>0</v>
      </c>
      <c r="AT331" s="98">
        <f t="shared" si="157"/>
        <v>0</v>
      </c>
      <c r="AU331" s="98"/>
    </row>
    <row r="332" spans="1:47">
      <c r="A332" s="295">
        <v>45762</v>
      </c>
      <c r="B332" s="296"/>
      <c r="C332" s="312"/>
      <c r="D332" s="296"/>
      <c r="E332" s="312"/>
      <c r="F332" s="296"/>
      <c r="G332" s="312"/>
      <c r="H332" s="325"/>
      <c r="I332" s="312"/>
      <c r="J332" s="416"/>
      <c r="K332" s="369"/>
      <c r="L332" s="378"/>
      <c r="M332" s="312"/>
      <c r="N332" s="298"/>
      <c r="O332" s="312"/>
      <c r="P332" s="404" t="e">
        <f t="shared" si="161"/>
        <v>#DIV/0!</v>
      </c>
      <c r="Q332" s="312" t="e">
        <f t="shared" si="164"/>
        <v>#DIV/0!</v>
      </c>
      <c r="R332" s="298"/>
      <c r="S332" s="312"/>
      <c r="T332" s="298"/>
      <c r="U332" s="312"/>
      <c r="V332" s="454">
        <f t="shared" si="162"/>
        <v>0</v>
      </c>
      <c r="W332" s="312"/>
      <c r="X332" s="454">
        <f t="shared" si="163"/>
        <v>0</v>
      </c>
      <c r="Y332" s="312"/>
      <c r="Z332" s="379"/>
      <c r="AA332" s="297"/>
      <c r="AB332" s="379"/>
      <c r="AC332" s="297"/>
      <c r="AD332" s="413"/>
      <c r="AE332" s="297"/>
      <c r="AG332" s="294"/>
      <c r="AH332" s="380"/>
      <c r="AI332" s="408"/>
      <c r="AJ332" s="498"/>
      <c r="AK332" s="498"/>
      <c r="AL332" s="503" t="e">
        <f t="shared" si="158"/>
        <v>#DIV/0!</v>
      </c>
      <c r="AM332" s="498"/>
      <c r="AN332" s="503" t="e">
        <f t="shared" si="159"/>
        <v>#DIV/0!</v>
      </c>
      <c r="AO332" s="498"/>
      <c r="AP332" s="503" t="e">
        <f t="shared" si="160"/>
        <v>#DIV/0!</v>
      </c>
      <c r="AR332" s="110">
        <v>54424</v>
      </c>
      <c r="AS332" s="98">
        <f t="shared" si="156"/>
        <v>0</v>
      </c>
      <c r="AT332" s="98">
        <f t="shared" si="157"/>
        <v>0</v>
      </c>
      <c r="AU332" s="98"/>
    </row>
    <row r="333" spans="1:47">
      <c r="A333" s="295">
        <v>45763</v>
      </c>
      <c r="B333" s="296"/>
      <c r="C333" s="312"/>
      <c r="D333" s="296"/>
      <c r="E333" s="312"/>
      <c r="F333" s="296"/>
      <c r="G333" s="312"/>
      <c r="H333" s="325"/>
      <c r="I333" s="312"/>
      <c r="J333" s="416"/>
      <c r="K333" s="369"/>
      <c r="L333" s="378"/>
      <c r="M333" s="312"/>
      <c r="N333" s="298"/>
      <c r="O333" s="312"/>
      <c r="P333" s="404" t="e">
        <f t="shared" si="161"/>
        <v>#DIV/0!</v>
      </c>
      <c r="Q333" s="312" t="e">
        <f t="shared" si="164"/>
        <v>#DIV/0!</v>
      </c>
      <c r="R333" s="298"/>
      <c r="S333" s="312"/>
      <c r="T333" s="298"/>
      <c r="U333" s="312"/>
      <c r="V333" s="454">
        <f t="shared" si="162"/>
        <v>0</v>
      </c>
      <c r="W333" s="312"/>
      <c r="X333" s="454">
        <f t="shared" si="163"/>
        <v>0</v>
      </c>
      <c r="Y333" s="312"/>
      <c r="Z333" s="379"/>
      <c r="AA333" s="297"/>
      <c r="AB333" s="379"/>
      <c r="AC333" s="297"/>
      <c r="AD333" s="413"/>
      <c r="AE333" s="297"/>
      <c r="AG333" s="294"/>
      <c r="AH333" s="380"/>
      <c r="AI333" s="408"/>
      <c r="AJ333" s="498"/>
      <c r="AK333" s="498"/>
      <c r="AL333" s="503" t="e">
        <f t="shared" si="158"/>
        <v>#DIV/0!</v>
      </c>
      <c r="AM333" s="498"/>
      <c r="AN333" s="503" t="e">
        <f t="shared" si="159"/>
        <v>#DIV/0!</v>
      </c>
      <c r="AO333" s="498"/>
      <c r="AP333" s="503" t="e">
        <f t="shared" si="160"/>
        <v>#DIV/0!</v>
      </c>
      <c r="AR333" s="110">
        <v>54455</v>
      </c>
      <c r="AS333" s="98">
        <f t="shared" si="156"/>
        <v>0</v>
      </c>
      <c r="AT333" s="98">
        <f t="shared" si="157"/>
        <v>0</v>
      </c>
      <c r="AU333" s="98"/>
    </row>
    <row r="334" spans="1:47">
      <c r="A334" s="295">
        <v>45764</v>
      </c>
      <c r="B334" s="296"/>
      <c r="C334" s="312"/>
      <c r="D334" s="296"/>
      <c r="E334" s="312"/>
      <c r="F334" s="296"/>
      <c r="G334" s="312"/>
      <c r="H334" s="325"/>
      <c r="I334" s="312"/>
      <c r="J334" s="416"/>
      <c r="K334" s="369"/>
      <c r="L334" s="378"/>
      <c r="M334" s="312"/>
      <c r="N334" s="298"/>
      <c r="O334" s="312"/>
      <c r="P334" s="404" t="e">
        <f t="shared" si="161"/>
        <v>#DIV/0!</v>
      </c>
      <c r="Q334" s="312" t="e">
        <f t="shared" si="164"/>
        <v>#DIV/0!</v>
      </c>
      <c r="R334" s="298"/>
      <c r="S334" s="312"/>
      <c r="T334" s="298"/>
      <c r="U334" s="312"/>
      <c r="V334" s="454">
        <f t="shared" si="162"/>
        <v>0</v>
      </c>
      <c r="W334" s="312"/>
      <c r="X334" s="454">
        <f t="shared" si="163"/>
        <v>0</v>
      </c>
      <c r="Y334" s="312"/>
      <c r="Z334" s="379"/>
      <c r="AA334" s="297"/>
      <c r="AB334" s="379"/>
      <c r="AC334" s="297"/>
      <c r="AD334" s="413"/>
      <c r="AE334" s="297"/>
      <c r="AG334" s="294"/>
      <c r="AH334" s="380"/>
      <c r="AI334" s="408"/>
      <c r="AJ334" s="498"/>
      <c r="AK334" s="498"/>
      <c r="AL334" s="503" t="e">
        <f t="shared" si="158"/>
        <v>#DIV/0!</v>
      </c>
      <c r="AM334" s="498"/>
      <c r="AN334" s="503" t="e">
        <f t="shared" si="159"/>
        <v>#DIV/0!</v>
      </c>
      <c r="AO334" s="498"/>
      <c r="AP334" s="503" t="e">
        <f t="shared" si="160"/>
        <v>#DIV/0!</v>
      </c>
      <c r="AR334" s="110">
        <v>54483</v>
      </c>
      <c r="AS334" s="98">
        <f t="shared" si="156"/>
        <v>0</v>
      </c>
      <c r="AT334" s="98">
        <f t="shared" si="157"/>
        <v>0</v>
      </c>
      <c r="AU334" s="98"/>
    </row>
    <row r="335" spans="1:47">
      <c r="A335" s="295">
        <v>45765</v>
      </c>
      <c r="B335" s="296"/>
      <c r="C335" s="312"/>
      <c r="D335" s="296"/>
      <c r="E335" s="312"/>
      <c r="F335" s="296"/>
      <c r="G335" s="312"/>
      <c r="H335" s="325"/>
      <c r="I335" s="312"/>
      <c r="J335" s="416"/>
      <c r="K335" s="369"/>
      <c r="L335" s="378"/>
      <c r="M335" s="312"/>
      <c r="N335" s="298"/>
      <c r="O335" s="312"/>
      <c r="P335" s="404" t="e">
        <f t="shared" si="161"/>
        <v>#DIV/0!</v>
      </c>
      <c r="Q335" s="312" t="e">
        <f t="shared" si="164"/>
        <v>#DIV/0!</v>
      </c>
      <c r="R335" s="298"/>
      <c r="S335" s="312"/>
      <c r="T335" s="298"/>
      <c r="U335" s="312"/>
      <c r="V335" s="454">
        <f t="shared" si="162"/>
        <v>0</v>
      </c>
      <c r="W335" s="312"/>
      <c r="X335" s="454">
        <f t="shared" si="163"/>
        <v>0</v>
      </c>
      <c r="Y335" s="312"/>
      <c r="Z335" s="379"/>
      <c r="AA335" s="297"/>
      <c r="AB335" s="379"/>
      <c r="AC335" s="297"/>
      <c r="AD335" s="413"/>
      <c r="AE335" s="297"/>
      <c r="AG335" s="294"/>
      <c r="AH335" s="380"/>
      <c r="AI335" s="408"/>
      <c r="AJ335" s="498"/>
      <c r="AK335" s="498"/>
      <c r="AL335" s="503" t="e">
        <f t="shared" si="158"/>
        <v>#DIV/0!</v>
      </c>
      <c r="AM335" s="498"/>
      <c r="AN335" s="503" t="e">
        <f t="shared" si="159"/>
        <v>#DIV/0!</v>
      </c>
      <c r="AO335" s="498"/>
      <c r="AP335" s="503" t="e">
        <f t="shared" si="160"/>
        <v>#DIV/0!</v>
      </c>
      <c r="AR335" s="110">
        <v>54514</v>
      </c>
      <c r="AS335" s="98">
        <f t="shared" si="156"/>
        <v>0</v>
      </c>
      <c r="AT335" s="98">
        <f t="shared" si="157"/>
        <v>0</v>
      </c>
      <c r="AU335" s="98"/>
    </row>
    <row r="336" spans="1:47">
      <c r="A336" s="295">
        <v>45768</v>
      </c>
      <c r="B336" s="296"/>
      <c r="C336" s="312"/>
      <c r="D336" s="296"/>
      <c r="E336" s="312"/>
      <c r="F336" s="296"/>
      <c r="G336" s="312"/>
      <c r="H336" s="325"/>
      <c r="I336" s="312"/>
      <c r="J336" s="416"/>
      <c r="K336" s="369"/>
      <c r="L336" s="378"/>
      <c r="M336" s="312"/>
      <c r="N336" s="298"/>
      <c r="O336" s="312"/>
      <c r="P336" s="404" t="e">
        <f t="shared" si="161"/>
        <v>#DIV/0!</v>
      </c>
      <c r="Q336" s="312" t="e">
        <f t="shared" si="164"/>
        <v>#DIV/0!</v>
      </c>
      <c r="R336" s="298"/>
      <c r="S336" s="312"/>
      <c r="T336" s="298"/>
      <c r="U336" s="312"/>
      <c r="V336" s="454">
        <f t="shared" si="162"/>
        <v>0</v>
      </c>
      <c r="W336" s="312"/>
      <c r="X336" s="454">
        <f t="shared" si="163"/>
        <v>0</v>
      </c>
      <c r="Y336" s="312"/>
      <c r="Z336" s="379"/>
      <c r="AA336" s="297"/>
      <c r="AB336" s="379"/>
      <c r="AC336" s="297"/>
      <c r="AD336" s="413"/>
      <c r="AE336" s="297"/>
      <c r="AG336" s="294"/>
      <c r="AH336" s="380"/>
      <c r="AI336" s="408"/>
      <c r="AJ336" s="498"/>
      <c r="AK336" s="498"/>
      <c r="AL336" s="503" t="e">
        <f t="shared" si="158"/>
        <v>#DIV/0!</v>
      </c>
      <c r="AM336" s="498"/>
      <c r="AN336" s="503" t="e">
        <f t="shared" si="159"/>
        <v>#DIV/0!</v>
      </c>
      <c r="AO336" s="498"/>
      <c r="AP336" s="503" t="e">
        <f t="shared" si="160"/>
        <v>#DIV/0!</v>
      </c>
      <c r="AR336" s="110">
        <v>54544</v>
      </c>
      <c r="AS336" s="98">
        <f t="shared" si="156"/>
        <v>0</v>
      </c>
      <c r="AT336" s="98">
        <f t="shared" si="157"/>
        <v>0</v>
      </c>
      <c r="AU336" s="98"/>
    </row>
    <row r="337" spans="1:47">
      <c r="A337" s="295">
        <v>45769</v>
      </c>
      <c r="B337" s="296"/>
      <c r="C337" s="312"/>
      <c r="D337" s="296"/>
      <c r="E337" s="312"/>
      <c r="F337" s="296"/>
      <c r="G337" s="312"/>
      <c r="H337" s="325"/>
      <c r="I337" s="312"/>
      <c r="J337" s="416"/>
      <c r="K337" s="369"/>
      <c r="L337" s="378"/>
      <c r="M337" s="312"/>
      <c r="N337" s="298"/>
      <c r="O337" s="312"/>
      <c r="P337" s="404" t="e">
        <f t="shared" si="161"/>
        <v>#DIV/0!</v>
      </c>
      <c r="Q337" s="312" t="e">
        <f t="shared" si="164"/>
        <v>#DIV/0!</v>
      </c>
      <c r="R337" s="298"/>
      <c r="S337" s="312"/>
      <c r="T337" s="298"/>
      <c r="U337" s="312"/>
      <c r="V337" s="454">
        <f t="shared" si="162"/>
        <v>0</v>
      </c>
      <c r="W337" s="312"/>
      <c r="X337" s="454">
        <f t="shared" si="163"/>
        <v>0</v>
      </c>
      <c r="Y337" s="312"/>
      <c r="Z337" s="379"/>
      <c r="AA337" s="297"/>
      <c r="AB337" s="379"/>
      <c r="AC337" s="297"/>
      <c r="AD337" s="413"/>
      <c r="AE337" s="297"/>
      <c r="AG337" s="294"/>
      <c r="AH337" s="380"/>
      <c r="AI337" s="408"/>
      <c r="AJ337" s="498"/>
      <c r="AK337" s="498"/>
      <c r="AL337" s="503" t="e">
        <f t="shared" si="158"/>
        <v>#DIV/0!</v>
      </c>
      <c r="AM337" s="498"/>
      <c r="AN337" s="503" t="e">
        <f t="shared" si="159"/>
        <v>#DIV/0!</v>
      </c>
      <c r="AO337" s="498"/>
      <c r="AP337" s="503" t="e">
        <f t="shared" si="160"/>
        <v>#DIV/0!</v>
      </c>
      <c r="AR337" s="110">
        <v>54575</v>
      </c>
      <c r="AS337" s="98">
        <f t="shared" si="156"/>
        <v>0</v>
      </c>
      <c r="AT337" s="98">
        <f t="shared" si="157"/>
        <v>0</v>
      </c>
      <c r="AU337" s="98"/>
    </row>
    <row r="338" spans="1:47">
      <c r="A338" s="295">
        <v>45770</v>
      </c>
      <c r="B338" s="296"/>
      <c r="C338" s="312"/>
      <c r="D338" s="296"/>
      <c r="E338" s="312"/>
      <c r="F338" s="296"/>
      <c r="G338" s="312"/>
      <c r="H338" s="325"/>
      <c r="I338" s="312"/>
      <c r="J338" s="416"/>
      <c r="K338" s="369"/>
      <c r="L338" s="378"/>
      <c r="M338" s="312"/>
      <c r="N338" s="298"/>
      <c r="O338" s="312"/>
      <c r="P338" s="404" t="e">
        <f t="shared" si="161"/>
        <v>#DIV/0!</v>
      </c>
      <c r="Q338" s="312" t="e">
        <f t="shared" si="164"/>
        <v>#DIV/0!</v>
      </c>
      <c r="R338" s="298"/>
      <c r="S338" s="312"/>
      <c r="T338" s="298"/>
      <c r="U338" s="312"/>
      <c r="V338" s="454">
        <f t="shared" si="162"/>
        <v>0</v>
      </c>
      <c r="W338" s="312"/>
      <c r="X338" s="454">
        <f t="shared" si="163"/>
        <v>0</v>
      </c>
      <c r="Y338" s="312"/>
      <c r="Z338" s="379"/>
      <c r="AA338" s="297"/>
      <c r="AB338" s="379"/>
      <c r="AC338" s="297"/>
      <c r="AD338" s="413"/>
      <c r="AE338" s="297"/>
      <c r="AG338" s="294"/>
      <c r="AH338" s="380"/>
      <c r="AI338" s="408"/>
      <c r="AJ338" s="498"/>
      <c r="AK338" s="498"/>
      <c r="AL338" s="503" t="e">
        <f t="shared" si="158"/>
        <v>#DIV/0!</v>
      </c>
      <c r="AM338" s="498"/>
      <c r="AN338" s="503" t="e">
        <f t="shared" si="159"/>
        <v>#DIV/0!</v>
      </c>
      <c r="AO338" s="498"/>
      <c r="AP338" s="503" t="e">
        <f t="shared" si="160"/>
        <v>#DIV/0!</v>
      </c>
      <c r="AR338" s="110">
        <v>54605</v>
      </c>
      <c r="AS338" s="98">
        <f t="shared" si="156"/>
        <v>0</v>
      </c>
      <c r="AT338" s="98">
        <f t="shared" si="157"/>
        <v>0</v>
      </c>
      <c r="AU338" s="98"/>
    </row>
    <row r="339" spans="1:47">
      <c r="A339" s="295">
        <v>45771</v>
      </c>
      <c r="B339" s="296"/>
      <c r="C339" s="312"/>
      <c r="D339" s="296"/>
      <c r="E339" s="312"/>
      <c r="F339" s="296"/>
      <c r="G339" s="312"/>
      <c r="H339" s="325"/>
      <c r="I339" s="312"/>
      <c r="J339" s="416"/>
      <c r="K339" s="369"/>
      <c r="L339" s="378"/>
      <c r="M339" s="312"/>
      <c r="N339" s="298"/>
      <c r="O339" s="312"/>
      <c r="P339" s="404" t="e">
        <f t="shared" si="161"/>
        <v>#DIV/0!</v>
      </c>
      <c r="Q339" s="312" t="e">
        <f t="shared" si="164"/>
        <v>#DIV/0!</v>
      </c>
      <c r="R339" s="298"/>
      <c r="S339" s="312"/>
      <c r="T339" s="298"/>
      <c r="U339" s="312"/>
      <c r="V339" s="454">
        <f t="shared" si="162"/>
        <v>0</v>
      </c>
      <c r="W339" s="312"/>
      <c r="X339" s="454">
        <f t="shared" si="163"/>
        <v>0</v>
      </c>
      <c r="Y339" s="312"/>
      <c r="Z339" s="379"/>
      <c r="AA339" s="297"/>
      <c r="AB339" s="379"/>
      <c r="AC339" s="297"/>
      <c r="AD339" s="413"/>
      <c r="AE339" s="297"/>
      <c r="AG339" s="294"/>
      <c r="AH339" s="380"/>
      <c r="AI339" s="408"/>
      <c r="AJ339" s="498"/>
      <c r="AK339" s="498"/>
      <c r="AL339" s="503" t="e">
        <f t="shared" si="158"/>
        <v>#DIV/0!</v>
      </c>
      <c r="AM339" s="498"/>
      <c r="AN339" s="503" t="e">
        <f t="shared" si="159"/>
        <v>#DIV/0!</v>
      </c>
      <c r="AO339" s="498"/>
      <c r="AP339" s="503" t="e">
        <f t="shared" si="160"/>
        <v>#DIV/0!</v>
      </c>
      <c r="AR339" s="110">
        <v>54636</v>
      </c>
      <c r="AS339" s="98">
        <f t="shared" si="156"/>
        <v>0</v>
      </c>
      <c r="AT339" s="98">
        <f t="shared" si="157"/>
        <v>0</v>
      </c>
      <c r="AU339" s="98"/>
    </row>
    <row r="340" spans="1:47">
      <c r="A340" s="295">
        <v>45772</v>
      </c>
      <c r="B340" s="296"/>
      <c r="C340" s="312"/>
      <c r="D340" s="296"/>
      <c r="E340" s="312"/>
      <c r="F340" s="296"/>
      <c r="G340" s="312"/>
      <c r="H340" s="325"/>
      <c r="I340" s="312"/>
      <c r="J340" s="416"/>
      <c r="K340" s="369"/>
      <c r="L340" s="378"/>
      <c r="M340" s="312"/>
      <c r="N340" s="298"/>
      <c r="O340" s="312"/>
      <c r="P340" s="404" t="e">
        <f t="shared" si="161"/>
        <v>#DIV/0!</v>
      </c>
      <c r="Q340" s="312" t="e">
        <f t="shared" si="164"/>
        <v>#DIV/0!</v>
      </c>
      <c r="R340" s="298"/>
      <c r="S340" s="312"/>
      <c r="T340" s="298"/>
      <c r="U340" s="312"/>
      <c r="V340" s="454">
        <f t="shared" si="162"/>
        <v>0</v>
      </c>
      <c r="W340" s="312"/>
      <c r="X340" s="454">
        <f t="shared" si="163"/>
        <v>0</v>
      </c>
      <c r="Y340" s="312"/>
      <c r="Z340" s="379"/>
      <c r="AA340" s="297"/>
      <c r="AB340" s="379"/>
      <c r="AC340" s="297"/>
      <c r="AD340" s="413"/>
      <c r="AE340" s="297"/>
      <c r="AG340" s="294"/>
      <c r="AH340" s="380"/>
      <c r="AI340" s="408"/>
      <c r="AJ340" s="498"/>
      <c r="AK340" s="498"/>
      <c r="AL340" s="503" t="e">
        <f t="shared" si="158"/>
        <v>#DIV/0!</v>
      </c>
      <c r="AM340" s="498"/>
      <c r="AN340" s="503" t="e">
        <f t="shared" si="159"/>
        <v>#DIV/0!</v>
      </c>
      <c r="AO340" s="498"/>
      <c r="AP340" s="503" t="e">
        <f t="shared" si="160"/>
        <v>#DIV/0!</v>
      </c>
      <c r="AR340" s="110">
        <v>54667</v>
      </c>
      <c r="AS340" s="98">
        <f t="shared" si="156"/>
        <v>0</v>
      </c>
      <c r="AT340" s="98">
        <f t="shared" si="157"/>
        <v>0</v>
      </c>
      <c r="AU340" s="98"/>
    </row>
    <row r="341" spans="1:47">
      <c r="A341" s="295">
        <v>45775</v>
      </c>
      <c r="B341" s="296"/>
      <c r="C341" s="312"/>
      <c r="D341" s="296"/>
      <c r="E341" s="312"/>
      <c r="F341" s="296"/>
      <c r="G341" s="312"/>
      <c r="H341" s="325"/>
      <c r="I341" s="312"/>
      <c r="J341" s="416"/>
      <c r="K341" s="369"/>
      <c r="L341" s="378"/>
      <c r="M341" s="312"/>
      <c r="N341" s="298"/>
      <c r="O341" s="312"/>
      <c r="P341" s="404" t="e">
        <f t="shared" si="161"/>
        <v>#DIV/0!</v>
      </c>
      <c r="Q341" s="312" t="e">
        <f t="shared" si="164"/>
        <v>#DIV/0!</v>
      </c>
      <c r="R341" s="298"/>
      <c r="S341" s="312"/>
      <c r="T341" s="298"/>
      <c r="U341" s="312"/>
      <c r="V341" s="454">
        <f t="shared" si="162"/>
        <v>0</v>
      </c>
      <c r="W341" s="312"/>
      <c r="X341" s="454">
        <f t="shared" si="163"/>
        <v>0</v>
      </c>
      <c r="Y341" s="312"/>
      <c r="Z341" s="379"/>
      <c r="AA341" s="297"/>
      <c r="AB341" s="379"/>
      <c r="AC341" s="297"/>
      <c r="AD341" s="413"/>
      <c r="AE341" s="297"/>
      <c r="AG341" s="294"/>
      <c r="AH341" s="380"/>
      <c r="AI341" s="408"/>
      <c r="AJ341" s="498"/>
      <c r="AK341" s="498"/>
      <c r="AL341" s="503" t="e">
        <f t="shared" si="158"/>
        <v>#DIV/0!</v>
      </c>
      <c r="AM341" s="498"/>
      <c r="AN341" s="503" t="e">
        <f t="shared" si="159"/>
        <v>#DIV/0!</v>
      </c>
      <c r="AO341" s="498"/>
      <c r="AP341" s="503" t="e">
        <f t="shared" si="160"/>
        <v>#DIV/0!</v>
      </c>
      <c r="AR341" s="110">
        <v>54697</v>
      </c>
      <c r="AS341" s="98">
        <f t="shared" si="156"/>
        <v>0</v>
      </c>
      <c r="AT341" s="98">
        <f t="shared" si="157"/>
        <v>0</v>
      </c>
      <c r="AU341" s="98"/>
    </row>
    <row r="342" spans="1:47">
      <c r="A342" s="295">
        <v>45776</v>
      </c>
      <c r="B342" s="296"/>
      <c r="C342" s="312"/>
      <c r="D342" s="296"/>
      <c r="E342" s="312"/>
      <c r="F342" s="296"/>
      <c r="G342" s="312"/>
      <c r="H342" s="325"/>
      <c r="I342" s="312"/>
      <c r="J342" s="416"/>
      <c r="K342" s="369"/>
      <c r="L342" s="378"/>
      <c r="M342" s="312"/>
      <c r="N342" s="298"/>
      <c r="O342" s="312"/>
      <c r="P342" s="404" t="e">
        <f t="shared" si="161"/>
        <v>#DIV/0!</v>
      </c>
      <c r="Q342" s="312" t="e">
        <f t="shared" si="164"/>
        <v>#DIV/0!</v>
      </c>
      <c r="R342" s="298"/>
      <c r="S342" s="312"/>
      <c r="T342" s="298"/>
      <c r="U342" s="312"/>
      <c r="V342" s="454">
        <f t="shared" si="162"/>
        <v>0</v>
      </c>
      <c r="W342" s="312"/>
      <c r="X342" s="454">
        <f t="shared" si="163"/>
        <v>0</v>
      </c>
      <c r="Y342" s="312"/>
      <c r="Z342" s="379"/>
      <c r="AA342" s="297"/>
      <c r="AB342" s="379"/>
      <c r="AC342" s="297"/>
      <c r="AD342" s="413"/>
      <c r="AE342" s="297"/>
      <c r="AG342" s="294"/>
      <c r="AH342" s="380"/>
      <c r="AI342" s="408"/>
      <c r="AJ342" s="498"/>
      <c r="AK342" s="498"/>
      <c r="AL342" s="503" t="e">
        <f t="shared" si="158"/>
        <v>#DIV/0!</v>
      </c>
      <c r="AM342" s="498"/>
      <c r="AN342" s="503" t="e">
        <f t="shared" si="159"/>
        <v>#DIV/0!</v>
      </c>
      <c r="AO342" s="498"/>
      <c r="AP342" s="503" t="e">
        <f t="shared" si="160"/>
        <v>#DIV/0!</v>
      </c>
      <c r="AR342" s="110">
        <v>54728</v>
      </c>
      <c r="AS342" s="98">
        <f t="shared" si="156"/>
        <v>0</v>
      </c>
      <c r="AT342" s="98">
        <f t="shared" si="157"/>
        <v>0</v>
      </c>
      <c r="AU342" s="98"/>
    </row>
    <row r="343" spans="1:47">
      <c r="A343" s="295">
        <v>45777</v>
      </c>
      <c r="B343" s="296"/>
      <c r="C343" s="312"/>
      <c r="D343" s="296"/>
      <c r="E343" s="312"/>
      <c r="F343" s="296"/>
      <c r="G343" s="312"/>
      <c r="H343" s="325"/>
      <c r="I343" s="312"/>
      <c r="J343" s="416"/>
      <c r="K343" s="369"/>
      <c r="L343" s="378"/>
      <c r="M343" s="312"/>
      <c r="N343" s="298"/>
      <c r="O343" s="312"/>
      <c r="P343" s="404" t="e">
        <f t="shared" si="161"/>
        <v>#DIV/0!</v>
      </c>
      <c r="Q343" s="312" t="e">
        <f t="shared" si="164"/>
        <v>#DIV/0!</v>
      </c>
      <c r="R343" s="298"/>
      <c r="S343" s="312"/>
      <c r="T343" s="298"/>
      <c r="U343" s="312"/>
      <c r="V343" s="454">
        <f t="shared" si="162"/>
        <v>0</v>
      </c>
      <c r="W343" s="312"/>
      <c r="X343" s="454">
        <f t="shared" si="163"/>
        <v>0</v>
      </c>
      <c r="Y343" s="312"/>
      <c r="Z343" s="379"/>
      <c r="AA343" s="297"/>
      <c r="AB343" s="379"/>
      <c r="AC343" s="297"/>
      <c r="AD343" s="413"/>
      <c r="AE343" s="297"/>
      <c r="AG343" s="294"/>
      <c r="AH343" s="380"/>
      <c r="AI343" s="408"/>
      <c r="AJ343" s="498"/>
      <c r="AK343" s="498"/>
      <c r="AL343" s="503" t="e">
        <f t="shared" si="158"/>
        <v>#DIV/0!</v>
      </c>
      <c r="AM343" s="498"/>
      <c r="AN343" s="503" t="e">
        <f t="shared" si="159"/>
        <v>#DIV/0!</v>
      </c>
      <c r="AO343" s="498"/>
      <c r="AP343" s="503" t="e">
        <f t="shared" si="160"/>
        <v>#DIV/0!</v>
      </c>
      <c r="AR343" s="110">
        <v>54758</v>
      </c>
      <c r="AS343" s="98">
        <f t="shared" si="156"/>
        <v>0</v>
      </c>
      <c r="AT343" s="98">
        <f t="shared" si="157"/>
        <v>0</v>
      </c>
      <c r="AU343" s="98"/>
    </row>
    <row r="344" spans="1:47">
      <c r="A344" s="295">
        <v>45778</v>
      </c>
      <c r="B344" s="296"/>
      <c r="C344" s="312"/>
      <c r="D344" s="296"/>
      <c r="E344" s="312"/>
      <c r="F344" s="296"/>
      <c r="G344" s="312"/>
      <c r="H344" s="325"/>
      <c r="I344" s="312"/>
      <c r="J344" s="416"/>
      <c r="K344" s="369"/>
      <c r="L344" s="378"/>
      <c r="M344" s="312"/>
      <c r="N344" s="298"/>
      <c r="O344" s="312"/>
      <c r="P344" s="404" t="e">
        <f t="shared" si="161"/>
        <v>#DIV/0!</v>
      </c>
      <c r="Q344" s="312" t="e">
        <f t="shared" si="164"/>
        <v>#DIV/0!</v>
      </c>
      <c r="R344" s="298"/>
      <c r="S344" s="312"/>
      <c r="T344" s="298"/>
      <c r="U344" s="312"/>
      <c r="V344" s="454">
        <f t="shared" si="162"/>
        <v>0</v>
      </c>
      <c r="W344" s="312"/>
      <c r="X344" s="454">
        <f t="shared" si="163"/>
        <v>0</v>
      </c>
      <c r="Y344" s="312"/>
      <c r="Z344" s="379"/>
      <c r="AA344" s="297"/>
      <c r="AB344" s="379"/>
      <c r="AC344" s="297"/>
      <c r="AD344" s="413"/>
      <c r="AE344" s="297"/>
      <c r="AG344" s="294"/>
      <c r="AH344" s="380"/>
      <c r="AI344" s="408"/>
      <c r="AJ344" s="498"/>
      <c r="AK344" s="498"/>
      <c r="AL344" s="503" t="e">
        <f t="shared" si="158"/>
        <v>#DIV/0!</v>
      </c>
      <c r="AM344" s="498"/>
      <c r="AN344" s="503" t="e">
        <f t="shared" si="159"/>
        <v>#DIV/0!</v>
      </c>
      <c r="AO344" s="498"/>
      <c r="AP344" s="503" t="e">
        <f t="shared" si="160"/>
        <v>#DIV/0!</v>
      </c>
      <c r="AR344" s="110">
        <v>54789</v>
      </c>
      <c r="AS344" s="98">
        <f t="shared" si="156"/>
        <v>0</v>
      </c>
      <c r="AT344" s="98">
        <f t="shared" si="157"/>
        <v>0</v>
      </c>
      <c r="AU344" s="98"/>
    </row>
    <row r="345" spans="1:47">
      <c r="A345" s="295">
        <v>45779</v>
      </c>
      <c r="B345" s="296"/>
      <c r="C345" s="312"/>
      <c r="D345" s="296"/>
      <c r="E345" s="312"/>
      <c r="F345" s="296"/>
      <c r="G345" s="312"/>
      <c r="H345" s="325"/>
      <c r="I345" s="312"/>
      <c r="J345" s="416"/>
      <c r="K345" s="369"/>
      <c r="L345" s="378"/>
      <c r="M345" s="312"/>
      <c r="N345" s="298"/>
      <c r="O345" s="312"/>
      <c r="P345" s="404" t="e">
        <f t="shared" si="161"/>
        <v>#DIV/0!</v>
      </c>
      <c r="Q345" s="312" t="e">
        <f t="shared" si="164"/>
        <v>#DIV/0!</v>
      </c>
      <c r="R345" s="298"/>
      <c r="S345" s="312"/>
      <c r="T345" s="298"/>
      <c r="U345" s="312"/>
      <c r="V345" s="454">
        <f t="shared" si="162"/>
        <v>0</v>
      </c>
      <c r="W345" s="312"/>
      <c r="X345" s="454">
        <f t="shared" si="163"/>
        <v>0</v>
      </c>
      <c r="Y345" s="312"/>
      <c r="Z345" s="379"/>
      <c r="AA345" s="297"/>
      <c r="AB345" s="379"/>
      <c r="AC345" s="297"/>
      <c r="AD345" s="413"/>
      <c r="AE345" s="297"/>
      <c r="AG345" s="294"/>
      <c r="AH345" s="380"/>
      <c r="AI345" s="408"/>
      <c r="AJ345" s="498"/>
      <c r="AK345" s="498"/>
      <c r="AL345" s="503" t="e">
        <f t="shared" si="158"/>
        <v>#DIV/0!</v>
      </c>
      <c r="AM345" s="498"/>
      <c r="AN345" s="503" t="e">
        <f t="shared" si="159"/>
        <v>#DIV/0!</v>
      </c>
      <c r="AO345" s="498"/>
      <c r="AP345" s="503" t="e">
        <f t="shared" si="160"/>
        <v>#DIV/0!</v>
      </c>
      <c r="AR345" s="110">
        <v>54820</v>
      </c>
      <c r="AS345" s="98">
        <f t="shared" si="156"/>
        <v>0</v>
      </c>
      <c r="AT345" s="98">
        <f t="shared" si="157"/>
        <v>0</v>
      </c>
      <c r="AU345" s="98"/>
    </row>
    <row r="346" spans="1:47">
      <c r="A346" s="295">
        <v>45782</v>
      </c>
      <c r="B346" s="296"/>
      <c r="C346" s="312"/>
      <c r="D346" s="296"/>
      <c r="E346" s="312"/>
      <c r="F346" s="296"/>
      <c r="G346" s="312"/>
      <c r="H346" s="325"/>
      <c r="I346" s="312"/>
      <c r="J346" s="416"/>
      <c r="K346" s="369"/>
      <c r="L346" s="378"/>
      <c r="M346" s="312"/>
      <c r="N346" s="298"/>
      <c r="O346" s="312"/>
      <c r="P346" s="404" t="e">
        <f t="shared" si="161"/>
        <v>#DIV/0!</v>
      </c>
      <c r="Q346" s="312" t="e">
        <f t="shared" si="164"/>
        <v>#DIV/0!</v>
      </c>
      <c r="R346" s="298"/>
      <c r="S346" s="312"/>
      <c r="T346" s="298"/>
      <c r="U346" s="312"/>
      <c r="V346" s="454">
        <f t="shared" si="162"/>
        <v>0</v>
      </c>
      <c r="W346" s="312"/>
      <c r="X346" s="454">
        <f t="shared" si="163"/>
        <v>0</v>
      </c>
      <c r="Y346" s="312"/>
      <c r="Z346" s="379"/>
      <c r="AA346" s="297"/>
      <c r="AB346" s="379"/>
      <c r="AC346" s="297"/>
      <c r="AD346" s="413"/>
      <c r="AE346" s="297"/>
      <c r="AG346" s="294"/>
      <c r="AH346" s="380"/>
      <c r="AI346" s="408"/>
      <c r="AJ346" s="498"/>
      <c r="AK346" s="498"/>
      <c r="AL346" s="503" t="e">
        <f t="shared" si="158"/>
        <v>#DIV/0!</v>
      </c>
      <c r="AM346" s="498"/>
      <c r="AN346" s="503" t="e">
        <f t="shared" si="159"/>
        <v>#DIV/0!</v>
      </c>
      <c r="AO346" s="498"/>
      <c r="AP346" s="503" t="e">
        <f t="shared" si="160"/>
        <v>#DIV/0!</v>
      </c>
      <c r="AR346" s="110">
        <v>54848</v>
      </c>
      <c r="AS346" s="98">
        <f t="shared" si="156"/>
        <v>0</v>
      </c>
      <c r="AT346" s="98">
        <f t="shared" si="157"/>
        <v>0</v>
      </c>
      <c r="AU346" s="98"/>
    </row>
    <row r="347" spans="1:47">
      <c r="A347" s="295">
        <v>45783</v>
      </c>
      <c r="B347" s="296"/>
      <c r="C347" s="312"/>
      <c r="D347" s="296"/>
      <c r="E347" s="312"/>
      <c r="F347" s="296"/>
      <c r="G347" s="312"/>
      <c r="H347" s="325"/>
      <c r="I347" s="312"/>
      <c r="J347" s="416"/>
      <c r="K347" s="369"/>
      <c r="L347" s="378"/>
      <c r="M347" s="312"/>
      <c r="N347" s="298"/>
      <c r="O347" s="312"/>
      <c r="P347" s="404" t="e">
        <f t="shared" si="161"/>
        <v>#DIV/0!</v>
      </c>
      <c r="Q347" s="312" t="e">
        <f t="shared" si="164"/>
        <v>#DIV/0!</v>
      </c>
      <c r="R347" s="298"/>
      <c r="S347" s="312"/>
      <c r="T347" s="298"/>
      <c r="U347" s="312"/>
      <c r="V347" s="454">
        <f t="shared" si="162"/>
        <v>0</v>
      </c>
      <c r="W347" s="312"/>
      <c r="X347" s="454">
        <f t="shared" si="163"/>
        <v>0</v>
      </c>
      <c r="Y347" s="312"/>
      <c r="Z347" s="379"/>
      <c r="AA347" s="297"/>
      <c r="AB347" s="379"/>
      <c r="AC347" s="297"/>
      <c r="AD347" s="413"/>
      <c r="AE347" s="297"/>
      <c r="AG347" s="294"/>
      <c r="AH347" s="380"/>
      <c r="AI347" s="408"/>
      <c r="AJ347" s="498"/>
      <c r="AK347" s="498"/>
      <c r="AL347" s="503" t="e">
        <f t="shared" si="158"/>
        <v>#DIV/0!</v>
      </c>
      <c r="AM347" s="498"/>
      <c r="AN347" s="503" t="e">
        <f t="shared" si="159"/>
        <v>#DIV/0!</v>
      </c>
      <c r="AO347" s="498"/>
      <c r="AP347" s="503" t="e">
        <f t="shared" si="160"/>
        <v>#DIV/0!</v>
      </c>
      <c r="AR347" s="110">
        <v>54879</v>
      </c>
      <c r="AS347" s="98">
        <f t="shared" si="156"/>
        <v>0</v>
      </c>
      <c r="AT347" s="98">
        <f t="shared" si="157"/>
        <v>0</v>
      </c>
      <c r="AU347" s="98"/>
    </row>
    <row r="348" spans="1:47">
      <c r="A348" s="295">
        <v>45784</v>
      </c>
      <c r="B348" s="296"/>
      <c r="C348" s="312"/>
      <c r="D348" s="296"/>
      <c r="E348" s="312"/>
      <c r="F348" s="296"/>
      <c r="G348" s="312"/>
      <c r="H348" s="325"/>
      <c r="I348" s="312"/>
      <c r="J348" s="416"/>
      <c r="K348" s="369"/>
      <c r="L348" s="378"/>
      <c r="M348" s="312"/>
      <c r="N348" s="298"/>
      <c r="O348" s="312"/>
      <c r="P348" s="404" t="e">
        <f t="shared" si="161"/>
        <v>#DIV/0!</v>
      </c>
      <c r="Q348" s="312" t="e">
        <f t="shared" si="164"/>
        <v>#DIV/0!</v>
      </c>
      <c r="R348" s="298"/>
      <c r="S348" s="312"/>
      <c r="T348" s="298"/>
      <c r="U348" s="312"/>
      <c r="V348" s="454">
        <f t="shared" si="162"/>
        <v>0</v>
      </c>
      <c r="W348" s="312"/>
      <c r="X348" s="454">
        <f t="shared" si="163"/>
        <v>0</v>
      </c>
      <c r="Y348" s="312"/>
      <c r="Z348" s="379"/>
      <c r="AA348" s="297"/>
      <c r="AB348" s="379"/>
      <c r="AC348" s="297"/>
      <c r="AD348" s="413"/>
      <c r="AE348" s="297"/>
      <c r="AG348" s="294"/>
      <c r="AH348" s="380"/>
      <c r="AI348" s="408"/>
      <c r="AJ348" s="498"/>
      <c r="AK348" s="498"/>
      <c r="AL348" s="503" t="e">
        <f t="shared" si="158"/>
        <v>#DIV/0!</v>
      </c>
      <c r="AM348" s="498"/>
      <c r="AN348" s="503" t="e">
        <f t="shared" si="159"/>
        <v>#DIV/0!</v>
      </c>
      <c r="AO348" s="498"/>
      <c r="AP348" s="503" t="e">
        <f t="shared" si="160"/>
        <v>#DIV/0!</v>
      </c>
      <c r="AR348" s="110">
        <v>54909</v>
      </c>
      <c r="AS348" s="98">
        <f t="shared" si="156"/>
        <v>0</v>
      </c>
      <c r="AT348" s="98">
        <f t="shared" si="157"/>
        <v>0</v>
      </c>
      <c r="AU348" s="98"/>
    </row>
    <row r="349" spans="1:47">
      <c r="A349" s="295">
        <v>45785</v>
      </c>
      <c r="B349" s="296"/>
      <c r="C349" s="312"/>
      <c r="D349" s="296"/>
      <c r="E349" s="312"/>
      <c r="F349" s="296"/>
      <c r="G349" s="312"/>
      <c r="H349" s="325"/>
      <c r="I349" s="312"/>
      <c r="J349" s="416"/>
      <c r="K349" s="369"/>
      <c r="L349" s="378"/>
      <c r="M349" s="312"/>
      <c r="N349" s="298"/>
      <c r="O349" s="312"/>
      <c r="P349" s="404" t="e">
        <f t="shared" si="161"/>
        <v>#DIV/0!</v>
      </c>
      <c r="Q349" s="312" t="e">
        <f t="shared" si="164"/>
        <v>#DIV/0!</v>
      </c>
      <c r="R349" s="298"/>
      <c r="S349" s="312"/>
      <c r="T349" s="298"/>
      <c r="U349" s="312"/>
      <c r="V349" s="454">
        <f t="shared" si="162"/>
        <v>0</v>
      </c>
      <c r="W349" s="312"/>
      <c r="X349" s="454">
        <f t="shared" si="163"/>
        <v>0</v>
      </c>
      <c r="Y349" s="312"/>
      <c r="Z349" s="379"/>
      <c r="AA349" s="297"/>
      <c r="AB349" s="379"/>
      <c r="AC349" s="297"/>
      <c r="AD349" s="413"/>
      <c r="AE349" s="297"/>
      <c r="AG349" s="294"/>
      <c r="AH349" s="380"/>
      <c r="AI349" s="408"/>
      <c r="AJ349" s="498"/>
      <c r="AK349" s="498"/>
      <c r="AL349" s="503" t="e">
        <f t="shared" si="158"/>
        <v>#DIV/0!</v>
      </c>
      <c r="AM349" s="498"/>
      <c r="AN349" s="503" t="e">
        <f t="shared" si="159"/>
        <v>#DIV/0!</v>
      </c>
      <c r="AO349" s="498"/>
      <c r="AP349" s="503" t="e">
        <f t="shared" si="160"/>
        <v>#DIV/0!</v>
      </c>
      <c r="AR349" s="110">
        <v>54940</v>
      </c>
      <c r="AS349" s="98">
        <f t="shared" si="156"/>
        <v>0</v>
      </c>
      <c r="AT349" s="98">
        <f t="shared" si="157"/>
        <v>0</v>
      </c>
      <c r="AU349" s="98"/>
    </row>
    <row r="350" spans="1:47">
      <c r="A350" s="295">
        <v>45786</v>
      </c>
      <c r="B350" s="296"/>
      <c r="C350" s="312"/>
      <c r="D350" s="296"/>
      <c r="E350" s="312"/>
      <c r="F350" s="296"/>
      <c r="G350" s="312"/>
      <c r="H350" s="325"/>
      <c r="I350" s="312"/>
      <c r="J350" s="416"/>
      <c r="K350" s="369"/>
      <c r="L350" s="378"/>
      <c r="M350" s="312"/>
      <c r="N350" s="298"/>
      <c r="O350" s="312"/>
      <c r="P350" s="404" t="e">
        <f t="shared" si="161"/>
        <v>#DIV/0!</v>
      </c>
      <c r="Q350" s="312" t="e">
        <f t="shared" si="164"/>
        <v>#DIV/0!</v>
      </c>
      <c r="R350" s="298"/>
      <c r="S350" s="312"/>
      <c r="T350" s="298"/>
      <c r="U350" s="312"/>
      <c r="V350" s="454">
        <f t="shared" si="162"/>
        <v>0</v>
      </c>
      <c r="W350" s="312"/>
      <c r="X350" s="454">
        <f t="shared" si="163"/>
        <v>0</v>
      </c>
      <c r="Y350" s="312"/>
      <c r="Z350" s="379"/>
      <c r="AA350" s="297"/>
      <c r="AB350" s="379"/>
      <c r="AC350" s="297"/>
      <c r="AD350" s="413"/>
      <c r="AE350" s="297"/>
      <c r="AG350" s="294"/>
      <c r="AH350" s="380"/>
      <c r="AI350" s="408"/>
      <c r="AJ350" s="498"/>
      <c r="AK350" s="498"/>
      <c r="AL350" s="503" t="e">
        <f t="shared" si="158"/>
        <v>#DIV/0!</v>
      </c>
      <c r="AM350" s="498"/>
      <c r="AN350" s="503" t="e">
        <f t="shared" si="159"/>
        <v>#DIV/0!</v>
      </c>
      <c r="AO350" s="498"/>
      <c r="AP350" s="503" t="e">
        <f t="shared" si="160"/>
        <v>#DIV/0!</v>
      </c>
      <c r="AR350" s="110">
        <v>54970</v>
      </c>
      <c r="AS350" s="98">
        <f t="shared" si="156"/>
        <v>0</v>
      </c>
      <c r="AT350" s="98">
        <f t="shared" si="157"/>
        <v>0</v>
      </c>
      <c r="AU350" s="98"/>
    </row>
    <row r="351" spans="1:47">
      <c r="A351" s="295">
        <v>45789</v>
      </c>
      <c r="B351" s="296"/>
      <c r="C351" s="312"/>
      <c r="D351" s="296"/>
      <c r="E351" s="312"/>
      <c r="F351" s="296"/>
      <c r="G351" s="312"/>
      <c r="H351" s="325"/>
      <c r="I351" s="312"/>
      <c r="J351" s="416"/>
      <c r="K351" s="369"/>
      <c r="L351" s="378"/>
      <c r="M351" s="312"/>
      <c r="N351" s="298"/>
      <c r="O351" s="312"/>
      <c r="P351" s="404" t="e">
        <f t="shared" si="161"/>
        <v>#DIV/0!</v>
      </c>
      <c r="Q351" s="312" t="e">
        <f t="shared" si="164"/>
        <v>#DIV/0!</v>
      </c>
      <c r="R351" s="298"/>
      <c r="S351" s="312"/>
      <c r="T351" s="298"/>
      <c r="U351" s="312"/>
      <c r="V351" s="454">
        <f t="shared" si="162"/>
        <v>0</v>
      </c>
      <c r="W351" s="312"/>
      <c r="X351" s="454">
        <f t="shared" si="163"/>
        <v>0</v>
      </c>
      <c r="Y351" s="312"/>
      <c r="Z351" s="379"/>
      <c r="AA351" s="297"/>
      <c r="AB351" s="379"/>
      <c r="AC351" s="297"/>
      <c r="AD351" s="413"/>
      <c r="AE351" s="297"/>
      <c r="AG351" s="294"/>
      <c r="AH351" s="380"/>
      <c r="AI351" s="408"/>
      <c r="AJ351" s="498"/>
      <c r="AK351" s="498"/>
      <c r="AL351" s="503" t="e">
        <f t="shared" si="158"/>
        <v>#DIV/0!</v>
      </c>
      <c r="AM351" s="498"/>
      <c r="AN351" s="503" t="e">
        <f t="shared" si="159"/>
        <v>#DIV/0!</v>
      </c>
      <c r="AO351" s="498"/>
      <c r="AP351" s="503" t="e">
        <f t="shared" si="160"/>
        <v>#DIV/0!</v>
      </c>
      <c r="AR351" s="110">
        <v>55001</v>
      </c>
      <c r="AS351" s="98">
        <f t="shared" si="156"/>
        <v>0</v>
      </c>
      <c r="AT351" s="98">
        <f t="shared" si="157"/>
        <v>0</v>
      </c>
      <c r="AU351" s="98"/>
    </row>
    <row r="352" spans="1:47">
      <c r="A352" s="295">
        <v>45790</v>
      </c>
      <c r="B352" s="296"/>
      <c r="C352" s="312"/>
      <c r="D352" s="296"/>
      <c r="E352" s="312"/>
      <c r="F352" s="296"/>
      <c r="G352" s="312"/>
      <c r="H352" s="325"/>
      <c r="I352" s="312"/>
      <c r="J352" s="416"/>
      <c r="K352" s="369"/>
      <c r="L352" s="378"/>
      <c r="M352" s="312"/>
      <c r="N352" s="298"/>
      <c r="O352" s="312"/>
      <c r="P352" s="404" t="e">
        <f t="shared" si="161"/>
        <v>#DIV/0!</v>
      </c>
      <c r="Q352" s="312" t="e">
        <f t="shared" si="164"/>
        <v>#DIV/0!</v>
      </c>
      <c r="R352" s="298"/>
      <c r="S352" s="312"/>
      <c r="T352" s="298"/>
      <c r="U352" s="312"/>
      <c r="V352" s="454">
        <f t="shared" si="162"/>
        <v>0</v>
      </c>
      <c r="W352" s="312"/>
      <c r="X352" s="454">
        <f t="shared" si="163"/>
        <v>0</v>
      </c>
      <c r="Y352" s="312"/>
      <c r="Z352" s="379"/>
      <c r="AA352" s="297"/>
      <c r="AB352" s="379"/>
      <c r="AC352" s="297"/>
      <c r="AD352" s="413"/>
      <c r="AE352" s="297"/>
      <c r="AG352" s="294"/>
      <c r="AH352" s="380"/>
      <c r="AI352" s="408"/>
      <c r="AJ352" s="498"/>
      <c r="AK352" s="498"/>
      <c r="AL352" s="503" t="e">
        <f t="shared" si="158"/>
        <v>#DIV/0!</v>
      </c>
      <c r="AM352" s="498"/>
      <c r="AN352" s="503" t="e">
        <f t="shared" si="159"/>
        <v>#DIV/0!</v>
      </c>
      <c r="AO352" s="498"/>
      <c r="AP352" s="503" t="e">
        <f t="shared" si="160"/>
        <v>#DIV/0!</v>
      </c>
      <c r="AR352" s="110">
        <v>55032</v>
      </c>
      <c r="AS352" s="98">
        <f t="shared" si="156"/>
        <v>0</v>
      </c>
      <c r="AT352" s="98">
        <f t="shared" si="157"/>
        <v>0</v>
      </c>
      <c r="AU352" s="98"/>
    </row>
    <row r="353" spans="1:47">
      <c r="A353" s="295">
        <v>45791</v>
      </c>
      <c r="B353" s="296"/>
      <c r="C353" s="312"/>
      <c r="D353" s="296"/>
      <c r="E353" s="312"/>
      <c r="F353" s="296"/>
      <c r="G353" s="312"/>
      <c r="H353" s="325"/>
      <c r="I353" s="312"/>
      <c r="J353" s="416"/>
      <c r="K353" s="369"/>
      <c r="L353" s="378"/>
      <c r="M353" s="312"/>
      <c r="N353" s="298"/>
      <c r="O353" s="312"/>
      <c r="P353" s="404" t="e">
        <f t="shared" si="161"/>
        <v>#DIV/0!</v>
      </c>
      <c r="Q353" s="312" t="e">
        <f t="shared" si="164"/>
        <v>#DIV/0!</v>
      </c>
      <c r="R353" s="298"/>
      <c r="S353" s="312"/>
      <c r="T353" s="298"/>
      <c r="U353" s="312"/>
      <c r="V353" s="454">
        <f t="shared" si="162"/>
        <v>0</v>
      </c>
      <c r="W353" s="312"/>
      <c r="X353" s="454">
        <f t="shared" si="163"/>
        <v>0</v>
      </c>
      <c r="Y353" s="312"/>
      <c r="Z353" s="379"/>
      <c r="AA353" s="297"/>
      <c r="AB353" s="379"/>
      <c r="AC353" s="297"/>
      <c r="AD353" s="413"/>
      <c r="AE353" s="297"/>
      <c r="AG353" s="294"/>
      <c r="AH353" s="380"/>
      <c r="AI353" s="408"/>
      <c r="AJ353" s="498"/>
      <c r="AK353" s="498"/>
      <c r="AL353" s="503" t="e">
        <f t="shared" si="158"/>
        <v>#DIV/0!</v>
      </c>
      <c r="AM353" s="498"/>
      <c r="AN353" s="503" t="e">
        <f t="shared" si="159"/>
        <v>#DIV/0!</v>
      </c>
      <c r="AO353" s="498"/>
      <c r="AP353" s="503" t="e">
        <f t="shared" si="160"/>
        <v>#DIV/0!</v>
      </c>
      <c r="AR353" s="110">
        <v>55062</v>
      </c>
      <c r="AS353" s="98">
        <f t="shared" si="156"/>
        <v>0</v>
      </c>
      <c r="AT353" s="98">
        <f t="shared" si="157"/>
        <v>0</v>
      </c>
      <c r="AU353" s="98"/>
    </row>
    <row r="354" spans="1:47">
      <c r="A354" s="295">
        <v>45792</v>
      </c>
      <c r="B354" s="296"/>
      <c r="C354" s="312"/>
      <c r="D354" s="296"/>
      <c r="E354" s="312"/>
      <c r="F354" s="296"/>
      <c r="G354" s="312"/>
      <c r="H354" s="325"/>
      <c r="I354" s="312"/>
      <c r="J354" s="416"/>
      <c r="K354" s="369"/>
      <c r="L354" s="378"/>
      <c r="M354" s="312"/>
      <c r="N354" s="298"/>
      <c r="O354" s="312"/>
      <c r="P354" s="404" t="e">
        <f t="shared" si="161"/>
        <v>#DIV/0!</v>
      </c>
      <c r="Q354" s="312" t="e">
        <f t="shared" si="164"/>
        <v>#DIV/0!</v>
      </c>
      <c r="R354" s="298"/>
      <c r="S354" s="312"/>
      <c r="T354" s="298"/>
      <c r="U354" s="312"/>
      <c r="V354" s="454">
        <f t="shared" si="162"/>
        <v>0</v>
      </c>
      <c r="W354" s="312"/>
      <c r="X354" s="454">
        <f t="shared" si="163"/>
        <v>0</v>
      </c>
      <c r="Y354" s="312"/>
      <c r="Z354" s="379"/>
      <c r="AA354" s="297"/>
      <c r="AB354" s="379"/>
      <c r="AC354" s="297"/>
      <c r="AD354" s="413"/>
      <c r="AE354" s="297"/>
      <c r="AG354" s="294"/>
      <c r="AH354" s="380"/>
      <c r="AI354" s="408"/>
      <c r="AJ354" s="498"/>
      <c r="AK354" s="498"/>
      <c r="AL354" s="503" t="e">
        <f t="shared" si="158"/>
        <v>#DIV/0!</v>
      </c>
      <c r="AM354" s="498"/>
      <c r="AN354" s="503" t="e">
        <f t="shared" si="159"/>
        <v>#DIV/0!</v>
      </c>
      <c r="AO354" s="498"/>
      <c r="AP354" s="503" t="e">
        <f t="shared" si="160"/>
        <v>#DIV/0!</v>
      </c>
      <c r="AR354" s="110">
        <v>55093</v>
      </c>
      <c r="AS354" s="98">
        <f t="shared" si="156"/>
        <v>0</v>
      </c>
      <c r="AT354" s="98">
        <f t="shared" si="157"/>
        <v>0</v>
      </c>
      <c r="AU354" s="98"/>
    </row>
    <row r="355" spans="1:47">
      <c r="A355" s="295">
        <v>45793</v>
      </c>
      <c r="B355" s="296"/>
      <c r="C355" s="312"/>
      <c r="D355" s="296"/>
      <c r="E355" s="312"/>
      <c r="F355" s="296"/>
      <c r="G355" s="312"/>
      <c r="H355" s="325"/>
      <c r="I355" s="312"/>
      <c r="J355" s="416"/>
      <c r="K355" s="369"/>
      <c r="L355" s="378"/>
      <c r="M355" s="312"/>
      <c r="N355" s="298"/>
      <c r="O355" s="312"/>
      <c r="P355" s="404" t="e">
        <f t="shared" si="161"/>
        <v>#DIV/0!</v>
      </c>
      <c r="Q355" s="312" t="e">
        <f t="shared" si="164"/>
        <v>#DIV/0!</v>
      </c>
      <c r="R355" s="298"/>
      <c r="S355" s="312"/>
      <c r="T355" s="298"/>
      <c r="U355" s="312"/>
      <c r="V355" s="454">
        <f t="shared" si="162"/>
        <v>0</v>
      </c>
      <c r="W355" s="312"/>
      <c r="X355" s="454">
        <f t="shared" si="163"/>
        <v>0</v>
      </c>
      <c r="Y355" s="312"/>
      <c r="Z355" s="379"/>
      <c r="AA355" s="297"/>
      <c r="AB355" s="379"/>
      <c r="AC355" s="297"/>
      <c r="AD355" s="413"/>
      <c r="AE355" s="297"/>
      <c r="AG355" s="294"/>
      <c r="AH355" s="380"/>
      <c r="AI355" s="408"/>
      <c r="AJ355" s="498"/>
      <c r="AK355" s="498"/>
      <c r="AL355" s="503" t="e">
        <f t="shared" si="158"/>
        <v>#DIV/0!</v>
      </c>
      <c r="AM355" s="498"/>
      <c r="AN355" s="503" t="e">
        <f t="shared" si="159"/>
        <v>#DIV/0!</v>
      </c>
      <c r="AO355" s="498"/>
      <c r="AP355" s="503" t="e">
        <f t="shared" si="160"/>
        <v>#DIV/0!</v>
      </c>
      <c r="AR355" s="110">
        <v>55123</v>
      </c>
      <c r="AS355" s="98">
        <f t="shared" si="156"/>
        <v>0</v>
      </c>
      <c r="AT355" s="98">
        <f t="shared" si="157"/>
        <v>0</v>
      </c>
      <c r="AU355" s="98"/>
    </row>
    <row r="356" spans="1:47">
      <c r="A356" s="295">
        <v>45796</v>
      </c>
      <c r="B356" s="296"/>
      <c r="C356" s="312"/>
      <c r="D356" s="296"/>
      <c r="E356" s="312"/>
      <c r="F356" s="296"/>
      <c r="G356" s="312"/>
      <c r="H356" s="325"/>
      <c r="I356" s="312"/>
      <c r="J356" s="416"/>
      <c r="K356" s="369"/>
      <c r="L356" s="378"/>
      <c r="M356" s="312"/>
      <c r="N356" s="298"/>
      <c r="O356" s="312"/>
      <c r="P356" s="404" t="e">
        <f t="shared" si="161"/>
        <v>#DIV/0!</v>
      </c>
      <c r="Q356" s="312" t="e">
        <f t="shared" si="164"/>
        <v>#DIV/0!</v>
      </c>
      <c r="R356" s="298"/>
      <c r="S356" s="312"/>
      <c r="T356" s="298"/>
      <c r="U356" s="312"/>
      <c r="V356" s="454">
        <f t="shared" si="162"/>
        <v>0</v>
      </c>
      <c r="W356" s="312"/>
      <c r="X356" s="454">
        <f t="shared" si="163"/>
        <v>0</v>
      </c>
      <c r="Y356" s="312"/>
      <c r="Z356" s="379"/>
      <c r="AA356" s="297"/>
      <c r="AB356" s="379"/>
      <c r="AC356" s="297"/>
      <c r="AD356" s="413"/>
      <c r="AE356" s="297"/>
      <c r="AG356" s="294"/>
      <c r="AH356" s="380"/>
      <c r="AI356" s="408"/>
      <c r="AJ356" s="498"/>
      <c r="AK356" s="498"/>
      <c r="AL356" s="503" t="e">
        <f t="shared" si="158"/>
        <v>#DIV/0!</v>
      </c>
      <c r="AM356" s="498"/>
      <c r="AN356" s="503" t="e">
        <f t="shared" si="159"/>
        <v>#DIV/0!</v>
      </c>
      <c r="AO356" s="498"/>
      <c r="AP356" s="503" t="e">
        <f t="shared" si="160"/>
        <v>#DIV/0!</v>
      </c>
      <c r="AR356" s="110">
        <v>55154</v>
      </c>
      <c r="AS356" s="98">
        <f t="shared" si="156"/>
        <v>0</v>
      </c>
      <c r="AT356" s="98">
        <f t="shared" si="157"/>
        <v>0</v>
      </c>
      <c r="AU356" s="98"/>
    </row>
    <row r="357" spans="1:47">
      <c r="A357" s="295">
        <v>45797</v>
      </c>
      <c r="B357" s="296"/>
      <c r="C357" s="312"/>
      <c r="D357" s="296"/>
      <c r="E357" s="312"/>
      <c r="F357" s="296"/>
      <c r="G357" s="312"/>
      <c r="H357" s="325"/>
      <c r="I357" s="312"/>
      <c r="J357" s="416"/>
      <c r="K357" s="369"/>
      <c r="L357" s="378"/>
      <c r="M357" s="312"/>
      <c r="N357" s="298"/>
      <c r="O357" s="312"/>
      <c r="P357" s="404" t="e">
        <f t="shared" si="161"/>
        <v>#DIV/0!</v>
      </c>
      <c r="Q357" s="312" t="e">
        <f t="shared" si="164"/>
        <v>#DIV/0!</v>
      </c>
      <c r="R357" s="298"/>
      <c r="S357" s="312"/>
      <c r="T357" s="298"/>
      <c r="U357" s="312"/>
      <c r="V357" s="454">
        <f t="shared" si="162"/>
        <v>0</v>
      </c>
      <c r="W357" s="312"/>
      <c r="X357" s="454">
        <f t="shared" si="163"/>
        <v>0</v>
      </c>
      <c r="Y357" s="312"/>
      <c r="Z357" s="379"/>
      <c r="AA357" s="297"/>
      <c r="AB357" s="379"/>
      <c r="AC357" s="297"/>
      <c r="AD357" s="413"/>
      <c r="AE357" s="297"/>
      <c r="AG357" s="294"/>
      <c r="AH357" s="380"/>
      <c r="AI357" s="408"/>
      <c r="AJ357" s="498"/>
      <c r="AK357" s="498"/>
      <c r="AL357" s="503" t="e">
        <f t="shared" si="158"/>
        <v>#DIV/0!</v>
      </c>
      <c r="AM357" s="498"/>
      <c r="AN357" s="503" t="e">
        <f t="shared" si="159"/>
        <v>#DIV/0!</v>
      </c>
      <c r="AO357" s="498"/>
      <c r="AP357" s="503" t="e">
        <f t="shared" si="160"/>
        <v>#DIV/0!</v>
      </c>
      <c r="AR357" s="110">
        <v>55185</v>
      </c>
      <c r="AS357" s="98">
        <f t="shared" ref="AS357:AS420" si="165">AS356*0.9%+AS356</f>
        <v>0</v>
      </c>
      <c r="AT357" s="98">
        <f t="shared" ref="AT357:AT420" si="166">AT356*1%+AT356</f>
        <v>0</v>
      </c>
      <c r="AU357" s="98"/>
    </row>
    <row r="358" spans="1:47">
      <c r="A358" s="295">
        <v>45798</v>
      </c>
      <c r="B358" s="296"/>
      <c r="C358" s="312"/>
      <c r="D358" s="296"/>
      <c r="E358" s="312"/>
      <c r="F358" s="296"/>
      <c r="G358" s="312"/>
      <c r="H358" s="325"/>
      <c r="I358" s="312"/>
      <c r="J358" s="416"/>
      <c r="K358" s="369"/>
      <c r="L358" s="378"/>
      <c r="M358" s="312"/>
      <c r="N358" s="298"/>
      <c r="O358" s="312"/>
      <c r="P358" s="404" t="e">
        <f t="shared" si="161"/>
        <v>#DIV/0!</v>
      </c>
      <c r="Q358" s="312" t="e">
        <f t="shared" si="164"/>
        <v>#DIV/0!</v>
      </c>
      <c r="R358" s="298"/>
      <c r="S358" s="312"/>
      <c r="T358" s="298"/>
      <c r="U358" s="312"/>
      <c r="V358" s="454">
        <f t="shared" si="162"/>
        <v>0</v>
      </c>
      <c r="W358" s="312"/>
      <c r="X358" s="454">
        <f t="shared" si="163"/>
        <v>0</v>
      </c>
      <c r="Y358" s="312"/>
      <c r="Z358" s="379"/>
      <c r="AA358" s="297"/>
      <c r="AB358" s="379"/>
      <c r="AC358" s="297"/>
      <c r="AD358" s="413"/>
      <c r="AE358" s="297"/>
      <c r="AG358" s="294"/>
      <c r="AH358" s="380"/>
      <c r="AI358" s="408"/>
      <c r="AJ358" s="498"/>
      <c r="AK358" s="498"/>
      <c r="AL358" s="503" t="e">
        <f t="shared" si="158"/>
        <v>#DIV/0!</v>
      </c>
      <c r="AM358" s="498"/>
      <c r="AN358" s="503" t="e">
        <f t="shared" si="159"/>
        <v>#DIV/0!</v>
      </c>
      <c r="AO358" s="498"/>
      <c r="AP358" s="503" t="e">
        <f t="shared" si="160"/>
        <v>#DIV/0!</v>
      </c>
      <c r="AR358" s="110">
        <v>55213</v>
      </c>
      <c r="AS358" s="98">
        <f t="shared" si="165"/>
        <v>0</v>
      </c>
      <c r="AT358" s="98">
        <f t="shared" si="166"/>
        <v>0</v>
      </c>
      <c r="AU358" s="98"/>
    </row>
    <row r="359" spans="1:47">
      <c r="A359" s="295">
        <v>45799</v>
      </c>
      <c r="B359" s="296"/>
      <c r="C359" s="312"/>
      <c r="D359" s="296"/>
      <c r="E359" s="312"/>
      <c r="F359" s="296"/>
      <c r="G359" s="312"/>
      <c r="H359" s="325"/>
      <c r="I359" s="312"/>
      <c r="J359" s="416"/>
      <c r="K359" s="369"/>
      <c r="L359" s="378"/>
      <c r="M359" s="312"/>
      <c r="N359" s="298"/>
      <c r="O359" s="312"/>
      <c r="P359" s="404" t="e">
        <f t="shared" si="161"/>
        <v>#DIV/0!</v>
      </c>
      <c r="Q359" s="312" t="e">
        <f t="shared" si="164"/>
        <v>#DIV/0!</v>
      </c>
      <c r="R359" s="298"/>
      <c r="S359" s="312"/>
      <c r="T359" s="298"/>
      <c r="U359" s="312"/>
      <c r="V359" s="454">
        <f t="shared" si="162"/>
        <v>0</v>
      </c>
      <c r="W359" s="312"/>
      <c r="X359" s="454">
        <f t="shared" si="163"/>
        <v>0</v>
      </c>
      <c r="Y359" s="312"/>
      <c r="Z359" s="379"/>
      <c r="AA359" s="297"/>
      <c r="AB359" s="379"/>
      <c r="AC359" s="297"/>
      <c r="AD359" s="413"/>
      <c r="AE359" s="297"/>
      <c r="AG359" s="294"/>
      <c r="AH359" s="380"/>
      <c r="AI359" s="408"/>
      <c r="AJ359" s="498"/>
      <c r="AK359" s="498"/>
      <c r="AL359" s="503" t="e">
        <f t="shared" si="158"/>
        <v>#DIV/0!</v>
      </c>
      <c r="AM359" s="498"/>
      <c r="AN359" s="503" t="e">
        <f t="shared" si="159"/>
        <v>#DIV/0!</v>
      </c>
      <c r="AO359" s="498"/>
      <c r="AP359" s="503" t="e">
        <f t="shared" si="160"/>
        <v>#DIV/0!</v>
      </c>
      <c r="AR359" s="110">
        <v>55244</v>
      </c>
      <c r="AS359" s="98">
        <f t="shared" si="165"/>
        <v>0</v>
      </c>
      <c r="AT359" s="98">
        <f t="shared" si="166"/>
        <v>0</v>
      </c>
      <c r="AU359" s="98"/>
    </row>
    <row r="360" spans="1:47">
      <c r="A360" s="295">
        <v>45800</v>
      </c>
      <c r="B360" s="296"/>
      <c r="C360" s="312"/>
      <c r="D360" s="296"/>
      <c r="E360" s="312"/>
      <c r="F360" s="296"/>
      <c r="G360" s="312"/>
      <c r="H360" s="325"/>
      <c r="I360" s="312"/>
      <c r="J360" s="416"/>
      <c r="K360" s="369"/>
      <c r="L360" s="378"/>
      <c r="M360" s="312"/>
      <c r="N360" s="298"/>
      <c r="O360" s="312"/>
      <c r="P360" s="404" t="e">
        <f t="shared" si="161"/>
        <v>#DIV/0!</v>
      </c>
      <c r="Q360" s="312" t="e">
        <f t="shared" si="164"/>
        <v>#DIV/0!</v>
      </c>
      <c r="R360" s="298"/>
      <c r="S360" s="312"/>
      <c r="T360" s="298"/>
      <c r="U360" s="312"/>
      <c r="V360" s="454">
        <f t="shared" si="162"/>
        <v>0</v>
      </c>
      <c r="W360" s="312"/>
      <c r="X360" s="454">
        <f t="shared" si="163"/>
        <v>0</v>
      </c>
      <c r="Y360" s="312"/>
      <c r="Z360" s="379"/>
      <c r="AA360" s="297"/>
      <c r="AB360" s="379"/>
      <c r="AC360" s="297"/>
      <c r="AD360" s="413"/>
      <c r="AE360" s="297"/>
      <c r="AG360" s="294"/>
      <c r="AH360" s="380"/>
      <c r="AI360" s="408"/>
      <c r="AJ360" s="498"/>
      <c r="AK360" s="498"/>
      <c r="AL360" s="503" t="e">
        <f t="shared" si="158"/>
        <v>#DIV/0!</v>
      </c>
      <c r="AM360" s="498"/>
      <c r="AN360" s="503" t="e">
        <f t="shared" si="159"/>
        <v>#DIV/0!</v>
      </c>
      <c r="AO360" s="498"/>
      <c r="AP360" s="503" t="e">
        <f t="shared" si="160"/>
        <v>#DIV/0!</v>
      </c>
      <c r="AR360" s="110">
        <v>55274</v>
      </c>
      <c r="AS360" s="98">
        <f t="shared" si="165"/>
        <v>0</v>
      </c>
      <c r="AT360" s="98">
        <f t="shared" si="166"/>
        <v>0</v>
      </c>
      <c r="AU360" s="98"/>
    </row>
    <row r="361" spans="1:47">
      <c r="A361" s="295">
        <v>45803</v>
      </c>
      <c r="B361" s="296"/>
      <c r="C361" s="312"/>
      <c r="D361" s="296"/>
      <c r="E361" s="312"/>
      <c r="F361" s="296"/>
      <c r="G361" s="312"/>
      <c r="H361" s="325"/>
      <c r="I361" s="312"/>
      <c r="J361" s="416"/>
      <c r="K361" s="369"/>
      <c r="L361" s="378"/>
      <c r="M361" s="312"/>
      <c r="N361" s="298"/>
      <c r="O361" s="312"/>
      <c r="P361" s="404" t="e">
        <f t="shared" si="161"/>
        <v>#DIV/0!</v>
      </c>
      <c r="Q361" s="312" t="e">
        <f t="shared" si="164"/>
        <v>#DIV/0!</v>
      </c>
      <c r="R361" s="298"/>
      <c r="S361" s="312"/>
      <c r="T361" s="298"/>
      <c r="U361" s="312"/>
      <c r="V361" s="454">
        <f t="shared" si="162"/>
        <v>0</v>
      </c>
      <c r="W361" s="312"/>
      <c r="X361" s="454">
        <f t="shared" si="163"/>
        <v>0</v>
      </c>
      <c r="Y361" s="312"/>
      <c r="Z361" s="379"/>
      <c r="AA361" s="297"/>
      <c r="AB361" s="379"/>
      <c r="AC361" s="297"/>
      <c r="AD361" s="413"/>
      <c r="AE361" s="297"/>
      <c r="AG361" s="294"/>
      <c r="AH361" s="380"/>
      <c r="AI361" s="408"/>
      <c r="AJ361" s="498"/>
      <c r="AK361" s="498"/>
      <c r="AL361" s="503" t="e">
        <f t="shared" si="158"/>
        <v>#DIV/0!</v>
      </c>
      <c r="AM361" s="498"/>
      <c r="AN361" s="503" t="e">
        <f t="shared" si="159"/>
        <v>#DIV/0!</v>
      </c>
      <c r="AO361" s="498"/>
      <c r="AP361" s="503" t="e">
        <f t="shared" si="160"/>
        <v>#DIV/0!</v>
      </c>
      <c r="AR361" s="110">
        <v>55305</v>
      </c>
      <c r="AS361" s="98">
        <f t="shared" si="165"/>
        <v>0</v>
      </c>
      <c r="AT361" s="98">
        <f t="shared" si="166"/>
        <v>0</v>
      </c>
      <c r="AU361" s="98"/>
    </row>
    <row r="362" spans="1:47">
      <c r="A362" s="295">
        <v>45804</v>
      </c>
      <c r="B362" s="296"/>
      <c r="C362" s="312"/>
      <c r="D362" s="296"/>
      <c r="E362" s="312"/>
      <c r="F362" s="296"/>
      <c r="G362" s="312"/>
      <c r="H362" s="325"/>
      <c r="I362" s="312"/>
      <c r="J362" s="416"/>
      <c r="K362" s="369"/>
      <c r="L362" s="378"/>
      <c r="M362" s="312"/>
      <c r="N362" s="298"/>
      <c r="O362" s="312"/>
      <c r="P362" s="404" t="e">
        <f t="shared" si="161"/>
        <v>#DIV/0!</v>
      </c>
      <c r="Q362" s="312" t="e">
        <f t="shared" si="164"/>
        <v>#DIV/0!</v>
      </c>
      <c r="R362" s="298"/>
      <c r="S362" s="312"/>
      <c r="T362" s="298"/>
      <c r="U362" s="312"/>
      <c r="V362" s="454">
        <f t="shared" si="162"/>
        <v>0</v>
      </c>
      <c r="W362" s="312"/>
      <c r="X362" s="454">
        <f t="shared" si="163"/>
        <v>0</v>
      </c>
      <c r="Y362" s="312"/>
      <c r="Z362" s="379"/>
      <c r="AA362" s="297"/>
      <c r="AB362" s="379"/>
      <c r="AC362" s="297"/>
      <c r="AD362" s="413"/>
      <c r="AE362" s="297"/>
      <c r="AG362" s="294"/>
      <c r="AH362" s="380"/>
      <c r="AI362" s="408"/>
      <c r="AJ362" s="498"/>
      <c r="AK362" s="498"/>
      <c r="AL362" s="503" t="e">
        <f t="shared" si="158"/>
        <v>#DIV/0!</v>
      </c>
      <c r="AM362" s="498"/>
      <c r="AN362" s="503" t="e">
        <f t="shared" si="159"/>
        <v>#DIV/0!</v>
      </c>
      <c r="AO362" s="498"/>
      <c r="AP362" s="503" t="e">
        <f t="shared" si="160"/>
        <v>#DIV/0!</v>
      </c>
      <c r="AR362" s="110">
        <v>55335</v>
      </c>
      <c r="AS362" s="98">
        <f t="shared" si="165"/>
        <v>0</v>
      </c>
      <c r="AT362" s="98">
        <f t="shared" si="166"/>
        <v>0</v>
      </c>
      <c r="AU362" s="98"/>
    </row>
    <row r="363" spans="1:47">
      <c r="A363" s="295">
        <v>45805</v>
      </c>
      <c r="B363" s="296"/>
      <c r="C363" s="312"/>
      <c r="D363" s="296"/>
      <c r="E363" s="312"/>
      <c r="F363" s="296"/>
      <c r="G363" s="312"/>
      <c r="H363" s="325"/>
      <c r="I363" s="312"/>
      <c r="J363" s="416"/>
      <c r="K363" s="369"/>
      <c r="L363" s="378"/>
      <c r="M363" s="312"/>
      <c r="N363" s="298"/>
      <c r="O363" s="312"/>
      <c r="P363" s="404" t="e">
        <f t="shared" si="161"/>
        <v>#DIV/0!</v>
      </c>
      <c r="Q363" s="312" t="e">
        <f t="shared" si="164"/>
        <v>#DIV/0!</v>
      </c>
      <c r="R363" s="298"/>
      <c r="S363" s="312"/>
      <c r="T363" s="298"/>
      <c r="U363" s="312"/>
      <c r="V363" s="454">
        <f t="shared" si="162"/>
        <v>0</v>
      </c>
      <c r="W363" s="312"/>
      <c r="X363" s="454">
        <f t="shared" si="163"/>
        <v>0</v>
      </c>
      <c r="Y363" s="312"/>
      <c r="Z363" s="379"/>
      <c r="AA363" s="297"/>
      <c r="AB363" s="379"/>
      <c r="AC363" s="297"/>
      <c r="AD363" s="413"/>
      <c r="AE363" s="297"/>
      <c r="AG363" s="294"/>
      <c r="AH363" s="380"/>
      <c r="AI363" s="408"/>
      <c r="AJ363" s="498"/>
      <c r="AK363" s="498"/>
      <c r="AL363" s="503" t="e">
        <f t="shared" si="158"/>
        <v>#DIV/0!</v>
      </c>
      <c r="AM363" s="498"/>
      <c r="AN363" s="503" t="e">
        <f t="shared" si="159"/>
        <v>#DIV/0!</v>
      </c>
      <c r="AO363" s="498"/>
      <c r="AP363" s="503" t="e">
        <f t="shared" si="160"/>
        <v>#DIV/0!</v>
      </c>
      <c r="AR363" s="110">
        <v>55366</v>
      </c>
      <c r="AS363" s="98">
        <f t="shared" si="165"/>
        <v>0</v>
      </c>
      <c r="AT363" s="98">
        <f t="shared" si="166"/>
        <v>0</v>
      </c>
      <c r="AU363" s="98"/>
    </row>
    <row r="364" spans="1:47">
      <c r="A364" s="295">
        <v>45806</v>
      </c>
      <c r="B364" s="296"/>
      <c r="C364" s="312"/>
      <c r="D364" s="296"/>
      <c r="E364" s="312"/>
      <c r="F364" s="296"/>
      <c r="G364" s="312"/>
      <c r="H364" s="325"/>
      <c r="I364" s="312"/>
      <c r="J364" s="416"/>
      <c r="K364" s="369"/>
      <c r="L364" s="378"/>
      <c r="M364" s="312"/>
      <c r="N364" s="298"/>
      <c r="O364" s="312"/>
      <c r="P364" s="404" t="e">
        <f t="shared" si="161"/>
        <v>#DIV/0!</v>
      </c>
      <c r="Q364" s="312" t="e">
        <f t="shared" si="164"/>
        <v>#DIV/0!</v>
      </c>
      <c r="R364" s="298"/>
      <c r="S364" s="312"/>
      <c r="T364" s="298"/>
      <c r="U364" s="312"/>
      <c r="V364" s="454">
        <f t="shared" si="162"/>
        <v>0</v>
      </c>
      <c r="W364" s="312"/>
      <c r="X364" s="454">
        <f t="shared" si="163"/>
        <v>0</v>
      </c>
      <c r="Y364" s="312"/>
      <c r="Z364" s="379"/>
      <c r="AA364" s="297"/>
      <c r="AB364" s="379"/>
      <c r="AC364" s="297"/>
      <c r="AD364" s="413"/>
      <c r="AE364" s="297"/>
      <c r="AG364" s="294"/>
      <c r="AH364" s="380"/>
      <c r="AI364" s="408"/>
      <c r="AJ364" s="498"/>
      <c r="AK364" s="498"/>
      <c r="AL364" s="503" t="e">
        <f t="shared" si="158"/>
        <v>#DIV/0!</v>
      </c>
      <c r="AM364" s="498"/>
      <c r="AN364" s="503" t="e">
        <f t="shared" si="159"/>
        <v>#DIV/0!</v>
      </c>
      <c r="AO364" s="498"/>
      <c r="AP364" s="503" t="e">
        <f t="shared" si="160"/>
        <v>#DIV/0!</v>
      </c>
      <c r="AR364" s="110">
        <v>55397</v>
      </c>
      <c r="AS364" s="98">
        <f t="shared" si="165"/>
        <v>0</v>
      </c>
      <c r="AT364" s="98">
        <f t="shared" si="166"/>
        <v>0</v>
      </c>
      <c r="AU364" s="98"/>
    </row>
    <row r="365" spans="1:47">
      <c r="A365" s="295">
        <v>45807</v>
      </c>
      <c r="B365" s="296"/>
      <c r="C365" s="312"/>
      <c r="D365" s="296"/>
      <c r="E365" s="312"/>
      <c r="F365" s="296"/>
      <c r="G365" s="312"/>
      <c r="H365" s="325"/>
      <c r="I365" s="312"/>
      <c r="J365" s="416"/>
      <c r="K365" s="369"/>
      <c r="L365" s="378"/>
      <c r="M365" s="312"/>
      <c r="N365" s="298"/>
      <c r="O365" s="312"/>
      <c r="P365" s="404" t="e">
        <f t="shared" si="161"/>
        <v>#DIV/0!</v>
      </c>
      <c r="Q365" s="312" t="e">
        <f t="shared" si="164"/>
        <v>#DIV/0!</v>
      </c>
      <c r="R365" s="298"/>
      <c r="S365" s="312"/>
      <c r="T365" s="298"/>
      <c r="U365" s="312"/>
      <c r="V365" s="454">
        <f t="shared" si="162"/>
        <v>0</v>
      </c>
      <c r="W365" s="312"/>
      <c r="X365" s="454">
        <f t="shared" si="163"/>
        <v>0</v>
      </c>
      <c r="Y365" s="312"/>
      <c r="Z365" s="379"/>
      <c r="AA365" s="297"/>
      <c r="AB365" s="379"/>
      <c r="AC365" s="297"/>
      <c r="AD365" s="413"/>
      <c r="AE365" s="297"/>
      <c r="AG365" s="294"/>
      <c r="AH365" s="380"/>
      <c r="AI365" s="408"/>
      <c r="AJ365" s="498"/>
      <c r="AK365" s="498"/>
      <c r="AL365" s="503" t="e">
        <f t="shared" si="158"/>
        <v>#DIV/0!</v>
      </c>
      <c r="AM365" s="498"/>
      <c r="AN365" s="503" t="e">
        <f t="shared" si="159"/>
        <v>#DIV/0!</v>
      </c>
      <c r="AO365" s="498"/>
      <c r="AP365" s="503" t="e">
        <f t="shared" si="160"/>
        <v>#DIV/0!</v>
      </c>
      <c r="AR365" s="110">
        <v>55427</v>
      </c>
      <c r="AS365" s="98">
        <f t="shared" si="165"/>
        <v>0</v>
      </c>
      <c r="AT365" s="98">
        <f t="shared" si="166"/>
        <v>0</v>
      </c>
      <c r="AU365" s="98"/>
    </row>
    <row r="366" spans="1:47">
      <c r="A366" s="295">
        <v>45810</v>
      </c>
      <c r="B366" s="296"/>
      <c r="C366" s="312"/>
      <c r="D366" s="296"/>
      <c r="E366" s="312"/>
      <c r="F366" s="296"/>
      <c r="G366" s="312"/>
      <c r="H366" s="325"/>
      <c r="I366" s="312"/>
      <c r="J366" s="416"/>
      <c r="K366" s="369"/>
      <c r="L366" s="378"/>
      <c r="M366" s="312"/>
      <c r="N366" s="298"/>
      <c r="O366" s="312"/>
      <c r="P366" s="404" t="e">
        <f t="shared" si="161"/>
        <v>#DIV/0!</v>
      </c>
      <c r="Q366" s="312" t="e">
        <f t="shared" si="164"/>
        <v>#DIV/0!</v>
      </c>
      <c r="R366" s="298"/>
      <c r="S366" s="312"/>
      <c r="T366" s="298"/>
      <c r="U366" s="312"/>
      <c r="V366" s="454">
        <f t="shared" si="162"/>
        <v>0</v>
      </c>
      <c r="W366" s="312"/>
      <c r="X366" s="454">
        <f t="shared" si="163"/>
        <v>0</v>
      </c>
      <c r="Y366" s="312"/>
      <c r="Z366" s="379"/>
      <c r="AA366" s="297"/>
      <c r="AB366" s="379"/>
      <c r="AC366" s="297"/>
      <c r="AD366" s="413"/>
      <c r="AE366" s="297"/>
      <c r="AG366" s="294"/>
      <c r="AH366" s="380"/>
      <c r="AI366" s="408"/>
      <c r="AJ366" s="498"/>
      <c r="AK366" s="498"/>
      <c r="AL366" s="503" t="e">
        <f t="shared" si="158"/>
        <v>#DIV/0!</v>
      </c>
      <c r="AM366" s="498"/>
      <c r="AN366" s="503" t="e">
        <f t="shared" si="159"/>
        <v>#DIV/0!</v>
      </c>
      <c r="AO366" s="498"/>
      <c r="AP366" s="503" t="e">
        <f t="shared" si="160"/>
        <v>#DIV/0!</v>
      </c>
      <c r="AR366" s="110">
        <v>55458</v>
      </c>
      <c r="AS366" s="98">
        <f t="shared" si="165"/>
        <v>0</v>
      </c>
      <c r="AT366" s="98">
        <f t="shared" si="166"/>
        <v>0</v>
      </c>
      <c r="AU366" s="98"/>
    </row>
    <row r="367" spans="1:47">
      <c r="A367" s="295">
        <v>45811</v>
      </c>
      <c r="B367" s="296"/>
      <c r="C367" s="312"/>
      <c r="D367" s="296"/>
      <c r="E367" s="312"/>
      <c r="F367" s="296"/>
      <c r="G367" s="312"/>
      <c r="H367" s="325"/>
      <c r="I367" s="312"/>
      <c r="J367" s="416"/>
      <c r="K367" s="369"/>
      <c r="L367" s="378"/>
      <c r="M367" s="312"/>
      <c r="N367" s="298"/>
      <c r="O367" s="312"/>
      <c r="P367" s="404" t="e">
        <f t="shared" si="161"/>
        <v>#DIV/0!</v>
      </c>
      <c r="Q367" s="312" t="e">
        <f t="shared" si="164"/>
        <v>#DIV/0!</v>
      </c>
      <c r="R367" s="298"/>
      <c r="S367" s="312"/>
      <c r="T367" s="298"/>
      <c r="U367" s="312"/>
      <c r="V367" s="454">
        <f t="shared" si="162"/>
        <v>0</v>
      </c>
      <c r="W367" s="312"/>
      <c r="X367" s="454">
        <f t="shared" si="163"/>
        <v>0</v>
      </c>
      <c r="Y367" s="312"/>
      <c r="Z367" s="379"/>
      <c r="AA367" s="297"/>
      <c r="AB367" s="379"/>
      <c r="AC367" s="297"/>
      <c r="AD367" s="413"/>
      <c r="AE367" s="297"/>
      <c r="AG367" s="294"/>
      <c r="AH367" s="380"/>
      <c r="AI367" s="408"/>
      <c r="AJ367" s="498"/>
      <c r="AK367" s="498"/>
      <c r="AL367" s="503" t="e">
        <f t="shared" si="158"/>
        <v>#DIV/0!</v>
      </c>
      <c r="AM367" s="498"/>
      <c r="AN367" s="503" t="e">
        <f t="shared" si="159"/>
        <v>#DIV/0!</v>
      </c>
      <c r="AO367" s="498"/>
      <c r="AP367" s="503" t="e">
        <f t="shared" si="160"/>
        <v>#DIV/0!</v>
      </c>
      <c r="AR367" s="110">
        <v>55488</v>
      </c>
      <c r="AS367" s="98">
        <f t="shared" si="165"/>
        <v>0</v>
      </c>
      <c r="AT367" s="98">
        <f t="shared" si="166"/>
        <v>0</v>
      </c>
      <c r="AU367" s="98"/>
    </row>
    <row r="368" spans="1:47">
      <c r="A368" s="295">
        <v>45812</v>
      </c>
      <c r="B368" s="296"/>
      <c r="C368" s="312"/>
      <c r="D368" s="296"/>
      <c r="E368" s="312"/>
      <c r="F368" s="296"/>
      <c r="G368" s="312"/>
      <c r="H368" s="325"/>
      <c r="I368" s="312"/>
      <c r="J368" s="416"/>
      <c r="K368" s="369"/>
      <c r="L368" s="378"/>
      <c r="M368" s="312"/>
      <c r="N368" s="298"/>
      <c r="O368" s="312"/>
      <c r="P368" s="404" t="e">
        <f t="shared" si="161"/>
        <v>#DIV/0!</v>
      </c>
      <c r="Q368" s="312" t="e">
        <f t="shared" si="164"/>
        <v>#DIV/0!</v>
      </c>
      <c r="R368" s="298"/>
      <c r="S368" s="312"/>
      <c r="T368" s="298"/>
      <c r="U368" s="312"/>
      <c r="V368" s="454">
        <f t="shared" si="162"/>
        <v>0</v>
      </c>
      <c r="W368" s="312"/>
      <c r="X368" s="454">
        <f t="shared" si="163"/>
        <v>0</v>
      </c>
      <c r="Y368" s="312"/>
      <c r="Z368" s="379"/>
      <c r="AA368" s="297"/>
      <c r="AB368" s="379"/>
      <c r="AC368" s="297"/>
      <c r="AD368" s="413"/>
      <c r="AE368" s="297"/>
      <c r="AG368" s="294"/>
      <c r="AH368" s="380"/>
      <c r="AI368" s="408"/>
      <c r="AJ368" s="498"/>
      <c r="AK368" s="498"/>
      <c r="AL368" s="503" t="e">
        <f t="shared" si="158"/>
        <v>#DIV/0!</v>
      </c>
      <c r="AM368" s="498"/>
      <c r="AN368" s="503" t="e">
        <f t="shared" si="159"/>
        <v>#DIV/0!</v>
      </c>
      <c r="AO368" s="498"/>
      <c r="AP368" s="503" t="e">
        <f t="shared" si="160"/>
        <v>#DIV/0!</v>
      </c>
      <c r="AR368" s="110">
        <v>55519</v>
      </c>
      <c r="AS368" s="98">
        <f t="shared" si="165"/>
        <v>0</v>
      </c>
      <c r="AT368" s="98">
        <f t="shared" si="166"/>
        <v>0</v>
      </c>
      <c r="AU368" s="98"/>
    </row>
    <row r="369" spans="1:47">
      <c r="A369" s="295">
        <v>45813</v>
      </c>
      <c r="B369" s="296"/>
      <c r="C369" s="312"/>
      <c r="D369" s="296"/>
      <c r="E369" s="312"/>
      <c r="F369" s="296"/>
      <c r="G369" s="312"/>
      <c r="H369" s="325"/>
      <c r="I369" s="312"/>
      <c r="J369" s="416"/>
      <c r="K369" s="369"/>
      <c r="L369" s="378"/>
      <c r="M369" s="312"/>
      <c r="N369" s="298"/>
      <c r="O369" s="312"/>
      <c r="P369" s="404" t="e">
        <f t="shared" si="161"/>
        <v>#DIV/0!</v>
      </c>
      <c r="Q369" s="312" t="e">
        <f t="shared" si="164"/>
        <v>#DIV/0!</v>
      </c>
      <c r="R369" s="298"/>
      <c r="S369" s="312"/>
      <c r="T369" s="298"/>
      <c r="U369" s="312"/>
      <c r="V369" s="454">
        <f t="shared" si="162"/>
        <v>0</v>
      </c>
      <c r="W369" s="312"/>
      <c r="X369" s="454">
        <f t="shared" si="163"/>
        <v>0</v>
      </c>
      <c r="Y369" s="312"/>
      <c r="Z369" s="379"/>
      <c r="AA369" s="297"/>
      <c r="AB369" s="379"/>
      <c r="AC369" s="297"/>
      <c r="AD369" s="413"/>
      <c r="AE369" s="297"/>
      <c r="AG369" s="294"/>
      <c r="AH369" s="380"/>
      <c r="AI369" s="408"/>
      <c r="AJ369" s="498"/>
      <c r="AK369" s="498"/>
      <c r="AL369" s="503" t="e">
        <f t="shared" si="158"/>
        <v>#DIV/0!</v>
      </c>
      <c r="AM369" s="498"/>
      <c r="AN369" s="503" t="e">
        <f t="shared" si="159"/>
        <v>#DIV/0!</v>
      </c>
      <c r="AO369" s="498"/>
      <c r="AP369" s="503" t="e">
        <f t="shared" si="160"/>
        <v>#DIV/0!</v>
      </c>
      <c r="AR369" s="110">
        <v>55550</v>
      </c>
      <c r="AS369" s="98">
        <f t="shared" si="165"/>
        <v>0</v>
      </c>
      <c r="AT369" s="98">
        <f t="shared" si="166"/>
        <v>0</v>
      </c>
      <c r="AU369" s="98"/>
    </row>
    <row r="370" spans="1:47">
      <c r="A370" s="295">
        <v>45814</v>
      </c>
      <c r="B370" s="296"/>
      <c r="C370" s="312"/>
      <c r="D370" s="296"/>
      <c r="E370" s="312"/>
      <c r="F370" s="296"/>
      <c r="G370" s="312"/>
      <c r="H370" s="325"/>
      <c r="I370" s="312"/>
      <c r="J370" s="416"/>
      <c r="K370" s="369"/>
      <c r="L370" s="378"/>
      <c r="M370" s="312"/>
      <c r="N370" s="298"/>
      <c r="O370" s="312"/>
      <c r="P370" s="404" t="e">
        <f t="shared" si="161"/>
        <v>#DIV/0!</v>
      </c>
      <c r="Q370" s="312" t="e">
        <f t="shared" si="164"/>
        <v>#DIV/0!</v>
      </c>
      <c r="R370" s="298"/>
      <c r="S370" s="312"/>
      <c r="T370" s="298"/>
      <c r="U370" s="312"/>
      <c r="V370" s="454">
        <f t="shared" si="162"/>
        <v>0</v>
      </c>
      <c r="W370" s="312"/>
      <c r="X370" s="454">
        <f t="shared" si="163"/>
        <v>0</v>
      </c>
      <c r="Y370" s="312"/>
      <c r="Z370" s="379"/>
      <c r="AA370" s="297"/>
      <c r="AB370" s="379"/>
      <c r="AC370" s="297"/>
      <c r="AD370" s="413"/>
      <c r="AE370" s="297"/>
      <c r="AG370" s="294"/>
      <c r="AH370" s="380"/>
      <c r="AI370" s="408"/>
      <c r="AJ370" s="498"/>
      <c r="AK370" s="498"/>
      <c r="AL370" s="503" t="e">
        <f t="shared" si="158"/>
        <v>#DIV/0!</v>
      </c>
      <c r="AM370" s="498"/>
      <c r="AN370" s="503" t="e">
        <f t="shared" si="159"/>
        <v>#DIV/0!</v>
      </c>
      <c r="AO370" s="498"/>
      <c r="AP370" s="503" t="e">
        <f t="shared" si="160"/>
        <v>#DIV/0!</v>
      </c>
      <c r="AR370" s="110">
        <v>55579</v>
      </c>
      <c r="AS370" s="98">
        <f t="shared" si="165"/>
        <v>0</v>
      </c>
      <c r="AT370" s="98">
        <f t="shared" si="166"/>
        <v>0</v>
      </c>
      <c r="AU370" s="98"/>
    </row>
    <row r="371" spans="1:47">
      <c r="A371" s="295">
        <v>45817</v>
      </c>
      <c r="B371" s="296"/>
      <c r="C371" s="312"/>
      <c r="D371" s="296"/>
      <c r="E371" s="312"/>
      <c r="F371" s="296"/>
      <c r="G371" s="312"/>
      <c r="H371" s="325"/>
      <c r="I371" s="312"/>
      <c r="J371" s="416"/>
      <c r="K371" s="369"/>
      <c r="L371" s="378"/>
      <c r="M371" s="312"/>
      <c r="N371" s="298"/>
      <c r="O371" s="312"/>
      <c r="P371" s="404" t="e">
        <f t="shared" si="161"/>
        <v>#DIV/0!</v>
      </c>
      <c r="Q371" s="312" t="e">
        <f t="shared" si="164"/>
        <v>#DIV/0!</v>
      </c>
      <c r="R371" s="298"/>
      <c r="S371" s="312"/>
      <c r="T371" s="298"/>
      <c r="U371" s="312"/>
      <c r="V371" s="454">
        <f t="shared" si="162"/>
        <v>0</v>
      </c>
      <c r="W371" s="312"/>
      <c r="X371" s="454">
        <f t="shared" si="163"/>
        <v>0</v>
      </c>
      <c r="Y371" s="312"/>
      <c r="Z371" s="379"/>
      <c r="AA371" s="297"/>
      <c r="AB371" s="379"/>
      <c r="AC371" s="297"/>
      <c r="AD371" s="413"/>
      <c r="AE371" s="297"/>
      <c r="AG371" s="294"/>
      <c r="AH371" s="380"/>
      <c r="AI371" s="408"/>
      <c r="AJ371" s="498"/>
      <c r="AK371" s="498"/>
      <c r="AL371" s="503" t="e">
        <f t="shared" si="158"/>
        <v>#DIV/0!</v>
      </c>
      <c r="AM371" s="498"/>
      <c r="AN371" s="503" t="e">
        <f t="shared" si="159"/>
        <v>#DIV/0!</v>
      </c>
      <c r="AO371" s="498"/>
      <c r="AP371" s="503" t="e">
        <f t="shared" si="160"/>
        <v>#DIV/0!</v>
      </c>
      <c r="AR371" s="110">
        <v>55610</v>
      </c>
      <c r="AS371" s="98">
        <f t="shared" si="165"/>
        <v>0</v>
      </c>
      <c r="AT371" s="98">
        <f t="shared" si="166"/>
        <v>0</v>
      </c>
      <c r="AU371" s="98"/>
    </row>
    <row r="372" spans="1:47">
      <c r="A372" s="295">
        <v>45818</v>
      </c>
      <c r="B372" s="296"/>
      <c r="C372" s="312"/>
      <c r="D372" s="296"/>
      <c r="E372" s="312"/>
      <c r="F372" s="296"/>
      <c r="G372" s="312"/>
      <c r="H372" s="325"/>
      <c r="I372" s="312"/>
      <c r="J372" s="416"/>
      <c r="K372" s="369"/>
      <c r="L372" s="378"/>
      <c r="M372" s="312"/>
      <c r="N372" s="298"/>
      <c r="O372" s="312"/>
      <c r="P372" s="404" t="e">
        <f t="shared" si="161"/>
        <v>#DIV/0!</v>
      </c>
      <c r="Q372" s="312" t="e">
        <f t="shared" si="164"/>
        <v>#DIV/0!</v>
      </c>
      <c r="R372" s="298"/>
      <c r="S372" s="312"/>
      <c r="T372" s="298"/>
      <c r="U372" s="312"/>
      <c r="V372" s="454">
        <f t="shared" si="162"/>
        <v>0</v>
      </c>
      <c r="W372" s="312"/>
      <c r="X372" s="454">
        <f t="shared" si="163"/>
        <v>0</v>
      </c>
      <c r="Y372" s="312"/>
      <c r="Z372" s="379"/>
      <c r="AA372" s="297"/>
      <c r="AB372" s="379"/>
      <c r="AC372" s="297"/>
      <c r="AD372" s="413"/>
      <c r="AE372" s="297"/>
      <c r="AG372" s="294"/>
      <c r="AH372" s="380"/>
      <c r="AI372" s="408"/>
      <c r="AJ372" s="498"/>
      <c r="AK372" s="498"/>
      <c r="AL372" s="503" t="e">
        <f t="shared" si="158"/>
        <v>#DIV/0!</v>
      </c>
      <c r="AM372" s="498"/>
      <c r="AN372" s="503" t="e">
        <f t="shared" si="159"/>
        <v>#DIV/0!</v>
      </c>
      <c r="AO372" s="498"/>
      <c r="AP372" s="503" t="e">
        <f t="shared" si="160"/>
        <v>#DIV/0!</v>
      </c>
      <c r="AR372" s="110">
        <v>55640</v>
      </c>
      <c r="AS372" s="98">
        <f t="shared" si="165"/>
        <v>0</v>
      </c>
      <c r="AT372" s="98">
        <f t="shared" si="166"/>
        <v>0</v>
      </c>
      <c r="AU372" s="98"/>
    </row>
    <row r="373" spans="1:47">
      <c r="A373" s="295">
        <v>45819</v>
      </c>
      <c r="B373" s="296"/>
      <c r="C373" s="312"/>
      <c r="D373" s="296"/>
      <c r="E373" s="312"/>
      <c r="F373" s="296"/>
      <c r="G373" s="312"/>
      <c r="H373" s="325"/>
      <c r="I373" s="312"/>
      <c r="J373" s="416"/>
      <c r="K373" s="369"/>
      <c r="L373" s="378"/>
      <c r="M373" s="312"/>
      <c r="N373" s="298"/>
      <c r="O373" s="312"/>
      <c r="P373" s="404" t="e">
        <f t="shared" si="161"/>
        <v>#DIV/0!</v>
      </c>
      <c r="Q373" s="312" t="e">
        <f t="shared" si="164"/>
        <v>#DIV/0!</v>
      </c>
      <c r="R373" s="298"/>
      <c r="S373" s="312"/>
      <c r="T373" s="298"/>
      <c r="U373" s="312"/>
      <c r="V373" s="454">
        <f t="shared" si="162"/>
        <v>0</v>
      </c>
      <c r="W373" s="312"/>
      <c r="X373" s="454">
        <f t="shared" si="163"/>
        <v>0</v>
      </c>
      <c r="Y373" s="312"/>
      <c r="Z373" s="379"/>
      <c r="AA373" s="297"/>
      <c r="AB373" s="379"/>
      <c r="AC373" s="297"/>
      <c r="AD373" s="413"/>
      <c r="AE373" s="297"/>
      <c r="AG373" s="294"/>
      <c r="AH373" s="380"/>
      <c r="AI373" s="408"/>
      <c r="AJ373" s="498"/>
      <c r="AK373" s="498"/>
      <c r="AL373" s="503" t="e">
        <f t="shared" si="158"/>
        <v>#DIV/0!</v>
      </c>
      <c r="AM373" s="498"/>
      <c r="AN373" s="503" t="e">
        <f t="shared" si="159"/>
        <v>#DIV/0!</v>
      </c>
      <c r="AO373" s="498"/>
      <c r="AP373" s="503" t="e">
        <f t="shared" si="160"/>
        <v>#DIV/0!</v>
      </c>
      <c r="AR373" s="110">
        <v>55671</v>
      </c>
      <c r="AS373" s="98">
        <f t="shared" si="165"/>
        <v>0</v>
      </c>
      <c r="AT373" s="98">
        <f t="shared" si="166"/>
        <v>0</v>
      </c>
      <c r="AU373" s="98"/>
    </row>
    <row r="374" spans="1:47">
      <c r="A374" s="295">
        <v>45820</v>
      </c>
      <c r="B374" s="296"/>
      <c r="C374" s="312"/>
      <c r="D374" s="296"/>
      <c r="E374" s="312"/>
      <c r="F374" s="296"/>
      <c r="G374" s="312"/>
      <c r="H374" s="325"/>
      <c r="I374" s="312"/>
      <c r="J374" s="416"/>
      <c r="K374" s="369"/>
      <c r="L374" s="378"/>
      <c r="M374" s="312"/>
      <c r="N374" s="298"/>
      <c r="O374" s="312"/>
      <c r="P374" s="404" t="e">
        <f t="shared" si="161"/>
        <v>#DIV/0!</v>
      </c>
      <c r="Q374" s="312" t="e">
        <f t="shared" si="164"/>
        <v>#DIV/0!</v>
      </c>
      <c r="R374" s="298"/>
      <c r="S374" s="312"/>
      <c r="T374" s="298"/>
      <c r="U374" s="312"/>
      <c r="V374" s="454">
        <f t="shared" si="162"/>
        <v>0</v>
      </c>
      <c r="W374" s="312"/>
      <c r="X374" s="454">
        <f t="shared" si="163"/>
        <v>0</v>
      </c>
      <c r="Y374" s="312"/>
      <c r="Z374" s="379"/>
      <c r="AA374" s="297"/>
      <c r="AB374" s="379"/>
      <c r="AC374" s="297"/>
      <c r="AD374" s="413"/>
      <c r="AE374" s="297"/>
      <c r="AG374" s="294"/>
      <c r="AH374" s="380"/>
      <c r="AI374" s="408"/>
      <c r="AJ374" s="498"/>
      <c r="AK374" s="498"/>
      <c r="AL374" s="503" t="e">
        <f t="shared" si="158"/>
        <v>#DIV/0!</v>
      </c>
      <c r="AM374" s="498"/>
      <c r="AN374" s="503" t="e">
        <f t="shared" si="159"/>
        <v>#DIV/0!</v>
      </c>
      <c r="AO374" s="498"/>
      <c r="AP374" s="503" t="e">
        <f t="shared" si="160"/>
        <v>#DIV/0!</v>
      </c>
      <c r="AR374" s="110">
        <v>55701</v>
      </c>
      <c r="AS374" s="98">
        <f t="shared" si="165"/>
        <v>0</v>
      </c>
      <c r="AT374" s="98">
        <f t="shared" si="166"/>
        <v>0</v>
      </c>
      <c r="AU374" s="98"/>
    </row>
    <row r="375" spans="1:47">
      <c r="A375" s="295">
        <v>45821</v>
      </c>
      <c r="B375" s="296"/>
      <c r="C375" s="312"/>
      <c r="D375" s="296"/>
      <c r="E375" s="312"/>
      <c r="F375" s="296"/>
      <c r="G375" s="312"/>
      <c r="H375" s="325"/>
      <c r="I375" s="312"/>
      <c r="J375" s="416"/>
      <c r="K375" s="369"/>
      <c r="L375" s="378"/>
      <c r="M375" s="312"/>
      <c r="N375" s="298"/>
      <c r="O375" s="312"/>
      <c r="P375" s="404" t="e">
        <f t="shared" si="161"/>
        <v>#DIV/0!</v>
      </c>
      <c r="Q375" s="312" t="e">
        <f t="shared" si="164"/>
        <v>#DIV/0!</v>
      </c>
      <c r="R375" s="298"/>
      <c r="S375" s="312"/>
      <c r="T375" s="298"/>
      <c r="U375" s="312"/>
      <c r="V375" s="454">
        <f t="shared" si="162"/>
        <v>0</v>
      </c>
      <c r="W375" s="312"/>
      <c r="X375" s="454">
        <f t="shared" si="163"/>
        <v>0</v>
      </c>
      <c r="Y375" s="312"/>
      <c r="Z375" s="379"/>
      <c r="AA375" s="297"/>
      <c r="AB375" s="379"/>
      <c r="AC375" s="297"/>
      <c r="AD375" s="413"/>
      <c r="AE375" s="297"/>
      <c r="AG375" s="294"/>
      <c r="AH375" s="380"/>
      <c r="AI375" s="408"/>
      <c r="AJ375" s="498"/>
      <c r="AK375" s="498"/>
      <c r="AL375" s="503" t="e">
        <f t="shared" si="158"/>
        <v>#DIV/0!</v>
      </c>
      <c r="AM375" s="498"/>
      <c r="AN375" s="503" t="e">
        <f t="shared" si="159"/>
        <v>#DIV/0!</v>
      </c>
      <c r="AO375" s="498"/>
      <c r="AP375" s="503" t="e">
        <f t="shared" si="160"/>
        <v>#DIV/0!</v>
      </c>
      <c r="AR375" s="110">
        <v>55732</v>
      </c>
      <c r="AS375" s="98">
        <f t="shared" si="165"/>
        <v>0</v>
      </c>
      <c r="AT375" s="98">
        <f t="shared" si="166"/>
        <v>0</v>
      </c>
      <c r="AU375" s="98"/>
    </row>
    <row r="376" spans="1:47">
      <c r="A376" s="295">
        <v>45824</v>
      </c>
      <c r="B376" s="296"/>
      <c r="C376" s="312"/>
      <c r="D376" s="296"/>
      <c r="E376" s="312"/>
      <c r="F376" s="296"/>
      <c r="G376" s="312"/>
      <c r="H376" s="325"/>
      <c r="I376" s="312"/>
      <c r="J376" s="416"/>
      <c r="K376" s="369"/>
      <c r="L376" s="378"/>
      <c r="M376" s="312"/>
      <c r="N376" s="298"/>
      <c r="O376" s="312"/>
      <c r="P376" s="404" t="e">
        <f t="shared" si="161"/>
        <v>#DIV/0!</v>
      </c>
      <c r="Q376" s="312" t="e">
        <f t="shared" si="164"/>
        <v>#DIV/0!</v>
      </c>
      <c r="R376" s="298"/>
      <c r="S376" s="312"/>
      <c r="T376" s="298"/>
      <c r="U376" s="312"/>
      <c r="V376" s="454">
        <f t="shared" si="162"/>
        <v>0</v>
      </c>
      <c r="W376" s="312"/>
      <c r="X376" s="454">
        <f t="shared" si="163"/>
        <v>0</v>
      </c>
      <c r="Y376" s="312"/>
      <c r="Z376" s="379"/>
      <c r="AA376" s="297"/>
      <c r="AB376" s="379"/>
      <c r="AC376" s="297"/>
      <c r="AD376" s="413"/>
      <c r="AE376" s="297"/>
      <c r="AG376" s="294"/>
      <c r="AH376" s="380"/>
      <c r="AI376" s="408"/>
      <c r="AJ376" s="498"/>
      <c r="AK376" s="498"/>
      <c r="AL376" s="503" t="e">
        <f t="shared" si="158"/>
        <v>#DIV/0!</v>
      </c>
      <c r="AM376" s="498"/>
      <c r="AN376" s="503" t="e">
        <f t="shared" si="159"/>
        <v>#DIV/0!</v>
      </c>
      <c r="AO376" s="498"/>
      <c r="AP376" s="503" t="e">
        <f t="shared" si="160"/>
        <v>#DIV/0!</v>
      </c>
      <c r="AR376" s="110">
        <v>55763</v>
      </c>
      <c r="AS376" s="98">
        <f t="shared" si="165"/>
        <v>0</v>
      </c>
      <c r="AT376" s="98">
        <f t="shared" si="166"/>
        <v>0</v>
      </c>
      <c r="AU376" s="98"/>
    </row>
    <row r="377" spans="1:47">
      <c r="A377" s="295">
        <v>45825</v>
      </c>
      <c r="B377" s="296"/>
      <c r="C377" s="312"/>
      <c r="D377" s="296"/>
      <c r="E377" s="312"/>
      <c r="F377" s="296"/>
      <c r="G377" s="312"/>
      <c r="H377" s="325"/>
      <c r="I377" s="312"/>
      <c r="J377" s="416"/>
      <c r="K377" s="369"/>
      <c r="L377" s="378"/>
      <c r="M377" s="312"/>
      <c r="N377" s="298"/>
      <c r="O377" s="312"/>
      <c r="P377" s="404" t="e">
        <f t="shared" si="161"/>
        <v>#DIV/0!</v>
      </c>
      <c r="Q377" s="312" t="e">
        <f t="shared" si="164"/>
        <v>#DIV/0!</v>
      </c>
      <c r="R377" s="298"/>
      <c r="S377" s="312"/>
      <c r="T377" s="298"/>
      <c r="U377" s="312"/>
      <c r="V377" s="454">
        <f t="shared" si="162"/>
        <v>0</v>
      </c>
      <c r="W377" s="312"/>
      <c r="X377" s="454">
        <f t="shared" si="163"/>
        <v>0</v>
      </c>
      <c r="Y377" s="312"/>
      <c r="Z377" s="379"/>
      <c r="AA377" s="297"/>
      <c r="AB377" s="379"/>
      <c r="AC377" s="297"/>
      <c r="AD377" s="413"/>
      <c r="AE377" s="297"/>
      <c r="AG377" s="294"/>
      <c r="AH377" s="380"/>
      <c r="AI377" s="408"/>
      <c r="AJ377" s="498"/>
      <c r="AK377" s="498"/>
      <c r="AL377" s="503" t="e">
        <f t="shared" si="158"/>
        <v>#DIV/0!</v>
      </c>
      <c r="AM377" s="498"/>
      <c r="AN377" s="503" t="e">
        <f t="shared" si="159"/>
        <v>#DIV/0!</v>
      </c>
      <c r="AO377" s="498"/>
      <c r="AP377" s="503" t="e">
        <f t="shared" si="160"/>
        <v>#DIV/0!</v>
      </c>
      <c r="AR377" s="110">
        <v>55793</v>
      </c>
      <c r="AS377" s="98">
        <f t="shared" si="165"/>
        <v>0</v>
      </c>
      <c r="AT377" s="98">
        <f t="shared" si="166"/>
        <v>0</v>
      </c>
      <c r="AU377" s="98"/>
    </row>
    <row r="378" spans="1:47">
      <c r="A378" s="295">
        <v>45826</v>
      </c>
      <c r="B378" s="296"/>
      <c r="C378" s="312"/>
      <c r="D378" s="296"/>
      <c r="E378" s="312"/>
      <c r="F378" s="296"/>
      <c r="G378" s="312"/>
      <c r="H378" s="325"/>
      <c r="I378" s="312"/>
      <c r="J378" s="416"/>
      <c r="K378" s="369"/>
      <c r="L378" s="378"/>
      <c r="M378" s="312"/>
      <c r="N378" s="298"/>
      <c r="O378" s="312"/>
      <c r="P378" s="404" t="e">
        <f t="shared" si="161"/>
        <v>#DIV/0!</v>
      </c>
      <c r="Q378" s="312" t="e">
        <f t="shared" si="164"/>
        <v>#DIV/0!</v>
      </c>
      <c r="R378" s="298"/>
      <c r="S378" s="312"/>
      <c r="T378" s="298"/>
      <c r="U378" s="312"/>
      <c r="V378" s="454">
        <f t="shared" si="162"/>
        <v>0</v>
      </c>
      <c r="W378" s="312"/>
      <c r="X378" s="454">
        <f t="shared" si="163"/>
        <v>0</v>
      </c>
      <c r="Y378" s="312"/>
      <c r="Z378" s="379"/>
      <c r="AA378" s="297"/>
      <c r="AB378" s="379"/>
      <c r="AC378" s="297"/>
      <c r="AD378" s="413"/>
      <c r="AE378" s="297"/>
      <c r="AG378" s="294"/>
      <c r="AH378" s="380"/>
      <c r="AI378" s="408"/>
      <c r="AJ378" s="498"/>
      <c r="AK378" s="498"/>
      <c r="AL378" s="503" t="e">
        <f t="shared" si="158"/>
        <v>#DIV/0!</v>
      </c>
      <c r="AM378" s="498"/>
      <c r="AN378" s="503" t="e">
        <f t="shared" si="159"/>
        <v>#DIV/0!</v>
      </c>
      <c r="AO378" s="498"/>
      <c r="AP378" s="503" t="e">
        <f t="shared" si="160"/>
        <v>#DIV/0!</v>
      </c>
      <c r="AR378" s="110">
        <v>55824</v>
      </c>
      <c r="AS378" s="98">
        <f t="shared" si="165"/>
        <v>0</v>
      </c>
      <c r="AT378" s="98">
        <f t="shared" si="166"/>
        <v>0</v>
      </c>
      <c r="AU378" s="98"/>
    </row>
    <row r="379" spans="1:47">
      <c r="A379" s="295">
        <v>45827</v>
      </c>
      <c r="B379" s="296"/>
      <c r="C379" s="312"/>
      <c r="D379" s="296"/>
      <c r="E379" s="312"/>
      <c r="F379" s="296"/>
      <c r="G379" s="312"/>
      <c r="H379" s="325"/>
      <c r="I379" s="312"/>
      <c r="J379" s="416"/>
      <c r="K379" s="369"/>
      <c r="L379" s="378"/>
      <c r="M379" s="312"/>
      <c r="N379" s="298"/>
      <c r="O379" s="312"/>
      <c r="P379" s="404" t="e">
        <f t="shared" si="161"/>
        <v>#DIV/0!</v>
      </c>
      <c r="Q379" s="312" t="e">
        <f t="shared" si="164"/>
        <v>#DIV/0!</v>
      </c>
      <c r="R379" s="298"/>
      <c r="S379" s="312"/>
      <c r="T379" s="298"/>
      <c r="U379" s="312"/>
      <c r="V379" s="454">
        <f t="shared" si="162"/>
        <v>0</v>
      </c>
      <c r="W379" s="312"/>
      <c r="X379" s="454">
        <f t="shared" si="163"/>
        <v>0</v>
      </c>
      <c r="Y379" s="312"/>
      <c r="Z379" s="379"/>
      <c r="AA379" s="297"/>
      <c r="AB379" s="379"/>
      <c r="AC379" s="297"/>
      <c r="AD379" s="413"/>
      <c r="AE379" s="297"/>
      <c r="AG379" s="294"/>
      <c r="AH379" s="380"/>
      <c r="AI379" s="408"/>
      <c r="AJ379" s="498"/>
      <c r="AK379" s="498"/>
      <c r="AL379" s="503" t="e">
        <f t="shared" si="158"/>
        <v>#DIV/0!</v>
      </c>
      <c r="AM379" s="498"/>
      <c r="AN379" s="503" t="e">
        <f t="shared" si="159"/>
        <v>#DIV/0!</v>
      </c>
      <c r="AO379" s="498"/>
      <c r="AP379" s="503" t="e">
        <f t="shared" si="160"/>
        <v>#DIV/0!</v>
      </c>
      <c r="AR379" s="110">
        <v>55854</v>
      </c>
      <c r="AS379" s="98">
        <f t="shared" si="165"/>
        <v>0</v>
      </c>
      <c r="AT379" s="98">
        <f t="shared" si="166"/>
        <v>0</v>
      </c>
      <c r="AU379" s="98"/>
    </row>
    <row r="380" spans="1:47">
      <c r="A380" s="295">
        <v>45828</v>
      </c>
      <c r="B380" s="296"/>
      <c r="C380" s="312"/>
      <c r="D380" s="296"/>
      <c r="E380" s="312"/>
      <c r="F380" s="296"/>
      <c r="G380" s="312"/>
      <c r="H380" s="325"/>
      <c r="I380" s="312"/>
      <c r="J380" s="416"/>
      <c r="K380" s="369"/>
      <c r="L380" s="378"/>
      <c r="M380" s="312"/>
      <c r="N380" s="298"/>
      <c r="O380" s="312"/>
      <c r="P380" s="404" t="e">
        <f t="shared" si="161"/>
        <v>#DIV/0!</v>
      </c>
      <c r="Q380" s="312" t="e">
        <f t="shared" si="164"/>
        <v>#DIV/0!</v>
      </c>
      <c r="R380" s="298"/>
      <c r="S380" s="312"/>
      <c r="T380" s="298"/>
      <c r="U380" s="312"/>
      <c r="V380" s="454">
        <f t="shared" si="162"/>
        <v>0</v>
      </c>
      <c r="W380" s="312"/>
      <c r="X380" s="454">
        <f t="shared" si="163"/>
        <v>0</v>
      </c>
      <c r="Y380" s="312"/>
      <c r="Z380" s="379"/>
      <c r="AA380" s="297"/>
      <c r="AB380" s="379"/>
      <c r="AC380" s="297"/>
      <c r="AD380" s="413"/>
      <c r="AE380" s="297"/>
      <c r="AG380" s="294"/>
      <c r="AH380" s="380"/>
      <c r="AI380" s="408"/>
      <c r="AJ380" s="498"/>
      <c r="AK380" s="498"/>
      <c r="AL380" s="503" t="e">
        <f t="shared" si="158"/>
        <v>#DIV/0!</v>
      </c>
      <c r="AM380" s="498"/>
      <c r="AN380" s="503" t="e">
        <f t="shared" si="159"/>
        <v>#DIV/0!</v>
      </c>
      <c r="AO380" s="498"/>
      <c r="AP380" s="503" t="e">
        <f t="shared" si="160"/>
        <v>#DIV/0!</v>
      </c>
      <c r="AR380" s="110">
        <v>55885</v>
      </c>
      <c r="AS380" s="98">
        <f t="shared" si="165"/>
        <v>0</v>
      </c>
      <c r="AT380" s="98">
        <f t="shared" si="166"/>
        <v>0</v>
      </c>
      <c r="AU380" s="98"/>
    </row>
    <row r="381" spans="1:47">
      <c r="A381" s="295">
        <v>45831</v>
      </c>
      <c r="B381" s="296"/>
      <c r="C381" s="312"/>
      <c r="D381" s="296"/>
      <c r="E381" s="312"/>
      <c r="F381" s="296"/>
      <c r="G381" s="312"/>
      <c r="H381" s="325"/>
      <c r="I381" s="312"/>
      <c r="J381" s="416"/>
      <c r="K381" s="369"/>
      <c r="L381" s="378"/>
      <c r="M381" s="312"/>
      <c r="N381" s="298"/>
      <c r="O381" s="312"/>
      <c r="P381" s="404" t="e">
        <f t="shared" si="161"/>
        <v>#DIV/0!</v>
      </c>
      <c r="Q381" s="312" t="e">
        <f t="shared" si="164"/>
        <v>#DIV/0!</v>
      </c>
      <c r="R381" s="298"/>
      <c r="S381" s="312"/>
      <c r="T381" s="298"/>
      <c r="U381" s="312"/>
      <c r="V381" s="454">
        <f t="shared" si="162"/>
        <v>0</v>
      </c>
      <c r="W381" s="312"/>
      <c r="X381" s="454">
        <f t="shared" si="163"/>
        <v>0</v>
      </c>
      <c r="Y381" s="312"/>
      <c r="Z381" s="379"/>
      <c r="AA381" s="297"/>
      <c r="AB381" s="379"/>
      <c r="AC381" s="297"/>
      <c r="AD381" s="413"/>
      <c r="AE381" s="297"/>
      <c r="AG381" s="294"/>
      <c r="AH381" s="380"/>
      <c r="AI381" s="408"/>
      <c r="AJ381" s="498"/>
      <c r="AK381" s="498"/>
      <c r="AL381" s="503" t="e">
        <f t="shared" si="158"/>
        <v>#DIV/0!</v>
      </c>
      <c r="AM381" s="498"/>
      <c r="AN381" s="503" t="e">
        <f t="shared" si="159"/>
        <v>#DIV/0!</v>
      </c>
      <c r="AO381" s="498"/>
      <c r="AP381" s="503" t="e">
        <f t="shared" si="160"/>
        <v>#DIV/0!</v>
      </c>
      <c r="AR381" s="110">
        <v>55916</v>
      </c>
      <c r="AS381" s="98">
        <f t="shared" si="165"/>
        <v>0</v>
      </c>
      <c r="AT381" s="98">
        <f t="shared" si="166"/>
        <v>0</v>
      </c>
      <c r="AU381" s="98"/>
    </row>
    <row r="382" spans="1:47">
      <c r="A382" s="295">
        <v>45832</v>
      </c>
      <c r="B382" s="296"/>
      <c r="C382" s="312"/>
      <c r="D382" s="296"/>
      <c r="E382" s="312"/>
      <c r="F382" s="296"/>
      <c r="G382" s="312"/>
      <c r="H382" s="325"/>
      <c r="I382" s="312"/>
      <c r="J382" s="416"/>
      <c r="K382" s="369"/>
      <c r="L382" s="378"/>
      <c r="M382" s="312"/>
      <c r="N382" s="298"/>
      <c r="O382" s="312"/>
      <c r="P382" s="404" t="e">
        <f t="shared" si="161"/>
        <v>#DIV/0!</v>
      </c>
      <c r="Q382" s="312" t="e">
        <f t="shared" si="164"/>
        <v>#DIV/0!</v>
      </c>
      <c r="R382" s="298"/>
      <c r="S382" s="312"/>
      <c r="T382" s="298"/>
      <c r="U382" s="312"/>
      <c r="V382" s="454">
        <f t="shared" si="162"/>
        <v>0</v>
      </c>
      <c r="W382" s="312"/>
      <c r="X382" s="454">
        <f t="shared" si="163"/>
        <v>0</v>
      </c>
      <c r="Y382" s="312"/>
      <c r="Z382" s="379"/>
      <c r="AA382" s="297"/>
      <c r="AB382" s="379"/>
      <c r="AC382" s="297"/>
      <c r="AD382" s="413"/>
      <c r="AE382" s="297"/>
      <c r="AG382" s="294"/>
      <c r="AH382" s="380"/>
      <c r="AI382" s="408"/>
      <c r="AJ382" s="498"/>
      <c r="AK382" s="498"/>
      <c r="AL382" s="503" t="e">
        <f t="shared" si="158"/>
        <v>#DIV/0!</v>
      </c>
      <c r="AM382" s="498"/>
      <c r="AN382" s="503" t="e">
        <f t="shared" si="159"/>
        <v>#DIV/0!</v>
      </c>
      <c r="AO382" s="498"/>
      <c r="AP382" s="503" t="e">
        <f t="shared" si="160"/>
        <v>#DIV/0!</v>
      </c>
      <c r="AR382" s="110">
        <v>55944</v>
      </c>
      <c r="AS382" s="98">
        <f t="shared" si="165"/>
        <v>0</v>
      </c>
      <c r="AT382" s="98">
        <f t="shared" si="166"/>
        <v>0</v>
      </c>
      <c r="AU382" s="98"/>
    </row>
    <row r="383" spans="1:47">
      <c r="A383" s="295">
        <v>45833</v>
      </c>
      <c r="B383" s="296"/>
      <c r="C383" s="312"/>
      <c r="D383" s="296"/>
      <c r="E383" s="312"/>
      <c r="F383" s="296"/>
      <c r="G383" s="312"/>
      <c r="H383" s="325"/>
      <c r="I383" s="312"/>
      <c r="J383" s="416"/>
      <c r="K383" s="369"/>
      <c r="L383" s="378"/>
      <c r="M383" s="312"/>
      <c r="N383" s="298"/>
      <c r="O383" s="312"/>
      <c r="P383" s="404" t="e">
        <f t="shared" si="161"/>
        <v>#DIV/0!</v>
      </c>
      <c r="Q383" s="312" t="e">
        <f t="shared" si="164"/>
        <v>#DIV/0!</v>
      </c>
      <c r="R383" s="298"/>
      <c r="S383" s="312"/>
      <c r="T383" s="298"/>
      <c r="U383" s="312"/>
      <c r="V383" s="454">
        <f t="shared" si="162"/>
        <v>0</v>
      </c>
      <c r="W383" s="312"/>
      <c r="X383" s="454">
        <f t="shared" si="163"/>
        <v>0</v>
      </c>
      <c r="Y383" s="312"/>
      <c r="Z383" s="379"/>
      <c r="AA383" s="297"/>
      <c r="AB383" s="379"/>
      <c r="AC383" s="297"/>
      <c r="AD383" s="413"/>
      <c r="AE383" s="297"/>
      <c r="AG383" s="294"/>
      <c r="AH383" s="380"/>
      <c r="AI383" s="408"/>
      <c r="AJ383" s="498"/>
      <c r="AK383" s="498"/>
      <c r="AL383" s="503" t="e">
        <f t="shared" si="158"/>
        <v>#DIV/0!</v>
      </c>
      <c r="AM383" s="498"/>
      <c r="AN383" s="503" t="e">
        <f t="shared" si="159"/>
        <v>#DIV/0!</v>
      </c>
      <c r="AO383" s="498"/>
      <c r="AP383" s="503" t="e">
        <f t="shared" si="160"/>
        <v>#DIV/0!</v>
      </c>
      <c r="AR383" s="110">
        <v>55975</v>
      </c>
      <c r="AS383" s="98">
        <f t="shared" si="165"/>
        <v>0</v>
      </c>
      <c r="AT383" s="98">
        <f t="shared" si="166"/>
        <v>0</v>
      </c>
      <c r="AU383" s="98"/>
    </row>
    <row r="384" spans="1:47">
      <c r="A384" s="295">
        <v>45834</v>
      </c>
      <c r="B384" s="296"/>
      <c r="C384" s="312"/>
      <c r="D384" s="296"/>
      <c r="E384" s="312"/>
      <c r="F384" s="296"/>
      <c r="G384" s="312"/>
      <c r="H384" s="325"/>
      <c r="I384" s="312"/>
      <c r="J384" s="416"/>
      <c r="K384" s="369"/>
      <c r="L384" s="378"/>
      <c r="M384" s="312"/>
      <c r="N384" s="298"/>
      <c r="O384" s="312"/>
      <c r="P384" s="404" t="e">
        <f t="shared" si="161"/>
        <v>#DIV/0!</v>
      </c>
      <c r="Q384" s="312" t="e">
        <f t="shared" si="164"/>
        <v>#DIV/0!</v>
      </c>
      <c r="R384" s="298"/>
      <c r="S384" s="312"/>
      <c r="T384" s="298"/>
      <c r="U384" s="312"/>
      <c r="V384" s="454">
        <f t="shared" si="162"/>
        <v>0</v>
      </c>
      <c r="W384" s="312"/>
      <c r="X384" s="454">
        <f t="shared" si="163"/>
        <v>0</v>
      </c>
      <c r="Y384" s="312"/>
      <c r="Z384" s="379"/>
      <c r="AA384" s="297"/>
      <c r="AB384" s="379"/>
      <c r="AC384" s="297"/>
      <c r="AD384" s="413"/>
      <c r="AE384" s="297"/>
      <c r="AG384" s="294"/>
      <c r="AH384" s="380"/>
      <c r="AI384" s="408"/>
      <c r="AJ384" s="498"/>
      <c r="AK384" s="498"/>
      <c r="AL384" s="503" t="e">
        <f t="shared" si="158"/>
        <v>#DIV/0!</v>
      </c>
      <c r="AM384" s="498"/>
      <c r="AN384" s="503" t="e">
        <f t="shared" si="159"/>
        <v>#DIV/0!</v>
      </c>
      <c r="AO384" s="498"/>
      <c r="AP384" s="503" t="e">
        <f t="shared" si="160"/>
        <v>#DIV/0!</v>
      </c>
      <c r="AR384" s="110">
        <v>56005</v>
      </c>
      <c r="AS384" s="98">
        <f t="shared" si="165"/>
        <v>0</v>
      </c>
      <c r="AT384" s="98">
        <f t="shared" si="166"/>
        <v>0</v>
      </c>
      <c r="AU384" s="98"/>
    </row>
    <row r="385" spans="1:47">
      <c r="A385" s="295">
        <v>45835</v>
      </c>
      <c r="B385" s="296"/>
      <c r="C385" s="312"/>
      <c r="D385" s="296"/>
      <c r="E385" s="312"/>
      <c r="F385" s="296"/>
      <c r="G385" s="312"/>
      <c r="H385" s="325"/>
      <c r="I385" s="312"/>
      <c r="J385" s="416"/>
      <c r="K385" s="369"/>
      <c r="L385" s="378"/>
      <c r="M385" s="312"/>
      <c r="N385" s="298"/>
      <c r="O385" s="312"/>
      <c r="P385" s="404" t="e">
        <f t="shared" si="161"/>
        <v>#DIV/0!</v>
      </c>
      <c r="Q385" s="312" t="e">
        <f t="shared" si="164"/>
        <v>#DIV/0!</v>
      </c>
      <c r="R385" s="298"/>
      <c r="S385" s="312"/>
      <c r="T385" s="298"/>
      <c r="U385" s="312"/>
      <c r="V385" s="454">
        <f t="shared" si="162"/>
        <v>0</v>
      </c>
      <c r="W385" s="312"/>
      <c r="X385" s="454">
        <f t="shared" si="163"/>
        <v>0</v>
      </c>
      <c r="Y385" s="312"/>
      <c r="Z385" s="379"/>
      <c r="AA385" s="297"/>
      <c r="AB385" s="379"/>
      <c r="AC385" s="297"/>
      <c r="AD385" s="413"/>
      <c r="AE385" s="297"/>
      <c r="AG385" s="294"/>
      <c r="AH385" s="380"/>
      <c r="AI385" s="408"/>
      <c r="AJ385" s="498"/>
      <c r="AK385" s="498"/>
      <c r="AL385" s="503" t="e">
        <f t="shared" si="158"/>
        <v>#DIV/0!</v>
      </c>
      <c r="AM385" s="498"/>
      <c r="AN385" s="503" t="e">
        <f t="shared" si="159"/>
        <v>#DIV/0!</v>
      </c>
      <c r="AO385" s="498"/>
      <c r="AP385" s="503" t="e">
        <f t="shared" si="160"/>
        <v>#DIV/0!</v>
      </c>
      <c r="AR385" s="110">
        <v>56036</v>
      </c>
      <c r="AS385" s="98">
        <f t="shared" si="165"/>
        <v>0</v>
      </c>
      <c r="AT385" s="98">
        <f t="shared" si="166"/>
        <v>0</v>
      </c>
      <c r="AU385" s="98"/>
    </row>
    <row r="386" spans="1:47">
      <c r="A386" s="295">
        <v>45838</v>
      </c>
      <c r="B386" s="296"/>
      <c r="C386" s="312"/>
      <c r="D386" s="296"/>
      <c r="E386" s="312"/>
      <c r="F386" s="296"/>
      <c r="G386" s="312"/>
      <c r="H386" s="325"/>
      <c r="I386" s="312"/>
      <c r="J386" s="416"/>
      <c r="K386" s="369"/>
      <c r="L386" s="378"/>
      <c r="M386" s="312"/>
      <c r="N386" s="298"/>
      <c r="O386" s="312"/>
      <c r="P386" s="404" t="e">
        <f t="shared" si="161"/>
        <v>#DIV/0!</v>
      </c>
      <c r="Q386" s="312" t="e">
        <f t="shared" si="164"/>
        <v>#DIV/0!</v>
      </c>
      <c r="R386" s="298"/>
      <c r="S386" s="312"/>
      <c r="T386" s="298"/>
      <c r="U386" s="312"/>
      <c r="V386" s="454">
        <f t="shared" si="162"/>
        <v>0</v>
      </c>
      <c r="W386" s="312"/>
      <c r="X386" s="454">
        <f t="shared" si="163"/>
        <v>0</v>
      </c>
      <c r="Y386" s="312"/>
      <c r="Z386" s="379"/>
      <c r="AA386" s="297"/>
      <c r="AB386" s="379"/>
      <c r="AC386" s="297"/>
      <c r="AD386" s="413"/>
      <c r="AE386" s="297"/>
      <c r="AG386" s="294"/>
      <c r="AH386" s="380"/>
      <c r="AI386" s="408"/>
      <c r="AJ386" s="498"/>
      <c r="AK386" s="498"/>
      <c r="AL386" s="503" t="e">
        <f t="shared" si="158"/>
        <v>#DIV/0!</v>
      </c>
      <c r="AM386" s="498"/>
      <c r="AN386" s="503" t="e">
        <f t="shared" si="159"/>
        <v>#DIV/0!</v>
      </c>
      <c r="AO386" s="498"/>
      <c r="AP386" s="503" t="e">
        <f t="shared" si="160"/>
        <v>#DIV/0!</v>
      </c>
      <c r="AR386" s="110">
        <v>56066</v>
      </c>
      <c r="AS386" s="98">
        <f t="shared" si="165"/>
        <v>0</v>
      </c>
      <c r="AT386" s="98">
        <f t="shared" si="166"/>
        <v>0</v>
      </c>
      <c r="AU386" s="98"/>
    </row>
    <row r="387" spans="1:47">
      <c r="A387" s="295">
        <v>45839</v>
      </c>
      <c r="B387" s="296"/>
      <c r="C387" s="312"/>
      <c r="D387" s="296"/>
      <c r="E387" s="312"/>
      <c r="F387" s="296"/>
      <c r="G387" s="312"/>
      <c r="H387" s="325"/>
      <c r="I387" s="312"/>
      <c r="J387" s="416"/>
      <c r="K387" s="369"/>
      <c r="L387" s="378"/>
      <c r="M387" s="312"/>
      <c r="N387" s="298"/>
      <c r="O387" s="312"/>
      <c r="P387" s="404" t="e">
        <f t="shared" si="161"/>
        <v>#DIV/0!</v>
      </c>
      <c r="Q387" s="312" t="e">
        <f t="shared" si="164"/>
        <v>#DIV/0!</v>
      </c>
      <c r="R387" s="298"/>
      <c r="S387" s="312"/>
      <c r="T387" s="298"/>
      <c r="U387" s="312"/>
      <c r="V387" s="454">
        <f t="shared" si="162"/>
        <v>0</v>
      </c>
      <c r="W387" s="312"/>
      <c r="X387" s="454">
        <f t="shared" si="163"/>
        <v>0</v>
      </c>
      <c r="Y387" s="312"/>
      <c r="Z387" s="379"/>
      <c r="AA387" s="297"/>
      <c r="AB387" s="379"/>
      <c r="AC387" s="297"/>
      <c r="AD387" s="413"/>
      <c r="AE387" s="297"/>
      <c r="AG387" s="294"/>
      <c r="AH387" s="380"/>
      <c r="AI387" s="408"/>
      <c r="AJ387" s="498"/>
      <c r="AK387" s="498"/>
      <c r="AL387" s="503" t="e">
        <f t="shared" si="158"/>
        <v>#DIV/0!</v>
      </c>
      <c r="AM387" s="498"/>
      <c r="AN387" s="503" t="e">
        <f t="shared" si="159"/>
        <v>#DIV/0!</v>
      </c>
      <c r="AO387" s="498"/>
      <c r="AP387" s="503" t="e">
        <f t="shared" si="160"/>
        <v>#DIV/0!</v>
      </c>
      <c r="AR387" s="110">
        <v>56097</v>
      </c>
      <c r="AS387" s="98">
        <f t="shared" si="165"/>
        <v>0</v>
      </c>
      <c r="AT387" s="98">
        <f t="shared" si="166"/>
        <v>0</v>
      </c>
      <c r="AU387" s="98"/>
    </row>
    <row r="388" spans="1:47">
      <c r="A388" s="295">
        <v>45840</v>
      </c>
      <c r="B388" s="296"/>
      <c r="C388" s="312"/>
      <c r="D388" s="296"/>
      <c r="E388" s="312"/>
      <c r="F388" s="296"/>
      <c r="G388" s="312"/>
      <c r="H388" s="325"/>
      <c r="I388" s="312"/>
      <c r="J388" s="416"/>
      <c r="K388" s="369"/>
      <c r="L388" s="378"/>
      <c r="M388" s="312"/>
      <c r="N388" s="298"/>
      <c r="O388" s="312"/>
      <c r="P388" s="404" t="e">
        <f t="shared" si="161"/>
        <v>#DIV/0!</v>
      </c>
      <c r="Q388" s="312" t="e">
        <f t="shared" si="164"/>
        <v>#DIV/0!</v>
      </c>
      <c r="R388" s="298"/>
      <c r="S388" s="312"/>
      <c r="T388" s="298"/>
      <c r="U388" s="312"/>
      <c r="V388" s="454">
        <f t="shared" si="162"/>
        <v>0</v>
      </c>
      <c r="W388" s="312"/>
      <c r="X388" s="454">
        <f t="shared" si="163"/>
        <v>0</v>
      </c>
      <c r="Y388" s="312"/>
      <c r="Z388" s="379"/>
      <c r="AA388" s="297"/>
      <c r="AB388" s="379"/>
      <c r="AC388" s="297"/>
      <c r="AD388" s="413"/>
      <c r="AE388" s="297"/>
      <c r="AG388" s="294"/>
      <c r="AH388" s="380"/>
      <c r="AI388" s="408"/>
      <c r="AJ388" s="498"/>
      <c r="AK388" s="498"/>
      <c r="AL388" s="503" t="e">
        <f t="shared" ref="AL388:AL451" si="167">AK388/AG388</f>
        <v>#DIV/0!</v>
      </c>
      <c r="AM388" s="498"/>
      <c r="AN388" s="503" t="e">
        <f t="shared" ref="AN388:AN451" si="168">AM388/AG388</f>
        <v>#DIV/0!</v>
      </c>
      <c r="AO388" s="498"/>
      <c r="AP388" s="503" t="e">
        <f t="shared" ref="AP388:AP451" si="169">AO388/AG388</f>
        <v>#DIV/0!</v>
      </c>
      <c r="AR388" s="110">
        <v>56128</v>
      </c>
      <c r="AS388" s="98">
        <f t="shared" si="165"/>
        <v>0</v>
      </c>
      <c r="AT388" s="98">
        <f t="shared" si="166"/>
        <v>0</v>
      </c>
      <c r="AU388" s="98"/>
    </row>
    <row r="389" spans="1:47">
      <c r="A389" s="295">
        <v>45841</v>
      </c>
      <c r="B389" s="296"/>
      <c r="C389" s="312"/>
      <c r="D389" s="296"/>
      <c r="E389" s="312"/>
      <c r="F389" s="296"/>
      <c r="G389" s="312"/>
      <c r="H389" s="325"/>
      <c r="I389" s="312"/>
      <c r="J389" s="416"/>
      <c r="K389" s="369"/>
      <c r="L389" s="378"/>
      <c r="M389" s="312"/>
      <c r="N389" s="298"/>
      <c r="O389" s="312"/>
      <c r="P389" s="404" t="e">
        <f t="shared" ref="P389:P452" si="170">P388+P388*Q388</f>
        <v>#DIV/0!</v>
      </c>
      <c r="Q389" s="312" t="e">
        <f t="shared" si="164"/>
        <v>#DIV/0!</v>
      </c>
      <c r="R389" s="298"/>
      <c r="S389" s="312"/>
      <c r="T389" s="298"/>
      <c r="U389" s="312"/>
      <c r="V389" s="454">
        <f t="shared" ref="V389:V452" si="171">V388</f>
        <v>0</v>
      </c>
      <c r="W389" s="312"/>
      <c r="X389" s="454">
        <f t="shared" ref="X389:X452" si="172">X388</f>
        <v>0</v>
      </c>
      <c r="Y389" s="312"/>
      <c r="Z389" s="379"/>
      <c r="AA389" s="297"/>
      <c r="AB389" s="379"/>
      <c r="AC389" s="297"/>
      <c r="AD389" s="413"/>
      <c r="AE389" s="297"/>
      <c r="AG389" s="294"/>
      <c r="AH389" s="380"/>
      <c r="AI389" s="408"/>
      <c r="AJ389" s="498"/>
      <c r="AK389" s="498"/>
      <c r="AL389" s="503" t="e">
        <f t="shared" si="167"/>
        <v>#DIV/0!</v>
      </c>
      <c r="AM389" s="498"/>
      <c r="AN389" s="503" t="e">
        <f t="shared" si="168"/>
        <v>#DIV/0!</v>
      </c>
      <c r="AO389" s="498"/>
      <c r="AP389" s="503" t="e">
        <f t="shared" si="169"/>
        <v>#DIV/0!</v>
      </c>
      <c r="AR389" s="110">
        <v>56158</v>
      </c>
      <c r="AS389" s="98">
        <f t="shared" si="165"/>
        <v>0</v>
      </c>
      <c r="AT389" s="98">
        <f t="shared" si="166"/>
        <v>0</v>
      </c>
      <c r="AU389" s="98"/>
    </row>
    <row r="390" spans="1:47">
      <c r="A390" s="295">
        <v>45842</v>
      </c>
      <c r="B390" s="296"/>
      <c r="C390" s="312"/>
      <c r="D390" s="296"/>
      <c r="E390" s="312"/>
      <c r="F390" s="296"/>
      <c r="G390" s="312"/>
      <c r="H390" s="325"/>
      <c r="I390" s="312"/>
      <c r="J390" s="416"/>
      <c r="K390" s="369"/>
      <c r="L390" s="378"/>
      <c r="M390" s="312"/>
      <c r="N390" s="298"/>
      <c r="O390" s="312"/>
      <c r="P390" s="404" t="e">
        <f t="shared" si="170"/>
        <v>#DIV/0!</v>
      </c>
      <c r="Q390" s="312" t="e">
        <f t="shared" si="164"/>
        <v>#DIV/0!</v>
      </c>
      <c r="R390" s="298"/>
      <c r="S390" s="312"/>
      <c r="T390" s="298"/>
      <c r="U390" s="312"/>
      <c r="V390" s="454">
        <f t="shared" si="171"/>
        <v>0</v>
      </c>
      <c r="W390" s="312"/>
      <c r="X390" s="454">
        <f t="shared" si="172"/>
        <v>0</v>
      </c>
      <c r="Y390" s="312"/>
      <c r="Z390" s="379"/>
      <c r="AA390" s="297"/>
      <c r="AB390" s="379"/>
      <c r="AC390" s="297"/>
      <c r="AD390" s="413"/>
      <c r="AE390" s="297"/>
      <c r="AG390" s="294"/>
      <c r="AH390" s="380"/>
      <c r="AI390" s="408"/>
      <c r="AJ390" s="498"/>
      <c r="AK390" s="498"/>
      <c r="AL390" s="503" t="e">
        <f t="shared" si="167"/>
        <v>#DIV/0!</v>
      </c>
      <c r="AM390" s="498"/>
      <c r="AN390" s="503" t="e">
        <f t="shared" si="168"/>
        <v>#DIV/0!</v>
      </c>
      <c r="AO390" s="498"/>
      <c r="AP390" s="503" t="e">
        <f t="shared" si="169"/>
        <v>#DIV/0!</v>
      </c>
      <c r="AR390" s="110">
        <v>56189</v>
      </c>
      <c r="AS390" s="98">
        <f t="shared" si="165"/>
        <v>0</v>
      </c>
      <c r="AT390" s="98">
        <f t="shared" si="166"/>
        <v>0</v>
      </c>
      <c r="AU390" s="98"/>
    </row>
    <row r="391" spans="1:47">
      <c r="A391" s="295">
        <v>45845</v>
      </c>
      <c r="B391" s="296"/>
      <c r="C391" s="312"/>
      <c r="D391" s="296"/>
      <c r="E391" s="312"/>
      <c r="F391" s="296"/>
      <c r="G391" s="312"/>
      <c r="H391" s="325"/>
      <c r="I391" s="312"/>
      <c r="J391" s="416"/>
      <c r="K391" s="369"/>
      <c r="L391" s="378"/>
      <c r="M391" s="312"/>
      <c r="N391" s="298"/>
      <c r="O391" s="312"/>
      <c r="P391" s="404" t="e">
        <f t="shared" si="170"/>
        <v>#DIV/0!</v>
      </c>
      <c r="Q391" s="312" t="e">
        <f t="shared" si="164"/>
        <v>#DIV/0!</v>
      </c>
      <c r="R391" s="298"/>
      <c r="S391" s="312"/>
      <c r="T391" s="298"/>
      <c r="U391" s="312"/>
      <c r="V391" s="454">
        <f t="shared" si="171"/>
        <v>0</v>
      </c>
      <c r="W391" s="312"/>
      <c r="X391" s="454">
        <f t="shared" si="172"/>
        <v>0</v>
      </c>
      <c r="Y391" s="312"/>
      <c r="Z391" s="379"/>
      <c r="AA391" s="297"/>
      <c r="AB391" s="379"/>
      <c r="AC391" s="297"/>
      <c r="AD391" s="413"/>
      <c r="AE391" s="297"/>
      <c r="AG391" s="294"/>
      <c r="AH391" s="380"/>
      <c r="AI391" s="408"/>
      <c r="AJ391" s="498"/>
      <c r="AK391" s="498"/>
      <c r="AL391" s="503" t="e">
        <f t="shared" si="167"/>
        <v>#DIV/0!</v>
      </c>
      <c r="AM391" s="498"/>
      <c r="AN391" s="503" t="e">
        <f t="shared" si="168"/>
        <v>#DIV/0!</v>
      </c>
      <c r="AO391" s="498"/>
      <c r="AP391" s="503" t="e">
        <f t="shared" si="169"/>
        <v>#DIV/0!</v>
      </c>
      <c r="AR391" s="110">
        <v>56219</v>
      </c>
      <c r="AS391" s="98">
        <f t="shared" si="165"/>
        <v>0</v>
      </c>
      <c r="AT391" s="98">
        <f t="shared" si="166"/>
        <v>0</v>
      </c>
      <c r="AU391" s="98"/>
    </row>
    <row r="392" spans="1:47">
      <c r="A392" s="295">
        <v>45846</v>
      </c>
      <c r="B392" s="296"/>
      <c r="C392" s="312"/>
      <c r="D392" s="296"/>
      <c r="E392" s="312"/>
      <c r="F392" s="296"/>
      <c r="G392" s="312"/>
      <c r="H392" s="325"/>
      <c r="I392" s="312"/>
      <c r="J392" s="416"/>
      <c r="K392" s="369"/>
      <c r="L392" s="378"/>
      <c r="M392" s="312"/>
      <c r="N392" s="298"/>
      <c r="O392" s="312"/>
      <c r="P392" s="404" t="e">
        <f t="shared" si="170"/>
        <v>#DIV/0!</v>
      </c>
      <c r="Q392" s="312" t="e">
        <f t="shared" si="164"/>
        <v>#DIV/0!</v>
      </c>
      <c r="R392" s="298"/>
      <c r="S392" s="312"/>
      <c r="T392" s="298"/>
      <c r="U392" s="312"/>
      <c r="V392" s="454">
        <f t="shared" si="171"/>
        <v>0</v>
      </c>
      <c r="W392" s="312"/>
      <c r="X392" s="454">
        <f t="shared" si="172"/>
        <v>0</v>
      </c>
      <c r="Y392" s="312"/>
      <c r="Z392" s="379"/>
      <c r="AA392" s="297"/>
      <c r="AB392" s="379"/>
      <c r="AC392" s="297"/>
      <c r="AD392" s="413"/>
      <c r="AE392" s="297"/>
      <c r="AG392" s="294"/>
      <c r="AH392" s="380"/>
      <c r="AI392" s="408"/>
      <c r="AJ392" s="498"/>
      <c r="AK392" s="498"/>
      <c r="AL392" s="503" t="e">
        <f t="shared" si="167"/>
        <v>#DIV/0!</v>
      </c>
      <c r="AM392" s="498"/>
      <c r="AN392" s="503" t="e">
        <f t="shared" si="168"/>
        <v>#DIV/0!</v>
      </c>
      <c r="AO392" s="498"/>
      <c r="AP392" s="503" t="e">
        <f t="shared" si="169"/>
        <v>#DIV/0!</v>
      </c>
      <c r="AR392" s="110">
        <v>56250</v>
      </c>
      <c r="AS392" s="98">
        <f t="shared" si="165"/>
        <v>0</v>
      </c>
      <c r="AT392" s="98">
        <f t="shared" si="166"/>
        <v>0</v>
      </c>
      <c r="AU392" s="98"/>
    </row>
    <row r="393" spans="1:47">
      <c r="A393" s="295">
        <v>45847</v>
      </c>
      <c r="B393" s="296"/>
      <c r="C393" s="312"/>
      <c r="D393" s="296"/>
      <c r="E393" s="312"/>
      <c r="F393" s="296"/>
      <c r="G393" s="312"/>
      <c r="H393" s="325"/>
      <c r="I393" s="312"/>
      <c r="J393" s="416"/>
      <c r="K393" s="369"/>
      <c r="L393" s="378"/>
      <c r="M393" s="312"/>
      <c r="N393" s="298"/>
      <c r="O393" s="312"/>
      <c r="P393" s="404" t="e">
        <f t="shared" si="170"/>
        <v>#DIV/0!</v>
      </c>
      <c r="Q393" s="312" t="e">
        <f t="shared" si="164"/>
        <v>#DIV/0!</v>
      </c>
      <c r="R393" s="298"/>
      <c r="S393" s="312"/>
      <c r="T393" s="298"/>
      <c r="U393" s="312"/>
      <c r="V393" s="454">
        <f t="shared" si="171"/>
        <v>0</v>
      </c>
      <c r="W393" s="312"/>
      <c r="X393" s="454">
        <f t="shared" si="172"/>
        <v>0</v>
      </c>
      <c r="Y393" s="312"/>
      <c r="Z393" s="379"/>
      <c r="AA393" s="297"/>
      <c r="AB393" s="379"/>
      <c r="AC393" s="297"/>
      <c r="AD393" s="413"/>
      <c r="AE393" s="297"/>
      <c r="AG393" s="294"/>
      <c r="AH393" s="380"/>
      <c r="AI393" s="408"/>
      <c r="AJ393" s="498"/>
      <c r="AK393" s="498"/>
      <c r="AL393" s="503" t="e">
        <f t="shared" si="167"/>
        <v>#DIV/0!</v>
      </c>
      <c r="AM393" s="498"/>
      <c r="AN393" s="503" t="e">
        <f t="shared" si="168"/>
        <v>#DIV/0!</v>
      </c>
      <c r="AO393" s="498"/>
      <c r="AP393" s="503" t="e">
        <f t="shared" si="169"/>
        <v>#DIV/0!</v>
      </c>
      <c r="AR393" s="110">
        <v>56281</v>
      </c>
      <c r="AS393" s="98">
        <f t="shared" si="165"/>
        <v>0</v>
      </c>
      <c r="AT393" s="98">
        <f t="shared" si="166"/>
        <v>0</v>
      </c>
      <c r="AU393" s="98"/>
    </row>
    <row r="394" spans="1:47">
      <c r="A394" s="295">
        <v>45848</v>
      </c>
      <c r="B394" s="296"/>
      <c r="C394" s="312"/>
      <c r="D394" s="296"/>
      <c r="E394" s="312"/>
      <c r="F394" s="296"/>
      <c r="G394" s="312"/>
      <c r="H394" s="325"/>
      <c r="I394" s="312"/>
      <c r="J394" s="416"/>
      <c r="K394" s="369"/>
      <c r="L394" s="378"/>
      <c r="M394" s="312"/>
      <c r="N394" s="298"/>
      <c r="O394" s="312"/>
      <c r="P394" s="404" t="e">
        <f t="shared" si="170"/>
        <v>#DIV/0!</v>
      </c>
      <c r="Q394" s="312" t="e">
        <f t="shared" si="164"/>
        <v>#DIV/0!</v>
      </c>
      <c r="R394" s="298"/>
      <c r="S394" s="312"/>
      <c r="T394" s="298"/>
      <c r="U394" s="312"/>
      <c r="V394" s="454">
        <f t="shared" si="171"/>
        <v>0</v>
      </c>
      <c r="W394" s="312"/>
      <c r="X394" s="454">
        <f t="shared" si="172"/>
        <v>0</v>
      </c>
      <c r="Y394" s="312"/>
      <c r="Z394" s="379"/>
      <c r="AA394" s="297"/>
      <c r="AB394" s="379"/>
      <c r="AC394" s="297"/>
      <c r="AD394" s="413"/>
      <c r="AE394" s="297"/>
      <c r="AG394" s="294"/>
      <c r="AH394" s="380"/>
      <c r="AI394" s="408"/>
      <c r="AJ394" s="498"/>
      <c r="AK394" s="498"/>
      <c r="AL394" s="503" t="e">
        <f t="shared" si="167"/>
        <v>#DIV/0!</v>
      </c>
      <c r="AM394" s="498"/>
      <c r="AN394" s="503" t="e">
        <f t="shared" si="168"/>
        <v>#DIV/0!</v>
      </c>
      <c r="AO394" s="498"/>
      <c r="AP394" s="503" t="e">
        <f t="shared" si="169"/>
        <v>#DIV/0!</v>
      </c>
      <c r="AR394" s="110">
        <v>56309</v>
      </c>
      <c r="AS394" s="98">
        <f t="shared" si="165"/>
        <v>0</v>
      </c>
      <c r="AT394" s="98">
        <f t="shared" si="166"/>
        <v>0</v>
      </c>
      <c r="AU394" s="98"/>
    </row>
    <row r="395" spans="1:47">
      <c r="A395" s="295">
        <v>45849</v>
      </c>
      <c r="B395" s="296"/>
      <c r="C395" s="312"/>
      <c r="D395" s="296"/>
      <c r="E395" s="312"/>
      <c r="F395" s="296"/>
      <c r="G395" s="312"/>
      <c r="H395" s="325"/>
      <c r="I395" s="312"/>
      <c r="J395" s="416"/>
      <c r="K395" s="369"/>
      <c r="L395" s="378"/>
      <c r="M395" s="312"/>
      <c r="N395" s="298"/>
      <c r="O395" s="312"/>
      <c r="P395" s="404" t="e">
        <f t="shared" si="170"/>
        <v>#DIV/0!</v>
      </c>
      <c r="Q395" s="312" t="e">
        <f t="shared" ref="Q395:Q458" si="173">(P395+2243.33-P394)/P394</f>
        <v>#DIV/0!</v>
      </c>
      <c r="R395" s="298"/>
      <c r="S395" s="312"/>
      <c r="T395" s="298"/>
      <c r="U395" s="312"/>
      <c r="V395" s="454">
        <f t="shared" si="171"/>
        <v>0</v>
      </c>
      <c r="W395" s="312"/>
      <c r="X395" s="454">
        <f t="shared" si="172"/>
        <v>0</v>
      </c>
      <c r="Y395" s="312"/>
      <c r="Z395" s="379"/>
      <c r="AA395" s="297"/>
      <c r="AB395" s="379"/>
      <c r="AC395" s="297"/>
      <c r="AD395" s="413"/>
      <c r="AE395" s="297"/>
      <c r="AG395" s="294"/>
      <c r="AH395" s="380"/>
      <c r="AI395" s="408"/>
      <c r="AJ395" s="498"/>
      <c r="AK395" s="498"/>
      <c r="AL395" s="503" t="e">
        <f t="shared" si="167"/>
        <v>#DIV/0!</v>
      </c>
      <c r="AM395" s="498"/>
      <c r="AN395" s="503" t="e">
        <f t="shared" si="168"/>
        <v>#DIV/0!</v>
      </c>
      <c r="AO395" s="498"/>
      <c r="AP395" s="503" t="e">
        <f t="shared" si="169"/>
        <v>#DIV/0!</v>
      </c>
      <c r="AR395" s="110">
        <v>56340</v>
      </c>
      <c r="AS395" s="98">
        <f t="shared" si="165"/>
        <v>0</v>
      </c>
      <c r="AT395" s="98">
        <f t="shared" si="166"/>
        <v>0</v>
      </c>
      <c r="AU395" s="98"/>
    </row>
    <row r="396" spans="1:47">
      <c r="A396" s="295">
        <v>45852</v>
      </c>
      <c r="B396" s="296"/>
      <c r="C396" s="312"/>
      <c r="D396" s="296"/>
      <c r="E396" s="312"/>
      <c r="F396" s="296"/>
      <c r="G396" s="312"/>
      <c r="H396" s="325"/>
      <c r="I396" s="312"/>
      <c r="J396" s="416"/>
      <c r="K396" s="369"/>
      <c r="L396" s="378"/>
      <c r="M396" s="312"/>
      <c r="N396" s="298"/>
      <c r="O396" s="312"/>
      <c r="P396" s="404" t="e">
        <f t="shared" si="170"/>
        <v>#DIV/0!</v>
      </c>
      <c r="Q396" s="312" t="e">
        <f t="shared" si="173"/>
        <v>#DIV/0!</v>
      </c>
      <c r="R396" s="298"/>
      <c r="S396" s="312"/>
      <c r="T396" s="298"/>
      <c r="U396" s="312"/>
      <c r="V396" s="454">
        <f t="shared" si="171"/>
        <v>0</v>
      </c>
      <c r="W396" s="312"/>
      <c r="X396" s="454">
        <f t="shared" si="172"/>
        <v>0</v>
      </c>
      <c r="Y396" s="312"/>
      <c r="Z396" s="379"/>
      <c r="AA396" s="297"/>
      <c r="AB396" s="379"/>
      <c r="AC396" s="297"/>
      <c r="AD396" s="413"/>
      <c r="AE396" s="297"/>
      <c r="AG396" s="294"/>
      <c r="AH396" s="380"/>
      <c r="AI396" s="408"/>
      <c r="AJ396" s="498"/>
      <c r="AK396" s="498"/>
      <c r="AL396" s="503" t="e">
        <f t="shared" si="167"/>
        <v>#DIV/0!</v>
      </c>
      <c r="AM396" s="498"/>
      <c r="AN396" s="503" t="e">
        <f t="shared" si="168"/>
        <v>#DIV/0!</v>
      </c>
      <c r="AO396" s="498"/>
      <c r="AP396" s="503" t="e">
        <f t="shared" si="169"/>
        <v>#DIV/0!</v>
      </c>
      <c r="AR396" s="110">
        <v>56370</v>
      </c>
      <c r="AS396" s="98">
        <f t="shared" si="165"/>
        <v>0</v>
      </c>
      <c r="AT396" s="98">
        <f t="shared" si="166"/>
        <v>0</v>
      </c>
      <c r="AU396" s="98"/>
    </row>
    <row r="397" spans="1:47">
      <c r="A397" s="295">
        <v>45853</v>
      </c>
      <c r="B397" s="296"/>
      <c r="C397" s="312"/>
      <c r="D397" s="296"/>
      <c r="E397" s="312"/>
      <c r="F397" s="296"/>
      <c r="G397" s="312"/>
      <c r="H397" s="325"/>
      <c r="I397" s="312"/>
      <c r="J397" s="416"/>
      <c r="K397" s="369"/>
      <c r="L397" s="378"/>
      <c r="M397" s="312"/>
      <c r="N397" s="298"/>
      <c r="O397" s="312"/>
      <c r="P397" s="404" t="e">
        <f t="shared" si="170"/>
        <v>#DIV/0!</v>
      </c>
      <c r="Q397" s="312" t="e">
        <f t="shared" si="173"/>
        <v>#DIV/0!</v>
      </c>
      <c r="R397" s="298"/>
      <c r="S397" s="312"/>
      <c r="T397" s="298"/>
      <c r="U397" s="312"/>
      <c r="V397" s="454">
        <f t="shared" si="171"/>
        <v>0</v>
      </c>
      <c r="W397" s="312"/>
      <c r="X397" s="454">
        <f t="shared" si="172"/>
        <v>0</v>
      </c>
      <c r="Y397" s="312"/>
      <c r="Z397" s="379"/>
      <c r="AA397" s="297"/>
      <c r="AB397" s="379"/>
      <c r="AC397" s="297"/>
      <c r="AD397" s="413"/>
      <c r="AE397" s="297"/>
      <c r="AG397" s="294"/>
      <c r="AH397" s="380"/>
      <c r="AI397" s="408"/>
      <c r="AJ397" s="498"/>
      <c r="AK397" s="498"/>
      <c r="AL397" s="503" t="e">
        <f t="shared" si="167"/>
        <v>#DIV/0!</v>
      </c>
      <c r="AM397" s="498"/>
      <c r="AN397" s="503" t="e">
        <f t="shared" si="168"/>
        <v>#DIV/0!</v>
      </c>
      <c r="AO397" s="498"/>
      <c r="AP397" s="503" t="e">
        <f t="shared" si="169"/>
        <v>#DIV/0!</v>
      </c>
      <c r="AR397" s="110">
        <v>56401</v>
      </c>
      <c r="AS397" s="98">
        <f t="shared" si="165"/>
        <v>0</v>
      </c>
      <c r="AT397" s="98">
        <f t="shared" si="166"/>
        <v>0</v>
      </c>
      <c r="AU397" s="98"/>
    </row>
    <row r="398" spans="1:47">
      <c r="A398" s="295">
        <v>45854</v>
      </c>
      <c r="B398" s="296"/>
      <c r="C398" s="312"/>
      <c r="D398" s="296"/>
      <c r="E398" s="312"/>
      <c r="F398" s="296"/>
      <c r="G398" s="312"/>
      <c r="H398" s="325"/>
      <c r="I398" s="312"/>
      <c r="J398" s="416"/>
      <c r="K398" s="369"/>
      <c r="L398" s="378"/>
      <c r="M398" s="312"/>
      <c r="N398" s="298"/>
      <c r="O398" s="312"/>
      <c r="P398" s="404" t="e">
        <f t="shared" si="170"/>
        <v>#DIV/0!</v>
      </c>
      <c r="Q398" s="312" t="e">
        <f t="shared" si="173"/>
        <v>#DIV/0!</v>
      </c>
      <c r="R398" s="298"/>
      <c r="S398" s="312"/>
      <c r="T398" s="298"/>
      <c r="U398" s="312"/>
      <c r="V398" s="454">
        <f t="shared" si="171"/>
        <v>0</v>
      </c>
      <c r="W398" s="312"/>
      <c r="X398" s="454">
        <f t="shared" si="172"/>
        <v>0</v>
      </c>
      <c r="Y398" s="312"/>
      <c r="Z398" s="379"/>
      <c r="AA398" s="297"/>
      <c r="AB398" s="379"/>
      <c r="AC398" s="297"/>
      <c r="AD398" s="413"/>
      <c r="AE398" s="297"/>
      <c r="AG398" s="294"/>
      <c r="AH398" s="380"/>
      <c r="AI398" s="408"/>
      <c r="AJ398" s="498"/>
      <c r="AK398" s="498"/>
      <c r="AL398" s="503" t="e">
        <f t="shared" si="167"/>
        <v>#DIV/0!</v>
      </c>
      <c r="AM398" s="498"/>
      <c r="AN398" s="503" t="e">
        <f t="shared" si="168"/>
        <v>#DIV/0!</v>
      </c>
      <c r="AO398" s="498"/>
      <c r="AP398" s="503" t="e">
        <f t="shared" si="169"/>
        <v>#DIV/0!</v>
      </c>
      <c r="AR398" s="110">
        <v>56431</v>
      </c>
      <c r="AS398" s="98">
        <f t="shared" si="165"/>
        <v>0</v>
      </c>
      <c r="AT398" s="98">
        <f t="shared" si="166"/>
        <v>0</v>
      </c>
      <c r="AU398" s="98"/>
    </row>
    <row r="399" spans="1:47">
      <c r="A399" s="295">
        <v>45855</v>
      </c>
      <c r="B399" s="296"/>
      <c r="C399" s="312"/>
      <c r="D399" s="296"/>
      <c r="E399" s="312"/>
      <c r="F399" s="296"/>
      <c r="G399" s="312"/>
      <c r="H399" s="325"/>
      <c r="I399" s="312"/>
      <c r="J399" s="416"/>
      <c r="K399" s="369"/>
      <c r="L399" s="378"/>
      <c r="M399" s="312"/>
      <c r="N399" s="298"/>
      <c r="O399" s="312"/>
      <c r="P399" s="404" t="e">
        <f t="shared" si="170"/>
        <v>#DIV/0!</v>
      </c>
      <c r="Q399" s="312" t="e">
        <f t="shared" si="173"/>
        <v>#DIV/0!</v>
      </c>
      <c r="R399" s="298"/>
      <c r="S399" s="312"/>
      <c r="T399" s="298"/>
      <c r="U399" s="312"/>
      <c r="V399" s="454">
        <f t="shared" si="171"/>
        <v>0</v>
      </c>
      <c r="W399" s="312"/>
      <c r="X399" s="454">
        <f t="shared" si="172"/>
        <v>0</v>
      </c>
      <c r="Y399" s="312"/>
      <c r="Z399" s="379"/>
      <c r="AA399" s="297"/>
      <c r="AB399" s="379"/>
      <c r="AC399" s="297"/>
      <c r="AD399" s="413"/>
      <c r="AE399" s="297"/>
      <c r="AG399" s="294"/>
      <c r="AH399" s="380"/>
      <c r="AI399" s="408"/>
      <c r="AJ399" s="498"/>
      <c r="AK399" s="498"/>
      <c r="AL399" s="503" t="e">
        <f t="shared" si="167"/>
        <v>#DIV/0!</v>
      </c>
      <c r="AM399" s="498"/>
      <c r="AN399" s="503" t="e">
        <f t="shared" si="168"/>
        <v>#DIV/0!</v>
      </c>
      <c r="AO399" s="498"/>
      <c r="AP399" s="503" t="e">
        <f t="shared" si="169"/>
        <v>#DIV/0!</v>
      </c>
      <c r="AR399" s="110">
        <v>56462</v>
      </c>
      <c r="AS399" s="98">
        <f t="shared" si="165"/>
        <v>0</v>
      </c>
      <c r="AT399" s="98">
        <f t="shared" si="166"/>
        <v>0</v>
      </c>
      <c r="AU399" s="98"/>
    </row>
    <row r="400" spans="1:47">
      <c r="A400" s="295">
        <v>45856</v>
      </c>
      <c r="B400" s="296"/>
      <c r="C400" s="312"/>
      <c r="D400" s="296"/>
      <c r="E400" s="312"/>
      <c r="F400" s="296"/>
      <c r="G400" s="312"/>
      <c r="H400" s="325"/>
      <c r="I400" s="312"/>
      <c r="J400" s="416"/>
      <c r="K400" s="369"/>
      <c r="L400" s="378"/>
      <c r="M400" s="312"/>
      <c r="N400" s="298"/>
      <c r="O400" s="312"/>
      <c r="P400" s="404" t="e">
        <f t="shared" si="170"/>
        <v>#DIV/0!</v>
      </c>
      <c r="Q400" s="312" t="e">
        <f t="shared" si="173"/>
        <v>#DIV/0!</v>
      </c>
      <c r="R400" s="298"/>
      <c r="S400" s="312"/>
      <c r="T400" s="298"/>
      <c r="U400" s="312"/>
      <c r="V400" s="454">
        <f t="shared" si="171"/>
        <v>0</v>
      </c>
      <c r="W400" s="312"/>
      <c r="X400" s="454">
        <f t="shared" si="172"/>
        <v>0</v>
      </c>
      <c r="Y400" s="312"/>
      <c r="Z400" s="379"/>
      <c r="AA400" s="297"/>
      <c r="AB400" s="379"/>
      <c r="AC400" s="297"/>
      <c r="AD400" s="413"/>
      <c r="AE400" s="297"/>
      <c r="AG400" s="294"/>
      <c r="AH400" s="380"/>
      <c r="AI400" s="408"/>
      <c r="AJ400" s="498"/>
      <c r="AK400" s="498"/>
      <c r="AL400" s="503" t="e">
        <f t="shared" si="167"/>
        <v>#DIV/0!</v>
      </c>
      <c r="AM400" s="498"/>
      <c r="AN400" s="503" t="e">
        <f t="shared" si="168"/>
        <v>#DIV/0!</v>
      </c>
      <c r="AO400" s="498"/>
      <c r="AP400" s="503" t="e">
        <f t="shared" si="169"/>
        <v>#DIV/0!</v>
      </c>
      <c r="AR400" s="110">
        <v>56493</v>
      </c>
      <c r="AS400" s="98">
        <f t="shared" si="165"/>
        <v>0</v>
      </c>
      <c r="AT400" s="98">
        <f t="shared" si="166"/>
        <v>0</v>
      </c>
      <c r="AU400" s="98"/>
    </row>
    <row r="401" spans="1:47">
      <c r="A401" s="295">
        <v>45859</v>
      </c>
      <c r="B401" s="296"/>
      <c r="C401" s="312"/>
      <c r="D401" s="296"/>
      <c r="E401" s="312"/>
      <c r="F401" s="296"/>
      <c r="G401" s="312"/>
      <c r="H401" s="325"/>
      <c r="I401" s="312"/>
      <c r="J401" s="416"/>
      <c r="K401" s="369"/>
      <c r="L401" s="378"/>
      <c r="M401" s="312"/>
      <c r="N401" s="298"/>
      <c r="O401" s="312"/>
      <c r="P401" s="404" t="e">
        <f t="shared" si="170"/>
        <v>#DIV/0!</v>
      </c>
      <c r="Q401" s="312" t="e">
        <f t="shared" si="173"/>
        <v>#DIV/0!</v>
      </c>
      <c r="R401" s="298"/>
      <c r="S401" s="312"/>
      <c r="T401" s="298"/>
      <c r="U401" s="312"/>
      <c r="V401" s="454">
        <f t="shared" si="171"/>
        <v>0</v>
      </c>
      <c r="W401" s="312"/>
      <c r="X401" s="454">
        <f t="shared" si="172"/>
        <v>0</v>
      </c>
      <c r="Y401" s="312"/>
      <c r="Z401" s="379"/>
      <c r="AA401" s="297"/>
      <c r="AB401" s="379"/>
      <c r="AC401" s="297"/>
      <c r="AD401" s="413"/>
      <c r="AE401" s="297"/>
      <c r="AG401" s="294"/>
      <c r="AH401" s="380"/>
      <c r="AI401" s="408"/>
      <c r="AJ401" s="498"/>
      <c r="AK401" s="498"/>
      <c r="AL401" s="503" t="e">
        <f t="shared" si="167"/>
        <v>#DIV/0!</v>
      </c>
      <c r="AM401" s="498"/>
      <c r="AN401" s="503" t="e">
        <f t="shared" si="168"/>
        <v>#DIV/0!</v>
      </c>
      <c r="AO401" s="498"/>
      <c r="AP401" s="503" t="e">
        <f t="shared" si="169"/>
        <v>#DIV/0!</v>
      </c>
      <c r="AR401" s="110">
        <v>56523</v>
      </c>
      <c r="AS401" s="98">
        <f t="shared" si="165"/>
        <v>0</v>
      </c>
      <c r="AT401" s="98">
        <f t="shared" si="166"/>
        <v>0</v>
      </c>
      <c r="AU401" s="98"/>
    </row>
    <row r="402" spans="1:47">
      <c r="A402" s="295">
        <v>45860</v>
      </c>
      <c r="B402" s="296"/>
      <c r="C402" s="312"/>
      <c r="D402" s="296"/>
      <c r="E402" s="312"/>
      <c r="F402" s="296"/>
      <c r="G402" s="312"/>
      <c r="H402" s="325"/>
      <c r="I402" s="312"/>
      <c r="J402" s="416"/>
      <c r="K402" s="369"/>
      <c r="L402" s="378"/>
      <c r="M402" s="312"/>
      <c r="N402" s="298"/>
      <c r="O402" s="312"/>
      <c r="P402" s="404" t="e">
        <f t="shared" si="170"/>
        <v>#DIV/0!</v>
      </c>
      <c r="Q402" s="312" t="e">
        <f t="shared" si="173"/>
        <v>#DIV/0!</v>
      </c>
      <c r="R402" s="298"/>
      <c r="S402" s="312"/>
      <c r="T402" s="298"/>
      <c r="U402" s="312"/>
      <c r="V402" s="454">
        <f t="shared" si="171"/>
        <v>0</v>
      </c>
      <c r="W402" s="312"/>
      <c r="X402" s="454">
        <f t="shared" si="172"/>
        <v>0</v>
      </c>
      <c r="Y402" s="312"/>
      <c r="Z402" s="379"/>
      <c r="AA402" s="297"/>
      <c r="AB402" s="379"/>
      <c r="AC402" s="297"/>
      <c r="AD402" s="413"/>
      <c r="AE402" s="297"/>
      <c r="AG402" s="294"/>
      <c r="AH402" s="380"/>
      <c r="AI402" s="408"/>
      <c r="AJ402" s="498"/>
      <c r="AK402" s="498"/>
      <c r="AL402" s="503" t="e">
        <f t="shared" si="167"/>
        <v>#DIV/0!</v>
      </c>
      <c r="AM402" s="498"/>
      <c r="AN402" s="503" t="e">
        <f t="shared" si="168"/>
        <v>#DIV/0!</v>
      </c>
      <c r="AO402" s="498"/>
      <c r="AP402" s="503" t="e">
        <f t="shared" si="169"/>
        <v>#DIV/0!</v>
      </c>
      <c r="AR402" s="110">
        <v>56554</v>
      </c>
      <c r="AS402" s="98">
        <f t="shared" si="165"/>
        <v>0</v>
      </c>
      <c r="AT402" s="98">
        <f t="shared" si="166"/>
        <v>0</v>
      </c>
      <c r="AU402" s="98"/>
    </row>
    <row r="403" spans="1:47">
      <c r="A403" s="295">
        <v>45861</v>
      </c>
      <c r="B403" s="296"/>
      <c r="C403" s="312"/>
      <c r="D403" s="296"/>
      <c r="E403" s="312"/>
      <c r="F403" s="296"/>
      <c r="G403" s="312"/>
      <c r="H403" s="325"/>
      <c r="I403" s="312"/>
      <c r="J403" s="416"/>
      <c r="K403" s="369"/>
      <c r="L403" s="378"/>
      <c r="M403" s="312"/>
      <c r="N403" s="298"/>
      <c r="O403" s="312"/>
      <c r="P403" s="404" t="e">
        <f t="shared" si="170"/>
        <v>#DIV/0!</v>
      </c>
      <c r="Q403" s="312" t="e">
        <f t="shared" si="173"/>
        <v>#DIV/0!</v>
      </c>
      <c r="R403" s="298"/>
      <c r="S403" s="312"/>
      <c r="T403" s="298"/>
      <c r="U403" s="312"/>
      <c r="V403" s="454">
        <f t="shared" si="171"/>
        <v>0</v>
      </c>
      <c r="W403" s="312"/>
      <c r="X403" s="454">
        <f t="shared" si="172"/>
        <v>0</v>
      </c>
      <c r="Y403" s="312"/>
      <c r="Z403" s="379"/>
      <c r="AA403" s="297"/>
      <c r="AB403" s="379"/>
      <c r="AC403" s="297"/>
      <c r="AD403" s="413"/>
      <c r="AE403" s="297"/>
      <c r="AG403" s="294"/>
      <c r="AH403" s="380"/>
      <c r="AI403" s="408"/>
      <c r="AJ403" s="498"/>
      <c r="AK403" s="498"/>
      <c r="AL403" s="503" t="e">
        <f t="shared" si="167"/>
        <v>#DIV/0!</v>
      </c>
      <c r="AM403" s="498"/>
      <c r="AN403" s="503" t="e">
        <f t="shared" si="168"/>
        <v>#DIV/0!</v>
      </c>
      <c r="AO403" s="498"/>
      <c r="AP403" s="503" t="e">
        <f t="shared" si="169"/>
        <v>#DIV/0!</v>
      </c>
      <c r="AR403" s="110">
        <v>56584</v>
      </c>
      <c r="AS403" s="98">
        <f t="shared" si="165"/>
        <v>0</v>
      </c>
      <c r="AT403" s="98">
        <f t="shared" si="166"/>
        <v>0</v>
      </c>
      <c r="AU403" s="98"/>
    </row>
    <row r="404" spans="1:47">
      <c r="A404" s="295">
        <v>45862</v>
      </c>
      <c r="B404" s="296"/>
      <c r="C404" s="312"/>
      <c r="D404" s="296"/>
      <c r="E404" s="312"/>
      <c r="F404" s="296"/>
      <c r="G404" s="312"/>
      <c r="H404" s="325"/>
      <c r="I404" s="312"/>
      <c r="J404" s="416"/>
      <c r="K404" s="369"/>
      <c r="L404" s="378"/>
      <c r="M404" s="312"/>
      <c r="N404" s="298"/>
      <c r="O404" s="312"/>
      <c r="P404" s="404" t="e">
        <f t="shared" si="170"/>
        <v>#DIV/0!</v>
      </c>
      <c r="Q404" s="312" t="e">
        <f t="shared" si="173"/>
        <v>#DIV/0!</v>
      </c>
      <c r="R404" s="298"/>
      <c r="S404" s="312"/>
      <c r="T404" s="298"/>
      <c r="U404" s="312"/>
      <c r="V404" s="454">
        <f t="shared" si="171"/>
        <v>0</v>
      </c>
      <c r="W404" s="312"/>
      <c r="X404" s="454">
        <f t="shared" si="172"/>
        <v>0</v>
      </c>
      <c r="Y404" s="312"/>
      <c r="Z404" s="379"/>
      <c r="AA404" s="297"/>
      <c r="AB404" s="379"/>
      <c r="AC404" s="297"/>
      <c r="AD404" s="413"/>
      <c r="AE404" s="297"/>
      <c r="AG404" s="294"/>
      <c r="AH404" s="380"/>
      <c r="AI404" s="408"/>
      <c r="AJ404" s="498"/>
      <c r="AK404" s="498"/>
      <c r="AL404" s="503" t="e">
        <f t="shared" si="167"/>
        <v>#DIV/0!</v>
      </c>
      <c r="AM404" s="498"/>
      <c r="AN404" s="503" t="e">
        <f t="shared" si="168"/>
        <v>#DIV/0!</v>
      </c>
      <c r="AO404" s="498"/>
      <c r="AP404" s="503" t="e">
        <f t="shared" si="169"/>
        <v>#DIV/0!</v>
      </c>
      <c r="AR404" s="110">
        <v>56615</v>
      </c>
      <c r="AS404" s="98">
        <f t="shared" si="165"/>
        <v>0</v>
      </c>
      <c r="AT404" s="98">
        <f t="shared" si="166"/>
        <v>0</v>
      </c>
      <c r="AU404" s="98"/>
    </row>
    <row r="405" spans="1:47">
      <c r="A405" s="295">
        <v>45863</v>
      </c>
      <c r="B405" s="296"/>
      <c r="C405" s="312"/>
      <c r="D405" s="296"/>
      <c r="E405" s="312"/>
      <c r="F405" s="296"/>
      <c r="G405" s="312"/>
      <c r="H405" s="325"/>
      <c r="I405" s="312"/>
      <c r="J405" s="416"/>
      <c r="K405" s="369"/>
      <c r="L405" s="378"/>
      <c r="M405" s="312"/>
      <c r="N405" s="298"/>
      <c r="O405" s="312"/>
      <c r="P405" s="404" t="e">
        <f t="shared" si="170"/>
        <v>#DIV/0!</v>
      </c>
      <c r="Q405" s="312" t="e">
        <f t="shared" si="173"/>
        <v>#DIV/0!</v>
      </c>
      <c r="R405" s="298"/>
      <c r="S405" s="312"/>
      <c r="T405" s="298"/>
      <c r="U405" s="312"/>
      <c r="V405" s="454">
        <f t="shared" si="171"/>
        <v>0</v>
      </c>
      <c r="W405" s="312"/>
      <c r="X405" s="454">
        <f t="shared" si="172"/>
        <v>0</v>
      </c>
      <c r="Y405" s="312"/>
      <c r="Z405" s="379"/>
      <c r="AA405" s="297"/>
      <c r="AB405" s="379"/>
      <c r="AC405" s="297"/>
      <c r="AD405" s="413"/>
      <c r="AE405" s="297"/>
      <c r="AG405" s="294"/>
      <c r="AH405" s="380"/>
      <c r="AI405" s="408"/>
      <c r="AJ405" s="498"/>
      <c r="AK405" s="498"/>
      <c r="AL405" s="503" t="e">
        <f t="shared" si="167"/>
        <v>#DIV/0!</v>
      </c>
      <c r="AM405" s="498"/>
      <c r="AN405" s="503" t="e">
        <f t="shared" si="168"/>
        <v>#DIV/0!</v>
      </c>
      <c r="AO405" s="498"/>
      <c r="AP405" s="503" t="e">
        <f t="shared" si="169"/>
        <v>#DIV/0!</v>
      </c>
      <c r="AR405" s="110">
        <v>56646</v>
      </c>
      <c r="AS405" s="98">
        <f t="shared" si="165"/>
        <v>0</v>
      </c>
      <c r="AT405" s="98">
        <f t="shared" si="166"/>
        <v>0</v>
      </c>
      <c r="AU405" s="98"/>
    </row>
    <row r="406" spans="1:47">
      <c r="A406" s="295">
        <v>45866</v>
      </c>
      <c r="B406" s="296"/>
      <c r="C406" s="312"/>
      <c r="D406" s="296"/>
      <c r="E406" s="312"/>
      <c r="F406" s="296"/>
      <c r="G406" s="312"/>
      <c r="H406" s="325"/>
      <c r="I406" s="312"/>
      <c r="J406" s="416"/>
      <c r="K406" s="369"/>
      <c r="L406" s="378"/>
      <c r="M406" s="312"/>
      <c r="N406" s="298"/>
      <c r="O406" s="312"/>
      <c r="P406" s="404" t="e">
        <f t="shared" si="170"/>
        <v>#DIV/0!</v>
      </c>
      <c r="Q406" s="312" t="e">
        <f t="shared" si="173"/>
        <v>#DIV/0!</v>
      </c>
      <c r="R406" s="298"/>
      <c r="S406" s="312"/>
      <c r="T406" s="298"/>
      <c r="U406" s="312"/>
      <c r="V406" s="454">
        <f t="shared" si="171"/>
        <v>0</v>
      </c>
      <c r="W406" s="312"/>
      <c r="X406" s="454">
        <f t="shared" si="172"/>
        <v>0</v>
      </c>
      <c r="Y406" s="312"/>
      <c r="Z406" s="379"/>
      <c r="AA406" s="297"/>
      <c r="AB406" s="379"/>
      <c r="AC406" s="297"/>
      <c r="AD406" s="413"/>
      <c r="AE406" s="297"/>
      <c r="AG406" s="294"/>
      <c r="AH406" s="380"/>
      <c r="AI406" s="408"/>
      <c r="AJ406" s="498"/>
      <c r="AK406" s="498"/>
      <c r="AL406" s="503" t="e">
        <f t="shared" si="167"/>
        <v>#DIV/0!</v>
      </c>
      <c r="AM406" s="498"/>
      <c r="AN406" s="503" t="e">
        <f t="shared" si="168"/>
        <v>#DIV/0!</v>
      </c>
      <c r="AO406" s="498"/>
      <c r="AP406" s="503" t="e">
        <f t="shared" si="169"/>
        <v>#DIV/0!</v>
      </c>
      <c r="AR406" s="110">
        <v>56674</v>
      </c>
      <c r="AS406" s="98">
        <f t="shared" si="165"/>
        <v>0</v>
      </c>
      <c r="AT406" s="98">
        <f t="shared" si="166"/>
        <v>0</v>
      </c>
      <c r="AU406" s="98"/>
    </row>
    <row r="407" spans="1:47">
      <c r="A407" s="295">
        <v>45867</v>
      </c>
      <c r="B407" s="296"/>
      <c r="C407" s="312"/>
      <c r="D407" s="296"/>
      <c r="E407" s="312"/>
      <c r="F407" s="296"/>
      <c r="G407" s="312"/>
      <c r="H407" s="325"/>
      <c r="I407" s="312"/>
      <c r="J407" s="416"/>
      <c r="K407" s="369"/>
      <c r="L407" s="378"/>
      <c r="M407" s="312"/>
      <c r="N407" s="298"/>
      <c r="O407" s="312"/>
      <c r="P407" s="404" t="e">
        <f t="shared" si="170"/>
        <v>#DIV/0!</v>
      </c>
      <c r="Q407" s="312" t="e">
        <f t="shared" si="173"/>
        <v>#DIV/0!</v>
      </c>
      <c r="R407" s="298"/>
      <c r="S407" s="312"/>
      <c r="T407" s="298"/>
      <c r="U407" s="312"/>
      <c r="V407" s="454">
        <f t="shared" si="171"/>
        <v>0</v>
      </c>
      <c r="W407" s="312"/>
      <c r="X407" s="454">
        <f t="shared" si="172"/>
        <v>0</v>
      </c>
      <c r="Y407" s="312"/>
      <c r="Z407" s="379"/>
      <c r="AA407" s="297"/>
      <c r="AB407" s="379"/>
      <c r="AC407" s="297"/>
      <c r="AD407" s="413"/>
      <c r="AE407" s="297"/>
      <c r="AG407" s="294"/>
      <c r="AH407" s="380"/>
      <c r="AI407" s="408"/>
      <c r="AJ407" s="498"/>
      <c r="AK407" s="498"/>
      <c r="AL407" s="503" t="e">
        <f t="shared" si="167"/>
        <v>#DIV/0!</v>
      </c>
      <c r="AM407" s="498"/>
      <c r="AN407" s="503" t="e">
        <f t="shared" si="168"/>
        <v>#DIV/0!</v>
      </c>
      <c r="AO407" s="498"/>
      <c r="AP407" s="503" t="e">
        <f t="shared" si="169"/>
        <v>#DIV/0!</v>
      </c>
      <c r="AR407" s="110">
        <v>56705</v>
      </c>
      <c r="AS407" s="98">
        <f t="shared" si="165"/>
        <v>0</v>
      </c>
      <c r="AT407" s="98">
        <f t="shared" si="166"/>
        <v>0</v>
      </c>
      <c r="AU407" s="98"/>
    </row>
    <row r="408" spans="1:47">
      <c r="A408" s="295">
        <v>45868</v>
      </c>
      <c r="B408" s="296"/>
      <c r="C408" s="312"/>
      <c r="D408" s="296"/>
      <c r="E408" s="312"/>
      <c r="F408" s="296"/>
      <c r="G408" s="312"/>
      <c r="H408" s="325"/>
      <c r="I408" s="312"/>
      <c r="J408" s="416"/>
      <c r="K408" s="369"/>
      <c r="L408" s="378"/>
      <c r="M408" s="312"/>
      <c r="N408" s="298"/>
      <c r="O408" s="312"/>
      <c r="P408" s="404" t="e">
        <f t="shared" si="170"/>
        <v>#DIV/0!</v>
      </c>
      <c r="Q408" s="312" t="e">
        <f t="shared" si="173"/>
        <v>#DIV/0!</v>
      </c>
      <c r="R408" s="298"/>
      <c r="S408" s="312"/>
      <c r="T408" s="298"/>
      <c r="U408" s="312"/>
      <c r="V408" s="454">
        <f t="shared" si="171"/>
        <v>0</v>
      </c>
      <c r="W408" s="312"/>
      <c r="X408" s="454">
        <f t="shared" si="172"/>
        <v>0</v>
      </c>
      <c r="Y408" s="312"/>
      <c r="Z408" s="379"/>
      <c r="AA408" s="297"/>
      <c r="AB408" s="379"/>
      <c r="AC408" s="297"/>
      <c r="AD408" s="413"/>
      <c r="AE408" s="297"/>
      <c r="AG408" s="294"/>
      <c r="AH408" s="380"/>
      <c r="AI408" s="408"/>
      <c r="AJ408" s="498"/>
      <c r="AK408" s="498"/>
      <c r="AL408" s="503" t="e">
        <f t="shared" si="167"/>
        <v>#DIV/0!</v>
      </c>
      <c r="AM408" s="498"/>
      <c r="AN408" s="503" t="e">
        <f t="shared" si="168"/>
        <v>#DIV/0!</v>
      </c>
      <c r="AO408" s="498"/>
      <c r="AP408" s="503" t="e">
        <f t="shared" si="169"/>
        <v>#DIV/0!</v>
      </c>
      <c r="AR408" s="110">
        <v>56735</v>
      </c>
      <c r="AS408" s="98">
        <f t="shared" si="165"/>
        <v>0</v>
      </c>
      <c r="AT408" s="98">
        <f t="shared" si="166"/>
        <v>0</v>
      </c>
      <c r="AU408" s="98"/>
    </row>
    <row r="409" spans="1:47">
      <c r="A409" s="295">
        <v>45869</v>
      </c>
      <c r="B409" s="296"/>
      <c r="C409" s="312"/>
      <c r="D409" s="296"/>
      <c r="E409" s="312"/>
      <c r="F409" s="296"/>
      <c r="G409" s="312"/>
      <c r="H409" s="325"/>
      <c r="I409" s="312"/>
      <c r="J409" s="416"/>
      <c r="K409" s="369"/>
      <c r="L409" s="378"/>
      <c r="M409" s="312"/>
      <c r="N409" s="298"/>
      <c r="O409" s="312"/>
      <c r="P409" s="404" t="e">
        <f t="shared" si="170"/>
        <v>#DIV/0!</v>
      </c>
      <c r="Q409" s="312" t="e">
        <f t="shared" si="173"/>
        <v>#DIV/0!</v>
      </c>
      <c r="R409" s="298"/>
      <c r="S409" s="312"/>
      <c r="T409" s="298"/>
      <c r="U409" s="312"/>
      <c r="V409" s="454">
        <f t="shared" si="171"/>
        <v>0</v>
      </c>
      <c r="W409" s="312"/>
      <c r="X409" s="454">
        <f t="shared" si="172"/>
        <v>0</v>
      </c>
      <c r="Y409" s="312"/>
      <c r="Z409" s="379"/>
      <c r="AA409" s="297"/>
      <c r="AB409" s="379"/>
      <c r="AC409" s="297"/>
      <c r="AD409" s="413"/>
      <c r="AE409" s="297"/>
      <c r="AG409" s="294"/>
      <c r="AH409" s="380"/>
      <c r="AI409" s="408"/>
      <c r="AJ409" s="498"/>
      <c r="AK409" s="498"/>
      <c r="AL409" s="503" t="e">
        <f t="shared" si="167"/>
        <v>#DIV/0!</v>
      </c>
      <c r="AM409" s="498"/>
      <c r="AN409" s="503" t="e">
        <f t="shared" si="168"/>
        <v>#DIV/0!</v>
      </c>
      <c r="AO409" s="498"/>
      <c r="AP409" s="503" t="e">
        <f t="shared" si="169"/>
        <v>#DIV/0!</v>
      </c>
      <c r="AR409" s="110">
        <v>56766</v>
      </c>
      <c r="AS409" s="98">
        <f t="shared" si="165"/>
        <v>0</v>
      </c>
      <c r="AT409" s="98">
        <f t="shared" si="166"/>
        <v>0</v>
      </c>
      <c r="AU409" s="98"/>
    </row>
    <row r="410" spans="1:47">
      <c r="A410" s="295">
        <v>45870</v>
      </c>
      <c r="B410" s="296"/>
      <c r="C410" s="312"/>
      <c r="D410" s="296"/>
      <c r="E410" s="312"/>
      <c r="F410" s="296"/>
      <c r="G410" s="312"/>
      <c r="H410" s="325"/>
      <c r="I410" s="312"/>
      <c r="J410" s="416"/>
      <c r="K410" s="369"/>
      <c r="L410" s="378"/>
      <c r="M410" s="312"/>
      <c r="N410" s="298"/>
      <c r="O410" s="312"/>
      <c r="P410" s="404" t="e">
        <f t="shared" si="170"/>
        <v>#DIV/0!</v>
      </c>
      <c r="Q410" s="312" t="e">
        <f t="shared" si="173"/>
        <v>#DIV/0!</v>
      </c>
      <c r="R410" s="298"/>
      <c r="S410" s="312"/>
      <c r="T410" s="298"/>
      <c r="U410" s="312"/>
      <c r="V410" s="454">
        <f t="shared" si="171"/>
        <v>0</v>
      </c>
      <c r="W410" s="312"/>
      <c r="X410" s="454">
        <f t="shared" si="172"/>
        <v>0</v>
      </c>
      <c r="Y410" s="312"/>
      <c r="Z410" s="379"/>
      <c r="AA410" s="297"/>
      <c r="AB410" s="379"/>
      <c r="AC410" s="297"/>
      <c r="AD410" s="413"/>
      <c r="AE410" s="297"/>
      <c r="AG410" s="294"/>
      <c r="AH410" s="380"/>
      <c r="AI410" s="408"/>
      <c r="AJ410" s="498"/>
      <c r="AK410" s="498"/>
      <c r="AL410" s="503" t="e">
        <f t="shared" si="167"/>
        <v>#DIV/0!</v>
      </c>
      <c r="AM410" s="498"/>
      <c r="AN410" s="503" t="e">
        <f t="shared" si="168"/>
        <v>#DIV/0!</v>
      </c>
      <c r="AO410" s="498"/>
      <c r="AP410" s="503" t="e">
        <f t="shared" si="169"/>
        <v>#DIV/0!</v>
      </c>
      <c r="AR410" s="110">
        <v>56796</v>
      </c>
      <c r="AS410" s="98">
        <f t="shared" si="165"/>
        <v>0</v>
      </c>
      <c r="AT410" s="98">
        <f t="shared" si="166"/>
        <v>0</v>
      </c>
      <c r="AU410" s="98"/>
    </row>
    <row r="411" spans="1:47">
      <c r="A411" s="295">
        <v>45873</v>
      </c>
      <c r="B411" s="296"/>
      <c r="C411" s="312"/>
      <c r="D411" s="296"/>
      <c r="E411" s="312"/>
      <c r="F411" s="296"/>
      <c r="G411" s="312"/>
      <c r="H411" s="325"/>
      <c r="I411" s="312"/>
      <c r="J411" s="416"/>
      <c r="K411" s="369"/>
      <c r="L411" s="378"/>
      <c r="M411" s="312"/>
      <c r="N411" s="298"/>
      <c r="O411" s="312"/>
      <c r="P411" s="404" t="e">
        <f t="shared" si="170"/>
        <v>#DIV/0!</v>
      </c>
      <c r="Q411" s="312" t="e">
        <f t="shared" si="173"/>
        <v>#DIV/0!</v>
      </c>
      <c r="R411" s="298"/>
      <c r="S411" s="312"/>
      <c r="T411" s="298"/>
      <c r="U411" s="312"/>
      <c r="V411" s="454">
        <f t="shared" si="171"/>
        <v>0</v>
      </c>
      <c r="W411" s="312"/>
      <c r="X411" s="454">
        <f t="shared" si="172"/>
        <v>0</v>
      </c>
      <c r="Y411" s="312"/>
      <c r="Z411" s="379"/>
      <c r="AA411" s="297"/>
      <c r="AB411" s="379"/>
      <c r="AC411" s="297"/>
      <c r="AD411" s="413"/>
      <c r="AE411" s="297"/>
      <c r="AG411" s="294"/>
      <c r="AH411" s="380"/>
      <c r="AI411" s="408"/>
      <c r="AJ411" s="498"/>
      <c r="AK411" s="498"/>
      <c r="AL411" s="503" t="e">
        <f t="shared" si="167"/>
        <v>#DIV/0!</v>
      </c>
      <c r="AM411" s="498"/>
      <c r="AN411" s="503" t="e">
        <f t="shared" si="168"/>
        <v>#DIV/0!</v>
      </c>
      <c r="AO411" s="498"/>
      <c r="AP411" s="503" t="e">
        <f t="shared" si="169"/>
        <v>#DIV/0!</v>
      </c>
      <c r="AR411" s="110">
        <v>56827</v>
      </c>
      <c r="AS411" s="98">
        <f t="shared" si="165"/>
        <v>0</v>
      </c>
      <c r="AT411" s="98">
        <f t="shared" si="166"/>
        <v>0</v>
      </c>
      <c r="AU411" s="98"/>
    </row>
    <row r="412" spans="1:47">
      <c r="A412" s="295">
        <v>45874</v>
      </c>
      <c r="B412" s="296"/>
      <c r="C412" s="312"/>
      <c r="D412" s="296"/>
      <c r="E412" s="312"/>
      <c r="F412" s="296"/>
      <c r="G412" s="312"/>
      <c r="H412" s="325"/>
      <c r="I412" s="312"/>
      <c r="J412" s="416"/>
      <c r="K412" s="369"/>
      <c r="L412" s="378"/>
      <c r="M412" s="312"/>
      <c r="N412" s="298"/>
      <c r="O412" s="312"/>
      <c r="P412" s="404" t="e">
        <f t="shared" si="170"/>
        <v>#DIV/0!</v>
      </c>
      <c r="Q412" s="312" t="e">
        <f t="shared" si="173"/>
        <v>#DIV/0!</v>
      </c>
      <c r="R412" s="298"/>
      <c r="S412" s="312"/>
      <c r="T412" s="298"/>
      <c r="U412" s="312"/>
      <c r="V412" s="454">
        <f t="shared" si="171"/>
        <v>0</v>
      </c>
      <c r="W412" s="312"/>
      <c r="X412" s="454">
        <f t="shared" si="172"/>
        <v>0</v>
      </c>
      <c r="Y412" s="312"/>
      <c r="Z412" s="379"/>
      <c r="AA412" s="297"/>
      <c r="AB412" s="379"/>
      <c r="AC412" s="297"/>
      <c r="AD412" s="413"/>
      <c r="AE412" s="297"/>
      <c r="AG412" s="294"/>
      <c r="AH412" s="380"/>
      <c r="AI412" s="408"/>
      <c r="AJ412" s="498"/>
      <c r="AK412" s="498"/>
      <c r="AL412" s="503" t="e">
        <f t="shared" si="167"/>
        <v>#DIV/0!</v>
      </c>
      <c r="AM412" s="498"/>
      <c r="AN412" s="503" t="e">
        <f t="shared" si="168"/>
        <v>#DIV/0!</v>
      </c>
      <c r="AO412" s="498"/>
      <c r="AP412" s="503" t="e">
        <f t="shared" si="169"/>
        <v>#DIV/0!</v>
      </c>
      <c r="AR412" s="110">
        <v>56858</v>
      </c>
      <c r="AS412" s="98">
        <f t="shared" si="165"/>
        <v>0</v>
      </c>
      <c r="AT412" s="98">
        <f t="shared" si="166"/>
        <v>0</v>
      </c>
      <c r="AU412" s="98"/>
    </row>
    <row r="413" spans="1:47">
      <c r="A413" s="295">
        <v>45875</v>
      </c>
      <c r="B413" s="296"/>
      <c r="C413" s="312"/>
      <c r="D413" s="296"/>
      <c r="E413" s="312"/>
      <c r="F413" s="296"/>
      <c r="G413" s="312"/>
      <c r="H413" s="325"/>
      <c r="I413" s="312"/>
      <c r="J413" s="416"/>
      <c r="K413" s="369"/>
      <c r="L413" s="378"/>
      <c r="M413" s="312"/>
      <c r="N413" s="298"/>
      <c r="O413" s="312"/>
      <c r="P413" s="404" t="e">
        <f t="shared" si="170"/>
        <v>#DIV/0!</v>
      </c>
      <c r="Q413" s="312" t="e">
        <f t="shared" si="173"/>
        <v>#DIV/0!</v>
      </c>
      <c r="R413" s="298"/>
      <c r="S413" s="312"/>
      <c r="T413" s="298"/>
      <c r="U413" s="312"/>
      <c r="V413" s="454">
        <f t="shared" si="171"/>
        <v>0</v>
      </c>
      <c r="W413" s="312"/>
      <c r="X413" s="454">
        <f t="shared" si="172"/>
        <v>0</v>
      </c>
      <c r="Y413" s="312"/>
      <c r="Z413" s="379"/>
      <c r="AA413" s="297"/>
      <c r="AB413" s="379"/>
      <c r="AC413" s="297"/>
      <c r="AD413" s="413"/>
      <c r="AE413" s="297"/>
      <c r="AG413" s="294"/>
      <c r="AH413" s="380"/>
      <c r="AI413" s="408"/>
      <c r="AJ413" s="498"/>
      <c r="AK413" s="498"/>
      <c r="AL413" s="503" t="e">
        <f t="shared" si="167"/>
        <v>#DIV/0!</v>
      </c>
      <c r="AM413" s="498"/>
      <c r="AN413" s="503" t="e">
        <f t="shared" si="168"/>
        <v>#DIV/0!</v>
      </c>
      <c r="AO413" s="498"/>
      <c r="AP413" s="503" t="e">
        <f t="shared" si="169"/>
        <v>#DIV/0!</v>
      </c>
      <c r="AR413" s="110">
        <v>56888</v>
      </c>
      <c r="AS413" s="98">
        <f t="shared" si="165"/>
        <v>0</v>
      </c>
      <c r="AT413" s="98">
        <f t="shared" si="166"/>
        <v>0</v>
      </c>
      <c r="AU413" s="98"/>
    </row>
    <row r="414" spans="1:47">
      <c r="A414" s="295">
        <v>45876</v>
      </c>
      <c r="B414" s="296"/>
      <c r="C414" s="312"/>
      <c r="D414" s="296"/>
      <c r="E414" s="312"/>
      <c r="F414" s="296"/>
      <c r="G414" s="312"/>
      <c r="H414" s="325"/>
      <c r="I414" s="312"/>
      <c r="J414" s="416"/>
      <c r="K414" s="369"/>
      <c r="L414" s="378"/>
      <c r="M414" s="312"/>
      <c r="N414" s="298"/>
      <c r="O414" s="312"/>
      <c r="P414" s="404" t="e">
        <f t="shared" si="170"/>
        <v>#DIV/0!</v>
      </c>
      <c r="Q414" s="312" t="e">
        <f t="shared" si="173"/>
        <v>#DIV/0!</v>
      </c>
      <c r="R414" s="298"/>
      <c r="S414" s="312"/>
      <c r="T414" s="298"/>
      <c r="U414" s="312"/>
      <c r="V414" s="454">
        <f t="shared" si="171"/>
        <v>0</v>
      </c>
      <c r="W414" s="312"/>
      <c r="X414" s="454">
        <f t="shared" si="172"/>
        <v>0</v>
      </c>
      <c r="Y414" s="312"/>
      <c r="Z414" s="379"/>
      <c r="AA414" s="297"/>
      <c r="AB414" s="379"/>
      <c r="AC414" s="297"/>
      <c r="AD414" s="413"/>
      <c r="AE414" s="297"/>
      <c r="AG414" s="294"/>
      <c r="AH414" s="380"/>
      <c r="AI414" s="408"/>
      <c r="AJ414" s="498"/>
      <c r="AK414" s="498"/>
      <c r="AL414" s="503" t="e">
        <f t="shared" si="167"/>
        <v>#DIV/0!</v>
      </c>
      <c r="AM414" s="498"/>
      <c r="AN414" s="503" t="e">
        <f t="shared" si="168"/>
        <v>#DIV/0!</v>
      </c>
      <c r="AO414" s="498"/>
      <c r="AP414" s="503" t="e">
        <f t="shared" si="169"/>
        <v>#DIV/0!</v>
      </c>
      <c r="AR414" s="110">
        <v>56919</v>
      </c>
      <c r="AS414" s="98">
        <f t="shared" si="165"/>
        <v>0</v>
      </c>
      <c r="AT414" s="98">
        <f t="shared" si="166"/>
        <v>0</v>
      </c>
      <c r="AU414" s="98"/>
    </row>
    <row r="415" spans="1:47">
      <c r="A415" s="295">
        <v>45877</v>
      </c>
      <c r="B415" s="296"/>
      <c r="C415" s="312"/>
      <c r="D415" s="296"/>
      <c r="E415" s="312"/>
      <c r="F415" s="296"/>
      <c r="G415" s="312"/>
      <c r="H415" s="325"/>
      <c r="I415" s="312"/>
      <c r="J415" s="416"/>
      <c r="K415" s="369"/>
      <c r="L415" s="378"/>
      <c r="M415" s="312"/>
      <c r="N415" s="298"/>
      <c r="O415" s="312"/>
      <c r="P415" s="404" t="e">
        <f t="shared" si="170"/>
        <v>#DIV/0!</v>
      </c>
      <c r="Q415" s="312" t="e">
        <f t="shared" si="173"/>
        <v>#DIV/0!</v>
      </c>
      <c r="R415" s="298"/>
      <c r="S415" s="312"/>
      <c r="T415" s="298"/>
      <c r="U415" s="312"/>
      <c r="V415" s="454">
        <f t="shared" si="171"/>
        <v>0</v>
      </c>
      <c r="W415" s="312"/>
      <c r="X415" s="454">
        <f t="shared" si="172"/>
        <v>0</v>
      </c>
      <c r="Y415" s="312"/>
      <c r="Z415" s="379"/>
      <c r="AA415" s="297"/>
      <c r="AB415" s="379"/>
      <c r="AC415" s="297"/>
      <c r="AD415" s="413"/>
      <c r="AE415" s="297"/>
      <c r="AG415" s="294"/>
      <c r="AH415" s="380"/>
      <c r="AI415" s="408"/>
      <c r="AJ415" s="498"/>
      <c r="AK415" s="498"/>
      <c r="AL415" s="503" t="e">
        <f t="shared" si="167"/>
        <v>#DIV/0!</v>
      </c>
      <c r="AM415" s="498"/>
      <c r="AN415" s="503" t="e">
        <f t="shared" si="168"/>
        <v>#DIV/0!</v>
      </c>
      <c r="AO415" s="498"/>
      <c r="AP415" s="503" t="e">
        <f t="shared" si="169"/>
        <v>#DIV/0!</v>
      </c>
      <c r="AR415" s="110">
        <v>56949</v>
      </c>
      <c r="AS415" s="98">
        <f t="shared" si="165"/>
        <v>0</v>
      </c>
      <c r="AT415" s="98">
        <f t="shared" si="166"/>
        <v>0</v>
      </c>
      <c r="AU415" s="98"/>
    </row>
    <row r="416" spans="1:47">
      <c r="A416" s="295">
        <v>45880</v>
      </c>
      <c r="B416" s="296"/>
      <c r="C416" s="312"/>
      <c r="D416" s="296"/>
      <c r="E416" s="312"/>
      <c r="F416" s="296"/>
      <c r="G416" s="312"/>
      <c r="H416" s="325"/>
      <c r="I416" s="312"/>
      <c r="J416" s="416"/>
      <c r="K416" s="369"/>
      <c r="L416" s="378"/>
      <c r="M416" s="312"/>
      <c r="N416" s="298"/>
      <c r="O416" s="312"/>
      <c r="P416" s="404" t="e">
        <f t="shared" si="170"/>
        <v>#DIV/0!</v>
      </c>
      <c r="Q416" s="312" t="e">
        <f t="shared" si="173"/>
        <v>#DIV/0!</v>
      </c>
      <c r="R416" s="298"/>
      <c r="S416" s="312"/>
      <c r="T416" s="298"/>
      <c r="U416" s="312"/>
      <c r="V416" s="454">
        <f t="shared" si="171"/>
        <v>0</v>
      </c>
      <c r="W416" s="312"/>
      <c r="X416" s="454">
        <f t="shared" si="172"/>
        <v>0</v>
      </c>
      <c r="Y416" s="312"/>
      <c r="Z416" s="379"/>
      <c r="AA416" s="297"/>
      <c r="AB416" s="379"/>
      <c r="AC416" s="297"/>
      <c r="AD416" s="413"/>
      <c r="AE416" s="297"/>
      <c r="AG416" s="294"/>
      <c r="AH416" s="380"/>
      <c r="AI416" s="408"/>
      <c r="AJ416" s="498"/>
      <c r="AK416" s="498"/>
      <c r="AL416" s="503" t="e">
        <f t="shared" si="167"/>
        <v>#DIV/0!</v>
      </c>
      <c r="AM416" s="498"/>
      <c r="AN416" s="503" t="e">
        <f t="shared" si="168"/>
        <v>#DIV/0!</v>
      </c>
      <c r="AO416" s="498"/>
      <c r="AP416" s="503" t="e">
        <f t="shared" si="169"/>
        <v>#DIV/0!</v>
      </c>
      <c r="AR416" s="110">
        <v>56980</v>
      </c>
      <c r="AS416" s="98">
        <f t="shared" si="165"/>
        <v>0</v>
      </c>
      <c r="AT416" s="98">
        <f t="shared" si="166"/>
        <v>0</v>
      </c>
      <c r="AU416" s="98"/>
    </row>
    <row r="417" spans="1:47">
      <c r="A417" s="295">
        <v>45881</v>
      </c>
      <c r="B417" s="296"/>
      <c r="C417" s="312"/>
      <c r="D417" s="296"/>
      <c r="E417" s="312"/>
      <c r="F417" s="296"/>
      <c r="G417" s="312"/>
      <c r="H417" s="325"/>
      <c r="I417" s="312"/>
      <c r="J417" s="416"/>
      <c r="K417" s="369"/>
      <c r="L417" s="378"/>
      <c r="M417" s="312"/>
      <c r="N417" s="298"/>
      <c r="O417" s="312"/>
      <c r="P417" s="404" t="e">
        <f t="shared" si="170"/>
        <v>#DIV/0!</v>
      </c>
      <c r="Q417" s="312" t="e">
        <f t="shared" si="173"/>
        <v>#DIV/0!</v>
      </c>
      <c r="R417" s="298"/>
      <c r="S417" s="312"/>
      <c r="T417" s="298"/>
      <c r="U417" s="312"/>
      <c r="V417" s="454">
        <f t="shared" si="171"/>
        <v>0</v>
      </c>
      <c r="W417" s="312"/>
      <c r="X417" s="454">
        <f t="shared" si="172"/>
        <v>0</v>
      </c>
      <c r="Y417" s="312"/>
      <c r="Z417" s="379"/>
      <c r="AA417" s="297"/>
      <c r="AB417" s="379"/>
      <c r="AC417" s="297"/>
      <c r="AD417" s="413"/>
      <c r="AE417" s="297"/>
      <c r="AG417" s="294"/>
      <c r="AH417" s="380"/>
      <c r="AI417" s="408"/>
      <c r="AJ417" s="498"/>
      <c r="AK417" s="498"/>
      <c r="AL417" s="503" t="e">
        <f t="shared" si="167"/>
        <v>#DIV/0!</v>
      </c>
      <c r="AM417" s="498"/>
      <c r="AN417" s="503" t="e">
        <f t="shared" si="168"/>
        <v>#DIV/0!</v>
      </c>
      <c r="AO417" s="498"/>
      <c r="AP417" s="503" t="e">
        <f t="shared" si="169"/>
        <v>#DIV/0!</v>
      </c>
      <c r="AR417" s="110">
        <v>57011</v>
      </c>
      <c r="AS417" s="98">
        <f t="shared" si="165"/>
        <v>0</v>
      </c>
      <c r="AT417" s="98">
        <f t="shared" si="166"/>
        <v>0</v>
      </c>
      <c r="AU417" s="98"/>
    </row>
    <row r="418" spans="1:47">
      <c r="A418" s="295">
        <v>45882</v>
      </c>
      <c r="B418" s="296"/>
      <c r="C418" s="312"/>
      <c r="D418" s="296"/>
      <c r="E418" s="312"/>
      <c r="F418" s="296"/>
      <c r="G418" s="312"/>
      <c r="H418" s="325"/>
      <c r="I418" s="312"/>
      <c r="J418" s="416"/>
      <c r="K418" s="369"/>
      <c r="L418" s="378"/>
      <c r="M418" s="312"/>
      <c r="N418" s="298"/>
      <c r="O418" s="312"/>
      <c r="P418" s="404" t="e">
        <f t="shared" si="170"/>
        <v>#DIV/0!</v>
      </c>
      <c r="Q418" s="312" t="e">
        <f t="shared" si="173"/>
        <v>#DIV/0!</v>
      </c>
      <c r="R418" s="298"/>
      <c r="S418" s="312"/>
      <c r="T418" s="298"/>
      <c r="U418" s="312"/>
      <c r="V418" s="454">
        <f t="shared" si="171"/>
        <v>0</v>
      </c>
      <c r="W418" s="312"/>
      <c r="X418" s="454">
        <f t="shared" si="172"/>
        <v>0</v>
      </c>
      <c r="Y418" s="312"/>
      <c r="Z418" s="379"/>
      <c r="AA418" s="297"/>
      <c r="AB418" s="379"/>
      <c r="AC418" s="297"/>
      <c r="AD418" s="413"/>
      <c r="AE418" s="297"/>
      <c r="AG418" s="294"/>
      <c r="AH418" s="380"/>
      <c r="AI418" s="408"/>
      <c r="AJ418" s="498"/>
      <c r="AK418" s="498"/>
      <c r="AL418" s="503" t="e">
        <f t="shared" si="167"/>
        <v>#DIV/0!</v>
      </c>
      <c r="AM418" s="498"/>
      <c r="AN418" s="503" t="e">
        <f t="shared" si="168"/>
        <v>#DIV/0!</v>
      </c>
      <c r="AO418" s="498"/>
      <c r="AP418" s="503" t="e">
        <f t="shared" si="169"/>
        <v>#DIV/0!</v>
      </c>
      <c r="AR418" s="110">
        <v>57040</v>
      </c>
      <c r="AS418" s="98">
        <f t="shared" si="165"/>
        <v>0</v>
      </c>
      <c r="AT418" s="98">
        <f t="shared" si="166"/>
        <v>0</v>
      </c>
      <c r="AU418" s="98"/>
    </row>
    <row r="419" spans="1:47">
      <c r="A419" s="295">
        <v>45883</v>
      </c>
      <c r="B419" s="296"/>
      <c r="C419" s="312"/>
      <c r="D419" s="296"/>
      <c r="E419" s="312"/>
      <c r="F419" s="296"/>
      <c r="G419" s="312"/>
      <c r="H419" s="325"/>
      <c r="I419" s="312"/>
      <c r="J419" s="416"/>
      <c r="K419" s="369"/>
      <c r="L419" s="378"/>
      <c r="M419" s="312"/>
      <c r="N419" s="298"/>
      <c r="O419" s="312"/>
      <c r="P419" s="404" t="e">
        <f t="shared" si="170"/>
        <v>#DIV/0!</v>
      </c>
      <c r="Q419" s="312" t="e">
        <f t="shared" si="173"/>
        <v>#DIV/0!</v>
      </c>
      <c r="R419" s="298"/>
      <c r="S419" s="312"/>
      <c r="T419" s="298"/>
      <c r="U419" s="312"/>
      <c r="V419" s="454">
        <f t="shared" si="171"/>
        <v>0</v>
      </c>
      <c r="W419" s="312"/>
      <c r="X419" s="454">
        <f t="shared" si="172"/>
        <v>0</v>
      </c>
      <c r="Y419" s="312"/>
      <c r="Z419" s="379"/>
      <c r="AA419" s="297"/>
      <c r="AB419" s="379"/>
      <c r="AC419" s="297"/>
      <c r="AD419" s="413"/>
      <c r="AE419" s="297"/>
      <c r="AG419" s="294"/>
      <c r="AH419" s="380"/>
      <c r="AI419" s="408"/>
      <c r="AJ419" s="498"/>
      <c r="AK419" s="498"/>
      <c r="AL419" s="503" t="e">
        <f t="shared" si="167"/>
        <v>#DIV/0!</v>
      </c>
      <c r="AM419" s="498"/>
      <c r="AN419" s="503" t="e">
        <f t="shared" si="168"/>
        <v>#DIV/0!</v>
      </c>
      <c r="AO419" s="498"/>
      <c r="AP419" s="503" t="e">
        <f t="shared" si="169"/>
        <v>#DIV/0!</v>
      </c>
      <c r="AR419" s="110">
        <v>57071</v>
      </c>
      <c r="AS419" s="98">
        <f t="shared" si="165"/>
        <v>0</v>
      </c>
      <c r="AT419" s="98">
        <f t="shared" si="166"/>
        <v>0</v>
      </c>
      <c r="AU419" s="98"/>
    </row>
    <row r="420" spans="1:47">
      <c r="A420" s="295">
        <v>45884</v>
      </c>
      <c r="B420" s="296"/>
      <c r="C420" s="312"/>
      <c r="D420" s="296"/>
      <c r="E420" s="312"/>
      <c r="F420" s="296"/>
      <c r="G420" s="312"/>
      <c r="H420" s="325"/>
      <c r="I420" s="312"/>
      <c r="J420" s="416"/>
      <c r="K420" s="369"/>
      <c r="L420" s="378"/>
      <c r="M420" s="312"/>
      <c r="N420" s="298"/>
      <c r="O420" s="312"/>
      <c r="P420" s="404" t="e">
        <f t="shared" si="170"/>
        <v>#DIV/0!</v>
      </c>
      <c r="Q420" s="312" t="e">
        <f t="shared" si="173"/>
        <v>#DIV/0!</v>
      </c>
      <c r="R420" s="298"/>
      <c r="S420" s="312"/>
      <c r="T420" s="298"/>
      <c r="U420" s="312"/>
      <c r="V420" s="454">
        <f t="shared" si="171"/>
        <v>0</v>
      </c>
      <c r="W420" s="312"/>
      <c r="X420" s="454">
        <f t="shared" si="172"/>
        <v>0</v>
      </c>
      <c r="Y420" s="312"/>
      <c r="Z420" s="379"/>
      <c r="AA420" s="297"/>
      <c r="AB420" s="379"/>
      <c r="AC420" s="297"/>
      <c r="AD420" s="413"/>
      <c r="AE420" s="297"/>
      <c r="AG420" s="294"/>
      <c r="AH420" s="380"/>
      <c r="AI420" s="408"/>
      <c r="AJ420" s="498"/>
      <c r="AK420" s="498"/>
      <c r="AL420" s="503" t="e">
        <f t="shared" si="167"/>
        <v>#DIV/0!</v>
      </c>
      <c r="AM420" s="498"/>
      <c r="AN420" s="503" t="e">
        <f t="shared" si="168"/>
        <v>#DIV/0!</v>
      </c>
      <c r="AO420" s="498"/>
      <c r="AP420" s="503" t="e">
        <f t="shared" si="169"/>
        <v>#DIV/0!</v>
      </c>
      <c r="AR420" s="110">
        <v>57101</v>
      </c>
      <c r="AS420" s="98">
        <f t="shared" si="165"/>
        <v>0</v>
      </c>
      <c r="AT420" s="98">
        <f t="shared" si="166"/>
        <v>0</v>
      </c>
      <c r="AU420" s="98"/>
    </row>
    <row r="421" spans="1:47">
      <c r="A421" s="295">
        <v>45887</v>
      </c>
      <c r="B421" s="296"/>
      <c r="C421" s="312"/>
      <c r="D421" s="296"/>
      <c r="E421" s="312"/>
      <c r="F421" s="296"/>
      <c r="G421" s="312"/>
      <c r="H421" s="325"/>
      <c r="I421" s="312"/>
      <c r="J421" s="416"/>
      <c r="K421" s="369"/>
      <c r="L421" s="378"/>
      <c r="M421" s="312"/>
      <c r="N421" s="298"/>
      <c r="O421" s="312"/>
      <c r="P421" s="404" t="e">
        <f t="shared" si="170"/>
        <v>#DIV/0!</v>
      </c>
      <c r="Q421" s="312" t="e">
        <f t="shared" si="173"/>
        <v>#DIV/0!</v>
      </c>
      <c r="R421" s="298"/>
      <c r="S421" s="312"/>
      <c r="T421" s="298"/>
      <c r="U421" s="312"/>
      <c r="V421" s="454">
        <f t="shared" si="171"/>
        <v>0</v>
      </c>
      <c r="W421" s="312"/>
      <c r="X421" s="454">
        <f t="shared" si="172"/>
        <v>0</v>
      </c>
      <c r="Y421" s="312"/>
      <c r="Z421" s="379"/>
      <c r="AA421" s="297"/>
      <c r="AB421" s="379"/>
      <c r="AC421" s="297"/>
      <c r="AD421" s="413"/>
      <c r="AE421" s="297"/>
      <c r="AG421" s="294"/>
      <c r="AH421" s="380"/>
      <c r="AI421" s="408"/>
      <c r="AJ421" s="498"/>
      <c r="AK421" s="498"/>
      <c r="AL421" s="503" t="e">
        <f t="shared" si="167"/>
        <v>#DIV/0!</v>
      </c>
      <c r="AM421" s="498"/>
      <c r="AN421" s="503" t="e">
        <f t="shared" si="168"/>
        <v>#DIV/0!</v>
      </c>
      <c r="AO421" s="498"/>
      <c r="AP421" s="503" t="e">
        <f t="shared" si="169"/>
        <v>#DIV/0!</v>
      </c>
      <c r="AR421" s="110">
        <v>57132</v>
      </c>
      <c r="AS421" s="98">
        <f t="shared" ref="AS421:AS484" si="174">AS420*0.9%+AS420</f>
        <v>0</v>
      </c>
      <c r="AT421" s="98">
        <f t="shared" ref="AT421:AT484" si="175">AT420*1%+AT420</f>
        <v>0</v>
      </c>
      <c r="AU421" s="98"/>
    </row>
    <row r="422" spans="1:47">
      <c r="A422" s="295">
        <v>45888</v>
      </c>
      <c r="B422" s="296"/>
      <c r="C422" s="312"/>
      <c r="D422" s="296"/>
      <c r="E422" s="312"/>
      <c r="F422" s="296"/>
      <c r="G422" s="312"/>
      <c r="H422" s="325"/>
      <c r="I422" s="312"/>
      <c r="J422" s="416"/>
      <c r="K422" s="369"/>
      <c r="L422" s="378"/>
      <c r="M422" s="312"/>
      <c r="N422" s="298"/>
      <c r="O422" s="312"/>
      <c r="P422" s="404" t="e">
        <f t="shared" si="170"/>
        <v>#DIV/0!</v>
      </c>
      <c r="Q422" s="312" t="e">
        <f t="shared" si="173"/>
        <v>#DIV/0!</v>
      </c>
      <c r="R422" s="298"/>
      <c r="S422" s="312"/>
      <c r="T422" s="298"/>
      <c r="U422" s="312"/>
      <c r="V422" s="454">
        <f t="shared" si="171"/>
        <v>0</v>
      </c>
      <c r="W422" s="312"/>
      <c r="X422" s="454">
        <f t="shared" si="172"/>
        <v>0</v>
      </c>
      <c r="Y422" s="312"/>
      <c r="Z422" s="379"/>
      <c r="AA422" s="297"/>
      <c r="AB422" s="379"/>
      <c r="AC422" s="297"/>
      <c r="AD422" s="413"/>
      <c r="AE422" s="297"/>
      <c r="AG422" s="294"/>
      <c r="AH422" s="380"/>
      <c r="AI422" s="408"/>
      <c r="AJ422" s="498"/>
      <c r="AK422" s="498"/>
      <c r="AL422" s="503" t="e">
        <f t="shared" si="167"/>
        <v>#DIV/0!</v>
      </c>
      <c r="AM422" s="498"/>
      <c r="AN422" s="503" t="e">
        <f t="shared" si="168"/>
        <v>#DIV/0!</v>
      </c>
      <c r="AO422" s="498"/>
      <c r="AP422" s="503" t="e">
        <f t="shared" si="169"/>
        <v>#DIV/0!</v>
      </c>
      <c r="AR422" s="110">
        <v>57162</v>
      </c>
      <c r="AS422" s="98">
        <f t="shared" si="174"/>
        <v>0</v>
      </c>
      <c r="AT422" s="98">
        <f t="shared" si="175"/>
        <v>0</v>
      </c>
      <c r="AU422" s="98"/>
    </row>
    <row r="423" spans="1:47">
      <c r="A423" s="295">
        <v>45889</v>
      </c>
      <c r="B423" s="296"/>
      <c r="C423" s="312"/>
      <c r="D423" s="296"/>
      <c r="E423" s="312"/>
      <c r="F423" s="296"/>
      <c r="G423" s="312"/>
      <c r="H423" s="325"/>
      <c r="I423" s="312"/>
      <c r="J423" s="416"/>
      <c r="K423" s="369"/>
      <c r="L423" s="378"/>
      <c r="M423" s="312"/>
      <c r="N423" s="298"/>
      <c r="O423" s="312"/>
      <c r="P423" s="404" t="e">
        <f t="shared" si="170"/>
        <v>#DIV/0!</v>
      </c>
      <c r="Q423" s="312" t="e">
        <f t="shared" si="173"/>
        <v>#DIV/0!</v>
      </c>
      <c r="R423" s="298"/>
      <c r="S423" s="312"/>
      <c r="T423" s="298"/>
      <c r="U423" s="312"/>
      <c r="V423" s="454">
        <f t="shared" si="171"/>
        <v>0</v>
      </c>
      <c r="W423" s="312"/>
      <c r="X423" s="454">
        <f t="shared" si="172"/>
        <v>0</v>
      </c>
      <c r="Y423" s="312"/>
      <c r="Z423" s="379"/>
      <c r="AA423" s="297"/>
      <c r="AB423" s="379"/>
      <c r="AC423" s="297"/>
      <c r="AD423" s="413"/>
      <c r="AE423" s="297"/>
      <c r="AG423" s="294"/>
      <c r="AH423" s="380"/>
      <c r="AI423" s="408"/>
      <c r="AJ423" s="498"/>
      <c r="AK423" s="498"/>
      <c r="AL423" s="503" t="e">
        <f t="shared" si="167"/>
        <v>#DIV/0!</v>
      </c>
      <c r="AM423" s="498"/>
      <c r="AN423" s="503" t="e">
        <f t="shared" si="168"/>
        <v>#DIV/0!</v>
      </c>
      <c r="AO423" s="498"/>
      <c r="AP423" s="503" t="e">
        <f t="shared" si="169"/>
        <v>#DIV/0!</v>
      </c>
      <c r="AR423" s="110">
        <v>57193</v>
      </c>
      <c r="AS423" s="98">
        <f t="shared" si="174"/>
        <v>0</v>
      </c>
      <c r="AT423" s="98">
        <f t="shared" si="175"/>
        <v>0</v>
      </c>
      <c r="AU423" s="98"/>
    </row>
    <row r="424" spans="1:47">
      <c r="A424" s="295">
        <v>45890</v>
      </c>
      <c r="B424" s="296"/>
      <c r="C424" s="312"/>
      <c r="D424" s="296"/>
      <c r="E424" s="312"/>
      <c r="F424" s="296"/>
      <c r="G424" s="312"/>
      <c r="H424" s="325"/>
      <c r="I424" s="312"/>
      <c r="J424" s="416"/>
      <c r="K424" s="369"/>
      <c r="L424" s="378"/>
      <c r="M424" s="312"/>
      <c r="N424" s="298"/>
      <c r="O424" s="312"/>
      <c r="P424" s="404" t="e">
        <f t="shared" si="170"/>
        <v>#DIV/0!</v>
      </c>
      <c r="Q424" s="312" t="e">
        <f t="shared" si="173"/>
        <v>#DIV/0!</v>
      </c>
      <c r="R424" s="298"/>
      <c r="S424" s="312"/>
      <c r="T424" s="298"/>
      <c r="U424" s="312"/>
      <c r="V424" s="454">
        <f t="shared" si="171"/>
        <v>0</v>
      </c>
      <c r="W424" s="312"/>
      <c r="X424" s="454">
        <f t="shared" si="172"/>
        <v>0</v>
      </c>
      <c r="Y424" s="312"/>
      <c r="Z424" s="379"/>
      <c r="AA424" s="297"/>
      <c r="AB424" s="379"/>
      <c r="AC424" s="297"/>
      <c r="AD424" s="413"/>
      <c r="AE424" s="297"/>
      <c r="AG424" s="294"/>
      <c r="AH424" s="380"/>
      <c r="AI424" s="408"/>
      <c r="AJ424" s="498"/>
      <c r="AK424" s="498"/>
      <c r="AL424" s="503" t="e">
        <f t="shared" si="167"/>
        <v>#DIV/0!</v>
      </c>
      <c r="AM424" s="498"/>
      <c r="AN424" s="503" t="e">
        <f t="shared" si="168"/>
        <v>#DIV/0!</v>
      </c>
      <c r="AO424" s="498"/>
      <c r="AP424" s="503" t="e">
        <f t="shared" si="169"/>
        <v>#DIV/0!</v>
      </c>
      <c r="AR424" s="110">
        <v>57224</v>
      </c>
      <c r="AS424" s="98">
        <f t="shared" si="174"/>
        <v>0</v>
      </c>
      <c r="AT424" s="98">
        <f t="shared" si="175"/>
        <v>0</v>
      </c>
      <c r="AU424" s="98"/>
    </row>
    <row r="425" spans="1:47">
      <c r="A425" s="295">
        <v>45891</v>
      </c>
      <c r="B425" s="296"/>
      <c r="C425" s="312"/>
      <c r="D425" s="296"/>
      <c r="E425" s="312"/>
      <c r="F425" s="296"/>
      <c r="G425" s="312"/>
      <c r="H425" s="325"/>
      <c r="I425" s="312"/>
      <c r="J425" s="416"/>
      <c r="K425" s="369"/>
      <c r="L425" s="378"/>
      <c r="M425" s="312"/>
      <c r="N425" s="298"/>
      <c r="O425" s="312"/>
      <c r="P425" s="404" t="e">
        <f t="shared" si="170"/>
        <v>#DIV/0!</v>
      </c>
      <c r="Q425" s="312" t="e">
        <f t="shared" si="173"/>
        <v>#DIV/0!</v>
      </c>
      <c r="R425" s="298"/>
      <c r="S425" s="312"/>
      <c r="T425" s="298"/>
      <c r="U425" s="312"/>
      <c r="V425" s="454">
        <f t="shared" si="171"/>
        <v>0</v>
      </c>
      <c r="W425" s="312"/>
      <c r="X425" s="454">
        <f t="shared" si="172"/>
        <v>0</v>
      </c>
      <c r="Y425" s="312"/>
      <c r="Z425" s="379"/>
      <c r="AA425" s="297"/>
      <c r="AB425" s="379"/>
      <c r="AC425" s="297"/>
      <c r="AD425" s="413"/>
      <c r="AE425" s="297"/>
      <c r="AG425" s="294"/>
      <c r="AH425" s="380"/>
      <c r="AI425" s="408"/>
      <c r="AJ425" s="498"/>
      <c r="AK425" s="498"/>
      <c r="AL425" s="503" t="e">
        <f t="shared" si="167"/>
        <v>#DIV/0!</v>
      </c>
      <c r="AM425" s="498"/>
      <c r="AN425" s="503" t="e">
        <f t="shared" si="168"/>
        <v>#DIV/0!</v>
      </c>
      <c r="AO425" s="498"/>
      <c r="AP425" s="503" t="e">
        <f t="shared" si="169"/>
        <v>#DIV/0!</v>
      </c>
      <c r="AR425" s="110">
        <v>57254</v>
      </c>
      <c r="AS425" s="98">
        <f t="shared" si="174"/>
        <v>0</v>
      </c>
      <c r="AT425" s="98">
        <f t="shared" si="175"/>
        <v>0</v>
      </c>
      <c r="AU425" s="98"/>
    </row>
    <row r="426" spans="1:47">
      <c r="A426" s="295">
        <v>45894</v>
      </c>
      <c r="B426" s="296"/>
      <c r="C426" s="312"/>
      <c r="D426" s="296"/>
      <c r="E426" s="312"/>
      <c r="F426" s="296"/>
      <c r="G426" s="312"/>
      <c r="H426" s="325"/>
      <c r="I426" s="312"/>
      <c r="J426" s="416"/>
      <c r="K426" s="369"/>
      <c r="L426" s="378"/>
      <c r="M426" s="312"/>
      <c r="N426" s="298"/>
      <c r="O426" s="312"/>
      <c r="P426" s="404" t="e">
        <f t="shared" si="170"/>
        <v>#DIV/0!</v>
      </c>
      <c r="Q426" s="312" t="e">
        <f t="shared" si="173"/>
        <v>#DIV/0!</v>
      </c>
      <c r="R426" s="298"/>
      <c r="S426" s="312"/>
      <c r="T426" s="298"/>
      <c r="U426" s="312"/>
      <c r="V426" s="454">
        <f t="shared" si="171"/>
        <v>0</v>
      </c>
      <c r="W426" s="312"/>
      <c r="X426" s="454">
        <f t="shared" si="172"/>
        <v>0</v>
      </c>
      <c r="Y426" s="312"/>
      <c r="Z426" s="379"/>
      <c r="AA426" s="297"/>
      <c r="AB426" s="379"/>
      <c r="AC426" s="297"/>
      <c r="AD426" s="413"/>
      <c r="AE426" s="297"/>
      <c r="AG426" s="294"/>
      <c r="AH426" s="380"/>
      <c r="AI426" s="408"/>
      <c r="AJ426" s="498"/>
      <c r="AK426" s="498"/>
      <c r="AL426" s="503" t="e">
        <f t="shared" si="167"/>
        <v>#DIV/0!</v>
      </c>
      <c r="AM426" s="498"/>
      <c r="AN426" s="503" t="e">
        <f t="shared" si="168"/>
        <v>#DIV/0!</v>
      </c>
      <c r="AO426" s="498"/>
      <c r="AP426" s="503" t="e">
        <f t="shared" si="169"/>
        <v>#DIV/0!</v>
      </c>
      <c r="AR426" s="110">
        <v>57285</v>
      </c>
      <c r="AS426" s="98">
        <f t="shared" si="174"/>
        <v>0</v>
      </c>
      <c r="AT426" s="98">
        <f t="shared" si="175"/>
        <v>0</v>
      </c>
      <c r="AU426" s="98"/>
    </row>
    <row r="427" spans="1:47">
      <c r="A427" s="295">
        <v>45895</v>
      </c>
      <c r="B427" s="296"/>
      <c r="C427" s="312"/>
      <c r="D427" s="296"/>
      <c r="E427" s="312"/>
      <c r="F427" s="296"/>
      <c r="G427" s="312"/>
      <c r="H427" s="325"/>
      <c r="I427" s="312"/>
      <c r="J427" s="416"/>
      <c r="K427" s="369"/>
      <c r="L427" s="378"/>
      <c r="M427" s="312"/>
      <c r="N427" s="298"/>
      <c r="O427" s="312"/>
      <c r="P427" s="404" t="e">
        <f t="shared" si="170"/>
        <v>#DIV/0!</v>
      </c>
      <c r="Q427" s="312" t="e">
        <f t="shared" si="173"/>
        <v>#DIV/0!</v>
      </c>
      <c r="R427" s="298"/>
      <c r="S427" s="312"/>
      <c r="T427" s="298"/>
      <c r="U427" s="312"/>
      <c r="V427" s="454">
        <f t="shared" si="171"/>
        <v>0</v>
      </c>
      <c r="W427" s="312"/>
      <c r="X427" s="454">
        <f t="shared" si="172"/>
        <v>0</v>
      </c>
      <c r="Y427" s="312"/>
      <c r="Z427" s="379"/>
      <c r="AA427" s="297"/>
      <c r="AB427" s="379"/>
      <c r="AC427" s="297"/>
      <c r="AD427" s="413"/>
      <c r="AE427" s="297"/>
      <c r="AG427" s="294"/>
      <c r="AH427" s="380"/>
      <c r="AI427" s="408"/>
      <c r="AJ427" s="498"/>
      <c r="AK427" s="498"/>
      <c r="AL427" s="503" t="e">
        <f t="shared" si="167"/>
        <v>#DIV/0!</v>
      </c>
      <c r="AM427" s="498"/>
      <c r="AN427" s="503" t="e">
        <f t="shared" si="168"/>
        <v>#DIV/0!</v>
      </c>
      <c r="AO427" s="498"/>
      <c r="AP427" s="503" t="e">
        <f t="shared" si="169"/>
        <v>#DIV/0!</v>
      </c>
      <c r="AR427" s="110">
        <v>57315</v>
      </c>
      <c r="AS427" s="98">
        <f t="shared" si="174"/>
        <v>0</v>
      </c>
      <c r="AT427" s="98">
        <f t="shared" si="175"/>
        <v>0</v>
      </c>
      <c r="AU427" s="98"/>
    </row>
    <row r="428" spans="1:47">
      <c r="A428" s="295">
        <v>45896</v>
      </c>
      <c r="B428" s="296"/>
      <c r="C428" s="312"/>
      <c r="D428" s="296"/>
      <c r="E428" s="312"/>
      <c r="F428" s="296"/>
      <c r="G428" s="312"/>
      <c r="H428" s="325"/>
      <c r="I428" s="312"/>
      <c r="J428" s="416"/>
      <c r="K428" s="369"/>
      <c r="L428" s="378"/>
      <c r="M428" s="312"/>
      <c r="N428" s="298"/>
      <c r="O428" s="312"/>
      <c r="P428" s="404" t="e">
        <f t="shared" si="170"/>
        <v>#DIV/0!</v>
      </c>
      <c r="Q428" s="312" t="e">
        <f t="shared" si="173"/>
        <v>#DIV/0!</v>
      </c>
      <c r="R428" s="298"/>
      <c r="S428" s="312"/>
      <c r="T428" s="298"/>
      <c r="U428" s="312"/>
      <c r="V428" s="454">
        <f t="shared" si="171"/>
        <v>0</v>
      </c>
      <c r="W428" s="312"/>
      <c r="X428" s="454">
        <f t="shared" si="172"/>
        <v>0</v>
      </c>
      <c r="Y428" s="312"/>
      <c r="Z428" s="379"/>
      <c r="AA428" s="297"/>
      <c r="AB428" s="379"/>
      <c r="AC428" s="297"/>
      <c r="AD428" s="413"/>
      <c r="AE428" s="297"/>
      <c r="AG428" s="294"/>
      <c r="AH428" s="380"/>
      <c r="AI428" s="408"/>
      <c r="AJ428" s="498"/>
      <c r="AK428" s="498"/>
      <c r="AL428" s="503" t="e">
        <f t="shared" si="167"/>
        <v>#DIV/0!</v>
      </c>
      <c r="AM428" s="498"/>
      <c r="AN428" s="503" t="e">
        <f t="shared" si="168"/>
        <v>#DIV/0!</v>
      </c>
      <c r="AO428" s="498"/>
      <c r="AP428" s="503" t="e">
        <f t="shared" si="169"/>
        <v>#DIV/0!</v>
      </c>
      <c r="AR428" s="110">
        <v>57346</v>
      </c>
      <c r="AS428" s="98">
        <f t="shared" si="174"/>
        <v>0</v>
      </c>
      <c r="AT428" s="98">
        <f t="shared" si="175"/>
        <v>0</v>
      </c>
      <c r="AU428" s="98"/>
    </row>
    <row r="429" spans="1:47">
      <c r="A429" s="295">
        <v>45897</v>
      </c>
      <c r="B429" s="296"/>
      <c r="C429" s="312"/>
      <c r="D429" s="296"/>
      <c r="E429" s="312"/>
      <c r="F429" s="296"/>
      <c r="G429" s="312"/>
      <c r="H429" s="325"/>
      <c r="I429" s="312"/>
      <c r="J429" s="416"/>
      <c r="K429" s="369"/>
      <c r="L429" s="378"/>
      <c r="M429" s="312"/>
      <c r="N429" s="298"/>
      <c r="O429" s="312"/>
      <c r="P429" s="404" t="e">
        <f t="shared" si="170"/>
        <v>#DIV/0!</v>
      </c>
      <c r="Q429" s="312" t="e">
        <f t="shared" si="173"/>
        <v>#DIV/0!</v>
      </c>
      <c r="R429" s="298"/>
      <c r="S429" s="312"/>
      <c r="T429" s="298"/>
      <c r="U429" s="312"/>
      <c r="V429" s="454">
        <f t="shared" si="171"/>
        <v>0</v>
      </c>
      <c r="W429" s="312"/>
      <c r="X429" s="454">
        <f t="shared" si="172"/>
        <v>0</v>
      </c>
      <c r="Y429" s="312"/>
      <c r="Z429" s="379"/>
      <c r="AA429" s="297"/>
      <c r="AB429" s="379"/>
      <c r="AC429" s="297"/>
      <c r="AD429" s="413"/>
      <c r="AE429" s="297"/>
      <c r="AG429" s="294"/>
      <c r="AH429" s="380"/>
      <c r="AI429" s="408"/>
      <c r="AJ429" s="498"/>
      <c r="AK429" s="498"/>
      <c r="AL429" s="503" t="e">
        <f t="shared" si="167"/>
        <v>#DIV/0!</v>
      </c>
      <c r="AM429" s="498"/>
      <c r="AN429" s="503" t="e">
        <f t="shared" si="168"/>
        <v>#DIV/0!</v>
      </c>
      <c r="AO429" s="498"/>
      <c r="AP429" s="503" t="e">
        <f t="shared" si="169"/>
        <v>#DIV/0!</v>
      </c>
      <c r="AR429" s="110">
        <v>57377</v>
      </c>
      <c r="AS429" s="98">
        <f t="shared" si="174"/>
        <v>0</v>
      </c>
      <c r="AT429" s="98">
        <f t="shared" si="175"/>
        <v>0</v>
      </c>
      <c r="AU429" s="98"/>
    </row>
    <row r="430" spans="1:47">
      <c r="A430" s="295">
        <v>45898</v>
      </c>
      <c r="B430" s="296"/>
      <c r="C430" s="312"/>
      <c r="D430" s="296"/>
      <c r="E430" s="312"/>
      <c r="F430" s="296"/>
      <c r="G430" s="312"/>
      <c r="H430" s="325"/>
      <c r="I430" s="312"/>
      <c r="J430" s="416"/>
      <c r="K430" s="369"/>
      <c r="L430" s="378"/>
      <c r="M430" s="312"/>
      <c r="N430" s="298"/>
      <c r="O430" s="312"/>
      <c r="P430" s="404" t="e">
        <f t="shared" si="170"/>
        <v>#DIV/0!</v>
      </c>
      <c r="Q430" s="312" t="e">
        <f t="shared" si="173"/>
        <v>#DIV/0!</v>
      </c>
      <c r="R430" s="298"/>
      <c r="S430" s="312"/>
      <c r="T430" s="298"/>
      <c r="U430" s="312"/>
      <c r="V430" s="454">
        <f t="shared" si="171"/>
        <v>0</v>
      </c>
      <c r="W430" s="312"/>
      <c r="X430" s="454">
        <f t="shared" si="172"/>
        <v>0</v>
      </c>
      <c r="Y430" s="312"/>
      <c r="Z430" s="379"/>
      <c r="AA430" s="297"/>
      <c r="AB430" s="379"/>
      <c r="AC430" s="297"/>
      <c r="AD430" s="413"/>
      <c r="AE430" s="297"/>
      <c r="AG430" s="294"/>
      <c r="AH430" s="380"/>
      <c r="AI430" s="408"/>
      <c r="AJ430" s="498"/>
      <c r="AK430" s="498"/>
      <c r="AL430" s="503" t="e">
        <f t="shared" si="167"/>
        <v>#DIV/0!</v>
      </c>
      <c r="AM430" s="498"/>
      <c r="AN430" s="503" t="e">
        <f t="shared" si="168"/>
        <v>#DIV/0!</v>
      </c>
      <c r="AO430" s="498"/>
      <c r="AP430" s="503" t="e">
        <f t="shared" si="169"/>
        <v>#DIV/0!</v>
      </c>
      <c r="AR430" s="110">
        <v>57405</v>
      </c>
      <c r="AS430" s="98">
        <f t="shared" si="174"/>
        <v>0</v>
      </c>
      <c r="AT430" s="98">
        <f t="shared" si="175"/>
        <v>0</v>
      </c>
      <c r="AU430" s="98"/>
    </row>
    <row r="431" spans="1:47">
      <c r="A431" s="295">
        <v>45901</v>
      </c>
      <c r="B431" s="296"/>
      <c r="C431" s="312"/>
      <c r="D431" s="296"/>
      <c r="E431" s="312"/>
      <c r="F431" s="296"/>
      <c r="G431" s="312"/>
      <c r="H431" s="325"/>
      <c r="I431" s="312"/>
      <c r="J431" s="416"/>
      <c r="K431" s="369"/>
      <c r="L431" s="378"/>
      <c r="M431" s="312"/>
      <c r="N431" s="298"/>
      <c r="O431" s="312"/>
      <c r="P431" s="404" t="e">
        <f t="shared" si="170"/>
        <v>#DIV/0!</v>
      </c>
      <c r="Q431" s="312" t="e">
        <f t="shared" si="173"/>
        <v>#DIV/0!</v>
      </c>
      <c r="R431" s="298"/>
      <c r="S431" s="312"/>
      <c r="T431" s="298"/>
      <c r="U431" s="312"/>
      <c r="V431" s="454">
        <f t="shared" si="171"/>
        <v>0</v>
      </c>
      <c r="W431" s="312"/>
      <c r="X431" s="454">
        <f t="shared" si="172"/>
        <v>0</v>
      </c>
      <c r="Y431" s="312"/>
      <c r="Z431" s="379"/>
      <c r="AA431" s="297"/>
      <c r="AB431" s="379"/>
      <c r="AC431" s="297"/>
      <c r="AD431" s="413"/>
      <c r="AE431" s="297"/>
      <c r="AG431" s="294"/>
      <c r="AH431" s="380"/>
      <c r="AI431" s="408"/>
      <c r="AJ431" s="498"/>
      <c r="AK431" s="498"/>
      <c r="AL431" s="503" t="e">
        <f t="shared" si="167"/>
        <v>#DIV/0!</v>
      </c>
      <c r="AM431" s="498"/>
      <c r="AN431" s="503" t="e">
        <f t="shared" si="168"/>
        <v>#DIV/0!</v>
      </c>
      <c r="AO431" s="498"/>
      <c r="AP431" s="503" t="e">
        <f t="shared" si="169"/>
        <v>#DIV/0!</v>
      </c>
      <c r="AR431" s="110">
        <v>57436</v>
      </c>
      <c r="AS431" s="98">
        <f t="shared" si="174"/>
        <v>0</v>
      </c>
      <c r="AT431" s="98">
        <f t="shared" si="175"/>
        <v>0</v>
      </c>
      <c r="AU431" s="98"/>
    </row>
    <row r="432" spans="1:47">
      <c r="A432" s="295">
        <v>45902</v>
      </c>
      <c r="B432" s="296"/>
      <c r="C432" s="312"/>
      <c r="D432" s="296"/>
      <c r="E432" s="312"/>
      <c r="F432" s="296"/>
      <c r="G432" s="312"/>
      <c r="H432" s="325"/>
      <c r="I432" s="312"/>
      <c r="J432" s="416"/>
      <c r="K432" s="369"/>
      <c r="L432" s="378"/>
      <c r="M432" s="312"/>
      <c r="N432" s="298"/>
      <c r="O432" s="312"/>
      <c r="P432" s="404" t="e">
        <f t="shared" si="170"/>
        <v>#DIV/0!</v>
      </c>
      <c r="Q432" s="312" t="e">
        <f t="shared" si="173"/>
        <v>#DIV/0!</v>
      </c>
      <c r="R432" s="298"/>
      <c r="S432" s="312"/>
      <c r="T432" s="298"/>
      <c r="U432" s="312"/>
      <c r="V432" s="454">
        <f t="shared" si="171"/>
        <v>0</v>
      </c>
      <c r="W432" s="312"/>
      <c r="X432" s="454">
        <f t="shared" si="172"/>
        <v>0</v>
      </c>
      <c r="Y432" s="312"/>
      <c r="Z432" s="379"/>
      <c r="AA432" s="297"/>
      <c r="AB432" s="379"/>
      <c r="AC432" s="297"/>
      <c r="AD432" s="413"/>
      <c r="AE432" s="297"/>
      <c r="AG432" s="294"/>
      <c r="AH432" s="380"/>
      <c r="AI432" s="408"/>
      <c r="AJ432" s="498"/>
      <c r="AK432" s="498"/>
      <c r="AL432" s="503" t="e">
        <f t="shared" si="167"/>
        <v>#DIV/0!</v>
      </c>
      <c r="AM432" s="498"/>
      <c r="AN432" s="503" t="e">
        <f t="shared" si="168"/>
        <v>#DIV/0!</v>
      </c>
      <c r="AO432" s="498"/>
      <c r="AP432" s="503" t="e">
        <f t="shared" si="169"/>
        <v>#DIV/0!</v>
      </c>
      <c r="AR432" s="110">
        <v>57466</v>
      </c>
      <c r="AS432" s="98">
        <f t="shared" si="174"/>
        <v>0</v>
      </c>
      <c r="AT432" s="98">
        <f t="shared" si="175"/>
        <v>0</v>
      </c>
      <c r="AU432" s="98"/>
    </row>
    <row r="433" spans="1:47">
      <c r="A433" s="295">
        <v>45903</v>
      </c>
      <c r="B433" s="296"/>
      <c r="C433" s="312"/>
      <c r="D433" s="296"/>
      <c r="E433" s="312"/>
      <c r="F433" s="296"/>
      <c r="G433" s="312"/>
      <c r="H433" s="325"/>
      <c r="I433" s="312"/>
      <c r="J433" s="416"/>
      <c r="K433" s="369"/>
      <c r="L433" s="378"/>
      <c r="M433" s="312"/>
      <c r="N433" s="298"/>
      <c r="O433" s="312"/>
      <c r="P433" s="404" t="e">
        <f t="shared" si="170"/>
        <v>#DIV/0!</v>
      </c>
      <c r="Q433" s="312" t="e">
        <f t="shared" si="173"/>
        <v>#DIV/0!</v>
      </c>
      <c r="R433" s="298"/>
      <c r="S433" s="312"/>
      <c r="T433" s="298"/>
      <c r="U433" s="312"/>
      <c r="V433" s="454">
        <f t="shared" si="171"/>
        <v>0</v>
      </c>
      <c r="W433" s="312"/>
      <c r="X433" s="454">
        <f t="shared" si="172"/>
        <v>0</v>
      </c>
      <c r="Y433" s="312"/>
      <c r="Z433" s="379"/>
      <c r="AA433" s="297"/>
      <c r="AB433" s="379"/>
      <c r="AC433" s="297"/>
      <c r="AD433" s="413"/>
      <c r="AE433" s="297"/>
      <c r="AG433" s="294"/>
      <c r="AH433" s="380"/>
      <c r="AI433" s="408"/>
      <c r="AJ433" s="498"/>
      <c r="AK433" s="498"/>
      <c r="AL433" s="503" t="e">
        <f t="shared" si="167"/>
        <v>#DIV/0!</v>
      </c>
      <c r="AM433" s="498"/>
      <c r="AN433" s="503" t="e">
        <f t="shared" si="168"/>
        <v>#DIV/0!</v>
      </c>
      <c r="AO433" s="498"/>
      <c r="AP433" s="503" t="e">
        <f t="shared" si="169"/>
        <v>#DIV/0!</v>
      </c>
      <c r="AR433" s="110">
        <v>57497</v>
      </c>
      <c r="AS433" s="98">
        <f t="shared" si="174"/>
        <v>0</v>
      </c>
      <c r="AT433" s="98">
        <f t="shared" si="175"/>
        <v>0</v>
      </c>
      <c r="AU433" s="98"/>
    </row>
    <row r="434" spans="1:47">
      <c r="A434" s="295">
        <v>45904</v>
      </c>
      <c r="B434" s="296"/>
      <c r="C434" s="312"/>
      <c r="D434" s="296"/>
      <c r="E434" s="312"/>
      <c r="F434" s="296"/>
      <c r="G434" s="312"/>
      <c r="H434" s="325"/>
      <c r="I434" s="312"/>
      <c r="J434" s="416"/>
      <c r="K434" s="369"/>
      <c r="L434" s="378"/>
      <c r="M434" s="312"/>
      <c r="N434" s="298"/>
      <c r="O434" s="312"/>
      <c r="P434" s="404" t="e">
        <f t="shared" si="170"/>
        <v>#DIV/0!</v>
      </c>
      <c r="Q434" s="312" t="e">
        <f t="shared" si="173"/>
        <v>#DIV/0!</v>
      </c>
      <c r="R434" s="298"/>
      <c r="S434" s="312"/>
      <c r="T434" s="298"/>
      <c r="U434" s="312"/>
      <c r="V434" s="454">
        <f t="shared" si="171"/>
        <v>0</v>
      </c>
      <c r="W434" s="312"/>
      <c r="X434" s="454">
        <f t="shared" si="172"/>
        <v>0</v>
      </c>
      <c r="Y434" s="312"/>
      <c r="Z434" s="379"/>
      <c r="AA434" s="297"/>
      <c r="AB434" s="379"/>
      <c r="AC434" s="297"/>
      <c r="AD434" s="413"/>
      <c r="AE434" s="297"/>
      <c r="AG434" s="294"/>
      <c r="AH434" s="380"/>
      <c r="AI434" s="408"/>
      <c r="AJ434" s="498"/>
      <c r="AK434" s="498"/>
      <c r="AL434" s="503" t="e">
        <f t="shared" si="167"/>
        <v>#DIV/0!</v>
      </c>
      <c r="AM434" s="498"/>
      <c r="AN434" s="503" t="e">
        <f t="shared" si="168"/>
        <v>#DIV/0!</v>
      </c>
      <c r="AO434" s="498"/>
      <c r="AP434" s="503" t="e">
        <f t="shared" si="169"/>
        <v>#DIV/0!</v>
      </c>
      <c r="AR434" s="110">
        <v>57527</v>
      </c>
      <c r="AS434" s="98">
        <f t="shared" si="174"/>
        <v>0</v>
      </c>
      <c r="AT434" s="98">
        <f t="shared" si="175"/>
        <v>0</v>
      </c>
      <c r="AU434" s="98"/>
    </row>
    <row r="435" spans="1:47">
      <c r="A435" s="295">
        <v>45905</v>
      </c>
      <c r="B435" s="296"/>
      <c r="C435" s="312"/>
      <c r="D435" s="296"/>
      <c r="E435" s="312"/>
      <c r="F435" s="296"/>
      <c r="G435" s="312"/>
      <c r="H435" s="325"/>
      <c r="I435" s="312"/>
      <c r="J435" s="416"/>
      <c r="K435" s="369"/>
      <c r="L435" s="378"/>
      <c r="M435" s="312"/>
      <c r="N435" s="298"/>
      <c r="O435" s="312"/>
      <c r="P435" s="404" t="e">
        <f t="shared" si="170"/>
        <v>#DIV/0!</v>
      </c>
      <c r="Q435" s="312" t="e">
        <f t="shared" si="173"/>
        <v>#DIV/0!</v>
      </c>
      <c r="R435" s="298"/>
      <c r="S435" s="312"/>
      <c r="T435" s="298"/>
      <c r="U435" s="312"/>
      <c r="V435" s="454">
        <f t="shared" si="171"/>
        <v>0</v>
      </c>
      <c r="W435" s="312"/>
      <c r="X435" s="454">
        <f t="shared" si="172"/>
        <v>0</v>
      </c>
      <c r="Y435" s="312"/>
      <c r="Z435" s="379"/>
      <c r="AA435" s="297"/>
      <c r="AB435" s="379"/>
      <c r="AC435" s="297"/>
      <c r="AD435" s="413"/>
      <c r="AE435" s="297"/>
      <c r="AG435" s="294"/>
      <c r="AH435" s="380"/>
      <c r="AI435" s="408"/>
      <c r="AJ435" s="498"/>
      <c r="AK435" s="498"/>
      <c r="AL435" s="503" t="e">
        <f t="shared" si="167"/>
        <v>#DIV/0!</v>
      </c>
      <c r="AM435" s="498"/>
      <c r="AN435" s="503" t="e">
        <f t="shared" si="168"/>
        <v>#DIV/0!</v>
      </c>
      <c r="AO435" s="498"/>
      <c r="AP435" s="503" t="e">
        <f t="shared" si="169"/>
        <v>#DIV/0!</v>
      </c>
      <c r="AR435" s="110">
        <v>57558</v>
      </c>
      <c r="AS435" s="98">
        <f t="shared" si="174"/>
        <v>0</v>
      </c>
      <c r="AT435" s="98">
        <f t="shared" si="175"/>
        <v>0</v>
      </c>
      <c r="AU435" s="98"/>
    </row>
    <row r="436" spans="1:47">
      <c r="A436" s="295">
        <v>45908</v>
      </c>
      <c r="B436" s="296"/>
      <c r="C436" s="312"/>
      <c r="D436" s="296"/>
      <c r="E436" s="312"/>
      <c r="F436" s="296"/>
      <c r="G436" s="312"/>
      <c r="H436" s="325"/>
      <c r="I436" s="312"/>
      <c r="J436" s="416"/>
      <c r="K436" s="369"/>
      <c r="L436" s="378"/>
      <c r="M436" s="312"/>
      <c r="N436" s="298"/>
      <c r="O436" s="312"/>
      <c r="P436" s="404" t="e">
        <f t="shared" si="170"/>
        <v>#DIV/0!</v>
      </c>
      <c r="Q436" s="312" t="e">
        <f t="shared" si="173"/>
        <v>#DIV/0!</v>
      </c>
      <c r="R436" s="298"/>
      <c r="S436" s="312"/>
      <c r="T436" s="298"/>
      <c r="U436" s="312"/>
      <c r="V436" s="454">
        <f t="shared" si="171"/>
        <v>0</v>
      </c>
      <c r="W436" s="312"/>
      <c r="X436" s="454">
        <f t="shared" si="172"/>
        <v>0</v>
      </c>
      <c r="Y436" s="312"/>
      <c r="Z436" s="379"/>
      <c r="AA436" s="297"/>
      <c r="AB436" s="379"/>
      <c r="AC436" s="297"/>
      <c r="AD436" s="413"/>
      <c r="AE436" s="297"/>
      <c r="AG436" s="294"/>
      <c r="AH436" s="380"/>
      <c r="AI436" s="408"/>
      <c r="AJ436" s="498"/>
      <c r="AK436" s="498"/>
      <c r="AL436" s="503" t="e">
        <f t="shared" si="167"/>
        <v>#DIV/0!</v>
      </c>
      <c r="AM436" s="498"/>
      <c r="AN436" s="503" t="e">
        <f t="shared" si="168"/>
        <v>#DIV/0!</v>
      </c>
      <c r="AO436" s="498"/>
      <c r="AP436" s="503" t="e">
        <f t="shared" si="169"/>
        <v>#DIV/0!</v>
      </c>
      <c r="AR436" s="110">
        <v>57589</v>
      </c>
      <c r="AS436" s="98">
        <f t="shared" si="174"/>
        <v>0</v>
      </c>
      <c r="AT436" s="98">
        <f t="shared" si="175"/>
        <v>0</v>
      </c>
      <c r="AU436" s="98"/>
    </row>
    <row r="437" spans="1:47">
      <c r="A437" s="295">
        <v>45909</v>
      </c>
      <c r="B437" s="296"/>
      <c r="C437" s="312"/>
      <c r="D437" s="296"/>
      <c r="E437" s="312"/>
      <c r="F437" s="296"/>
      <c r="G437" s="312"/>
      <c r="H437" s="325"/>
      <c r="I437" s="312"/>
      <c r="J437" s="416"/>
      <c r="K437" s="369"/>
      <c r="L437" s="378"/>
      <c r="M437" s="312"/>
      <c r="N437" s="298"/>
      <c r="O437" s="312"/>
      <c r="P437" s="404" t="e">
        <f t="shared" si="170"/>
        <v>#DIV/0!</v>
      </c>
      <c r="Q437" s="312" t="e">
        <f t="shared" si="173"/>
        <v>#DIV/0!</v>
      </c>
      <c r="R437" s="298"/>
      <c r="S437" s="312"/>
      <c r="T437" s="298"/>
      <c r="U437" s="312"/>
      <c r="V437" s="454">
        <f t="shared" si="171"/>
        <v>0</v>
      </c>
      <c r="W437" s="312"/>
      <c r="X437" s="454">
        <f t="shared" si="172"/>
        <v>0</v>
      </c>
      <c r="Y437" s="312"/>
      <c r="Z437" s="379"/>
      <c r="AA437" s="297"/>
      <c r="AB437" s="379"/>
      <c r="AC437" s="297"/>
      <c r="AD437" s="413"/>
      <c r="AE437" s="297"/>
      <c r="AG437" s="294"/>
      <c r="AH437" s="380"/>
      <c r="AI437" s="408"/>
      <c r="AJ437" s="498"/>
      <c r="AK437" s="498"/>
      <c r="AL437" s="503" t="e">
        <f t="shared" si="167"/>
        <v>#DIV/0!</v>
      </c>
      <c r="AM437" s="498"/>
      <c r="AN437" s="503" t="e">
        <f t="shared" si="168"/>
        <v>#DIV/0!</v>
      </c>
      <c r="AO437" s="498"/>
      <c r="AP437" s="503" t="e">
        <f t="shared" si="169"/>
        <v>#DIV/0!</v>
      </c>
      <c r="AR437" s="110">
        <v>57619</v>
      </c>
      <c r="AS437" s="98">
        <f t="shared" si="174"/>
        <v>0</v>
      </c>
      <c r="AT437" s="98">
        <f t="shared" si="175"/>
        <v>0</v>
      </c>
      <c r="AU437" s="98"/>
    </row>
    <row r="438" spans="1:47">
      <c r="A438" s="295">
        <v>45910</v>
      </c>
      <c r="B438" s="296"/>
      <c r="C438" s="312"/>
      <c r="D438" s="296"/>
      <c r="E438" s="312"/>
      <c r="F438" s="296"/>
      <c r="G438" s="312"/>
      <c r="H438" s="325"/>
      <c r="I438" s="312"/>
      <c r="J438" s="416"/>
      <c r="K438" s="369"/>
      <c r="L438" s="378"/>
      <c r="M438" s="312"/>
      <c r="N438" s="298"/>
      <c r="O438" s="312"/>
      <c r="P438" s="404" t="e">
        <f t="shared" si="170"/>
        <v>#DIV/0!</v>
      </c>
      <c r="Q438" s="312" t="e">
        <f t="shared" si="173"/>
        <v>#DIV/0!</v>
      </c>
      <c r="R438" s="298"/>
      <c r="S438" s="312"/>
      <c r="T438" s="298"/>
      <c r="U438" s="312"/>
      <c r="V438" s="454">
        <f t="shared" si="171"/>
        <v>0</v>
      </c>
      <c r="W438" s="312"/>
      <c r="X438" s="454">
        <f t="shared" si="172"/>
        <v>0</v>
      </c>
      <c r="Y438" s="312"/>
      <c r="Z438" s="379"/>
      <c r="AA438" s="297"/>
      <c r="AB438" s="379"/>
      <c r="AC438" s="297"/>
      <c r="AD438" s="413"/>
      <c r="AE438" s="297"/>
      <c r="AG438" s="294"/>
      <c r="AH438" s="380"/>
      <c r="AI438" s="408"/>
      <c r="AJ438" s="498"/>
      <c r="AK438" s="498"/>
      <c r="AL438" s="503" t="e">
        <f t="shared" si="167"/>
        <v>#DIV/0!</v>
      </c>
      <c r="AM438" s="498"/>
      <c r="AN438" s="503" t="e">
        <f t="shared" si="168"/>
        <v>#DIV/0!</v>
      </c>
      <c r="AO438" s="498"/>
      <c r="AP438" s="503" t="e">
        <f t="shared" si="169"/>
        <v>#DIV/0!</v>
      </c>
      <c r="AR438" s="110">
        <v>57650</v>
      </c>
      <c r="AS438" s="98">
        <f t="shared" si="174"/>
        <v>0</v>
      </c>
      <c r="AT438" s="98">
        <f t="shared" si="175"/>
        <v>0</v>
      </c>
      <c r="AU438" s="98"/>
    </row>
    <row r="439" spans="1:47">
      <c r="A439" s="295">
        <v>45911</v>
      </c>
      <c r="B439" s="296"/>
      <c r="C439" s="312"/>
      <c r="D439" s="296"/>
      <c r="E439" s="312"/>
      <c r="F439" s="296"/>
      <c r="G439" s="312"/>
      <c r="H439" s="325"/>
      <c r="I439" s="312"/>
      <c r="J439" s="416"/>
      <c r="K439" s="369"/>
      <c r="L439" s="378"/>
      <c r="M439" s="312"/>
      <c r="N439" s="298"/>
      <c r="O439" s="312"/>
      <c r="P439" s="404" t="e">
        <f t="shared" si="170"/>
        <v>#DIV/0!</v>
      </c>
      <c r="Q439" s="312" t="e">
        <f t="shared" si="173"/>
        <v>#DIV/0!</v>
      </c>
      <c r="R439" s="298"/>
      <c r="S439" s="312"/>
      <c r="T439" s="298"/>
      <c r="U439" s="312"/>
      <c r="V439" s="454">
        <f t="shared" si="171"/>
        <v>0</v>
      </c>
      <c r="W439" s="312"/>
      <c r="X439" s="454">
        <f t="shared" si="172"/>
        <v>0</v>
      </c>
      <c r="Y439" s="312"/>
      <c r="Z439" s="379"/>
      <c r="AA439" s="297"/>
      <c r="AB439" s="379"/>
      <c r="AC439" s="297"/>
      <c r="AD439" s="413"/>
      <c r="AE439" s="297"/>
      <c r="AG439" s="294"/>
      <c r="AH439" s="380"/>
      <c r="AI439" s="408"/>
      <c r="AJ439" s="498"/>
      <c r="AK439" s="498"/>
      <c r="AL439" s="503" t="e">
        <f t="shared" si="167"/>
        <v>#DIV/0!</v>
      </c>
      <c r="AM439" s="498"/>
      <c r="AN439" s="503" t="e">
        <f t="shared" si="168"/>
        <v>#DIV/0!</v>
      </c>
      <c r="AO439" s="498"/>
      <c r="AP439" s="503" t="e">
        <f t="shared" si="169"/>
        <v>#DIV/0!</v>
      </c>
      <c r="AR439" s="110">
        <v>57680</v>
      </c>
      <c r="AS439" s="98">
        <f t="shared" si="174"/>
        <v>0</v>
      </c>
      <c r="AT439" s="98">
        <f t="shared" si="175"/>
        <v>0</v>
      </c>
      <c r="AU439" s="98"/>
    </row>
    <row r="440" spans="1:47">
      <c r="A440" s="295">
        <v>45912</v>
      </c>
      <c r="B440" s="296"/>
      <c r="C440" s="312"/>
      <c r="D440" s="296"/>
      <c r="E440" s="312"/>
      <c r="F440" s="296"/>
      <c r="G440" s="312"/>
      <c r="H440" s="325"/>
      <c r="I440" s="312"/>
      <c r="J440" s="416"/>
      <c r="K440" s="369"/>
      <c r="L440" s="378"/>
      <c r="M440" s="312"/>
      <c r="N440" s="298"/>
      <c r="O440" s="312"/>
      <c r="P440" s="404" t="e">
        <f t="shared" si="170"/>
        <v>#DIV/0!</v>
      </c>
      <c r="Q440" s="312" t="e">
        <f t="shared" si="173"/>
        <v>#DIV/0!</v>
      </c>
      <c r="R440" s="298"/>
      <c r="S440" s="312"/>
      <c r="T440" s="298"/>
      <c r="U440" s="312"/>
      <c r="V440" s="454">
        <f t="shared" si="171"/>
        <v>0</v>
      </c>
      <c r="W440" s="312"/>
      <c r="X440" s="454">
        <f t="shared" si="172"/>
        <v>0</v>
      </c>
      <c r="Y440" s="312"/>
      <c r="Z440" s="379"/>
      <c r="AA440" s="297"/>
      <c r="AB440" s="379"/>
      <c r="AC440" s="297"/>
      <c r="AD440" s="413"/>
      <c r="AE440" s="297"/>
      <c r="AG440" s="294"/>
      <c r="AH440" s="380"/>
      <c r="AI440" s="408"/>
      <c r="AJ440" s="498"/>
      <c r="AK440" s="498"/>
      <c r="AL440" s="503" t="e">
        <f t="shared" si="167"/>
        <v>#DIV/0!</v>
      </c>
      <c r="AM440" s="498"/>
      <c r="AN440" s="503" t="e">
        <f t="shared" si="168"/>
        <v>#DIV/0!</v>
      </c>
      <c r="AO440" s="498"/>
      <c r="AP440" s="503" t="e">
        <f t="shared" si="169"/>
        <v>#DIV/0!</v>
      </c>
      <c r="AR440" s="110">
        <v>57711</v>
      </c>
      <c r="AS440" s="98">
        <f t="shared" si="174"/>
        <v>0</v>
      </c>
      <c r="AT440" s="98">
        <f t="shared" si="175"/>
        <v>0</v>
      </c>
      <c r="AU440" s="98"/>
    </row>
    <row r="441" spans="1:47">
      <c r="A441" s="295">
        <v>45915</v>
      </c>
      <c r="B441" s="296"/>
      <c r="C441" s="312"/>
      <c r="D441" s="296"/>
      <c r="E441" s="312"/>
      <c r="F441" s="296"/>
      <c r="G441" s="312"/>
      <c r="H441" s="325"/>
      <c r="I441" s="312"/>
      <c r="J441" s="416"/>
      <c r="K441" s="369"/>
      <c r="L441" s="378"/>
      <c r="M441" s="312"/>
      <c r="N441" s="298"/>
      <c r="O441" s="312"/>
      <c r="P441" s="404" t="e">
        <f t="shared" si="170"/>
        <v>#DIV/0!</v>
      </c>
      <c r="Q441" s="312" t="e">
        <f t="shared" si="173"/>
        <v>#DIV/0!</v>
      </c>
      <c r="R441" s="298"/>
      <c r="S441" s="312"/>
      <c r="T441" s="298"/>
      <c r="U441" s="312"/>
      <c r="V441" s="454">
        <f t="shared" si="171"/>
        <v>0</v>
      </c>
      <c r="W441" s="312"/>
      <c r="X441" s="454">
        <f t="shared" si="172"/>
        <v>0</v>
      </c>
      <c r="Y441" s="312"/>
      <c r="Z441" s="379"/>
      <c r="AA441" s="297"/>
      <c r="AB441" s="379"/>
      <c r="AC441" s="297"/>
      <c r="AD441" s="413"/>
      <c r="AE441" s="297"/>
      <c r="AG441" s="294"/>
      <c r="AH441" s="380"/>
      <c r="AI441" s="408"/>
      <c r="AJ441" s="498"/>
      <c r="AK441" s="498"/>
      <c r="AL441" s="503" t="e">
        <f t="shared" si="167"/>
        <v>#DIV/0!</v>
      </c>
      <c r="AM441" s="498"/>
      <c r="AN441" s="503" t="e">
        <f t="shared" si="168"/>
        <v>#DIV/0!</v>
      </c>
      <c r="AO441" s="498"/>
      <c r="AP441" s="503" t="e">
        <f t="shared" si="169"/>
        <v>#DIV/0!</v>
      </c>
      <c r="AR441" s="110">
        <v>57742</v>
      </c>
      <c r="AS441" s="98">
        <f t="shared" si="174"/>
        <v>0</v>
      </c>
      <c r="AT441" s="98">
        <f t="shared" si="175"/>
        <v>0</v>
      </c>
      <c r="AU441" s="98"/>
    </row>
    <row r="442" spans="1:47">
      <c r="A442" s="295">
        <v>45916</v>
      </c>
      <c r="B442" s="296"/>
      <c r="C442" s="312"/>
      <c r="D442" s="296"/>
      <c r="E442" s="312"/>
      <c r="F442" s="296"/>
      <c r="G442" s="312"/>
      <c r="H442" s="325"/>
      <c r="I442" s="312"/>
      <c r="J442" s="416"/>
      <c r="K442" s="369"/>
      <c r="L442" s="378"/>
      <c r="M442" s="312"/>
      <c r="N442" s="298"/>
      <c r="O442" s="312"/>
      <c r="P442" s="404" t="e">
        <f t="shared" si="170"/>
        <v>#DIV/0!</v>
      </c>
      <c r="Q442" s="312" t="e">
        <f t="shared" si="173"/>
        <v>#DIV/0!</v>
      </c>
      <c r="R442" s="298"/>
      <c r="S442" s="312"/>
      <c r="T442" s="298"/>
      <c r="U442" s="312"/>
      <c r="V442" s="454">
        <f t="shared" si="171"/>
        <v>0</v>
      </c>
      <c r="W442" s="312"/>
      <c r="X442" s="454">
        <f t="shared" si="172"/>
        <v>0</v>
      </c>
      <c r="Y442" s="312"/>
      <c r="Z442" s="379"/>
      <c r="AA442" s="297"/>
      <c r="AB442" s="379"/>
      <c r="AC442" s="297"/>
      <c r="AD442" s="413"/>
      <c r="AE442" s="297"/>
      <c r="AG442" s="294"/>
      <c r="AH442" s="380"/>
      <c r="AI442" s="408"/>
      <c r="AJ442" s="498"/>
      <c r="AK442" s="498"/>
      <c r="AL442" s="503" t="e">
        <f t="shared" si="167"/>
        <v>#DIV/0!</v>
      </c>
      <c r="AM442" s="498"/>
      <c r="AN442" s="503" t="e">
        <f t="shared" si="168"/>
        <v>#DIV/0!</v>
      </c>
      <c r="AO442" s="498"/>
      <c r="AP442" s="503" t="e">
        <f t="shared" si="169"/>
        <v>#DIV/0!</v>
      </c>
      <c r="AR442" s="110">
        <v>57770</v>
      </c>
      <c r="AS442" s="98">
        <f t="shared" si="174"/>
        <v>0</v>
      </c>
      <c r="AT442" s="98">
        <f t="shared" si="175"/>
        <v>0</v>
      </c>
      <c r="AU442" s="98"/>
    </row>
    <row r="443" spans="1:47">
      <c r="A443" s="295">
        <v>45917</v>
      </c>
      <c r="B443" s="296"/>
      <c r="C443" s="312"/>
      <c r="D443" s="296"/>
      <c r="E443" s="312"/>
      <c r="F443" s="296"/>
      <c r="G443" s="312"/>
      <c r="H443" s="325"/>
      <c r="I443" s="312"/>
      <c r="J443" s="416"/>
      <c r="K443" s="369"/>
      <c r="L443" s="378"/>
      <c r="M443" s="312"/>
      <c r="N443" s="298"/>
      <c r="O443" s="312"/>
      <c r="P443" s="404" t="e">
        <f t="shared" si="170"/>
        <v>#DIV/0!</v>
      </c>
      <c r="Q443" s="312" t="e">
        <f t="shared" si="173"/>
        <v>#DIV/0!</v>
      </c>
      <c r="R443" s="298"/>
      <c r="S443" s="312"/>
      <c r="T443" s="298"/>
      <c r="U443" s="312"/>
      <c r="V443" s="454">
        <f t="shared" si="171"/>
        <v>0</v>
      </c>
      <c r="W443" s="312"/>
      <c r="X443" s="454">
        <f t="shared" si="172"/>
        <v>0</v>
      </c>
      <c r="Y443" s="312"/>
      <c r="Z443" s="379"/>
      <c r="AA443" s="297"/>
      <c r="AB443" s="379"/>
      <c r="AC443" s="297"/>
      <c r="AD443" s="413"/>
      <c r="AE443" s="297"/>
      <c r="AG443" s="294"/>
      <c r="AH443" s="380"/>
      <c r="AI443" s="408"/>
      <c r="AJ443" s="498"/>
      <c r="AK443" s="498"/>
      <c r="AL443" s="503" t="e">
        <f t="shared" si="167"/>
        <v>#DIV/0!</v>
      </c>
      <c r="AM443" s="498"/>
      <c r="AN443" s="503" t="e">
        <f t="shared" si="168"/>
        <v>#DIV/0!</v>
      </c>
      <c r="AO443" s="498"/>
      <c r="AP443" s="503" t="e">
        <f t="shared" si="169"/>
        <v>#DIV/0!</v>
      </c>
      <c r="AR443" s="110">
        <v>57801</v>
      </c>
      <c r="AS443" s="98">
        <f t="shared" si="174"/>
        <v>0</v>
      </c>
      <c r="AT443" s="98">
        <f t="shared" si="175"/>
        <v>0</v>
      </c>
      <c r="AU443" s="98"/>
    </row>
    <row r="444" spans="1:47">
      <c r="A444" s="295">
        <v>45918</v>
      </c>
      <c r="B444" s="296"/>
      <c r="C444" s="312"/>
      <c r="D444" s="296"/>
      <c r="E444" s="312"/>
      <c r="F444" s="296"/>
      <c r="G444" s="312"/>
      <c r="H444" s="325"/>
      <c r="I444" s="312"/>
      <c r="J444" s="416"/>
      <c r="K444" s="369"/>
      <c r="L444" s="378"/>
      <c r="M444" s="312"/>
      <c r="N444" s="298"/>
      <c r="O444" s="312"/>
      <c r="P444" s="404" t="e">
        <f t="shared" si="170"/>
        <v>#DIV/0!</v>
      </c>
      <c r="Q444" s="312" t="e">
        <f t="shared" si="173"/>
        <v>#DIV/0!</v>
      </c>
      <c r="R444" s="298"/>
      <c r="S444" s="312"/>
      <c r="T444" s="298"/>
      <c r="U444" s="312"/>
      <c r="V444" s="454">
        <f t="shared" si="171"/>
        <v>0</v>
      </c>
      <c r="W444" s="312"/>
      <c r="X444" s="454">
        <f t="shared" si="172"/>
        <v>0</v>
      </c>
      <c r="Y444" s="312"/>
      <c r="Z444" s="379"/>
      <c r="AA444" s="297"/>
      <c r="AB444" s="379"/>
      <c r="AC444" s="297"/>
      <c r="AD444" s="413"/>
      <c r="AE444" s="297"/>
      <c r="AG444" s="294"/>
      <c r="AH444" s="380"/>
      <c r="AI444" s="408"/>
      <c r="AJ444" s="498"/>
      <c r="AK444" s="498"/>
      <c r="AL444" s="503" t="e">
        <f t="shared" si="167"/>
        <v>#DIV/0!</v>
      </c>
      <c r="AM444" s="498"/>
      <c r="AN444" s="503" t="e">
        <f t="shared" si="168"/>
        <v>#DIV/0!</v>
      </c>
      <c r="AO444" s="498"/>
      <c r="AP444" s="503" t="e">
        <f t="shared" si="169"/>
        <v>#DIV/0!</v>
      </c>
      <c r="AR444" s="110">
        <v>57831</v>
      </c>
      <c r="AS444" s="98">
        <f t="shared" si="174"/>
        <v>0</v>
      </c>
      <c r="AT444" s="98">
        <f t="shared" si="175"/>
        <v>0</v>
      </c>
      <c r="AU444" s="98"/>
    </row>
    <row r="445" spans="1:47">
      <c r="A445" s="295">
        <v>45919</v>
      </c>
      <c r="B445" s="296"/>
      <c r="C445" s="312"/>
      <c r="D445" s="296"/>
      <c r="E445" s="312"/>
      <c r="F445" s="296"/>
      <c r="G445" s="312"/>
      <c r="H445" s="325"/>
      <c r="I445" s="312"/>
      <c r="J445" s="416"/>
      <c r="K445" s="369"/>
      <c r="L445" s="378"/>
      <c r="M445" s="312"/>
      <c r="N445" s="298"/>
      <c r="O445" s="312"/>
      <c r="P445" s="404" t="e">
        <f t="shared" si="170"/>
        <v>#DIV/0!</v>
      </c>
      <c r="Q445" s="312" t="e">
        <f t="shared" si="173"/>
        <v>#DIV/0!</v>
      </c>
      <c r="R445" s="298"/>
      <c r="S445" s="312"/>
      <c r="T445" s="298"/>
      <c r="U445" s="312"/>
      <c r="V445" s="454">
        <f t="shared" si="171"/>
        <v>0</v>
      </c>
      <c r="W445" s="312"/>
      <c r="X445" s="454">
        <f t="shared" si="172"/>
        <v>0</v>
      </c>
      <c r="Y445" s="312"/>
      <c r="Z445" s="379"/>
      <c r="AA445" s="297"/>
      <c r="AB445" s="379"/>
      <c r="AC445" s="297"/>
      <c r="AD445" s="413"/>
      <c r="AE445" s="297"/>
      <c r="AG445" s="294"/>
      <c r="AH445" s="380"/>
      <c r="AI445" s="408"/>
      <c r="AJ445" s="498"/>
      <c r="AK445" s="498"/>
      <c r="AL445" s="503" t="e">
        <f t="shared" si="167"/>
        <v>#DIV/0!</v>
      </c>
      <c r="AM445" s="498"/>
      <c r="AN445" s="503" t="e">
        <f t="shared" si="168"/>
        <v>#DIV/0!</v>
      </c>
      <c r="AO445" s="498"/>
      <c r="AP445" s="503" t="e">
        <f t="shared" si="169"/>
        <v>#DIV/0!</v>
      </c>
      <c r="AR445" s="110">
        <v>57862</v>
      </c>
      <c r="AS445" s="98">
        <f t="shared" si="174"/>
        <v>0</v>
      </c>
      <c r="AT445" s="98">
        <f t="shared" si="175"/>
        <v>0</v>
      </c>
      <c r="AU445" s="98"/>
    </row>
    <row r="446" spans="1:47">
      <c r="A446" s="295">
        <v>45922</v>
      </c>
      <c r="B446" s="296"/>
      <c r="C446" s="312"/>
      <c r="D446" s="296"/>
      <c r="E446" s="312"/>
      <c r="F446" s="296"/>
      <c r="G446" s="312"/>
      <c r="H446" s="325"/>
      <c r="I446" s="312"/>
      <c r="J446" s="416"/>
      <c r="K446" s="369"/>
      <c r="L446" s="378"/>
      <c r="M446" s="312"/>
      <c r="N446" s="298"/>
      <c r="O446" s="312"/>
      <c r="P446" s="404" t="e">
        <f t="shared" si="170"/>
        <v>#DIV/0!</v>
      </c>
      <c r="Q446" s="312" t="e">
        <f t="shared" si="173"/>
        <v>#DIV/0!</v>
      </c>
      <c r="R446" s="298"/>
      <c r="S446" s="312"/>
      <c r="T446" s="298"/>
      <c r="U446" s="312"/>
      <c r="V446" s="454">
        <f t="shared" si="171"/>
        <v>0</v>
      </c>
      <c r="W446" s="312"/>
      <c r="X446" s="454">
        <f t="shared" si="172"/>
        <v>0</v>
      </c>
      <c r="Y446" s="312"/>
      <c r="Z446" s="379"/>
      <c r="AA446" s="297"/>
      <c r="AB446" s="379"/>
      <c r="AC446" s="297"/>
      <c r="AD446" s="413"/>
      <c r="AE446" s="297"/>
      <c r="AG446" s="294"/>
      <c r="AH446" s="380"/>
      <c r="AI446" s="408"/>
      <c r="AJ446" s="498"/>
      <c r="AK446" s="498"/>
      <c r="AL446" s="503" t="e">
        <f t="shared" si="167"/>
        <v>#DIV/0!</v>
      </c>
      <c r="AM446" s="498"/>
      <c r="AN446" s="503" t="e">
        <f t="shared" si="168"/>
        <v>#DIV/0!</v>
      </c>
      <c r="AO446" s="498"/>
      <c r="AP446" s="503" t="e">
        <f t="shared" si="169"/>
        <v>#DIV/0!</v>
      </c>
      <c r="AR446" s="110">
        <v>57892</v>
      </c>
      <c r="AS446" s="98">
        <f t="shared" si="174"/>
        <v>0</v>
      </c>
      <c r="AT446" s="98">
        <f t="shared" si="175"/>
        <v>0</v>
      </c>
      <c r="AU446" s="98"/>
    </row>
    <row r="447" spans="1:47">
      <c r="A447" s="295">
        <v>45923</v>
      </c>
      <c r="B447" s="296"/>
      <c r="C447" s="312"/>
      <c r="D447" s="296"/>
      <c r="E447" s="312"/>
      <c r="F447" s="296"/>
      <c r="G447" s="312"/>
      <c r="H447" s="325"/>
      <c r="I447" s="312"/>
      <c r="J447" s="416"/>
      <c r="K447" s="369"/>
      <c r="L447" s="378"/>
      <c r="M447" s="312"/>
      <c r="N447" s="298"/>
      <c r="O447" s="312"/>
      <c r="P447" s="404" t="e">
        <f t="shared" si="170"/>
        <v>#DIV/0!</v>
      </c>
      <c r="Q447" s="312" t="e">
        <f t="shared" si="173"/>
        <v>#DIV/0!</v>
      </c>
      <c r="R447" s="298"/>
      <c r="S447" s="312"/>
      <c r="T447" s="298"/>
      <c r="U447" s="312"/>
      <c r="V447" s="454">
        <f t="shared" si="171"/>
        <v>0</v>
      </c>
      <c r="W447" s="312"/>
      <c r="X447" s="454">
        <f t="shared" si="172"/>
        <v>0</v>
      </c>
      <c r="Y447" s="312"/>
      <c r="Z447" s="379"/>
      <c r="AA447" s="297"/>
      <c r="AB447" s="379"/>
      <c r="AC447" s="297"/>
      <c r="AD447" s="413"/>
      <c r="AE447" s="297"/>
      <c r="AG447" s="294"/>
      <c r="AH447" s="380"/>
      <c r="AI447" s="408"/>
      <c r="AJ447" s="498"/>
      <c r="AK447" s="498"/>
      <c r="AL447" s="503" t="e">
        <f t="shared" si="167"/>
        <v>#DIV/0!</v>
      </c>
      <c r="AM447" s="498"/>
      <c r="AN447" s="503" t="e">
        <f t="shared" si="168"/>
        <v>#DIV/0!</v>
      </c>
      <c r="AO447" s="498"/>
      <c r="AP447" s="503" t="e">
        <f t="shared" si="169"/>
        <v>#DIV/0!</v>
      </c>
      <c r="AR447" s="110">
        <v>57923</v>
      </c>
      <c r="AS447" s="98">
        <f t="shared" si="174"/>
        <v>0</v>
      </c>
      <c r="AT447" s="98">
        <f t="shared" si="175"/>
        <v>0</v>
      </c>
      <c r="AU447" s="98"/>
    </row>
    <row r="448" spans="1:47">
      <c r="A448" s="295">
        <v>45924</v>
      </c>
      <c r="B448" s="296"/>
      <c r="C448" s="312"/>
      <c r="D448" s="296"/>
      <c r="E448" s="312"/>
      <c r="F448" s="296"/>
      <c r="G448" s="312"/>
      <c r="H448" s="325"/>
      <c r="I448" s="312"/>
      <c r="J448" s="416"/>
      <c r="K448" s="369"/>
      <c r="L448" s="378"/>
      <c r="M448" s="312"/>
      <c r="N448" s="298"/>
      <c r="O448" s="312"/>
      <c r="P448" s="404" t="e">
        <f t="shared" si="170"/>
        <v>#DIV/0!</v>
      </c>
      <c r="Q448" s="312" t="e">
        <f t="shared" si="173"/>
        <v>#DIV/0!</v>
      </c>
      <c r="R448" s="298"/>
      <c r="S448" s="312"/>
      <c r="T448" s="298"/>
      <c r="U448" s="312"/>
      <c r="V448" s="454">
        <f t="shared" si="171"/>
        <v>0</v>
      </c>
      <c r="W448" s="312"/>
      <c r="X448" s="454">
        <f t="shared" si="172"/>
        <v>0</v>
      </c>
      <c r="Y448" s="312"/>
      <c r="Z448" s="379"/>
      <c r="AA448" s="297"/>
      <c r="AB448" s="379"/>
      <c r="AC448" s="297"/>
      <c r="AD448" s="413"/>
      <c r="AE448" s="297"/>
      <c r="AG448" s="294"/>
      <c r="AH448" s="380"/>
      <c r="AI448" s="408"/>
      <c r="AJ448" s="498"/>
      <c r="AK448" s="498"/>
      <c r="AL448" s="503" t="e">
        <f t="shared" si="167"/>
        <v>#DIV/0!</v>
      </c>
      <c r="AM448" s="498"/>
      <c r="AN448" s="503" t="e">
        <f t="shared" si="168"/>
        <v>#DIV/0!</v>
      </c>
      <c r="AO448" s="498"/>
      <c r="AP448" s="503" t="e">
        <f t="shared" si="169"/>
        <v>#DIV/0!</v>
      </c>
      <c r="AR448" s="110">
        <v>57954</v>
      </c>
      <c r="AS448" s="98">
        <f t="shared" si="174"/>
        <v>0</v>
      </c>
      <c r="AT448" s="98">
        <f t="shared" si="175"/>
        <v>0</v>
      </c>
      <c r="AU448" s="98"/>
    </row>
    <row r="449" spans="1:47">
      <c r="A449" s="295">
        <v>45925</v>
      </c>
      <c r="B449" s="296"/>
      <c r="C449" s="312"/>
      <c r="D449" s="296"/>
      <c r="E449" s="312"/>
      <c r="F449" s="296"/>
      <c r="G449" s="312"/>
      <c r="H449" s="325"/>
      <c r="I449" s="312"/>
      <c r="J449" s="416"/>
      <c r="K449" s="369"/>
      <c r="L449" s="378"/>
      <c r="M449" s="312"/>
      <c r="N449" s="298"/>
      <c r="O449" s="312"/>
      <c r="P449" s="404" t="e">
        <f t="shared" si="170"/>
        <v>#DIV/0!</v>
      </c>
      <c r="Q449" s="312" t="e">
        <f t="shared" si="173"/>
        <v>#DIV/0!</v>
      </c>
      <c r="R449" s="298"/>
      <c r="S449" s="312"/>
      <c r="T449" s="298"/>
      <c r="U449" s="312"/>
      <c r="V449" s="454">
        <f t="shared" si="171"/>
        <v>0</v>
      </c>
      <c r="W449" s="312"/>
      <c r="X449" s="454">
        <f t="shared" si="172"/>
        <v>0</v>
      </c>
      <c r="Y449" s="312"/>
      <c r="Z449" s="379"/>
      <c r="AA449" s="297"/>
      <c r="AB449" s="379"/>
      <c r="AC449" s="297"/>
      <c r="AD449" s="413"/>
      <c r="AE449" s="297"/>
      <c r="AG449" s="294"/>
      <c r="AH449" s="380"/>
      <c r="AI449" s="408"/>
      <c r="AJ449" s="498"/>
      <c r="AK449" s="498"/>
      <c r="AL449" s="503" t="e">
        <f t="shared" si="167"/>
        <v>#DIV/0!</v>
      </c>
      <c r="AM449" s="498"/>
      <c r="AN449" s="503" t="e">
        <f t="shared" si="168"/>
        <v>#DIV/0!</v>
      </c>
      <c r="AO449" s="498"/>
      <c r="AP449" s="503" t="e">
        <f t="shared" si="169"/>
        <v>#DIV/0!</v>
      </c>
      <c r="AR449" s="110">
        <v>57984</v>
      </c>
      <c r="AS449" s="98">
        <f t="shared" si="174"/>
        <v>0</v>
      </c>
      <c r="AT449" s="98">
        <f t="shared" si="175"/>
        <v>0</v>
      </c>
      <c r="AU449" s="98"/>
    </row>
    <row r="450" spans="1:47">
      <c r="A450" s="295">
        <v>45926</v>
      </c>
      <c r="B450" s="296"/>
      <c r="C450" s="312"/>
      <c r="D450" s="296"/>
      <c r="E450" s="312"/>
      <c r="F450" s="296"/>
      <c r="G450" s="312"/>
      <c r="H450" s="325"/>
      <c r="I450" s="312"/>
      <c r="J450" s="416"/>
      <c r="K450" s="369"/>
      <c r="L450" s="378"/>
      <c r="M450" s="312"/>
      <c r="N450" s="298"/>
      <c r="O450" s="312"/>
      <c r="P450" s="404" t="e">
        <f t="shared" si="170"/>
        <v>#DIV/0!</v>
      </c>
      <c r="Q450" s="312" t="e">
        <f t="shared" si="173"/>
        <v>#DIV/0!</v>
      </c>
      <c r="R450" s="298"/>
      <c r="S450" s="312"/>
      <c r="T450" s="298"/>
      <c r="U450" s="312"/>
      <c r="V450" s="454">
        <f t="shared" si="171"/>
        <v>0</v>
      </c>
      <c r="W450" s="312"/>
      <c r="X450" s="454">
        <f t="shared" si="172"/>
        <v>0</v>
      </c>
      <c r="Y450" s="312"/>
      <c r="Z450" s="379"/>
      <c r="AA450" s="297"/>
      <c r="AB450" s="379"/>
      <c r="AC450" s="297"/>
      <c r="AD450" s="413"/>
      <c r="AE450" s="297"/>
      <c r="AG450" s="294"/>
      <c r="AH450" s="380"/>
      <c r="AI450" s="408"/>
      <c r="AJ450" s="498"/>
      <c r="AK450" s="498"/>
      <c r="AL450" s="503" t="e">
        <f t="shared" si="167"/>
        <v>#DIV/0!</v>
      </c>
      <c r="AM450" s="498"/>
      <c r="AN450" s="503" t="e">
        <f t="shared" si="168"/>
        <v>#DIV/0!</v>
      </c>
      <c r="AO450" s="498"/>
      <c r="AP450" s="503" t="e">
        <f t="shared" si="169"/>
        <v>#DIV/0!</v>
      </c>
      <c r="AR450" s="110">
        <v>58015</v>
      </c>
      <c r="AS450" s="98">
        <f t="shared" si="174"/>
        <v>0</v>
      </c>
      <c r="AT450" s="98">
        <f t="shared" si="175"/>
        <v>0</v>
      </c>
      <c r="AU450" s="98"/>
    </row>
    <row r="451" spans="1:47">
      <c r="A451" s="295">
        <v>45929</v>
      </c>
      <c r="B451" s="296"/>
      <c r="C451" s="312"/>
      <c r="D451" s="296"/>
      <c r="E451" s="312"/>
      <c r="F451" s="296"/>
      <c r="G451" s="312"/>
      <c r="H451" s="325"/>
      <c r="I451" s="312"/>
      <c r="J451" s="416"/>
      <c r="K451" s="369"/>
      <c r="L451" s="378"/>
      <c r="M451" s="312"/>
      <c r="N451" s="298"/>
      <c r="O451" s="312"/>
      <c r="P451" s="404" t="e">
        <f t="shared" si="170"/>
        <v>#DIV/0!</v>
      </c>
      <c r="Q451" s="312" t="e">
        <f t="shared" si="173"/>
        <v>#DIV/0!</v>
      </c>
      <c r="R451" s="298"/>
      <c r="S451" s="312"/>
      <c r="T451" s="298"/>
      <c r="U451" s="312"/>
      <c r="V451" s="454">
        <f t="shared" si="171"/>
        <v>0</v>
      </c>
      <c r="W451" s="312"/>
      <c r="X451" s="454">
        <f t="shared" si="172"/>
        <v>0</v>
      </c>
      <c r="Y451" s="312"/>
      <c r="Z451" s="379"/>
      <c r="AA451" s="297"/>
      <c r="AB451" s="379"/>
      <c r="AC451" s="297"/>
      <c r="AD451" s="413"/>
      <c r="AE451" s="297"/>
      <c r="AG451" s="294"/>
      <c r="AH451" s="380"/>
      <c r="AI451" s="408"/>
      <c r="AJ451" s="498"/>
      <c r="AK451" s="498"/>
      <c r="AL451" s="503" t="e">
        <f t="shared" si="167"/>
        <v>#DIV/0!</v>
      </c>
      <c r="AM451" s="498"/>
      <c r="AN451" s="503" t="e">
        <f t="shared" si="168"/>
        <v>#DIV/0!</v>
      </c>
      <c r="AO451" s="498"/>
      <c r="AP451" s="503" t="e">
        <f t="shared" si="169"/>
        <v>#DIV/0!</v>
      </c>
      <c r="AR451" s="110">
        <v>58045</v>
      </c>
      <c r="AS451" s="98">
        <f t="shared" si="174"/>
        <v>0</v>
      </c>
      <c r="AT451" s="98">
        <f t="shared" si="175"/>
        <v>0</v>
      </c>
      <c r="AU451" s="98"/>
    </row>
    <row r="452" spans="1:47">
      <c r="A452" s="295">
        <v>45930</v>
      </c>
      <c r="B452" s="296"/>
      <c r="C452" s="312"/>
      <c r="D452" s="296"/>
      <c r="E452" s="312"/>
      <c r="F452" s="296"/>
      <c r="G452" s="312"/>
      <c r="H452" s="325"/>
      <c r="I452" s="312"/>
      <c r="J452" s="416"/>
      <c r="K452" s="369"/>
      <c r="L452" s="378"/>
      <c r="M452" s="312"/>
      <c r="N452" s="298"/>
      <c r="O452" s="312"/>
      <c r="P452" s="404" t="e">
        <f t="shared" si="170"/>
        <v>#DIV/0!</v>
      </c>
      <c r="Q452" s="312" t="e">
        <f t="shared" si="173"/>
        <v>#DIV/0!</v>
      </c>
      <c r="R452" s="298"/>
      <c r="S452" s="312"/>
      <c r="T452" s="298"/>
      <c r="U452" s="312"/>
      <c r="V452" s="454">
        <f t="shared" si="171"/>
        <v>0</v>
      </c>
      <c r="W452" s="312"/>
      <c r="X452" s="454">
        <f t="shared" si="172"/>
        <v>0</v>
      </c>
      <c r="Y452" s="312"/>
      <c r="Z452" s="379"/>
      <c r="AA452" s="297"/>
      <c r="AB452" s="379"/>
      <c r="AC452" s="297"/>
      <c r="AD452" s="413"/>
      <c r="AE452" s="297"/>
      <c r="AG452" s="294"/>
      <c r="AH452" s="380"/>
      <c r="AI452" s="408"/>
      <c r="AJ452" s="498"/>
      <c r="AK452" s="498"/>
      <c r="AL452" s="503" t="e">
        <f t="shared" ref="AL452:AL490" si="176">AK452/AG452</f>
        <v>#DIV/0!</v>
      </c>
      <c r="AM452" s="498"/>
      <c r="AN452" s="503" t="e">
        <f t="shared" ref="AN452:AN490" si="177">AM452/AG452</f>
        <v>#DIV/0!</v>
      </c>
      <c r="AO452" s="498"/>
      <c r="AP452" s="503" t="e">
        <f t="shared" ref="AP452:AP490" si="178">AO452/AG452</f>
        <v>#DIV/0!</v>
      </c>
      <c r="AR452" s="110">
        <v>58076</v>
      </c>
      <c r="AS452" s="98">
        <f t="shared" si="174"/>
        <v>0</v>
      </c>
      <c r="AT452" s="98">
        <f t="shared" si="175"/>
        <v>0</v>
      </c>
      <c r="AU452" s="98"/>
    </row>
    <row r="453" spans="1:47">
      <c r="A453" s="295">
        <v>45931</v>
      </c>
      <c r="B453" s="296"/>
      <c r="C453" s="312"/>
      <c r="D453" s="296"/>
      <c r="E453" s="312"/>
      <c r="F453" s="296"/>
      <c r="G453" s="312"/>
      <c r="H453" s="325"/>
      <c r="I453" s="312"/>
      <c r="J453" s="416"/>
      <c r="K453" s="369"/>
      <c r="L453" s="378"/>
      <c r="M453" s="312"/>
      <c r="N453" s="298"/>
      <c r="O453" s="312"/>
      <c r="P453" s="404" t="e">
        <f t="shared" ref="P453:P516" si="179">P452+P452*Q452</f>
        <v>#DIV/0!</v>
      </c>
      <c r="Q453" s="312" t="e">
        <f t="shared" si="173"/>
        <v>#DIV/0!</v>
      </c>
      <c r="R453" s="298"/>
      <c r="S453" s="312"/>
      <c r="T453" s="298"/>
      <c r="U453" s="312"/>
      <c r="V453" s="454">
        <f t="shared" ref="V453:V516" si="180">V452</f>
        <v>0</v>
      </c>
      <c r="W453" s="312"/>
      <c r="X453" s="454">
        <f t="shared" ref="X453:X516" si="181">X452</f>
        <v>0</v>
      </c>
      <c r="Y453" s="312"/>
      <c r="Z453" s="379"/>
      <c r="AA453" s="297"/>
      <c r="AB453" s="379"/>
      <c r="AC453" s="297"/>
      <c r="AD453" s="413"/>
      <c r="AE453" s="297"/>
      <c r="AG453" s="294"/>
      <c r="AH453" s="380"/>
      <c r="AI453" s="408"/>
      <c r="AJ453" s="498"/>
      <c r="AK453" s="498"/>
      <c r="AL453" s="503" t="e">
        <f t="shared" si="176"/>
        <v>#DIV/0!</v>
      </c>
      <c r="AM453" s="498"/>
      <c r="AN453" s="503" t="e">
        <f t="shared" si="177"/>
        <v>#DIV/0!</v>
      </c>
      <c r="AO453" s="498"/>
      <c r="AP453" s="503" t="e">
        <f t="shared" si="178"/>
        <v>#DIV/0!</v>
      </c>
      <c r="AR453" s="110">
        <v>58107</v>
      </c>
      <c r="AS453" s="98">
        <f t="shared" si="174"/>
        <v>0</v>
      </c>
      <c r="AT453" s="98">
        <f t="shared" si="175"/>
        <v>0</v>
      </c>
      <c r="AU453" s="98"/>
    </row>
    <row r="454" spans="1:47">
      <c r="A454" s="295">
        <v>45932</v>
      </c>
      <c r="B454" s="296"/>
      <c r="C454" s="312"/>
      <c r="D454" s="296"/>
      <c r="E454" s="312"/>
      <c r="F454" s="296"/>
      <c r="G454" s="312"/>
      <c r="H454" s="325"/>
      <c r="I454" s="312"/>
      <c r="J454" s="416"/>
      <c r="K454" s="369"/>
      <c r="L454" s="378"/>
      <c r="M454" s="312"/>
      <c r="N454" s="298"/>
      <c r="O454" s="312"/>
      <c r="P454" s="404" t="e">
        <f t="shared" si="179"/>
        <v>#DIV/0!</v>
      </c>
      <c r="Q454" s="312" t="e">
        <f t="shared" si="173"/>
        <v>#DIV/0!</v>
      </c>
      <c r="R454" s="298"/>
      <c r="S454" s="312"/>
      <c r="T454" s="298"/>
      <c r="U454" s="312"/>
      <c r="V454" s="454">
        <f t="shared" si="180"/>
        <v>0</v>
      </c>
      <c r="W454" s="312"/>
      <c r="X454" s="454">
        <f t="shared" si="181"/>
        <v>0</v>
      </c>
      <c r="Y454" s="312"/>
      <c r="Z454" s="379"/>
      <c r="AA454" s="297"/>
      <c r="AB454" s="379"/>
      <c r="AC454" s="297"/>
      <c r="AD454" s="413"/>
      <c r="AE454" s="297"/>
      <c r="AG454" s="294"/>
      <c r="AH454" s="380"/>
      <c r="AI454" s="408"/>
      <c r="AJ454" s="498"/>
      <c r="AK454" s="498"/>
      <c r="AL454" s="503" t="e">
        <f t="shared" si="176"/>
        <v>#DIV/0!</v>
      </c>
      <c r="AM454" s="498"/>
      <c r="AN454" s="503" t="e">
        <f t="shared" si="177"/>
        <v>#DIV/0!</v>
      </c>
      <c r="AO454" s="498"/>
      <c r="AP454" s="503" t="e">
        <f t="shared" si="178"/>
        <v>#DIV/0!</v>
      </c>
      <c r="AR454" s="110">
        <v>58135</v>
      </c>
      <c r="AS454" s="98">
        <f t="shared" si="174"/>
        <v>0</v>
      </c>
      <c r="AT454" s="98">
        <f t="shared" si="175"/>
        <v>0</v>
      </c>
      <c r="AU454" s="98"/>
    </row>
    <row r="455" spans="1:47">
      <c r="A455" s="295">
        <v>45933</v>
      </c>
      <c r="B455" s="296"/>
      <c r="C455" s="312"/>
      <c r="D455" s="296"/>
      <c r="E455" s="312"/>
      <c r="F455" s="296"/>
      <c r="G455" s="312"/>
      <c r="H455" s="325"/>
      <c r="I455" s="312"/>
      <c r="J455" s="416"/>
      <c r="K455" s="369"/>
      <c r="L455" s="378"/>
      <c r="M455" s="312"/>
      <c r="N455" s="298"/>
      <c r="O455" s="312"/>
      <c r="P455" s="404" t="e">
        <f t="shared" si="179"/>
        <v>#DIV/0!</v>
      </c>
      <c r="Q455" s="312" t="e">
        <f t="shared" si="173"/>
        <v>#DIV/0!</v>
      </c>
      <c r="R455" s="298"/>
      <c r="S455" s="312"/>
      <c r="T455" s="298"/>
      <c r="U455" s="312"/>
      <c r="V455" s="454">
        <f t="shared" si="180"/>
        <v>0</v>
      </c>
      <c r="W455" s="312"/>
      <c r="X455" s="454">
        <f t="shared" si="181"/>
        <v>0</v>
      </c>
      <c r="Y455" s="312"/>
      <c r="Z455" s="379"/>
      <c r="AA455" s="297"/>
      <c r="AB455" s="379"/>
      <c r="AC455" s="297"/>
      <c r="AD455" s="413"/>
      <c r="AE455" s="297"/>
      <c r="AG455" s="294"/>
      <c r="AH455" s="380"/>
      <c r="AI455" s="408"/>
      <c r="AJ455" s="498"/>
      <c r="AK455" s="498"/>
      <c r="AL455" s="503" t="e">
        <f t="shared" si="176"/>
        <v>#DIV/0!</v>
      </c>
      <c r="AM455" s="498"/>
      <c r="AN455" s="503" t="e">
        <f t="shared" si="177"/>
        <v>#DIV/0!</v>
      </c>
      <c r="AO455" s="498"/>
      <c r="AP455" s="503" t="e">
        <f t="shared" si="178"/>
        <v>#DIV/0!</v>
      </c>
      <c r="AR455" s="110">
        <v>58166</v>
      </c>
      <c r="AS455" s="98">
        <f t="shared" si="174"/>
        <v>0</v>
      </c>
      <c r="AT455" s="98">
        <f t="shared" si="175"/>
        <v>0</v>
      </c>
      <c r="AU455" s="98"/>
    </row>
    <row r="456" spans="1:47">
      <c r="A456" s="295">
        <v>45936</v>
      </c>
      <c r="B456" s="296"/>
      <c r="C456" s="312"/>
      <c r="D456" s="296"/>
      <c r="E456" s="312"/>
      <c r="F456" s="296"/>
      <c r="G456" s="312"/>
      <c r="H456" s="325"/>
      <c r="I456" s="312"/>
      <c r="J456" s="416"/>
      <c r="K456" s="369"/>
      <c r="L456" s="378"/>
      <c r="M456" s="312"/>
      <c r="N456" s="298"/>
      <c r="O456" s="312"/>
      <c r="P456" s="404" t="e">
        <f t="shared" si="179"/>
        <v>#DIV/0!</v>
      </c>
      <c r="Q456" s="312" t="e">
        <f t="shared" si="173"/>
        <v>#DIV/0!</v>
      </c>
      <c r="R456" s="298"/>
      <c r="S456" s="312"/>
      <c r="T456" s="298"/>
      <c r="U456" s="312"/>
      <c r="V456" s="454">
        <f t="shared" si="180"/>
        <v>0</v>
      </c>
      <c r="W456" s="312"/>
      <c r="X456" s="454">
        <f t="shared" si="181"/>
        <v>0</v>
      </c>
      <c r="Y456" s="312"/>
      <c r="Z456" s="379"/>
      <c r="AA456" s="297"/>
      <c r="AB456" s="379"/>
      <c r="AC456" s="297"/>
      <c r="AD456" s="413"/>
      <c r="AE456" s="297"/>
      <c r="AG456" s="294"/>
      <c r="AH456" s="380"/>
      <c r="AI456" s="408"/>
      <c r="AJ456" s="498"/>
      <c r="AK456" s="498"/>
      <c r="AL456" s="503" t="e">
        <f t="shared" si="176"/>
        <v>#DIV/0!</v>
      </c>
      <c r="AM456" s="498"/>
      <c r="AN456" s="503" t="e">
        <f t="shared" si="177"/>
        <v>#DIV/0!</v>
      </c>
      <c r="AO456" s="498"/>
      <c r="AP456" s="503" t="e">
        <f t="shared" si="178"/>
        <v>#DIV/0!</v>
      </c>
      <c r="AR456" s="110">
        <v>58196</v>
      </c>
      <c r="AS456" s="98">
        <f t="shared" si="174"/>
        <v>0</v>
      </c>
      <c r="AT456" s="98">
        <f t="shared" si="175"/>
        <v>0</v>
      </c>
      <c r="AU456" s="98"/>
    </row>
    <row r="457" spans="1:47">
      <c r="A457" s="295">
        <v>45937</v>
      </c>
      <c r="B457" s="296"/>
      <c r="C457" s="312"/>
      <c r="D457" s="296"/>
      <c r="E457" s="312"/>
      <c r="F457" s="296"/>
      <c r="G457" s="312"/>
      <c r="H457" s="325"/>
      <c r="I457" s="312"/>
      <c r="J457" s="416"/>
      <c r="K457" s="369"/>
      <c r="L457" s="378"/>
      <c r="M457" s="312"/>
      <c r="N457" s="298"/>
      <c r="O457" s="312"/>
      <c r="P457" s="404" t="e">
        <f t="shared" si="179"/>
        <v>#DIV/0!</v>
      </c>
      <c r="Q457" s="312" t="e">
        <f t="shared" si="173"/>
        <v>#DIV/0!</v>
      </c>
      <c r="R457" s="298"/>
      <c r="S457" s="312"/>
      <c r="T457" s="298"/>
      <c r="U457" s="312"/>
      <c r="V457" s="454">
        <f t="shared" si="180"/>
        <v>0</v>
      </c>
      <c r="W457" s="312"/>
      <c r="X457" s="454">
        <f t="shared" si="181"/>
        <v>0</v>
      </c>
      <c r="Y457" s="312"/>
      <c r="Z457" s="379"/>
      <c r="AA457" s="297"/>
      <c r="AB457" s="379"/>
      <c r="AC457" s="297"/>
      <c r="AD457" s="413"/>
      <c r="AE457" s="297"/>
      <c r="AG457" s="294"/>
      <c r="AH457" s="380"/>
      <c r="AI457" s="408"/>
      <c r="AJ457" s="498"/>
      <c r="AK457" s="498"/>
      <c r="AL457" s="503" t="e">
        <f t="shared" si="176"/>
        <v>#DIV/0!</v>
      </c>
      <c r="AM457" s="498"/>
      <c r="AN457" s="503" t="e">
        <f t="shared" si="177"/>
        <v>#DIV/0!</v>
      </c>
      <c r="AO457" s="498"/>
      <c r="AP457" s="503" t="e">
        <f t="shared" si="178"/>
        <v>#DIV/0!</v>
      </c>
      <c r="AR457" s="110">
        <v>58227</v>
      </c>
      <c r="AS457" s="98">
        <f t="shared" si="174"/>
        <v>0</v>
      </c>
      <c r="AT457" s="98">
        <f t="shared" si="175"/>
        <v>0</v>
      </c>
      <c r="AU457" s="98"/>
    </row>
    <row r="458" spans="1:47">
      <c r="A458" s="295">
        <v>45938</v>
      </c>
      <c r="B458" s="296"/>
      <c r="C458" s="312"/>
      <c r="D458" s="296"/>
      <c r="E458" s="312"/>
      <c r="F458" s="296"/>
      <c r="G458" s="312"/>
      <c r="H458" s="325"/>
      <c r="I458" s="312"/>
      <c r="J458" s="416"/>
      <c r="K458" s="369"/>
      <c r="L458" s="378"/>
      <c r="M458" s="312"/>
      <c r="N458" s="298"/>
      <c r="O458" s="312"/>
      <c r="P458" s="404" t="e">
        <f t="shared" si="179"/>
        <v>#DIV/0!</v>
      </c>
      <c r="Q458" s="312" t="e">
        <f t="shared" si="173"/>
        <v>#DIV/0!</v>
      </c>
      <c r="R458" s="298"/>
      <c r="S458" s="312"/>
      <c r="T458" s="298"/>
      <c r="U458" s="312"/>
      <c r="V458" s="454">
        <f t="shared" si="180"/>
        <v>0</v>
      </c>
      <c r="W458" s="312"/>
      <c r="X458" s="454">
        <f t="shared" si="181"/>
        <v>0</v>
      </c>
      <c r="Y458" s="312"/>
      <c r="Z458" s="379"/>
      <c r="AA458" s="297"/>
      <c r="AB458" s="379"/>
      <c r="AC458" s="297"/>
      <c r="AD458" s="413"/>
      <c r="AE458" s="297"/>
      <c r="AG458" s="294"/>
      <c r="AH458" s="380"/>
      <c r="AI458" s="408"/>
      <c r="AJ458" s="498"/>
      <c r="AK458" s="498"/>
      <c r="AL458" s="503" t="e">
        <f t="shared" si="176"/>
        <v>#DIV/0!</v>
      </c>
      <c r="AM458" s="498"/>
      <c r="AN458" s="503" t="e">
        <f t="shared" si="177"/>
        <v>#DIV/0!</v>
      </c>
      <c r="AO458" s="498"/>
      <c r="AP458" s="503" t="e">
        <f t="shared" si="178"/>
        <v>#DIV/0!</v>
      </c>
      <c r="AR458" s="110">
        <v>58257</v>
      </c>
      <c r="AS458" s="98">
        <f t="shared" si="174"/>
        <v>0</v>
      </c>
      <c r="AT458" s="98">
        <f t="shared" si="175"/>
        <v>0</v>
      </c>
      <c r="AU458" s="98"/>
    </row>
    <row r="459" spans="1:47">
      <c r="A459" s="295">
        <v>45939</v>
      </c>
      <c r="B459" s="296"/>
      <c r="C459" s="312"/>
      <c r="D459" s="296"/>
      <c r="E459" s="312"/>
      <c r="F459" s="296"/>
      <c r="G459" s="312"/>
      <c r="H459" s="325"/>
      <c r="I459" s="312"/>
      <c r="J459" s="416"/>
      <c r="K459" s="369"/>
      <c r="L459" s="378"/>
      <c r="M459" s="312"/>
      <c r="N459" s="298"/>
      <c r="O459" s="312"/>
      <c r="P459" s="404" t="e">
        <f t="shared" si="179"/>
        <v>#DIV/0!</v>
      </c>
      <c r="Q459" s="312" t="e">
        <f t="shared" ref="Q459:Q522" si="182">(P459+2243.33-P458)/P458</f>
        <v>#DIV/0!</v>
      </c>
      <c r="R459" s="298"/>
      <c r="S459" s="312"/>
      <c r="T459" s="298"/>
      <c r="U459" s="312"/>
      <c r="V459" s="454">
        <f t="shared" si="180"/>
        <v>0</v>
      </c>
      <c r="W459" s="312"/>
      <c r="X459" s="454">
        <f t="shared" si="181"/>
        <v>0</v>
      </c>
      <c r="Y459" s="312"/>
      <c r="Z459" s="379"/>
      <c r="AA459" s="297"/>
      <c r="AB459" s="379"/>
      <c r="AC459" s="297"/>
      <c r="AD459" s="413"/>
      <c r="AE459" s="297"/>
      <c r="AG459" s="294"/>
      <c r="AH459" s="380"/>
      <c r="AI459" s="408"/>
      <c r="AJ459" s="498"/>
      <c r="AK459" s="498"/>
      <c r="AL459" s="503" t="e">
        <f t="shared" si="176"/>
        <v>#DIV/0!</v>
      </c>
      <c r="AM459" s="498"/>
      <c r="AN459" s="503" t="e">
        <f t="shared" si="177"/>
        <v>#DIV/0!</v>
      </c>
      <c r="AO459" s="498"/>
      <c r="AP459" s="503" t="e">
        <f t="shared" si="178"/>
        <v>#DIV/0!</v>
      </c>
      <c r="AR459" s="110">
        <v>58288</v>
      </c>
      <c r="AS459" s="98">
        <f t="shared" si="174"/>
        <v>0</v>
      </c>
      <c r="AT459" s="98">
        <f t="shared" si="175"/>
        <v>0</v>
      </c>
      <c r="AU459" s="98"/>
    </row>
    <row r="460" spans="1:47">
      <c r="A460" s="295">
        <v>45940</v>
      </c>
      <c r="B460" s="296"/>
      <c r="C460" s="312"/>
      <c r="D460" s="296"/>
      <c r="E460" s="312"/>
      <c r="F460" s="296"/>
      <c r="G460" s="312"/>
      <c r="H460" s="325"/>
      <c r="I460" s="312"/>
      <c r="J460" s="416"/>
      <c r="K460" s="369"/>
      <c r="L460" s="378"/>
      <c r="M460" s="312"/>
      <c r="N460" s="298"/>
      <c r="O460" s="312"/>
      <c r="P460" s="404" t="e">
        <f t="shared" si="179"/>
        <v>#DIV/0!</v>
      </c>
      <c r="Q460" s="312" t="e">
        <f t="shared" si="182"/>
        <v>#DIV/0!</v>
      </c>
      <c r="R460" s="298"/>
      <c r="S460" s="312"/>
      <c r="T460" s="298"/>
      <c r="U460" s="312"/>
      <c r="V460" s="454">
        <f t="shared" si="180"/>
        <v>0</v>
      </c>
      <c r="W460" s="312"/>
      <c r="X460" s="454">
        <f t="shared" si="181"/>
        <v>0</v>
      </c>
      <c r="Y460" s="312"/>
      <c r="Z460" s="379"/>
      <c r="AA460" s="297"/>
      <c r="AB460" s="379"/>
      <c r="AC460" s="297"/>
      <c r="AD460" s="413"/>
      <c r="AE460" s="297"/>
      <c r="AG460" s="294"/>
      <c r="AH460" s="380"/>
      <c r="AI460" s="408"/>
      <c r="AJ460" s="498"/>
      <c r="AK460" s="498"/>
      <c r="AL460" s="503" t="e">
        <f t="shared" si="176"/>
        <v>#DIV/0!</v>
      </c>
      <c r="AM460" s="498"/>
      <c r="AN460" s="503" t="e">
        <f t="shared" si="177"/>
        <v>#DIV/0!</v>
      </c>
      <c r="AO460" s="498"/>
      <c r="AP460" s="503" t="e">
        <f t="shared" si="178"/>
        <v>#DIV/0!</v>
      </c>
      <c r="AR460" s="110">
        <v>58319</v>
      </c>
      <c r="AS460" s="98">
        <f t="shared" si="174"/>
        <v>0</v>
      </c>
      <c r="AT460" s="98">
        <f t="shared" si="175"/>
        <v>0</v>
      </c>
      <c r="AU460" s="98"/>
    </row>
    <row r="461" spans="1:47">
      <c r="A461" s="295">
        <v>45943</v>
      </c>
      <c r="B461" s="296"/>
      <c r="C461" s="312"/>
      <c r="D461" s="296"/>
      <c r="E461" s="312"/>
      <c r="F461" s="296"/>
      <c r="G461" s="312"/>
      <c r="H461" s="325"/>
      <c r="I461" s="312"/>
      <c r="J461" s="416"/>
      <c r="K461" s="369"/>
      <c r="L461" s="378"/>
      <c r="M461" s="312"/>
      <c r="N461" s="298"/>
      <c r="O461" s="312"/>
      <c r="P461" s="404" t="e">
        <f t="shared" si="179"/>
        <v>#DIV/0!</v>
      </c>
      <c r="Q461" s="312" t="e">
        <f t="shared" si="182"/>
        <v>#DIV/0!</v>
      </c>
      <c r="R461" s="298"/>
      <c r="S461" s="312"/>
      <c r="T461" s="298"/>
      <c r="U461" s="312"/>
      <c r="V461" s="454">
        <f t="shared" si="180"/>
        <v>0</v>
      </c>
      <c r="W461" s="312"/>
      <c r="X461" s="454">
        <f t="shared" si="181"/>
        <v>0</v>
      </c>
      <c r="Y461" s="312"/>
      <c r="Z461" s="379"/>
      <c r="AA461" s="297"/>
      <c r="AB461" s="379"/>
      <c r="AC461" s="297"/>
      <c r="AD461" s="413"/>
      <c r="AE461" s="297"/>
      <c r="AG461" s="294"/>
      <c r="AH461" s="380"/>
      <c r="AI461" s="408"/>
      <c r="AJ461" s="498"/>
      <c r="AK461" s="498"/>
      <c r="AL461" s="503" t="e">
        <f t="shared" si="176"/>
        <v>#DIV/0!</v>
      </c>
      <c r="AM461" s="498"/>
      <c r="AN461" s="503" t="e">
        <f t="shared" si="177"/>
        <v>#DIV/0!</v>
      </c>
      <c r="AO461" s="498"/>
      <c r="AP461" s="503" t="e">
        <f t="shared" si="178"/>
        <v>#DIV/0!</v>
      </c>
      <c r="AR461" s="110">
        <v>58349</v>
      </c>
      <c r="AS461" s="98">
        <f t="shared" si="174"/>
        <v>0</v>
      </c>
      <c r="AT461" s="98">
        <f t="shared" si="175"/>
        <v>0</v>
      </c>
      <c r="AU461" s="98"/>
    </row>
    <row r="462" spans="1:47">
      <c r="A462" s="295">
        <v>45944</v>
      </c>
      <c r="B462" s="296"/>
      <c r="C462" s="312"/>
      <c r="D462" s="296"/>
      <c r="E462" s="312"/>
      <c r="F462" s="296"/>
      <c r="G462" s="312"/>
      <c r="H462" s="325"/>
      <c r="I462" s="312"/>
      <c r="J462" s="416"/>
      <c r="K462" s="369"/>
      <c r="L462" s="378"/>
      <c r="M462" s="312"/>
      <c r="N462" s="298"/>
      <c r="O462" s="312"/>
      <c r="P462" s="404" t="e">
        <f t="shared" si="179"/>
        <v>#DIV/0!</v>
      </c>
      <c r="Q462" s="312" t="e">
        <f t="shared" si="182"/>
        <v>#DIV/0!</v>
      </c>
      <c r="R462" s="298"/>
      <c r="S462" s="312"/>
      <c r="T462" s="298"/>
      <c r="U462" s="312"/>
      <c r="V462" s="454">
        <f t="shared" si="180"/>
        <v>0</v>
      </c>
      <c r="W462" s="312"/>
      <c r="X462" s="454">
        <f t="shared" si="181"/>
        <v>0</v>
      </c>
      <c r="Y462" s="312"/>
      <c r="Z462" s="379"/>
      <c r="AA462" s="297"/>
      <c r="AB462" s="379"/>
      <c r="AC462" s="297"/>
      <c r="AD462" s="413"/>
      <c r="AE462" s="297"/>
      <c r="AG462" s="294"/>
      <c r="AH462" s="380"/>
      <c r="AI462" s="408"/>
      <c r="AJ462" s="498"/>
      <c r="AK462" s="498"/>
      <c r="AL462" s="503" t="e">
        <f t="shared" si="176"/>
        <v>#DIV/0!</v>
      </c>
      <c r="AM462" s="498"/>
      <c r="AN462" s="503" t="e">
        <f t="shared" si="177"/>
        <v>#DIV/0!</v>
      </c>
      <c r="AO462" s="498"/>
      <c r="AP462" s="503" t="e">
        <f t="shared" si="178"/>
        <v>#DIV/0!</v>
      </c>
      <c r="AR462" s="110">
        <v>58380</v>
      </c>
      <c r="AS462" s="98">
        <f t="shared" si="174"/>
        <v>0</v>
      </c>
      <c r="AT462" s="98">
        <f t="shared" si="175"/>
        <v>0</v>
      </c>
      <c r="AU462" s="98"/>
    </row>
    <row r="463" spans="1:47">
      <c r="A463" s="295">
        <v>45945</v>
      </c>
      <c r="B463" s="296"/>
      <c r="C463" s="312"/>
      <c r="D463" s="296"/>
      <c r="E463" s="312"/>
      <c r="F463" s="296"/>
      <c r="G463" s="312"/>
      <c r="H463" s="325"/>
      <c r="I463" s="312"/>
      <c r="J463" s="416"/>
      <c r="K463" s="369"/>
      <c r="L463" s="378"/>
      <c r="M463" s="312"/>
      <c r="N463" s="298"/>
      <c r="O463" s="312"/>
      <c r="P463" s="404" t="e">
        <f t="shared" si="179"/>
        <v>#DIV/0!</v>
      </c>
      <c r="Q463" s="312" t="e">
        <f t="shared" si="182"/>
        <v>#DIV/0!</v>
      </c>
      <c r="R463" s="298"/>
      <c r="S463" s="312"/>
      <c r="T463" s="298"/>
      <c r="U463" s="312"/>
      <c r="V463" s="454">
        <f t="shared" si="180"/>
        <v>0</v>
      </c>
      <c r="W463" s="312"/>
      <c r="X463" s="454">
        <f t="shared" si="181"/>
        <v>0</v>
      </c>
      <c r="Y463" s="312"/>
      <c r="Z463" s="379"/>
      <c r="AA463" s="297"/>
      <c r="AB463" s="379"/>
      <c r="AC463" s="297"/>
      <c r="AD463" s="413"/>
      <c r="AE463" s="297"/>
      <c r="AG463" s="294"/>
      <c r="AH463" s="380"/>
      <c r="AI463" s="408"/>
      <c r="AJ463" s="498"/>
      <c r="AK463" s="498"/>
      <c r="AL463" s="503" t="e">
        <f t="shared" si="176"/>
        <v>#DIV/0!</v>
      </c>
      <c r="AM463" s="498"/>
      <c r="AN463" s="503" t="e">
        <f t="shared" si="177"/>
        <v>#DIV/0!</v>
      </c>
      <c r="AO463" s="498"/>
      <c r="AP463" s="503" t="e">
        <f t="shared" si="178"/>
        <v>#DIV/0!</v>
      </c>
      <c r="AR463" s="110">
        <v>58410</v>
      </c>
      <c r="AS463" s="98">
        <f t="shared" si="174"/>
        <v>0</v>
      </c>
      <c r="AT463" s="98">
        <f t="shared" si="175"/>
        <v>0</v>
      </c>
      <c r="AU463" s="98"/>
    </row>
    <row r="464" spans="1:47">
      <c r="A464" s="295">
        <v>45946</v>
      </c>
      <c r="B464" s="296"/>
      <c r="C464" s="312"/>
      <c r="D464" s="296"/>
      <c r="E464" s="312"/>
      <c r="F464" s="296"/>
      <c r="G464" s="312"/>
      <c r="H464" s="325"/>
      <c r="I464" s="312"/>
      <c r="J464" s="416"/>
      <c r="K464" s="369"/>
      <c r="L464" s="378"/>
      <c r="M464" s="312"/>
      <c r="N464" s="298"/>
      <c r="O464" s="312"/>
      <c r="P464" s="404" t="e">
        <f t="shared" si="179"/>
        <v>#DIV/0!</v>
      </c>
      <c r="Q464" s="312" t="e">
        <f t="shared" si="182"/>
        <v>#DIV/0!</v>
      </c>
      <c r="R464" s="298"/>
      <c r="S464" s="312"/>
      <c r="T464" s="298"/>
      <c r="U464" s="312"/>
      <c r="V464" s="454">
        <f t="shared" si="180"/>
        <v>0</v>
      </c>
      <c r="W464" s="312"/>
      <c r="X464" s="454">
        <f t="shared" si="181"/>
        <v>0</v>
      </c>
      <c r="Y464" s="312"/>
      <c r="Z464" s="379"/>
      <c r="AA464" s="297"/>
      <c r="AB464" s="379"/>
      <c r="AC464" s="297"/>
      <c r="AD464" s="413"/>
      <c r="AE464" s="297"/>
      <c r="AG464" s="294"/>
      <c r="AH464" s="380"/>
      <c r="AI464" s="408"/>
      <c r="AJ464" s="498"/>
      <c r="AK464" s="498"/>
      <c r="AL464" s="503" t="e">
        <f t="shared" si="176"/>
        <v>#DIV/0!</v>
      </c>
      <c r="AM464" s="498"/>
      <c r="AN464" s="503" t="e">
        <f t="shared" si="177"/>
        <v>#DIV/0!</v>
      </c>
      <c r="AO464" s="498"/>
      <c r="AP464" s="503" t="e">
        <f t="shared" si="178"/>
        <v>#DIV/0!</v>
      </c>
      <c r="AR464" s="110">
        <v>58441</v>
      </c>
      <c r="AS464" s="98">
        <f t="shared" si="174"/>
        <v>0</v>
      </c>
      <c r="AT464" s="98">
        <f t="shared" si="175"/>
        <v>0</v>
      </c>
      <c r="AU464" s="98"/>
    </row>
    <row r="465" spans="1:47">
      <c r="A465" s="295">
        <v>45947</v>
      </c>
      <c r="B465" s="296"/>
      <c r="C465" s="312"/>
      <c r="D465" s="296"/>
      <c r="E465" s="312"/>
      <c r="F465" s="296"/>
      <c r="G465" s="312"/>
      <c r="H465" s="325"/>
      <c r="I465" s="312"/>
      <c r="J465" s="416"/>
      <c r="K465" s="369"/>
      <c r="L465" s="378"/>
      <c r="M465" s="312"/>
      <c r="N465" s="298"/>
      <c r="O465" s="312"/>
      <c r="P465" s="404" t="e">
        <f t="shared" si="179"/>
        <v>#DIV/0!</v>
      </c>
      <c r="Q465" s="312" t="e">
        <f t="shared" si="182"/>
        <v>#DIV/0!</v>
      </c>
      <c r="R465" s="298"/>
      <c r="S465" s="312"/>
      <c r="T465" s="298"/>
      <c r="U465" s="312"/>
      <c r="V465" s="454">
        <f t="shared" si="180"/>
        <v>0</v>
      </c>
      <c r="W465" s="312"/>
      <c r="X465" s="454">
        <f t="shared" si="181"/>
        <v>0</v>
      </c>
      <c r="Y465" s="312"/>
      <c r="Z465" s="379"/>
      <c r="AA465" s="297"/>
      <c r="AB465" s="379"/>
      <c r="AC465" s="297"/>
      <c r="AD465" s="413"/>
      <c r="AE465" s="297"/>
      <c r="AG465" s="294"/>
      <c r="AH465" s="380"/>
      <c r="AI465" s="408"/>
      <c r="AJ465" s="498"/>
      <c r="AK465" s="498"/>
      <c r="AL465" s="503" t="e">
        <f t="shared" si="176"/>
        <v>#DIV/0!</v>
      </c>
      <c r="AM465" s="498"/>
      <c r="AN465" s="503" t="e">
        <f t="shared" si="177"/>
        <v>#DIV/0!</v>
      </c>
      <c r="AO465" s="498"/>
      <c r="AP465" s="503" t="e">
        <f t="shared" si="178"/>
        <v>#DIV/0!</v>
      </c>
      <c r="AR465" s="110">
        <v>58472</v>
      </c>
      <c r="AS465" s="98">
        <f t="shared" si="174"/>
        <v>0</v>
      </c>
      <c r="AT465" s="98">
        <f t="shared" si="175"/>
        <v>0</v>
      </c>
      <c r="AU465" s="98"/>
    </row>
    <row r="466" spans="1:47">
      <c r="A466" s="295">
        <v>45950</v>
      </c>
      <c r="B466" s="296"/>
      <c r="C466" s="312"/>
      <c r="D466" s="296"/>
      <c r="E466" s="312"/>
      <c r="F466" s="296"/>
      <c r="G466" s="312"/>
      <c r="H466" s="325"/>
      <c r="I466" s="312"/>
      <c r="J466" s="416"/>
      <c r="K466" s="369"/>
      <c r="L466" s="378"/>
      <c r="M466" s="312"/>
      <c r="N466" s="298"/>
      <c r="O466" s="312"/>
      <c r="P466" s="404" t="e">
        <f t="shared" si="179"/>
        <v>#DIV/0!</v>
      </c>
      <c r="Q466" s="312" t="e">
        <f t="shared" si="182"/>
        <v>#DIV/0!</v>
      </c>
      <c r="R466" s="298"/>
      <c r="S466" s="312"/>
      <c r="T466" s="298"/>
      <c r="U466" s="312"/>
      <c r="V466" s="454">
        <f t="shared" si="180"/>
        <v>0</v>
      </c>
      <c r="W466" s="312"/>
      <c r="X466" s="454">
        <f t="shared" si="181"/>
        <v>0</v>
      </c>
      <c r="Y466" s="312"/>
      <c r="Z466" s="379"/>
      <c r="AA466" s="297"/>
      <c r="AB466" s="379"/>
      <c r="AC466" s="297"/>
      <c r="AD466" s="413"/>
      <c r="AE466" s="297"/>
      <c r="AG466" s="294"/>
      <c r="AH466" s="380"/>
      <c r="AI466" s="408"/>
      <c r="AJ466" s="498"/>
      <c r="AK466" s="498"/>
      <c r="AL466" s="503" t="e">
        <f t="shared" si="176"/>
        <v>#DIV/0!</v>
      </c>
      <c r="AM466" s="498"/>
      <c r="AN466" s="503" t="e">
        <f t="shared" si="177"/>
        <v>#DIV/0!</v>
      </c>
      <c r="AO466" s="498"/>
      <c r="AP466" s="503" t="e">
        <f t="shared" si="178"/>
        <v>#DIV/0!</v>
      </c>
      <c r="AR466" s="110">
        <v>58501</v>
      </c>
      <c r="AS466" s="98">
        <f t="shared" si="174"/>
        <v>0</v>
      </c>
      <c r="AT466" s="98">
        <f t="shared" si="175"/>
        <v>0</v>
      </c>
      <c r="AU466" s="98"/>
    </row>
    <row r="467" spans="1:47">
      <c r="A467" s="295">
        <v>45951</v>
      </c>
      <c r="B467" s="296"/>
      <c r="C467" s="312"/>
      <c r="D467" s="296"/>
      <c r="E467" s="312"/>
      <c r="F467" s="296"/>
      <c r="G467" s="312"/>
      <c r="H467" s="325"/>
      <c r="I467" s="312"/>
      <c r="J467" s="416"/>
      <c r="K467" s="369"/>
      <c r="L467" s="378"/>
      <c r="M467" s="312"/>
      <c r="N467" s="298"/>
      <c r="O467" s="312"/>
      <c r="P467" s="404" t="e">
        <f t="shared" si="179"/>
        <v>#DIV/0!</v>
      </c>
      <c r="Q467" s="312" t="e">
        <f t="shared" si="182"/>
        <v>#DIV/0!</v>
      </c>
      <c r="R467" s="298"/>
      <c r="S467" s="312"/>
      <c r="T467" s="298"/>
      <c r="U467" s="312"/>
      <c r="V467" s="454">
        <f t="shared" si="180"/>
        <v>0</v>
      </c>
      <c r="W467" s="312"/>
      <c r="X467" s="454">
        <f t="shared" si="181"/>
        <v>0</v>
      </c>
      <c r="Y467" s="312"/>
      <c r="Z467" s="379"/>
      <c r="AA467" s="297"/>
      <c r="AB467" s="379"/>
      <c r="AC467" s="297"/>
      <c r="AD467" s="413"/>
      <c r="AE467" s="297"/>
      <c r="AG467" s="294"/>
      <c r="AH467" s="380"/>
      <c r="AI467" s="408"/>
      <c r="AJ467" s="498"/>
      <c r="AK467" s="498"/>
      <c r="AL467" s="503" t="e">
        <f t="shared" si="176"/>
        <v>#DIV/0!</v>
      </c>
      <c r="AM467" s="498"/>
      <c r="AN467" s="503" t="e">
        <f t="shared" si="177"/>
        <v>#DIV/0!</v>
      </c>
      <c r="AO467" s="498"/>
      <c r="AP467" s="503" t="e">
        <f t="shared" si="178"/>
        <v>#DIV/0!</v>
      </c>
      <c r="AR467" s="110">
        <v>58532</v>
      </c>
      <c r="AS467" s="98">
        <f t="shared" si="174"/>
        <v>0</v>
      </c>
      <c r="AT467" s="98">
        <f t="shared" si="175"/>
        <v>0</v>
      </c>
      <c r="AU467" s="98"/>
    </row>
    <row r="468" spans="1:47">
      <c r="A468" s="295">
        <v>45952</v>
      </c>
      <c r="B468" s="296"/>
      <c r="C468" s="312"/>
      <c r="D468" s="296"/>
      <c r="E468" s="312"/>
      <c r="F468" s="296"/>
      <c r="G468" s="312"/>
      <c r="H468" s="325"/>
      <c r="I468" s="312"/>
      <c r="J468" s="416"/>
      <c r="K468" s="369"/>
      <c r="L468" s="378"/>
      <c r="M468" s="312"/>
      <c r="N468" s="298"/>
      <c r="O468" s="312"/>
      <c r="P468" s="404" t="e">
        <f t="shared" si="179"/>
        <v>#DIV/0!</v>
      </c>
      <c r="Q468" s="312" t="e">
        <f t="shared" si="182"/>
        <v>#DIV/0!</v>
      </c>
      <c r="R468" s="298"/>
      <c r="S468" s="312"/>
      <c r="T468" s="298"/>
      <c r="U468" s="312"/>
      <c r="V468" s="454">
        <f t="shared" si="180"/>
        <v>0</v>
      </c>
      <c r="W468" s="312"/>
      <c r="X468" s="454">
        <f t="shared" si="181"/>
        <v>0</v>
      </c>
      <c r="Y468" s="312"/>
      <c r="Z468" s="379"/>
      <c r="AA468" s="297"/>
      <c r="AB468" s="379"/>
      <c r="AC468" s="297"/>
      <c r="AD468" s="413"/>
      <c r="AE468" s="297"/>
      <c r="AG468" s="294"/>
      <c r="AH468" s="380"/>
      <c r="AI468" s="408"/>
      <c r="AJ468" s="498"/>
      <c r="AK468" s="498"/>
      <c r="AL468" s="503" t="e">
        <f t="shared" si="176"/>
        <v>#DIV/0!</v>
      </c>
      <c r="AM468" s="498"/>
      <c r="AN468" s="503" t="e">
        <f t="shared" si="177"/>
        <v>#DIV/0!</v>
      </c>
      <c r="AO468" s="498"/>
      <c r="AP468" s="503" t="e">
        <f t="shared" si="178"/>
        <v>#DIV/0!</v>
      </c>
      <c r="AR468" s="110">
        <v>58562</v>
      </c>
      <c r="AS468" s="98">
        <f t="shared" si="174"/>
        <v>0</v>
      </c>
      <c r="AT468" s="98">
        <f t="shared" si="175"/>
        <v>0</v>
      </c>
      <c r="AU468" s="98"/>
    </row>
    <row r="469" spans="1:47">
      <c r="A469" s="295">
        <v>45953</v>
      </c>
      <c r="B469" s="296"/>
      <c r="C469" s="312"/>
      <c r="D469" s="296"/>
      <c r="E469" s="312"/>
      <c r="F469" s="296"/>
      <c r="G469" s="312"/>
      <c r="H469" s="325"/>
      <c r="I469" s="312"/>
      <c r="J469" s="416"/>
      <c r="K469" s="369"/>
      <c r="L469" s="378"/>
      <c r="M469" s="312"/>
      <c r="N469" s="298"/>
      <c r="O469" s="312"/>
      <c r="P469" s="404" t="e">
        <f t="shared" si="179"/>
        <v>#DIV/0!</v>
      </c>
      <c r="Q469" s="312" t="e">
        <f t="shared" si="182"/>
        <v>#DIV/0!</v>
      </c>
      <c r="R469" s="298"/>
      <c r="S469" s="312"/>
      <c r="T469" s="298"/>
      <c r="U469" s="312"/>
      <c r="V469" s="454">
        <f t="shared" si="180"/>
        <v>0</v>
      </c>
      <c r="W469" s="312"/>
      <c r="X469" s="454">
        <f t="shared" si="181"/>
        <v>0</v>
      </c>
      <c r="Y469" s="312"/>
      <c r="Z469" s="379"/>
      <c r="AA469" s="297"/>
      <c r="AB469" s="379"/>
      <c r="AC469" s="297"/>
      <c r="AD469" s="413"/>
      <c r="AE469" s="297"/>
      <c r="AG469" s="294"/>
      <c r="AH469" s="380"/>
      <c r="AI469" s="408"/>
      <c r="AJ469" s="498"/>
      <c r="AK469" s="498"/>
      <c r="AL469" s="503" t="e">
        <f t="shared" si="176"/>
        <v>#DIV/0!</v>
      </c>
      <c r="AM469" s="498"/>
      <c r="AN469" s="503" t="e">
        <f t="shared" si="177"/>
        <v>#DIV/0!</v>
      </c>
      <c r="AO469" s="498"/>
      <c r="AP469" s="503" t="e">
        <f t="shared" si="178"/>
        <v>#DIV/0!</v>
      </c>
      <c r="AR469" s="110">
        <v>58593</v>
      </c>
      <c r="AS469" s="98">
        <f t="shared" si="174"/>
        <v>0</v>
      </c>
      <c r="AT469" s="98">
        <f t="shared" si="175"/>
        <v>0</v>
      </c>
      <c r="AU469" s="98"/>
    </row>
    <row r="470" spans="1:47">
      <c r="A470" s="295">
        <v>45954</v>
      </c>
      <c r="B470" s="296"/>
      <c r="C470" s="312"/>
      <c r="D470" s="296"/>
      <c r="E470" s="312"/>
      <c r="F470" s="296"/>
      <c r="G470" s="312"/>
      <c r="H470" s="325"/>
      <c r="I470" s="312"/>
      <c r="J470" s="416"/>
      <c r="K470" s="369"/>
      <c r="L470" s="378"/>
      <c r="M470" s="312"/>
      <c r="N470" s="298"/>
      <c r="O470" s="312"/>
      <c r="P470" s="404" t="e">
        <f t="shared" si="179"/>
        <v>#DIV/0!</v>
      </c>
      <c r="Q470" s="312" t="e">
        <f t="shared" si="182"/>
        <v>#DIV/0!</v>
      </c>
      <c r="R470" s="298"/>
      <c r="S470" s="312"/>
      <c r="T470" s="298"/>
      <c r="U470" s="312"/>
      <c r="V470" s="454">
        <f t="shared" si="180"/>
        <v>0</v>
      </c>
      <c r="W470" s="312"/>
      <c r="X470" s="454">
        <f t="shared" si="181"/>
        <v>0</v>
      </c>
      <c r="Y470" s="312"/>
      <c r="Z470" s="379"/>
      <c r="AA470" s="297"/>
      <c r="AB470" s="379"/>
      <c r="AC470" s="297"/>
      <c r="AD470" s="413"/>
      <c r="AE470" s="297"/>
      <c r="AG470" s="294"/>
      <c r="AH470" s="380"/>
      <c r="AI470" s="408"/>
      <c r="AJ470" s="498"/>
      <c r="AK470" s="498"/>
      <c r="AL470" s="503" t="e">
        <f t="shared" si="176"/>
        <v>#DIV/0!</v>
      </c>
      <c r="AM470" s="498"/>
      <c r="AN470" s="503" t="e">
        <f t="shared" si="177"/>
        <v>#DIV/0!</v>
      </c>
      <c r="AO470" s="498"/>
      <c r="AP470" s="503" t="e">
        <f t="shared" si="178"/>
        <v>#DIV/0!</v>
      </c>
      <c r="AR470" s="110">
        <v>58623</v>
      </c>
      <c r="AS470" s="98">
        <f t="shared" si="174"/>
        <v>0</v>
      </c>
      <c r="AT470" s="98">
        <f t="shared" si="175"/>
        <v>0</v>
      </c>
      <c r="AU470" s="98"/>
    </row>
    <row r="471" spans="1:47">
      <c r="A471" s="295">
        <v>45957</v>
      </c>
      <c r="B471" s="296"/>
      <c r="C471" s="312"/>
      <c r="D471" s="296"/>
      <c r="E471" s="312"/>
      <c r="F471" s="296"/>
      <c r="G471" s="312"/>
      <c r="H471" s="325"/>
      <c r="I471" s="312"/>
      <c r="J471" s="416"/>
      <c r="K471" s="369"/>
      <c r="L471" s="378"/>
      <c r="M471" s="312"/>
      <c r="N471" s="298"/>
      <c r="O471" s="312"/>
      <c r="P471" s="404" t="e">
        <f t="shared" si="179"/>
        <v>#DIV/0!</v>
      </c>
      <c r="Q471" s="312" t="e">
        <f t="shared" si="182"/>
        <v>#DIV/0!</v>
      </c>
      <c r="R471" s="298"/>
      <c r="S471" s="312"/>
      <c r="T471" s="298"/>
      <c r="U471" s="312"/>
      <c r="V471" s="454">
        <f t="shared" si="180"/>
        <v>0</v>
      </c>
      <c r="W471" s="312"/>
      <c r="X471" s="454">
        <f t="shared" si="181"/>
        <v>0</v>
      </c>
      <c r="Y471" s="312"/>
      <c r="Z471" s="379"/>
      <c r="AA471" s="297"/>
      <c r="AB471" s="379"/>
      <c r="AC471" s="297"/>
      <c r="AD471" s="413"/>
      <c r="AE471" s="297"/>
      <c r="AG471" s="294"/>
      <c r="AH471" s="380"/>
      <c r="AI471" s="408"/>
      <c r="AJ471" s="498"/>
      <c r="AK471" s="498"/>
      <c r="AL471" s="503" t="e">
        <f t="shared" si="176"/>
        <v>#DIV/0!</v>
      </c>
      <c r="AM471" s="498"/>
      <c r="AN471" s="503" t="e">
        <f t="shared" si="177"/>
        <v>#DIV/0!</v>
      </c>
      <c r="AO471" s="498"/>
      <c r="AP471" s="503" t="e">
        <f t="shared" si="178"/>
        <v>#DIV/0!</v>
      </c>
      <c r="AR471" s="110">
        <v>58654</v>
      </c>
      <c r="AS471" s="98">
        <f t="shared" si="174"/>
        <v>0</v>
      </c>
      <c r="AT471" s="98">
        <f t="shared" si="175"/>
        <v>0</v>
      </c>
      <c r="AU471" s="98"/>
    </row>
    <row r="472" spans="1:47">
      <c r="A472" s="295">
        <v>45958</v>
      </c>
      <c r="B472" s="296"/>
      <c r="C472" s="312"/>
      <c r="D472" s="296"/>
      <c r="E472" s="312"/>
      <c r="F472" s="296"/>
      <c r="G472" s="312"/>
      <c r="H472" s="325"/>
      <c r="I472" s="312"/>
      <c r="J472" s="416"/>
      <c r="K472" s="369"/>
      <c r="L472" s="378"/>
      <c r="M472" s="312"/>
      <c r="N472" s="298"/>
      <c r="O472" s="312"/>
      <c r="P472" s="404" t="e">
        <f t="shared" si="179"/>
        <v>#DIV/0!</v>
      </c>
      <c r="Q472" s="312" t="e">
        <f t="shared" si="182"/>
        <v>#DIV/0!</v>
      </c>
      <c r="R472" s="298"/>
      <c r="S472" s="312"/>
      <c r="T472" s="298"/>
      <c r="U472" s="312"/>
      <c r="V472" s="454">
        <f t="shared" si="180"/>
        <v>0</v>
      </c>
      <c r="W472" s="312"/>
      <c r="X472" s="454">
        <f t="shared" si="181"/>
        <v>0</v>
      </c>
      <c r="Y472" s="312"/>
      <c r="Z472" s="379"/>
      <c r="AA472" s="297"/>
      <c r="AB472" s="379"/>
      <c r="AC472" s="297"/>
      <c r="AD472" s="413"/>
      <c r="AE472" s="297"/>
      <c r="AG472" s="294"/>
      <c r="AH472" s="380"/>
      <c r="AI472" s="408"/>
      <c r="AJ472" s="498"/>
      <c r="AK472" s="498"/>
      <c r="AL472" s="503" t="e">
        <f t="shared" si="176"/>
        <v>#DIV/0!</v>
      </c>
      <c r="AM472" s="498"/>
      <c r="AN472" s="503" t="e">
        <f t="shared" si="177"/>
        <v>#DIV/0!</v>
      </c>
      <c r="AO472" s="498"/>
      <c r="AP472" s="503" t="e">
        <f t="shared" si="178"/>
        <v>#DIV/0!</v>
      </c>
      <c r="AR472" s="110">
        <v>58685</v>
      </c>
      <c r="AS472" s="98">
        <f t="shared" si="174"/>
        <v>0</v>
      </c>
      <c r="AT472" s="98">
        <f t="shared" si="175"/>
        <v>0</v>
      </c>
      <c r="AU472" s="98"/>
    </row>
    <row r="473" spans="1:47">
      <c r="A473" s="295">
        <v>45959</v>
      </c>
      <c r="B473" s="296"/>
      <c r="C473" s="312"/>
      <c r="D473" s="296"/>
      <c r="E473" s="312"/>
      <c r="F473" s="296"/>
      <c r="G473" s="312"/>
      <c r="H473" s="325"/>
      <c r="I473" s="312"/>
      <c r="J473" s="416"/>
      <c r="K473" s="369"/>
      <c r="L473" s="378"/>
      <c r="M473" s="312"/>
      <c r="N473" s="298"/>
      <c r="O473" s="312"/>
      <c r="P473" s="404" t="e">
        <f t="shared" si="179"/>
        <v>#DIV/0!</v>
      </c>
      <c r="Q473" s="312" t="e">
        <f t="shared" si="182"/>
        <v>#DIV/0!</v>
      </c>
      <c r="R473" s="298"/>
      <c r="S473" s="312"/>
      <c r="T473" s="298"/>
      <c r="U473" s="312"/>
      <c r="V473" s="454">
        <f t="shared" si="180"/>
        <v>0</v>
      </c>
      <c r="W473" s="312"/>
      <c r="X473" s="454">
        <f t="shared" si="181"/>
        <v>0</v>
      </c>
      <c r="Y473" s="312"/>
      <c r="Z473" s="379"/>
      <c r="AA473" s="297"/>
      <c r="AB473" s="379"/>
      <c r="AC473" s="297"/>
      <c r="AD473" s="413"/>
      <c r="AE473" s="297"/>
      <c r="AG473" s="294"/>
      <c r="AH473" s="380"/>
      <c r="AI473" s="408"/>
      <c r="AJ473" s="498"/>
      <c r="AK473" s="498"/>
      <c r="AL473" s="503" t="e">
        <f t="shared" si="176"/>
        <v>#DIV/0!</v>
      </c>
      <c r="AM473" s="498"/>
      <c r="AN473" s="503" t="e">
        <f t="shared" si="177"/>
        <v>#DIV/0!</v>
      </c>
      <c r="AO473" s="498"/>
      <c r="AP473" s="503" t="e">
        <f t="shared" si="178"/>
        <v>#DIV/0!</v>
      </c>
      <c r="AR473" s="110">
        <v>58715</v>
      </c>
      <c r="AS473" s="98">
        <f t="shared" si="174"/>
        <v>0</v>
      </c>
      <c r="AT473" s="98">
        <f t="shared" si="175"/>
        <v>0</v>
      </c>
      <c r="AU473" s="98"/>
    </row>
    <row r="474" spans="1:47">
      <c r="A474" s="295">
        <v>45960</v>
      </c>
      <c r="B474" s="296"/>
      <c r="C474" s="312"/>
      <c r="D474" s="296"/>
      <c r="E474" s="312"/>
      <c r="F474" s="296"/>
      <c r="G474" s="312"/>
      <c r="H474" s="325"/>
      <c r="I474" s="312"/>
      <c r="J474" s="416"/>
      <c r="K474" s="369"/>
      <c r="L474" s="378"/>
      <c r="M474" s="312"/>
      <c r="N474" s="298"/>
      <c r="O474" s="312"/>
      <c r="P474" s="404" t="e">
        <f t="shared" si="179"/>
        <v>#DIV/0!</v>
      </c>
      <c r="Q474" s="312" t="e">
        <f t="shared" si="182"/>
        <v>#DIV/0!</v>
      </c>
      <c r="R474" s="298"/>
      <c r="S474" s="312"/>
      <c r="T474" s="298"/>
      <c r="U474" s="312"/>
      <c r="V474" s="454">
        <f t="shared" si="180"/>
        <v>0</v>
      </c>
      <c r="W474" s="312"/>
      <c r="X474" s="454">
        <f t="shared" si="181"/>
        <v>0</v>
      </c>
      <c r="Y474" s="312"/>
      <c r="Z474" s="379"/>
      <c r="AA474" s="297"/>
      <c r="AB474" s="379"/>
      <c r="AC474" s="297"/>
      <c r="AD474" s="413"/>
      <c r="AE474" s="297"/>
      <c r="AG474" s="294"/>
      <c r="AH474" s="380"/>
      <c r="AI474" s="408"/>
      <c r="AJ474" s="498"/>
      <c r="AK474" s="498"/>
      <c r="AL474" s="503" t="e">
        <f t="shared" si="176"/>
        <v>#DIV/0!</v>
      </c>
      <c r="AM474" s="498"/>
      <c r="AN474" s="503" t="e">
        <f t="shared" si="177"/>
        <v>#DIV/0!</v>
      </c>
      <c r="AO474" s="498"/>
      <c r="AP474" s="503" t="e">
        <f t="shared" si="178"/>
        <v>#DIV/0!</v>
      </c>
      <c r="AR474" s="110">
        <v>58746</v>
      </c>
      <c r="AS474" s="98">
        <f t="shared" si="174"/>
        <v>0</v>
      </c>
      <c r="AT474" s="98">
        <f t="shared" si="175"/>
        <v>0</v>
      </c>
      <c r="AU474" s="98"/>
    </row>
    <row r="475" spans="1:47">
      <c r="A475" s="295">
        <v>45961</v>
      </c>
      <c r="B475" s="296"/>
      <c r="C475" s="312"/>
      <c r="D475" s="296"/>
      <c r="E475" s="312"/>
      <c r="F475" s="296"/>
      <c r="G475" s="312"/>
      <c r="H475" s="325"/>
      <c r="I475" s="312"/>
      <c r="J475" s="416"/>
      <c r="K475" s="369"/>
      <c r="L475" s="378"/>
      <c r="M475" s="312"/>
      <c r="N475" s="298"/>
      <c r="O475" s="312"/>
      <c r="P475" s="404" t="e">
        <f t="shared" si="179"/>
        <v>#DIV/0!</v>
      </c>
      <c r="Q475" s="312" t="e">
        <f t="shared" si="182"/>
        <v>#DIV/0!</v>
      </c>
      <c r="R475" s="298"/>
      <c r="S475" s="312"/>
      <c r="T475" s="298"/>
      <c r="U475" s="312"/>
      <c r="V475" s="454">
        <f t="shared" si="180"/>
        <v>0</v>
      </c>
      <c r="W475" s="312"/>
      <c r="X475" s="454">
        <f t="shared" si="181"/>
        <v>0</v>
      </c>
      <c r="Y475" s="312"/>
      <c r="Z475" s="379"/>
      <c r="AA475" s="297"/>
      <c r="AB475" s="379"/>
      <c r="AC475" s="297"/>
      <c r="AD475" s="413"/>
      <c r="AE475" s="297"/>
      <c r="AG475" s="294"/>
      <c r="AH475" s="380"/>
      <c r="AI475" s="408"/>
      <c r="AJ475" s="498"/>
      <c r="AK475" s="498"/>
      <c r="AL475" s="503" t="e">
        <f t="shared" si="176"/>
        <v>#DIV/0!</v>
      </c>
      <c r="AM475" s="498"/>
      <c r="AN475" s="503" t="e">
        <f t="shared" si="177"/>
        <v>#DIV/0!</v>
      </c>
      <c r="AO475" s="498"/>
      <c r="AP475" s="503" t="e">
        <f t="shared" si="178"/>
        <v>#DIV/0!</v>
      </c>
      <c r="AR475" s="110">
        <v>58776</v>
      </c>
      <c r="AS475" s="98">
        <f t="shared" si="174"/>
        <v>0</v>
      </c>
      <c r="AT475" s="98">
        <f t="shared" si="175"/>
        <v>0</v>
      </c>
      <c r="AU475" s="98"/>
    </row>
    <row r="476" spans="1:47">
      <c r="A476" s="295">
        <v>45964</v>
      </c>
      <c r="B476" s="296"/>
      <c r="C476" s="312"/>
      <c r="D476" s="296"/>
      <c r="E476" s="312"/>
      <c r="F476" s="296"/>
      <c r="G476" s="312"/>
      <c r="H476" s="325"/>
      <c r="I476" s="312"/>
      <c r="J476" s="416"/>
      <c r="K476" s="369"/>
      <c r="L476" s="378"/>
      <c r="M476" s="312"/>
      <c r="N476" s="298"/>
      <c r="O476" s="312"/>
      <c r="P476" s="404" t="e">
        <f t="shared" si="179"/>
        <v>#DIV/0!</v>
      </c>
      <c r="Q476" s="312" t="e">
        <f t="shared" si="182"/>
        <v>#DIV/0!</v>
      </c>
      <c r="R476" s="298"/>
      <c r="S476" s="312"/>
      <c r="T476" s="298"/>
      <c r="U476" s="312"/>
      <c r="V476" s="454">
        <f t="shared" si="180"/>
        <v>0</v>
      </c>
      <c r="W476" s="312"/>
      <c r="X476" s="454">
        <f t="shared" si="181"/>
        <v>0</v>
      </c>
      <c r="Y476" s="312"/>
      <c r="Z476" s="379"/>
      <c r="AA476" s="297"/>
      <c r="AB476" s="379"/>
      <c r="AC476" s="297"/>
      <c r="AD476" s="413"/>
      <c r="AE476" s="297"/>
      <c r="AG476" s="294"/>
      <c r="AH476" s="380"/>
      <c r="AI476" s="408"/>
      <c r="AJ476" s="498"/>
      <c r="AK476" s="498"/>
      <c r="AL476" s="503" t="e">
        <f t="shared" si="176"/>
        <v>#DIV/0!</v>
      </c>
      <c r="AM476" s="498"/>
      <c r="AN476" s="503" t="e">
        <f t="shared" si="177"/>
        <v>#DIV/0!</v>
      </c>
      <c r="AO476" s="498"/>
      <c r="AP476" s="503" t="e">
        <f t="shared" si="178"/>
        <v>#DIV/0!</v>
      </c>
      <c r="AR476" s="110">
        <v>58807</v>
      </c>
      <c r="AS476" s="98">
        <f t="shared" si="174"/>
        <v>0</v>
      </c>
      <c r="AT476" s="98">
        <f t="shared" si="175"/>
        <v>0</v>
      </c>
      <c r="AU476" s="98"/>
    </row>
    <row r="477" spans="1:47">
      <c r="A477" s="295">
        <v>45965</v>
      </c>
      <c r="B477" s="296"/>
      <c r="C477" s="312"/>
      <c r="D477" s="296"/>
      <c r="E477" s="312"/>
      <c r="F477" s="296"/>
      <c r="G477" s="312"/>
      <c r="H477" s="325"/>
      <c r="I477" s="312"/>
      <c r="J477" s="416"/>
      <c r="K477" s="369"/>
      <c r="L477" s="378"/>
      <c r="M477" s="312"/>
      <c r="N477" s="298"/>
      <c r="O477" s="312"/>
      <c r="P477" s="404" t="e">
        <f t="shared" si="179"/>
        <v>#DIV/0!</v>
      </c>
      <c r="Q477" s="312" t="e">
        <f t="shared" si="182"/>
        <v>#DIV/0!</v>
      </c>
      <c r="R477" s="298"/>
      <c r="S477" s="312"/>
      <c r="T477" s="298"/>
      <c r="U477" s="312"/>
      <c r="V477" s="454">
        <f t="shared" si="180"/>
        <v>0</v>
      </c>
      <c r="W477" s="312"/>
      <c r="X477" s="454">
        <f t="shared" si="181"/>
        <v>0</v>
      </c>
      <c r="Y477" s="312"/>
      <c r="Z477" s="379"/>
      <c r="AA477" s="297"/>
      <c r="AB477" s="379"/>
      <c r="AC477" s="297"/>
      <c r="AD477" s="413"/>
      <c r="AE477" s="297"/>
      <c r="AG477" s="294"/>
      <c r="AH477" s="380"/>
      <c r="AI477" s="408"/>
      <c r="AJ477" s="498"/>
      <c r="AK477" s="498"/>
      <c r="AL477" s="503" t="e">
        <f t="shared" si="176"/>
        <v>#DIV/0!</v>
      </c>
      <c r="AM477" s="498"/>
      <c r="AN477" s="503" t="e">
        <f t="shared" si="177"/>
        <v>#DIV/0!</v>
      </c>
      <c r="AO477" s="498"/>
      <c r="AP477" s="503" t="e">
        <f t="shared" si="178"/>
        <v>#DIV/0!</v>
      </c>
      <c r="AR477" s="110">
        <v>58838</v>
      </c>
      <c r="AS477" s="98">
        <f t="shared" si="174"/>
        <v>0</v>
      </c>
      <c r="AT477" s="98">
        <f t="shared" si="175"/>
        <v>0</v>
      </c>
      <c r="AU477" s="98"/>
    </row>
    <row r="478" spans="1:47">
      <c r="A478" s="295">
        <v>45966</v>
      </c>
      <c r="B478" s="296"/>
      <c r="C478" s="312"/>
      <c r="D478" s="296"/>
      <c r="E478" s="312"/>
      <c r="F478" s="296"/>
      <c r="G478" s="312"/>
      <c r="H478" s="325"/>
      <c r="I478" s="312"/>
      <c r="J478" s="416"/>
      <c r="K478" s="369"/>
      <c r="L478" s="378"/>
      <c r="M478" s="312"/>
      <c r="N478" s="298"/>
      <c r="O478" s="312"/>
      <c r="P478" s="404" t="e">
        <f t="shared" si="179"/>
        <v>#DIV/0!</v>
      </c>
      <c r="Q478" s="312" t="e">
        <f t="shared" si="182"/>
        <v>#DIV/0!</v>
      </c>
      <c r="R478" s="298"/>
      <c r="S478" s="312"/>
      <c r="T478" s="298"/>
      <c r="U478" s="312"/>
      <c r="V478" s="454">
        <f t="shared" si="180"/>
        <v>0</v>
      </c>
      <c r="W478" s="312"/>
      <c r="X478" s="454">
        <f t="shared" si="181"/>
        <v>0</v>
      </c>
      <c r="Y478" s="312"/>
      <c r="Z478" s="379"/>
      <c r="AA478" s="297"/>
      <c r="AB478" s="379"/>
      <c r="AC478" s="297"/>
      <c r="AD478" s="413"/>
      <c r="AE478" s="297"/>
      <c r="AG478" s="294"/>
      <c r="AH478" s="380"/>
      <c r="AI478" s="408"/>
      <c r="AJ478" s="498"/>
      <c r="AK478" s="498"/>
      <c r="AL478" s="503" t="e">
        <f t="shared" si="176"/>
        <v>#DIV/0!</v>
      </c>
      <c r="AM478" s="498"/>
      <c r="AN478" s="503" t="e">
        <f t="shared" si="177"/>
        <v>#DIV/0!</v>
      </c>
      <c r="AO478" s="498"/>
      <c r="AP478" s="503" t="e">
        <f t="shared" si="178"/>
        <v>#DIV/0!</v>
      </c>
      <c r="AR478" s="110">
        <v>58866</v>
      </c>
      <c r="AS478" s="98">
        <f t="shared" si="174"/>
        <v>0</v>
      </c>
      <c r="AT478" s="98">
        <f t="shared" si="175"/>
        <v>0</v>
      </c>
      <c r="AU478" s="98"/>
    </row>
    <row r="479" spans="1:47">
      <c r="A479" s="295">
        <v>45967</v>
      </c>
      <c r="B479" s="296"/>
      <c r="C479" s="312"/>
      <c r="D479" s="296"/>
      <c r="E479" s="312"/>
      <c r="F479" s="296"/>
      <c r="G479" s="312"/>
      <c r="H479" s="325"/>
      <c r="I479" s="312"/>
      <c r="J479" s="416"/>
      <c r="K479" s="369"/>
      <c r="L479" s="378"/>
      <c r="M479" s="312"/>
      <c r="N479" s="298"/>
      <c r="O479" s="312"/>
      <c r="P479" s="404" t="e">
        <f t="shared" si="179"/>
        <v>#DIV/0!</v>
      </c>
      <c r="Q479" s="312" t="e">
        <f t="shared" si="182"/>
        <v>#DIV/0!</v>
      </c>
      <c r="R479" s="298"/>
      <c r="S479" s="312"/>
      <c r="T479" s="298"/>
      <c r="U479" s="312"/>
      <c r="V479" s="454">
        <f t="shared" si="180"/>
        <v>0</v>
      </c>
      <c r="W479" s="312"/>
      <c r="X479" s="454">
        <f t="shared" si="181"/>
        <v>0</v>
      </c>
      <c r="Y479" s="312"/>
      <c r="Z479" s="379"/>
      <c r="AA479" s="297"/>
      <c r="AB479" s="379"/>
      <c r="AC479" s="297"/>
      <c r="AD479" s="413"/>
      <c r="AE479" s="297"/>
      <c r="AG479" s="294"/>
      <c r="AH479" s="380"/>
      <c r="AI479" s="408"/>
      <c r="AJ479" s="498"/>
      <c r="AK479" s="498"/>
      <c r="AL479" s="503" t="e">
        <f t="shared" si="176"/>
        <v>#DIV/0!</v>
      </c>
      <c r="AM479" s="498"/>
      <c r="AN479" s="503" t="e">
        <f t="shared" si="177"/>
        <v>#DIV/0!</v>
      </c>
      <c r="AO479" s="498"/>
      <c r="AP479" s="503" t="e">
        <f t="shared" si="178"/>
        <v>#DIV/0!</v>
      </c>
      <c r="AR479" s="110">
        <v>58897</v>
      </c>
      <c r="AS479" s="98">
        <f t="shared" si="174"/>
        <v>0</v>
      </c>
      <c r="AT479" s="98">
        <f t="shared" si="175"/>
        <v>0</v>
      </c>
      <c r="AU479" s="98"/>
    </row>
    <row r="480" spans="1:47">
      <c r="A480" s="295">
        <v>45968</v>
      </c>
      <c r="B480" s="296"/>
      <c r="C480" s="312"/>
      <c r="D480" s="296"/>
      <c r="E480" s="312"/>
      <c r="F480" s="296"/>
      <c r="G480" s="312"/>
      <c r="H480" s="325"/>
      <c r="I480" s="312"/>
      <c r="J480" s="416"/>
      <c r="K480" s="369"/>
      <c r="L480" s="378"/>
      <c r="M480" s="312"/>
      <c r="N480" s="298"/>
      <c r="O480" s="312"/>
      <c r="P480" s="404" t="e">
        <f t="shared" si="179"/>
        <v>#DIV/0!</v>
      </c>
      <c r="Q480" s="312" t="e">
        <f t="shared" si="182"/>
        <v>#DIV/0!</v>
      </c>
      <c r="R480" s="298"/>
      <c r="S480" s="312"/>
      <c r="T480" s="298"/>
      <c r="U480" s="312"/>
      <c r="V480" s="454">
        <f t="shared" si="180"/>
        <v>0</v>
      </c>
      <c r="W480" s="312"/>
      <c r="X480" s="454">
        <f t="shared" si="181"/>
        <v>0</v>
      </c>
      <c r="Y480" s="312"/>
      <c r="Z480" s="379"/>
      <c r="AA480" s="297"/>
      <c r="AB480" s="379"/>
      <c r="AC480" s="297"/>
      <c r="AD480" s="413"/>
      <c r="AE480" s="297"/>
      <c r="AG480" s="294"/>
      <c r="AH480" s="380"/>
      <c r="AI480" s="408"/>
      <c r="AJ480" s="498"/>
      <c r="AK480" s="498"/>
      <c r="AL480" s="503" t="e">
        <f t="shared" si="176"/>
        <v>#DIV/0!</v>
      </c>
      <c r="AM480" s="498"/>
      <c r="AN480" s="503" t="e">
        <f t="shared" si="177"/>
        <v>#DIV/0!</v>
      </c>
      <c r="AO480" s="498"/>
      <c r="AP480" s="503" t="e">
        <f t="shared" si="178"/>
        <v>#DIV/0!</v>
      </c>
      <c r="AR480" s="110">
        <v>58927</v>
      </c>
      <c r="AS480" s="98">
        <f t="shared" si="174"/>
        <v>0</v>
      </c>
      <c r="AT480" s="98">
        <f t="shared" si="175"/>
        <v>0</v>
      </c>
      <c r="AU480" s="98"/>
    </row>
    <row r="481" spans="1:47">
      <c r="A481" s="295">
        <v>45971</v>
      </c>
      <c r="B481" s="296"/>
      <c r="C481" s="312"/>
      <c r="D481" s="296"/>
      <c r="E481" s="312"/>
      <c r="F481" s="296"/>
      <c r="G481" s="312"/>
      <c r="H481" s="325"/>
      <c r="I481" s="312"/>
      <c r="J481" s="416"/>
      <c r="K481" s="369"/>
      <c r="L481" s="378"/>
      <c r="M481" s="312"/>
      <c r="N481" s="298"/>
      <c r="O481" s="312"/>
      <c r="P481" s="404" t="e">
        <f t="shared" si="179"/>
        <v>#DIV/0!</v>
      </c>
      <c r="Q481" s="312" t="e">
        <f t="shared" si="182"/>
        <v>#DIV/0!</v>
      </c>
      <c r="R481" s="298"/>
      <c r="S481" s="312"/>
      <c r="T481" s="298"/>
      <c r="U481" s="312"/>
      <c r="V481" s="454">
        <f t="shared" si="180"/>
        <v>0</v>
      </c>
      <c r="W481" s="312"/>
      <c r="X481" s="454">
        <f t="shared" si="181"/>
        <v>0</v>
      </c>
      <c r="Y481" s="312"/>
      <c r="Z481" s="379"/>
      <c r="AA481" s="297"/>
      <c r="AB481" s="379"/>
      <c r="AC481" s="297"/>
      <c r="AD481" s="413"/>
      <c r="AE481" s="297"/>
      <c r="AG481" s="294"/>
      <c r="AH481" s="380"/>
      <c r="AI481" s="408"/>
      <c r="AJ481" s="498"/>
      <c r="AK481" s="498"/>
      <c r="AL481" s="503" t="e">
        <f t="shared" si="176"/>
        <v>#DIV/0!</v>
      </c>
      <c r="AM481" s="498"/>
      <c r="AN481" s="503" t="e">
        <f t="shared" si="177"/>
        <v>#DIV/0!</v>
      </c>
      <c r="AO481" s="498"/>
      <c r="AP481" s="503" t="e">
        <f t="shared" si="178"/>
        <v>#DIV/0!</v>
      </c>
      <c r="AR481" s="110">
        <v>58958</v>
      </c>
      <c r="AS481" s="98">
        <f t="shared" si="174"/>
        <v>0</v>
      </c>
      <c r="AT481" s="98">
        <f t="shared" si="175"/>
        <v>0</v>
      </c>
      <c r="AU481" s="98"/>
    </row>
    <row r="482" spans="1:47">
      <c r="A482" s="295">
        <v>45972</v>
      </c>
      <c r="B482" s="296"/>
      <c r="C482" s="312"/>
      <c r="D482" s="296"/>
      <c r="E482" s="312"/>
      <c r="F482" s="296"/>
      <c r="G482" s="312"/>
      <c r="H482" s="325"/>
      <c r="I482" s="312"/>
      <c r="J482" s="416"/>
      <c r="K482" s="369"/>
      <c r="L482" s="378"/>
      <c r="M482" s="312"/>
      <c r="N482" s="298"/>
      <c r="O482" s="312"/>
      <c r="P482" s="404" t="e">
        <f t="shared" si="179"/>
        <v>#DIV/0!</v>
      </c>
      <c r="Q482" s="312" t="e">
        <f t="shared" si="182"/>
        <v>#DIV/0!</v>
      </c>
      <c r="R482" s="298"/>
      <c r="S482" s="312"/>
      <c r="T482" s="298"/>
      <c r="U482" s="312"/>
      <c r="V482" s="454">
        <f t="shared" si="180"/>
        <v>0</v>
      </c>
      <c r="W482" s="312"/>
      <c r="X482" s="454">
        <f t="shared" si="181"/>
        <v>0</v>
      </c>
      <c r="Y482" s="312"/>
      <c r="Z482" s="379"/>
      <c r="AA482" s="297"/>
      <c r="AB482" s="379"/>
      <c r="AC482" s="297"/>
      <c r="AD482" s="413"/>
      <c r="AE482" s="297"/>
      <c r="AG482" s="294"/>
      <c r="AH482" s="380"/>
      <c r="AI482" s="408"/>
      <c r="AJ482" s="498"/>
      <c r="AK482" s="498"/>
      <c r="AL482" s="503" t="e">
        <f t="shared" si="176"/>
        <v>#DIV/0!</v>
      </c>
      <c r="AM482" s="498"/>
      <c r="AN482" s="503" t="e">
        <f t="shared" si="177"/>
        <v>#DIV/0!</v>
      </c>
      <c r="AO482" s="498"/>
      <c r="AP482" s="503" t="e">
        <f t="shared" si="178"/>
        <v>#DIV/0!</v>
      </c>
      <c r="AR482" s="110">
        <v>58988</v>
      </c>
      <c r="AS482" s="98">
        <f t="shared" si="174"/>
        <v>0</v>
      </c>
      <c r="AT482" s="98">
        <f t="shared" si="175"/>
        <v>0</v>
      </c>
      <c r="AU482" s="98"/>
    </row>
    <row r="483" spans="1:47">
      <c r="A483" s="295">
        <v>45973</v>
      </c>
      <c r="B483" s="296"/>
      <c r="C483" s="312"/>
      <c r="D483" s="296"/>
      <c r="E483" s="312"/>
      <c r="F483" s="296"/>
      <c r="G483" s="312"/>
      <c r="H483" s="325"/>
      <c r="I483" s="312"/>
      <c r="J483" s="416"/>
      <c r="K483" s="369"/>
      <c r="L483" s="378"/>
      <c r="M483" s="312"/>
      <c r="N483" s="298"/>
      <c r="O483" s="312"/>
      <c r="P483" s="404" t="e">
        <f t="shared" si="179"/>
        <v>#DIV/0!</v>
      </c>
      <c r="Q483" s="312" t="e">
        <f t="shared" si="182"/>
        <v>#DIV/0!</v>
      </c>
      <c r="R483" s="298"/>
      <c r="S483" s="312"/>
      <c r="T483" s="298"/>
      <c r="U483" s="312"/>
      <c r="V483" s="454">
        <f t="shared" si="180"/>
        <v>0</v>
      </c>
      <c r="W483" s="312"/>
      <c r="X483" s="454">
        <f t="shared" si="181"/>
        <v>0</v>
      </c>
      <c r="Y483" s="312"/>
      <c r="Z483" s="379"/>
      <c r="AA483" s="297"/>
      <c r="AB483" s="379"/>
      <c r="AC483" s="297"/>
      <c r="AD483" s="413"/>
      <c r="AE483" s="297"/>
      <c r="AG483" s="294"/>
      <c r="AH483" s="380"/>
      <c r="AI483" s="408"/>
      <c r="AJ483" s="498"/>
      <c r="AK483" s="498"/>
      <c r="AL483" s="503" t="e">
        <f t="shared" si="176"/>
        <v>#DIV/0!</v>
      </c>
      <c r="AM483" s="498"/>
      <c r="AN483" s="503" t="e">
        <f t="shared" si="177"/>
        <v>#DIV/0!</v>
      </c>
      <c r="AO483" s="498"/>
      <c r="AP483" s="503" t="e">
        <f t="shared" si="178"/>
        <v>#DIV/0!</v>
      </c>
      <c r="AR483" s="110">
        <v>59019</v>
      </c>
      <c r="AS483" s="98">
        <f t="shared" si="174"/>
        <v>0</v>
      </c>
      <c r="AT483" s="98">
        <f t="shared" si="175"/>
        <v>0</v>
      </c>
      <c r="AU483" s="98"/>
    </row>
    <row r="484" spans="1:47">
      <c r="A484" s="295">
        <v>45974</v>
      </c>
      <c r="B484" s="296"/>
      <c r="C484" s="312"/>
      <c r="D484" s="296"/>
      <c r="E484" s="312"/>
      <c r="F484" s="296"/>
      <c r="G484" s="312"/>
      <c r="H484" s="325"/>
      <c r="I484" s="312"/>
      <c r="J484" s="416"/>
      <c r="K484" s="369"/>
      <c r="L484" s="378"/>
      <c r="M484" s="312"/>
      <c r="N484" s="298"/>
      <c r="O484" s="312"/>
      <c r="P484" s="404" t="e">
        <f t="shared" si="179"/>
        <v>#DIV/0!</v>
      </c>
      <c r="Q484" s="312" t="e">
        <f t="shared" si="182"/>
        <v>#DIV/0!</v>
      </c>
      <c r="R484" s="298"/>
      <c r="S484" s="312"/>
      <c r="T484" s="298"/>
      <c r="U484" s="312"/>
      <c r="V484" s="454">
        <f t="shared" si="180"/>
        <v>0</v>
      </c>
      <c r="W484" s="312"/>
      <c r="X484" s="454">
        <f t="shared" si="181"/>
        <v>0</v>
      </c>
      <c r="Y484" s="312"/>
      <c r="Z484" s="379"/>
      <c r="AA484" s="297"/>
      <c r="AB484" s="379"/>
      <c r="AC484" s="297"/>
      <c r="AD484" s="413"/>
      <c r="AE484" s="297"/>
      <c r="AG484" s="294"/>
      <c r="AH484" s="380"/>
      <c r="AI484" s="408"/>
      <c r="AJ484" s="498"/>
      <c r="AK484" s="498"/>
      <c r="AL484" s="503" t="e">
        <f t="shared" si="176"/>
        <v>#DIV/0!</v>
      </c>
      <c r="AM484" s="498"/>
      <c r="AN484" s="503" t="e">
        <f t="shared" si="177"/>
        <v>#DIV/0!</v>
      </c>
      <c r="AO484" s="498"/>
      <c r="AP484" s="503" t="e">
        <f t="shared" si="178"/>
        <v>#DIV/0!</v>
      </c>
      <c r="AR484" s="110">
        <v>59050</v>
      </c>
      <c r="AS484" s="98">
        <f t="shared" si="174"/>
        <v>0</v>
      </c>
      <c r="AT484" s="98">
        <f t="shared" si="175"/>
        <v>0</v>
      </c>
      <c r="AU484" s="98"/>
    </row>
    <row r="485" spans="1:47">
      <c r="A485" s="295">
        <v>45975</v>
      </c>
      <c r="B485" s="296"/>
      <c r="C485" s="312"/>
      <c r="D485" s="296"/>
      <c r="E485" s="312"/>
      <c r="F485" s="296"/>
      <c r="G485" s="312"/>
      <c r="H485" s="325"/>
      <c r="I485" s="312"/>
      <c r="J485" s="416"/>
      <c r="K485" s="369"/>
      <c r="L485" s="378"/>
      <c r="M485" s="312"/>
      <c r="N485" s="298"/>
      <c r="O485" s="312"/>
      <c r="P485" s="404" t="e">
        <f t="shared" si="179"/>
        <v>#DIV/0!</v>
      </c>
      <c r="Q485" s="312" t="e">
        <f t="shared" si="182"/>
        <v>#DIV/0!</v>
      </c>
      <c r="R485" s="298"/>
      <c r="S485" s="312"/>
      <c r="T485" s="298"/>
      <c r="U485" s="312"/>
      <c r="V485" s="454">
        <f t="shared" si="180"/>
        <v>0</v>
      </c>
      <c r="W485" s="312"/>
      <c r="X485" s="454">
        <f t="shared" si="181"/>
        <v>0</v>
      </c>
      <c r="Y485" s="312"/>
      <c r="Z485" s="379"/>
      <c r="AA485" s="297"/>
      <c r="AB485" s="379"/>
      <c r="AC485" s="297"/>
      <c r="AD485" s="413"/>
      <c r="AE485" s="297"/>
      <c r="AG485" s="294"/>
      <c r="AH485" s="380"/>
      <c r="AI485" s="408"/>
      <c r="AJ485" s="498"/>
      <c r="AK485" s="498"/>
      <c r="AL485" s="503" t="e">
        <f t="shared" si="176"/>
        <v>#DIV/0!</v>
      </c>
      <c r="AM485" s="498"/>
      <c r="AN485" s="503" t="e">
        <f t="shared" si="177"/>
        <v>#DIV/0!</v>
      </c>
      <c r="AO485" s="498"/>
      <c r="AP485" s="503" t="e">
        <f t="shared" si="178"/>
        <v>#DIV/0!</v>
      </c>
      <c r="AR485" s="110">
        <v>59080</v>
      </c>
      <c r="AS485" s="98">
        <f t="shared" ref="AS485:AS488" si="183">AS484*0.9%+AS484</f>
        <v>0</v>
      </c>
      <c r="AT485" s="98">
        <f t="shared" ref="AT485:AT488" si="184">AT484*1%+AT484</f>
        <v>0</v>
      </c>
      <c r="AU485" s="98"/>
    </row>
    <row r="486" spans="1:47">
      <c r="A486" s="295">
        <v>45978</v>
      </c>
      <c r="B486" s="296"/>
      <c r="C486" s="312"/>
      <c r="D486" s="296"/>
      <c r="E486" s="312"/>
      <c r="F486" s="296"/>
      <c r="G486" s="312"/>
      <c r="H486" s="325"/>
      <c r="I486" s="312"/>
      <c r="J486" s="416"/>
      <c r="K486" s="369"/>
      <c r="L486" s="378"/>
      <c r="M486" s="312"/>
      <c r="N486" s="298"/>
      <c r="O486" s="312"/>
      <c r="P486" s="404" t="e">
        <f t="shared" si="179"/>
        <v>#DIV/0!</v>
      </c>
      <c r="Q486" s="312" t="e">
        <f t="shared" si="182"/>
        <v>#DIV/0!</v>
      </c>
      <c r="R486" s="298"/>
      <c r="S486" s="312"/>
      <c r="T486" s="298"/>
      <c r="U486" s="312"/>
      <c r="V486" s="454">
        <f t="shared" si="180"/>
        <v>0</v>
      </c>
      <c r="W486" s="312"/>
      <c r="X486" s="454">
        <f t="shared" si="181"/>
        <v>0</v>
      </c>
      <c r="Y486" s="312"/>
      <c r="Z486" s="379"/>
      <c r="AA486" s="297"/>
      <c r="AB486" s="379"/>
      <c r="AC486" s="297"/>
      <c r="AD486" s="413"/>
      <c r="AE486" s="297"/>
      <c r="AG486" s="294"/>
      <c r="AH486" s="380"/>
      <c r="AI486" s="408"/>
      <c r="AJ486" s="498"/>
      <c r="AK486" s="498"/>
      <c r="AL486" s="503" t="e">
        <f t="shared" si="176"/>
        <v>#DIV/0!</v>
      </c>
      <c r="AM486" s="498"/>
      <c r="AN486" s="503" t="e">
        <f t="shared" si="177"/>
        <v>#DIV/0!</v>
      </c>
      <c r="AO486" s="498"/>
      <c r="AP486" s="503" t="e">
        <f t="shared" si="178"/>
        <v>#DIV/0!</v>
      </c>
      <c r="AR486" s="110">
        <v>59111</v>
      </c>
      <c r="AS486" s="98">
        <f t="shared" si="183"/>
        <v>0</v>
      </c>
      <c r="AT486" s="98">
        <f t="shared" si="184"/>
        <v>0</v>
      </c>
      <c r="AU486" s="98"/>
    </row>
    <row r="487" spans="1:47">
      <c r="A487" s="295">
        <v>45979</v>
      </c>
      <c r="B487" s="296"/>
      <c r="C487" s="312"/>
      <c r="D487" s="296"/>
      <c r="E487" s="312"/>
      <c r="F487" s="296"/>
      <c r="G487" s="312"/>
      <c r="H487" s="325"/>
      <c r="I487" s="312"/>
      <c r="J487" s="416"/>
      <c r="K487" s="369"/>
      <c r="L487" s="378"/>
      <c r="M487" s="312"/>
      <c r="N487" s="298"/>
      <c r="O487" s="312"/>
      <c r="P487" s="404" t="e">
        <f t="shared" si="179"/>
        <v>#DIV/0!</v>
      </c>
      <c r="Q487" s="312" t="e">
        <f t="shared" si="182"/>
        <v>#DIV/0!</v>
      </c>
      <c r="R487" s="298"/>
      <c r="S487" s="312"/>
      <c r="T487" s="298"/>
      <c r="U487" s="312"/>
      <c r="V487" s="454">
        <f t="shared" si="180"/>
        <v>0</v>
      </c>
      <c r="W487" s="312"/>
      <c r="X487" s="454">
        <f t="shared" si="181"/>
        <v>0</v>
      </c>
      <c r="Y487" s="312"/>
      <c r="Z487" s="379"/>
      <c r="AA487" s="297"/>
      <c r="AB487" s="379"/>
      <c r="AC487" s="297"/>
      <c r="AD487" s="413"/>
      <c r="AE487" s="297"/>
      <c r="AG487" s="294"/>
      <c r="AH487" s="380"/>
      <c r="AI487" s="408"/>
      <c r="AJ487" s="498"/>
      <c r="AK487" s="498"/>
      <c r="AL487" s="503" t="e">
        <f t="shared" si="176"/>
        <v>#DIV/0!</v>
      </c>
      <c r="AM487" s="498"/>
      <c r="AN487" s="503" t="e">
        <f t="shared" si="177"/>
        <v>#DIV/0!</v>
      </c>
      <c r="AO487" s="498"/>
      <c r="AP487" s="503" t="e">
        <f t="shared" si="178"/>
        <v>#DIV/0!</v>
      </c>
      <c r="AR487" s="110">
        <v>59141</v>
      </c>
      <c r="AS487" s="98">
        <f t="shared" si="183"/>
        <v>0</v>
      </c>
      <c r="AT487" s="98">
        <f t="shared" si="184"/>
        <v>0</v>
      </c>
      <c r="AU487" s="98"/>
    </row>
    <row r="488" spans="1:47">
      <c r="A488" s="295">
        <v>45980</v>
      </c>
      <c r="B488" s="296"/>
      <c r="C488" s="312"/>
      <c r="D488" s="296"/>
      <c r="E488" s="312"/>
      <c r="F488" s="296"/>
      <c r="G488" s="312"/>
      <c r="H488" s="325"/>
      <c r="I488" s="312"/>
      <c r="J488" s="416"/>
      <c r="K488" s="369"/>
      <c r="L488" s="378"/>
      <c r="M488" s="312"/>
      <c r="N488" s="298"/>
      <c r="O488" s="312"/>
      <c r="P488" s="404" t="e">
        <f t="shared" si="179"/>
        <v>#DIV/0!</v>
      </c>
      <c r="Q488" s="312" t="e">
        <f t="shared" si="182"/>
        <v>#DIV/0!</v>
      </c>
      <c r="R488" s="298"/>
      <c r="S488" s="312"/>
      <c r="T488" s="298"/>
      <c r="U488" s="312"/>
      <c r="V488" s="454">
        <f t="shared" si="180"/>
        <v>0</v>
      </c>
      <c r="W488" s="312"/>
      <c r="X488" s="454">
        <f t="shared" si="181"/>
        <v>0</v>
      </c>
      <c r="Y488" s="312"/>
      <c r="Z488" s="379"/>
      <c r="AA488" s="297"/>
      <c r="AB488" s="379"/>
      <c r="AC488" s="297"/>
      <c r="AD488" s="413"/>
      <c r="AE488" s="297"/>
      <c r="AG488" s="294"/>
      <c r="AH488" s="380"/>
      <c r="AI488" s="408"/>
      <c r="AJ488" s="498"/>
      <c r="AK488" s="498"/>
      <c r="AL488" s="503" t="e">
        <f t="shared" si="176"/>
        <v>#DIV/0!</v>
      </c>
      <c r="AM488" s="498"/>
      <c r="AN488" s="503" t="e">
        <f t="shared" si="177"/>
        <v>#DIV/0!</v>
      </c>
      <c r="AO488" s="498"/>
      <c r="AP488" s="503" t="e">
        <f t="shared" si="178"/>
        <v>#DIV/0!</v>
      </c>
      <c r="AR488" s="110">
        <v>59172</v>
      </c>
      <c r="AS488" s="98">
        <f t="shared" si="183"/>
        <v>0</v>
      </c>
      <c r="AT488" s="98">
        <f t="shared" si="184"/>
        <v>0</v>
      </c>
      <c r="AU488" s="98"/>
    </row>
    <row r="489" spans="1:47">
      <c r="A489" s="295">
        <v>45981</v>
      </c>
      <c r="B489" s="296"/>
      <c r="C489" s="312"/>
      <c r="D489" s="296"/>
      <c r="E489" s="312"/>
      <c r="F489" s="296"/>
      <c r="G489" s="312"/>
      <c r="H489" s="325"/>
      <c r="I489" s="312"/>
      <c r="J489" s="416"/>
      <c r="K489" s="369"/>
      <c r="L489" s="378"/>
      <c r="M489" s="312"/>
      <c r="N489" s="298"/>
      <c r="O489" s="312"/>
      <c r="P489" s="404" t="e">
        <f t="shared" si="179"/>
        <v>#DIV/0!</v>
      </c>
      <c r="Q489" s="312" t="e">
        <f t="shared" si="182"/>
        <v>#DIV/0!</v>
      </c>
      <c r="R489" s="298"/>
      <c r="S489" s="312"/>
      <c r="T489" s="298"/>
      <c r="U489" s="312"/>
      <c r="V489" s="454">
        <f t="shared" si="180"/>
        <v>0</v>
      </c>
      <c r="W489" s="312"/>
      <c r="X489" s="454">
        <f t="shared" si="181"/>
        <v>0</v>
      </c>
      <c r="Y489" s="312"/>
      <c r="Z489" s="379"/>
      <c r="AA489" s="297"/>
      <c r="AB489" s="379"/>
      <c r="AC489" s="297"/>
      <c r="AD489" s="413"/>
      <c r="AE489" s="297"/>
      <c r="AG489" s="294"/>
      <c r="AH489" s="380"/>
      <c r="AI489" s="408"/>
      <c r="AJ489" s="498"/>
      <c r="AK489" s="498"/>
      <c r="AL489" s="503" t="e">
        <f t="shared" si="176"/>
        <v>#DIV/0!</v>
      </c>
      <c r="AM489" s="498"/>
      <c r="AN489" s="503" t="e">
        <f t="shared" si="177"/>
        <v>#DIV/0!</v>
      </c>
      <c r="AO489" s="498"/>
      <c r="AP489" s="503" t="e">
        <f t="shared" si="178"/>
        <v>#DIV/0!</v>
      </c>
    </row>
    <row r="490" spans="1:47">
      <c r="A490" s="295">
        <v>45982</v>
      </c>
      <c r="B490" s="433"/>
      <c r="C490" s="312"/>
      <c r="D490" s="296"/>
      <c r="E490" s="312"/>
      <c r="F490" s="296"/>
      <c r="G490" s="312"/>
      <c r="H490" s="325"/>
      <c r="I490" s="312"/>
      <c r="J490" s="416"/>
      <c r="K490" s="369"/>
      <c r="L490" s="378"/>
      <c r="M490" s="312"/>
      <c r="N490" s="298"/>
      <c r="O490" s="312"/>
      <c r="P490" s="404" t="e">
        <f t="shared" si="179"/>
        <v>#DIV/0!</v>
      </c>
      <c r="Q490" s="312" t="e">
        <f t="shared" si="182"/>
        <v>#DIV/0!</v>
      </c>
      <c r="R490" s="298"/>
      <c r="S490" s="312"/>
      <c r="T490" s="298"/>
      <c r="U490" s="312"/>
      <c r="V490" s="454">
        <f t="shared" si="180"/>
        <v>0</v>
      </c>
      <c r="W490" s="312"/>
      <c r="X490" s="454">
        <f t="shared" si="181"/>
        <v>0</v>
      </c>
      <c r="Y490" s="312"/>
      <c r="Z490" s="379"/>
      <c r="AA490" s="297"/>
      <c r="AB490" s="379"/>
      <c r="AC490" s="297"/>
      <c r="AD490" s="413"/>
      <c r="AE490" s="297"/>
      <c r="AG490" s="294"/>
      <c r="AH490" s="380"/>
      <c r="AI490" s="408"/>
      <c r="AJ490" s="498"/>
      <c r="AK490" s="498"/>
      <c r="AL490" s="503" t="e">
        <f t="shared" si="176"/>
        <v>#DIV/0!</v>
      </c>
      <c r="AM490" s="498"/>
      <c r="AN490" s="503" t="e">
        <f t="shared" si="177"/>
        <v>#DIV/0!</v>
      </c>
      <c r="AO490" s="498"/>
      <c r="AP490" s="503" t="e">
        <f t="shared" si="178"/>
        <v>#DIV/0!</v>
      </c>
      <c r="AS490" s="101"/>
      <c r="AT490" s="389"/>
      <c r="AU490" s="568"/>
    </row>
    <row r="491" spans="1:47">
      <c r="A491" s="295">
        <v>45985</v>
      </c>
      <c r="B491" s="433"/>
      <c r="C491" s="312"/>
      <c r="D491" s="296"/>
      <c r="E491" s="312"/>
      <c r="F491" s="296"/>
      <c r="G491" s="312"/>
      <c r="H491" s="325"/>
      <c r="I491" s="312"/>
      <c r="J491" s="416"/>
      <c r="K491" s="369"/>
      <c r="L491" s="378"/>
      <c r="M491" s="312"/>
      <c r="N491" s="298"/>
      <c r="O491" s="312"/>
      <c r="P491" s="404" t="e">
        <f t="shared" si="179"/>
        <v>#DIV/0!</v>
      </c>
      <c r="Q491" s="312" t="e">
        <f t="shared" si="182"/>
        <v>#DIV/0!</v>
      </c>
      <c r="R491" s="298"/>
      <c r="S491" s="312"/>
      <c r="T491" s="298"/>
      <c r="U491" s="312"/>
      <c r="V491" s="454">
        <f t="shared" si="180"/>
        <v>0</v>
      </c>
      <c r="W491" s="312"/>
      <c r="X491" s="454">
        <f t="shared" si="181"/>
        <v>0</v>
      </c>
      <c r="Y491" s="312"/>
      <c r="Z491" s="379"/>
      <c r="AA491" s="297"/>
      <c r="AB491" s="379"/>
      <c r="AC491" s="297"/>
      <c r="AD491" s="413"/>
      <c r="AE491" s="297"/>
      <c r="AG491" s="294"/>
      <c r="AH491" s="380"/>
      <c r="AI491" s="408"/>
      <c r="AJ491" s="498"/>
      <c r="AK491" s="498"/>
      <c r="AL491" s="498"/>
      <c r="AM491" s="498"/>
      <c r="AN491" s="498"/>
      <c r="AO491" s="498"/>
      <c r="AP491" s="498"/>
    </row>
    <row r="492" spans="1:47">
      <c r="A492" s="295">
        <v>45986</v>
      </c>
      <c r="B492" s="433"/>
      <c r="C492" s="312"/>
      <c r="D492" s="296"/>
      <c r="E492" s="312"/>
      <c r="F492" s="296"/>
      <c r="G492" s="312"/>
      <c r="H492" s="325"/>
      <c r="I492" s="312"/>
      <c r="J492" s="416"/>
      <c r="K492" s="369"/>
      <c r="L492" s="378"/>
      <c r="M492" s="312"/>
      <c r="N492" s="298"/>
      <c r="O492" s="312"/>
      <c r="P492" s="404" t="e">
        <f t="shared" si="179"/>
        <v>#DIV/0!</v>
      </c>
      <c r="Q492" s="312" t="e">
        <f t="shared" si="182"/>
        <v>#DIV/0!</v>
      </c>
      <c r="R492" s="298"/>
      <c r="S492" s="312"/>
      <c r="T492" s="298"/>
      <c r="U492" s="312"/>
      <c r="V492" s="454">
        <f t="shared" si="180"/>
        <v>0</v>
      </c>
      <c r="W492" s="312"/>
      <c r="X492" s="454">
        <f t="shared" si="181"/>
        <v>0</v>
      </c>
      <c r="Y492" s="312"/>
      <c r="Z492" s="379"/>
      <c r="AA492" s="297"/>
      <c r="AB492" s="379"/>
      <c r="AC492" s="297"/>
      <c r="AD492" s="413"/>
      <c r="AE492" s="297"/>
      <c r="AG492" s="294"/>
      <c r="AH492" s="380"/>
      <c r="AI492" s="408"/>
      <c r="AJ492" s="498"/>
      <c r="AK492" s="498"/>
      <c r="AL492" s="498"/>
      <c r="AM492" s="498"/>
      <c r="AN492" s="498"/>
      <c r="AO492" s="498"/>
      <c r="AP492" s="498"/>
    </row>
    <row r="493" spans="1:47">
      <c r="A493" s="295">
        <v>45987</v>
      </c>
      <c r="B493" s="433"/>
      <c r="C493" s="312"/>
      <c r="D493" s="296"/>
      <c r="E493" s="312"/>
      <c r="F493" s="296"/>
      <c r="G493" s="312"/>
      <c r="H493" s="325"/>
      <c r="I493" s="312"/>
      <c r="J493" s="416"/>
      <c r="K493" s="369"/>
      <c r="L493" s="378"/>
      <c r="M493" s="312"/>
      <c r="N493" s="298"/>
      <c r="O493" s="312"/>
      <c r="P493" s="404" t="e">
        <f t="shared" si="179"/>
        <v>#DIV/0!</v>
      </c>
      <c r="Q493" s="312" t="e">
        <f t="shared" si="182"/>
        <v>#DIV/0!</v>
      </c>
      <c r="R493" s="298"/>
      <c r="S493" s="312"/>
      <c r="T493" s="298"/>
      <c r="U493" s="312"/>
      <c r="V493" s="454">
        <f t="shared" si="180"/>
        <v>0</v>
      </c>
      <c r="W493" s="312"/>
      <c r="X493" s="454">
        <f t="shared" si="181"/>
        <v>0</v>
      </c>
      <c r="Y493" s="312"/>
      <c r="Z493" s="379"/>
      <c r="AA493" s="297"/>
      <c r="AB493" s="379"/>
      <c r="AC493" s="297"/>
      <c r="AD493" s="413"/>
      <c r="AE493" s="297"/>
      <c r="AG493" s="294"/>
      <c r="AH493" s="380"/>
      <c r="AI493" s="408"/>
      <c r="AJ493" s="498"/>
      <c r="AK493" s="498"/>
      <c r="AL493" s="498"/>
      <c r="AM493" s="498"/>
      <c r="AN493" s="498"/>
      <c r="AO493" s="498"/>
      <c r="AP493" s="498"/>
    </row>
    <row r="494" spans="1:47">
      <c r="A494" s="295">
        <v>45988</v>
      </c>
      <c r="B494" s="433"/>
      <c r="C494" s="312"/>
      <c r="D494" s="296"/>
      <c r="E494" s="312"/>
      <c r="F494" s="296"/>
      <c r="G494" s="312"/>
      <c r="H494" s="325"/>
      <c r="I494" s="312"/>
      <c r="J494" s="416"/>
      <c r="K494" s="369"/>
      <c r="L494" s="378"/>
      <c r="M494" s="312"/>
      <c r="N494" s="298"/>
      <c r="O494" s="312"/>
      <c r="P494" s="404" t="e">
        <f t="shared" si="179"/>
        <v>#DIV/0!</v>
      </c>
      <c r="Q494" s="312" t="e">
        <f t="shared" si="182"/>
        <v>#DIV/0!</v>
      </c>
      <c r="R494" s="298"/>
      <c r="S494" s="312"/>
      <c r="T494" s="298"/>
      <c r="U494" s="312"/>
      <c r="V494" s="454">
        <f t="shared" si="180"/>
        <v>0</v>
      </c>
      <c r="W494" s="312"/>
      <c r="X494" s="454">
        <f t="shared" si="181"/>
        <v>0</v>
      </c>
      <c r="Y494" s="312"/>
      <c r="Z494" s="379"/>
      <c r="AA494" s="297"/>
      <c r="AB494" s="379"/>
      <c r="AC494" s="297"/>
      <c r="AD494" s="413"/>
      <c r="AE494" s="297"/>
      <c r="AG494" s="294"/>
      <c r="AH494" s="380"/>
      <c r="AI494" s="408"/>
      <c r="AJ494" s="498"/>
      <c r="AK494" s="498"/>
      <c r="AL494" s="498"/>
      <c r="AM494" s="498"/>
      <c r="AN494" s="498"/>
      <c r="AO494" s="498"/>
      <c r="AP494" s="498"/>
    </row>
    <row r="495" spans="1:47">
      <c r="A495" s="295">
        <v>45989</v>
      </c>
      <c r="B495" s="433"/>
      <c r="C495" s="312"/>
      <c r="D495" s="296"/>
      <c r="E495" s="312"/>
      <c r="F495" s="296"/>
      <c r="G495" s="312"/>
      <c r="H495" s="325"/>
      <c r="I495" s="312"/>
      <c r="J495" s="416"/>
      <c r="K495" s="369"/>
      <c r="L495" s="378"/>
      <c r="M495" s="312"/>
      <c r="N495" s="298"/>
      <c r="O495" s="312"/>
      <c r="P495" s="404" t="e">
        <f t="shared" si="179"/>
        <v>#DIV/0!</v>
      </c>
      <c r="Q495" s="312" t="e">
        <f t="shared" si="182"/>
        <v>#DIV/0!</v>
      </c>
      <c r="R495" s="298"/>
      <c r="S495" s="312"/>
      <c r="T495" s="298"/>
      <c r="U495" s="312"/>
      <c r="V495" s="454">
        <f t="shared" si="180"/>
        <v>0</v>
      </c>
      <c r="W495" s="312"/>
      <c r="X495" s="454">
        <f t="shared" si="181"/>
        <v>0</v>
      </c>
      <c r="Y495" s="312"/>
      <c r="Z495" s="379"/>
      <c r="AA495" s="297"/>
      <c r="AB495" s="379"/>
      <c r="AC495" s="297"/>
      <c r="AD495" s="413"/>
      <c r="AE495" s="297"/>
      <c r="AG495" s="294"/>
      <c r="AH495" s="380"/>
      <c r="AI495" s="408"/>
      <c r="AJ495" s="498"/>
      <c r="AK495" s="498"/>
      <c r="AL495" s="498"/>
      <c r="AM495" s="498"/>
      <c r="AN495" s="498"/>
      <c r="AO495" s="498"/>
      <c r="AP495" s="498"/>
    </row>
    <row r="496" spans="1:47">
      <c r="A496" s="295">
        <v>45992</v>
      </c>
      <c r="B496" s="433"/>
      <c r="C496" s="312"/>
      <c r="D496" s="296"/>
      <c r="E496" s="312"/>
      <c r="F496" s="296"/>
      <c r="G496" s="312"/>
      <c r="H496" s="325"/>
      <c r="I496" s="312"/>
      <c r="J496" s="416"/>
      <c r="K496" s="369"/>
      <c r="L496" s="378"/>
      <c r="M496" s="312"/>
      <c r="N496" s="298"/>
      <c r="O496" s="312"/>
      <c r="P496" s="404" t="e">
        <f t="shared" si="179"/>
        <v>#DIV/0!</v>
      </c>
      <c r="Q496" s="312" t="e">
        <f t="shared" si="182"/>
        <v>#DIV/0!</v>
      </c>
      <c r="R496" s="298"/>
      <c r="S496" s="312"/>
      <c r="T496" s="298"/>
      <c r="U496" s="312"/>
      <c r="V496" s="454">
        <f t="shared" si="180"/>
        <v>0</v>
      </c>
      <c r="W496" s="312"/>
      <c r="X496" s="454">
        <f t="shared" si="181"/>
        <v>0</v>
      </c>
      <c r="Y496" s="312"/>
      <c r="Z496" s="379"/>
      <c r="AA496" s="297"/>
      <c r="AB496" s="379"/>
      <c r="AC496" s="297"/>
      <c r="AD496" s="413"/>
      <c r="AE496" s="297"/>
      <c r="AG496" s="294"/>
      <c r="AH496" s="380"/>
      <c r="AI496" s="408"/>
      <c r="AJ496" s="498"/>
      <c r="AK496" s="498"/>
      <c r="AL496" s="498"/>
      <c r="AM496" s="498"/>
      <c r="AN496" s="498"/>
      <c r="AO496" s="498"/>
      <c r="AP496" s="498"/>
    </row>
    <row r="497" spans="1:42">
      <c r="A497" s="295">
        <v>45993</v>
      </c>
      <c r="B497" s="433"/>
      <c r="C497" s="312"/>
      <c r="D497" s="296"/>
      <c r="E497" s="312"/>
      <c r="F497" s="296"/>
      <c r="G497" s="312"/>
      <c r="H497" s="325"/>
      <c r="I497" s="312"/>
      <c r="J497" s="416"/>
      <c r="K497" s="369"/>
      <c r="L497" s="378"/>
      <c r="M497" s="312"/>
      <c r="N497" s="298"/>
      <c r="O497" s="312"/>
      <c r="P497" s="404" t="e">
        <f t="shared" si="179"/>
        <v>#DIV/0!</v>
      </c>
      <c r="Q497" s="312" t="e">
        <f t="shared" si="182"/>
        <v>#DIV/0!</v>
      </c>
      <c r="R497" s="298"/>
      <c r="S497" s="312"/>
      <c r="T497" s="298"/>
      <c r="U497" s="312"/>
      <c r="V497" s="454">
        <f t="shared" si="180"/>
        <v>0</v>
      </c>
      <c r="W497" s="312"/>
      <c r="X497" s="454">
        <f t="shared" si="181"/>
        <v>0</v>
      </c>
      <c r="Y497" s="312"/>
      <c r="Z497" s="379"/>
      <c r="AA497" s="297"/>
      <c r="AB497" s="379"/>
      <c r="AC497" s="297"/>
      <c r="AD497" s="413"/>
      <c r="AE497" s="297"/>
      <c r="AG497" s="294"/>
      <c r="AH497" s="380"/>
      <c r="AI497" s="408"/>
      <c r="AJ497" s="498"/>
      <c r="AK497" s="498"/>
      <c r="AL497" s="498"/>
      <c r="AM497" s="498"/>
      <c r="AN497" s="498"/>
      <c r="AO497" s="498"/>
      <c r="AP497" s="498"/>
    </row>
    <row r="498" spans="1:42">
      <c r="A498" s="295">
        <v>45994</v>
      </c>
      <c r="B498" s="433"/>
      <c r="C498" s="312"/>
      <c r="D498" s="296"/>
      <c r="E498" s="312"/>
      <c r="F498" s="296"/>
      <c r="G498" s="312"/>
      <c r="H498" s="325"/>
      <c r="I498" s="312"/>
      <c r="J498" s="416"/>
      <c r="K498" s="369"/>
      <c r="L498" s="378"/>
      <c r="M498" s="312"/>
      <c r="N498" s="298"/>
      <c r="O498" s="312"/>
      <c r="P498" s="404" t="e">
        <f t="shared" si="179"/>
        <v>#DIV/0!</v>
      </c>
      <c r="Q498" s="312" t="e">
        <f t="shared" si="182"/>
        <v>#DIV/0!</v>
      </c>
      <c r="R498" s="298"/>
      <c r="S498" s="312"/>
      <c r="T498" s="298"/>
      <c r="U498" s="312"/>
      <c r="V498" s="454">
        <f t="shared" si="180"/>
        <v>0</v>
      </c>
      <c r="W498" s="312"/>
      <c r="X498" s="454">
        <f t="shared" si="181"/>
        <v>0</v>
      </c>
      <c r="Y498" s="312"/>
      <c r="Z498" s="379"/>
      <c r="AA498" s="297"/>
      <c r="AB498" s="379"/>
      <c r="AC498" s="297"/>
      <c r="AD498" s="413"/>
      <c r="AE498" s="297"/>
      <c r="AG498" s="294"/>
      <c r="AH498" s="380"/>
      <c r="AI498" s="408"/>
      <c r="AJ498" s="498"/>
      <c r="AK498" s="498"/>
      <c r="AL498" s="498"/>
      <c r="AM498" s="498"/>
      <c r="AN498" s="498"/>
      <c r="AO498" s="498"/>
      <c r="AP498" s="498"/>
    </row>
    <row r="499" spans="1:42">
      <c r="A499" s="295">
        <v>45995</v>
      </c>
      <c r="B499" s="433"/>
      <c r="C499" s="312"/>
      <c r="D499" s="296"/>
      <c r="E499" s="312"/>
      <c r="F499" s="296"/>
      <c r="G499" s="312"/>
      <c r="H499" s="325"/>
      <c r="I499" s="312"/>
      <c r="J499" s="416"/>
      <c r="K499" s="369"/>
      <c r="L499" s="378"/>
      <c r="M499" s="312"/>
      <c r="N499" s="298"/>
      <c r="O499" s="312"/>
      <c r="P499" s="404" t="e">
        <f t="shared" si="179"/>
        <v>#DIV/0!</v>
      </c>
      <c r="Q499" s="312" t="e">
        <f t="shared" si="182"/>
        <v>#DIV/0!</v>
      </c>
      <c r="R499" s="298"/>
      <c r="S499" s="312"/>
      <c r="T499" s="298"/>
      <c r="U499" s="312"/>
      <c r="V499" s="454">
        <f t="shared" si="180"/>
        <v>0</v>
      </c>
      <c r="W499" s="312"/>
      <c r="X499" s="454">
        <f t="shared" si="181"/>
        <v>0</v>
      </c>
      <c r="Y499" s="312"/>
      <c r="Z499" s="379"/>
      <c r="AA499" s="297"/>
      <c r="AB499" s="379"/>
      <c r="AC499" s="297"/>
      <c r="AD499" s="413"/>
      <c r="AE499" s="297"/>
      <c r="AG499" s="294"/>
      <c r="AH499" s="380"/>
      <c r="AI499" s="408"/>
      <c r="AJ499" s="498"/>
      <c r="AK499" s="498"/>
      <c r="AL499" s="498"/>
      <c r="AM499" s="498"/>
      <c r="AN499" s="498"/>
      <c r="AO499" s="498"/>
      <c r="AP499" s="498"/>
    </row>
    <row r="500" spans="1:42">
      <c r="A500" s="295">
        <v>45996</v>
      </c>
      <c r="B500" s="433"/>
      <c r="C500" s="312"/>
      <c r="D500" s="296"/>
      <c r="E500" s="312"/>
      <c r="F500" s="296"/>
      <c r="G500" s="312"/>
      <c r="H500" s="325"/>
      <c r="I500" s="312"/>
      <c r="J500" s="416"/>
      <c r="K500" s="369"/>
      <c r="L500" s="378"/>
      <c r="M500" s="312"/>
      <c r="N500" s="298"/>
      <c r="O500" s="312"/>
      <c r="P500" s="404" t="e">
        <f t="shared" si="179"/>
        <v>#DIV/0!</v>
      </c>
      <c r="Q500" s="312" t="e">
        <f t="shared" si="182"/>
        <v>#DIV/0!</v>
      </c>
      <c r="R500" s="298"/>
      <c r="S500" s="312"/>
      <c r="T500" s="298"/>
      <c r="U500" s="312"/>
      <c r="V500" s="454">
        <f t="shared" si="180"/>
        <v>0</v>
      </c>
      <c r="W500" s="312"/>
      <c r="X500" s="454">
        <f t="shared" si="181"/>
        <v>0</v>
      </c>
      <c r="Y500" s="312"/>
      <c r="Z500" s="379"/>
      <c r="AA500" s="297"/>
      <c r="AB500" s="379"/>
      <c r="AC500" s="297"/>
      <c r="AD500" s="413"/>
      <c r="AE500" s="297"/>
      <c r="AG500" s="294"/>
      <c r="AH500" s="380"/>
      <c r="AI500" s="408"/>
      <c r="AJ500" s="498"/>
      <c r="AK500" s="498"/>
      <c r="AL500" s="498"/>
      <c r="AM500" s="498"/>
      <c r="AN500" s="498"/>
      <c r="AO500" s="498"/>
      <c r="AP500" s="498"/>
    </row>
    <row r="501" spans="1:42">
      <c r="A501" s="295">
        <v>45999</v>
      </c>
      <c r="B501" s="433"/>
      <c r="C501" s="312"/>
      <c r="D501" s="296"/>
      <c r="E501" s="312"/>
      <c r="F501" s="296"/>
      <c r="G501" s="312"/>
      <c r="H501" s="325"/>
      <c r="I501" s="312"/>
      <c r="J501" s="416"/>
      <c r="K501" s="369"/>
      <c r="L501" s="378"/>
      <c r="M501" s="312"/>
      <c r="N501" s="298"/>
      <c r="O501" s="312"/>
      <c r="P501" s="404" t="e">
        <f t="shared" si="179"/>
        <v>#DIV/0!</v>
      </c>
      <c r="Q501" s="312" t="e">
        <f t="shared" si="182"/>
        <v>#DIV/0!</v>
      </c>
      <c r="R501" s="298"/>
      <c r="S501" s="312"/>
      <c r="T501" s="298"/>
      <c r="U501" s="312"/>
      <c r="V501" s="454">
        <f t="shared" si="180"/>
        <v>0</v>
      </c>
      <c r="W501" s="312"/>
      <c r="X501" s="454">
        <f t="shared" si="181"/>
        <v>0</v>
      </c>
      <c r="Y501" s="312"/>
      <c r="Z501" s="379"/>
      <c r="AA501" s="297"/>
      <c r="AB501" s="379"/>
      <c r="AC501" s="297"/>
      <c r="AD501" s="413"/>
      <c r="AE501" s="297"/>
      <c r="AG501" s="294"/>
      <c r="AH501" s="380"/>
      <c r="AI501" s="408"/>
      <c r="AJ501" s="498"/>
      <c r="AK501" s="498"/>
      <c r="AL501" s="498"/>
      <c r="AM501" s="498"/>
      <c r="AN501" s="498"/>
      <c r="AO501" s="498"/>
      <c r="AP501" s="498"/>
    </row>
    <row r="502" spans="1:42">
      <c r="A502" s="295">
        <v>46000</v>
      </c>
      <c r="B502" s="433"/>
      <c r="C502" s="312"/>
      <c r="D502" s="296"/>
      <c r="E502" s="312"/>
      <c r="F502" s="296"/>
      <c r="G502" s="312"/>
      <c r="H502" s="325"/>
      <c r="I502" s="312"/>
      <c r="J502" s="416"/>
      <c r="K502" s="369"/>
      <c r="L502" s="378"/>
      <c r="M502" s="312"/>
      <c r="N502" s="298"/>
      <c r="O502" s="312"/>
      <c r="P502" s="404" t="e">
        <f t="shared" si="179"/>
        <v>#DIV/0!</v>
      </c>
      <c r="Q502" s="312" t="e">
        <f t="shared" si="182"/>
        <v>#DIV/0!</v>
      </c>
      <c r="R502" s="298"/>
      <c r="S502" s="312"/>
      <c r="T502" s="298"/>
      <c r="U502" s="312"/>
      <c r="V502" s="454">
        <f t="shared" si="180"/>
        <v>0</v>
      </c>
      <c r="W502" s="312"/>
      <c r="X502" s="454">
        <f t="shared" si="181"/>
        <v>0</v>
      </c>
      <c r="Y502" s="312"/>
      <c r="Z502" s="379"/>
      <c r="AA502" s="297"/>
      <c r="AB502" s="379"/>
      <c r="AC502" s="297"/>
      <c r="AD502" s="413"/>
      <c r="AE502" s="297"/>
      <c r="AG502" s="294"/>
      <c r="AH502" s="380"/>
      <c r="AI502" s="408"/>
      <c r="AJ502" s="498"/>
      <c r="AK502" s="498"/>
      <c r="AL502" s="498"/>
      <c r="AM502" s="498"/>
      <c r="AN502" s="498"/>
      <c r="AO502" s="498"/>
      <c r="AP502" s="498"/>
    </row>
    <row r="503" spans="1:42">
      <c r="A503" s="295">
        <v>46001</v>
      </c>
      <c r="B503" s="433"/>
      <c r="C503" s="312"/>
      <c r="D503" s="296"/>
      <c r="E503" s="312"/>
      <c r="F503" s="296"/>
      <c r="G503" s="312"/>
      <c r="H503" s="325"/>
      <c r="I503" s="312"/>
      <c r="J503" s="416"/>
      <c r="K503" s="369"/>
      <c r="L503" s="378"/>
      <c r="M503" s="312"/>
      <c r="N503" s="298"/>
      <c r="O503" s="312"/>
      <c r="P503" s="404" t="e">
        <f t="shared" si="179"/>
        <v>#DIV/0!</v>
      </c>
      <c r="Q503" s="312" t="e">
        <f t="shared" si="182"/>
        <v>#DIV/0!</v>
      </c>
      <c r="R503" s="298"/>
      <c r="S503" s="312"/>
      <c r="T503" s="298"/>
      <c r="U503" s="312"/>
      <c r="V503" s="454">
        <f t="shared" si="180"/>
        <v>0</v>
      </c>
      <c r="W503" s="312"/>
      <c r="X503" s="454">
        <f t="shared" si="181"/>
        <v>0</v>
      </c>
      <c r="Y503" s="312"/>
      <c r="Z503" s="379"/>
      <c r="AA503" s="297"/>
      <c r="AB503" s="379"/>
      <c r="AC503" s="297"/>
      <c r="AD503" s="413"/>
      <c r="AE503" s="297"/>
      <c r="AG503" s="294"/>
      <c r="AH503" s="380"/>
      <c r="AI503" s="408"/>
      <c r="AJ503" s="498"/>
      <c r="AK503" s="498"/>
      <c r="AL503" s="498"/>
      <c r="AM503" s="498"/>
      <c r="AN503" s="498"/>
      <c r="AO503" s="498"/>
      <c r="AP503" s="498"/>
    </row>
    <row r="504" spans="1:42">
      <c r="A504" s="295">
        <v>46002</v>
      </c>
      <c r="B504" s="433"/>
      <c r="C504" s="312"/>
      <c r="D504" s="296"/>
      <c r="E504" s="312"/>
      <c r="F504" s="296"/>
      <c r="G504" s="312"/>
      <c r="H504" s="325"/>
      <c r="I504" s="312"/>
      <c r="J504" s="416"/>
      <c r="K504" s="369"/>
      <c r="L504" s="378"/>
      <c r="M504" s="312"/>
      <c r="N504" s="298"/>
      <c r="O504" s="312"/>
      <c r="P504" s="404" t="e">
        <f t="shared" si="179"/>
        <v>#DIV/0!</v>
      </c>
      <c r="Q504" s="312" t="e">
        <f t="shared" si="182"/>
        <v>#DIV/0!</v>
      </c>
      <c r="R504" s="298"/>
      <c r="S504" s="312"/>
      <c r="T504" s="298"/>
      <c r="U504" s="312"/>
      <c r="V504" s="454">
        <f t="shared" si="180"/>
        <v>0</v>
      </c>
      <c r="W504" s="312"/>
      <c r="X504" s="454">
        <f t="shared" si="181"/>
        <v>0</v>
      </c>
      <c r="Y504" s="312"/>
      <c r="Z504" s="379"/>
      <c r="AA504" s="297"/>
      <c r="AB504" s="379"/>
      <c r="AC504" s="297"/>
      <c r="AD504" s="413"/>
      <c r="AE504" s="297"/>
      <c r="AG504" s="294"/>
      <c r="AH504" s="380"/>
      <c r="AI504" s="408"/>
      <c r="AJ504" s="498"/>
      <c r="AK504" s="498"/>
      <c r="AL504" s="498"/>
      <c r="AM504" s="498"/>
      <c r="AN504" s="498"/>
      <c r="AO504" s="498"/>
      <c r="AP504" s="498"/>
    </row>
    <row r="505" spans="1:42">
      <c r="A505" s="295">
        <v>46003</v>
      </c>
      <c r="B505" s="433"/>
      <c r="C505" s="312"/>
      <c r="D505" s="296"/>
      <c r="E505" s="312"/>
      <c r="F505" s="296"/>
      <c r="G505" s="312"/>
      <c r="H505" s="325"/>
      <c r="I505" s="312"/>
      <c r="J505" s="416"/>
      <c r="K505" s="369"/>
      <c r="L505" s="378"/>
      <c r="M505" s="312"/>
      <c r="N505" s="298"/>
      <c r="O505" s="312"/>
      <c r="P505" s="404" t="e">
        <f t="shared" si="179"/>
        <v>#DIV/0!</v>
      </c>
      <c r="Q505" s="312" t="e">
        <f t="shared" si="182"/>
        <v>#DIV/0!</v>
      </c>
      <c r="R505" s="298"/>
      <c r="S505" s="312"/>
      <c r="T505" s="298"/>
      <c r="U505" s="312"/>
      <c r="V505" s="454">
        <f t="shared" si="180"/>
        <v>0</v>
      </c>
      <c r="W505" s="312"/>
      <c r="X505" s="454">
        <f t="shared" si="181"/>
        <v>0</v>
      </c>
      <c r="Y505" s="312"/>
      <c r="Z505" s="379"/>
      <c r="AA505" s="297"/>
      <c r="AB505" s="379"/>
      <c r="AC505" s="297"/>
      <c r="AD505" s="413"/>
      <c r="AE505" s="297"/>
      <c r="AG505" s="294"/>
      <c r="AH505" s="380"/>
      <c r="AI505" s="408"/>
      <c r="AJ505" s="498"/>
      <c r="AK505" s="498"/>
      <c r="AL505" s="498"/>
      <c r="AM505" s="498"/>
      <c r="AN505" s="498"/>
      <c r="AO505" s="498"/>
      <c r="AP505" s="498"/>
    </row>
    <row r="506" spans="1:42">
      <c r="A506" s="295">
        <v>46006</v>
      </c>
      <c r="B506" s="433"/>
      <c r="C506" s="312"/>
      <c r="D506" s="296"/>
      <c r="E506" s="312"/>
      <c r="F506" s="296"/>
      <c r="G506" s="312"/>
      <c r="H506" s="325"/>
      <c r="I506" s="312"/>
      <c r="J506" s="416"/>
      <c r="K506" s="369"/>
      <c r="L506" s="378"/>
      <c r="M506" s="312"/>
      <c r="N506" s="298"/>
      <c r="O506" s="312"/>
      <c r="P506" s="404" t="e">
        <f t="shared" si="179"/>
        <v>#DIV/0!</v>
      </c>
      <c r="Q506" s="312" t="e">
        <f t="shared" si="182"/>
        <v>#DIV/0!</v>
      </c>
      <c r="R506" s="298"/>
      <c r="S506" s="312"/>
      <c r="T506" s="298"/>
      <c r="U506" s="312"/>
      <c r="V506" s="454">
        <f t="shared" si="180"/>
        <v>0</v>
      </c>
      <c r="W506" s="312"/>
      <c r="X506" s="454">
        <f t="shared" si="181"/>
        <v>0</v>
      </c>
      <c r="Y506" s="312"/>
      <c r="Z506" s="379"/>
      <c r="AA506" s="297"/>
      <c r="AB506" s="379"/>
      <c r="AC506" s="297"/>
      <c r="AD506" s="413"/>
      <c r="AE506" s="297"/>
      <c r="AG506" s="294"/>
      <c r="AH506" s="380"/>
      <c r="AI506" s="408"/>
      <c r="AJ506" s="498"/>
      <c r="AK506" s="498"/>
      <c r="AL506" s="498"/>
      <c r="AM506" s="498"/>
      <c r="AN506" s="498"/>
      <c r="AO506" s="498"/>
      <c r="AP506" s="498"/>
    </row>
    <row r="507" spans="1:42">
      <c r="A507" s="295">
        <v>46007</v>
      </c>
      <c r="B507" s="433"/>
      <c r="C507" s="312"/>
      <c r="D507" s="296"/>
      <c r="E507" s="312"/>
      <c r="F507" s="296"/>
      <c r="G507" s="312"/>
      <c r="H507" s="325"/>
      <c r="I507" s="312"/>
      <c r="J507" s="416"/>
      <c r="K507" s="369"/>
      <c r="L507" s="378"/>
      <c r="M507" s="312"/>
      <c r="N507" s="298"/>
      <c r="O507" s="312"/>
      <c r="P507" s="404" t="e">
        <f t="shared" si="179"/>
        <v>#DIV/0!</v>
      </c>
      <c r="Q507" s="312" t="e">
        <f t="shared" si="182"/>
        <v>#DIV/0!</v>
      </c>
      <c r="R507" s="298"/>
      <c r="S507" s="312"/>
      <c r="T507" s="298"/>
      <c r="U507" s="312"/>
      <c r="V507" s="454">
        <f t="shared" si="180"/>
        <v>0</v>
      </c>
      <c r="W507" s="312"/>
      <c r="X507" s="454">
        <f t="shared" si="181"/>
        <v>0</v>
      </c>
      <c r="Y507" s="312"/>
      <c r="Z507" s="379"/>
      <c r="AA507" s="297"/>
      <c r="AB507" s="379"/>
      <c r="AC507" s="297"/>
      <c r="AD507" s="413"/>
      <c r="AE507" s="297"/>
      <c r="AG507" s="294"/>
      <c r="AH507" s="380"/>
      <c r="AI507" s="408"/>
      <c r="AJ507" s="498"/>
      <c r="AK507" s="498"/>
      <c r="AL507" s="498"/>
      <c r="AM507" s="498"/>
      <c r="AN507" s="498"/>
      <c r="AO507" s="498"/>
      <c r="AP507" s="498"/>
    </row>
    <row r="508" spans="1:42">
      <c r="A508" s="295">
        <v>46008</v>
      </c>
      <c r="B508" s="433"/>
      <c r="C508" s="312"/>
      <c r="D508" s="296"/>
      <c r="E508" s="312"/>
      <c r="F508" s="296"/>
      <c r="G508" s="312"/>
      <c r="H508" s="325"/>
      <c r="I508" s="312"/>
      <c r="J508" s="416"/>
      <c r="K508" s="369"/>
      <c r="L508" s="378"/>
      <c r="M508" s="312"/>
      <c r="N508" s="298"/>
      <c r="O508" s="312"/>
      <c r="P508" s="404" t="e">
        <f t="shared" si="179"/>
        <v>#DIV/0!</v>
      </c>
      <c r="Q508" s="312" t="e">
        <f t="shared" si="182"/>
        <v>#DIV/0!</v>
      </c>
      <c r="R508" s="298"/>
      <c r="S508" s="312"/>
      <c r="T508" s="298"/>
      <c r="U508" s="312"/>
      <c r="V508" s="454">
        <f t="shared" si="180"/>
        <v>0</v>
      </c>
      <c r="W508" s="312"/>
      <c r="X508" s="454">
        <f t="shared" si="181"/>
        <v>0</v>
      </c>
      <c r="Y508" s="312"/>
      <c r="Z508" s="379"/>
      <c r="AA508" s="297"/>
      <c r="AB508" s="379"/>
      <c r="AC508" s="297"/>
      <c r="AD508" s="413"/>
      <c r="AE508" s="297"/>
      <c r="AG508" s="294"/>
      <c r="AH508" s="380"/>
      <c r="AI508" s="408"/>
      <c r="AJ508" s="498"/>
      <c r="AK508" s="498"/>
      <c r="AL508" s="498"/>
      <c r="AM508" s="498"/>
      <c r="AN508" s="498"/>
      <c r="AO508" s="498"/>
      <c r="AP508" s="498"/>
    </row>
    <row r="509" spans="1:42">
      <c r="A509" s="295">
        <v>46009</v>
      </c>
      <c r="B509" s="433"/>
      <c r="C509" s="312"/>
      <c r="D509" s="296"/>
      <c r="E509" s="312"/>
      <c r="F509" s="296"/>
      <c r="G509" s="312"/>
      <c r="H509" s="325"/>
      <c r="I509" s="312"/>
      <c r="J509" s="416"/>
      <c r="K509" s="369"/>
      <c r="L509" s="378"/>
      <c r="M509" s="312"/>
      <c r="N509" s="298"/>
      <c r="O509" s="312"/>
      <c r="P509" s="404" t="e">
        <f t="shared" si="179"/>
        <v>#DIV/0!</v>
      </c>
      <c r="Q509" s="312" t="e">
        <f t="shared" si="182"/>
        <v>#DIV/0!</v>
      </c>
      <c r="R509" s="298"/>
      <c r="S509" s="312"/>
      <c r="T509" s="298"/>
      <c r="U509" s="312"/>
      <c r="V509" s="454">
        <f t="shared" si="180"/>
        <v>0</v>
      </c>
      <c r="W509" s="312"/>
      <c r="X509" s="454">
        <f t="shared" si="181"/>
        <v>0</v>
      </c>
      <c r="Y509" s="312"/>
      <c r="Z509" s="379"/>
      <c r="AA509" s="297"/>
      <c r="AB509" s="379"/>
      <c r="AC509" s="297"/>
      <c r="AD509" s="413"/>
      <c r="AE509" s="297"/>
      <c r="AG509" s="294"/>
      <c r="AH509" s="380"/>
      <c r="AI509" s="408"/>
      <c r="AJ509" s="498"/>
      <c r="AK509" s="498"/>
      <c r="AL509" s="498"/>
      <c r="AM509" s="498"/>
      <c r="AN509" s="498"/>
      <c r="AO509" s="498"/>
      <c r="AP509" s="498"/>
    </row>
    <row r="510" spans="1:42">
      <c r="A510" s="295">
        <v>46010</v>
      </c>
      <c r="B510" s="433"/>
      <c r="C510" s="312"/>
      <c r="D510" s="296"/>
      <c r="E510" s="312"/>
      <c r="F510" s="296"/>
      <c r="G510" s="312"/>
      <c r="H510" s="325"/>
      <c r="I510" s="312"/>
      <c r="J510" s="416"/>
      <c r="K510" s="369"/>
      <c r="L510" s="378"/>
      <c r="M510" s="312"/>
      <c r="N510" s="298"/>
      <c r="O510" s="312"/>
      <c r="P510" s="404" t="e">
        <f t="shared" si="179"/>
        <v>#DIV/0!</v>
      </c>
      <c r="Q510" s="312" t="e">
        <f t="shared" si="182"/>
        <v>#DIV/0!</v>
      </c>
      <c r="R510" s="298"/>
      <c r="S510" s="312"/>
      <c r="T510" s="298"/>
      <c r="U510" s="312"/>
      <c r="V510" s="454">
        <f t="shared" si="180"/>
        <v>0</v>
      </c>
      <c r="W510" s="312"/>
      <c r="X510" s="454">
        <f t="shared" si="181"/>
        <v>0</v>
      </c>
      <c r="Y510" s="312"/>
      <c r="Z510" s="379"/>
      <c r="AA510" s="297"/>
      <c r="AB510" s="379"/>
      <c r="AC510" s="297"/>
      <c r="AD510" s="413"/>
      <c r="AE510" s="297"/>
      <c r="AG510" s="294"/>
      <c r="AH510" s="380"/>
      <c r="AI510" s="408"/>
      <c r="AJ510" s="498"/>
      <c r="AK510" s="498"/>
      <c r="AL510" s="498"/>
      <c r="AM510" s="498"/>
      <c r="AN510" s="498"/>
      <c r="AO510" s="498"/>
      <c r="AP510" s="498"/>
    </row>
    <row r="511" spans="1:42">
      <c r="A511" s="295">
        <v>46013</v>
      </c>
      <c r="B511" s="433"/>
      <c r="C511" s="312"/>
      <c r="D511" s="296"/>
      <c r="E511" s="312"/>
      <c r="F511" s="296"/>
      <c r="G511" s="312"/>
      <c r="H511" s="325"/>
      <c r="I511" s="312"/>
      <c r="J511" s="416"/>
      <c r="K511" s="369"/>
      <c r="L511" s="378"/>
      <c r="M511" s="312"/>
      <c r="N511" s="298"/>
      <c r="O511" s="312"/>
      <c r="P511" s="404" t="e">
        <f t="shared" si="179"/>
        <v>#DIV/0!</v>
      </c>
      <c r="Q511" s="312" t="e">
        <f t="shared" si="182"/>
        <v>#DIV/0!</v>
      </c>
      <c r="R511" s="298"/>
      <c r="S511" s="312"/>
      <c r="T511" s="298"/>
      <c r="U511" s="312"/>
      <c r="V511" s="454">
        <f t="shared" si="180"/>
        <v>0</v>
      </c>
      <c r="W511" s="312"/>
      <c r="X511" s="454">
        <f t="shared" si="181"/>
        <v>0</v>
      </c>
      <c r="Y511" s="312"/>
      <c r="Z511" s="379"/>
      <c r="AA511" s="297"/>
      <c r="AB511" s="379"/>
      <c r="AC511" s="297"/>
      <c r="AD511" s="413"/>
      <c r="AE511" s="297"/>
      <c r="AG511" s="294"/>
      <c r="AH511" s="380"/>
      <c r="AI511" s="408"/>
      <c r="AJ511" s="498"/>
      <c r="AK511" s="498"/>
      <c r="AL511" s="498"/>
      <c r="AM511" s="498"/>
      <c r="AN511" s="498"/>
      <c r="AO511" s="498"/>
      <c r="AP511" s="498"/>
    </row>
    <row r="512" spans="1:42">
      <c r="A512" s="295">
        <v>46014</v>
      </c>
      <c r="B512" s="433"/>
      <c r="C512" s="312"/>
      <c r="D512" s="296"/>
      <c r="E512" s="312"/>
      <c r="F512" s="296"/>
      <c r="G512" s="312"/>
      <c r="H512" s="325"/>
      <c r="I512" s="312"/>
      <c r="J512" s="416"/>
      <c r="K512" s="369"/>
      <c r="L512" s="378"/>
      <c r="M512" s="312"/>
      <c r="N512" s="298"/>
      <c r="O512" s="312"/>
      <c r="P512" s="404" t="e">
        <f t="shared" si="179"/>
        <v>#DIV/0!</v>
      </c>
      <c r="Q512" s="312" t="e">
        <f t="shared" si="182"/>
        <v>#DIV/0!</v>
      </c>
      <c r="R512" s="298"/>
      <c r="S512" s="312"/>
      <c r="T512" s="298"/>
      <c r="U512" s="312"/>
      <c r="V512" s="454">
        <f t="shared" si="180"/>
        <v>0</v>
      </c>
      <c r="W512" s="312"/>
      <c r="X512" s="454">
        <f t="shared" si="181"/>
        <v>0</v>
      </c>
      <c r="Y512" s="312"/>
      <c r="Z512" s="379"/>
      <c r="AA512" s="297"/>
      <c r="AB512" s="379"/>
      <c r="AC512" s="297"/>
      <c r="AD512" s="413"/>
      <c r="AE512" s="297"/>
      <c r="AG512" s="294"/>
      <c r="AH512" s="380"/>
      <c r="AI512" s="408"/>
      <c r="AJ512" s="498"/>
      <c r="AK512" s="498"/>
      <c r="AL512" s="498"/>
      <c r="AM512" s="498"/>
      <c r="AN512" s="498"/>
      <c r="AO512" s="498"/>
      <c r="AP512" s="498"/>
    </row>
    <row r="513" spans="1:42">
      <c r="A513" s="295">
        <v>46015</v>
      </c>
      <c r="B513" s="433"/>
      <c r="C513" s="312"/>
      <c r="D513" s="296"/>
      <c r="E513" s="312"/>
      <c r="F513" s="296"/>
      <c r="G513" s="312"/>
      <c r="H513" s="325"/>
      <c r="I513" s="312"/>
      <c r="J513" s="416"/>
      <c r="K513" s="369"/>
      <c r="L513" s="378"/>
      <c r="M513" s="312"/>
      <c r="N513" s="298"/>
      <c r="O513" s="312"/>
      <c r="P513" s="404" t="e">
        <f t="shared" si="179"/>
        <v>#DIV/0!</v>
      </c>
      <c r="Q513" s="312" t="e">
        <f t="shared" si="182"/>
        <v>#DIV/0!</v>
      </c>
      <c r="R513" s="298"/>
      <c r="S513" s="312"/>
      <c r="T513" s="298"/>
      <c r="U513" s="312"/>
      <c r="V513" s="454">
        <f t="shared" si="180"/>
        <v>0</v>
      </c>
      <c r="W513" s="312"/>
      <c r="X513" s="454">
        <f t="shared" si="181"/>
        <v>0</v>
      </c>
      <c r="Y513" s="312"/>
      <c r="Z513" s="379"/>
      <c r="AA513" s="297"/>
      <c r="AB513" s="379"/>
      <c r="AC513" s="297"/>
      <c r="AD513" s="413"/>
      <c r="AE513" s="297"/>
      <c r="AG513" s="294"/>
      <c r="AH513" s="380"/>
      <c r="AI513" s="408"/>
      <c r="AJ513" s="498"/>
      <c r="AK513" s="498"/>
      <c r="AL513" s="498"/>
      <c r="AM513" s="498"/>
      <c r="AN513" s="498"/>
      <c r="AO513" s="498"/>
      <c r="AP513" s="498"/>
    </row>
    <row r="514" spans="1:42">
      <c r="A514" s="295">
        <v>46016</v>
      </c>
      <c r="B514" s="433"/>
      <c r="C514" s="312"/>
      <c r="D514" s="296"/>
      <c r="E514" s="312"/>
      <c r="F514" s="296"/>
      <c r="G514" s="312"/>
      <c r="H514" s="325"/>
      <c r="I514" s="312"/>
      <c r="J514" s="416"/>
      <c r="K514" s="369"/>
      <c r="L514" s="378"/>
      <c r="M514" s="312"/>
      <c r="N514" s="298"/>
      <c r="O514" s="312"/>
      <c r="P514" s="404" t="e">
        <f t="shared" si="179"/>
        <v>#DIV/0!</v>
      </c>
      <c r="Q514" s="312" t="e">
        <f t="shared" si="182"/>
        <v>#DIV/0!</v>
      </c>
      <c r="R514" s="298"/>
      <c r="S514" s="312"/>
      <c r="T514" s="298"/>
      <c r="U514" s="312"/>
      <c r="V514" s="454">
        <f t="shared" si="180"/>
        <v>0</v>
      </c>
      <c r="W514" s="312"/>
      <c r="X514" s="454">
        <f t="shared" si="181"/>
        <v>0</v>
      </c>
      <c r="Y514" s="312"/>
      <c r="Z514" s="379"/>
      <c r="AA514" s="297"/>
      <c r="AB514" s="379"/>
      <c r="AC514" s="297"/>
      <c r="AD514" s="413"/>
      <c r="AE514" s="297"/>
      <c r="AG514" s="294"/>
      <c r="AH514" s="380"/>
      <c r="AI514" s="408"/>
      <c r="AJ514" s="498"/>
      <c r="AK514" s="498"/>
      <c r="AL514" s="498"/>
      <c r="AM514" s="498"/>
      <c r="AN514" s="498"/>
      <c r="AO514" s="498"/>
      <c r="AP514" s="498"/>
    </row>
    <row r="515" spans="1:42">
      <c r="A515" s="295">
        <v>46017</v>
      </c>
      <c r="B515" s="433"/>
      <c r="C515" s="312"/>
      <c r="D515" s="296"/>
      <c r="E515" s="312"/>
      <c r="F515" s="296"/>
      <c r="G515" s="312"/>
      <c r="H515" s="325"/>
      <c r="I515" s="312"/>
      <c r="J515" s="416"/>
      <c r="K515" s="369"/>
      <c r="L515" s="378"/>
      <c r="M515" s="312"/>
      <c r="N515" s="298"/>
      <c r="O515" s="312"/>
      <c r="P515" s="404" t="e">
        <f t="shared" si="179"/>
        <v>#DIV/0!</v>
      </c>
      <c r="Q515" s="312" t="e">
        <f t="shared" si="182"/>
        <v>#DIV/0!</v>
      </c>
      <c r="R515" s="298"/>
      <c r="S515" s="312"/>
      <c r="T515" s="298"/>
      <c r="U515" s="312"/>
      <c r="V515" s="454">
        <f t="shared" si="180"/>
        <v>0</v>
      </c>
      <c r="W515" s="312"/>
      <c r="X515" s="454">
        <f t="shared" si="181"/>
        <v>0</v>
      </c>
      <c r="Y515" s="312"/>
      <c r="Z515" s="379"/>
      <c r="AA515" s="297"/>
      <c r="AB515" s="379"/>
      <c r="AC515" s="297"/>
      <c r="AD515" s="413"/>
      <c r="AE515" s="297"/>
      <c r="AG515" s="294"/>
      <c r="AH515" s="380"/>
      <c r="AI515" s="408"/>
      <c r="AJ515" s="498"/>
      <c r="AK515" s="498"/>
      <c r="AL515" s="498"/>
      <c r="AM515" s="498"/>
      <c r="AN515" s="498"/>
      <c r="AO515" s="498"/>
      <c r="AP515" s="498"/>
    </row>
    <row r="516" spans="1:42">
      <c r="A516" s="295">
        <v>46020</v>
      </c>
      <c r="B516" s="433"/>
      <c r="C516" s="312"/>
      <c r="D516" s="296"/>
      <c r="E516" s="312"/>
      <c r="F516" s="296"/>
      <c r="G516" s="312"/>
      <c r="H516" s="325"/>
      <c r="I516" s="312"/>
      <c r="J516" s="416"/>
      <c r="K516" s="369"/>
      <c r="L516" s="378"/>
      <c r="M516" s="312"/>
      <c r="N516" s="298"/>
      <c r="O516" s="312"/>
      <c r="P516" s="404" t="e">
        <f t="shared" si="179"/>
        <v>#DIV/0!</v>
      </c>
      <c r="Q516" s="312" t="e">
        <f t="shared" si="182"/>
        <v>#DIV/0!</v>
      </c>
      <c r="R516" s="298"/>
      <c r="S516" s="312"/>
      <c r="T516" s="298"/>
      <c r="U516" s="312"/>
      <c r="V516" s="454">
        <f t="shared" si="180"/>
        <v>0</v>
      </c>
      <c r="W516" s="312"/>
      <c r="X516" s="454">
        <f t="shared" si="181"/>
        <v>0</v>
      </c>
      <c r="Y516" s="312"/>
      <c r="Z516" s="379"/>
      <c r="AA516" s="297"/>
      <c r="AB516" s="379"/>
      <c r="AC516" s="297"/>
      <c r="AD516" s="413"/>
      <c r="AE516" s="297"/>
      <c r="AG516" s="294"/>
      <c r="AH516" s="380"/>
      <c r="AI516" s="408"/>
      <c r="AJ516" s="498"/>
      <c r="AK516" s="498"/>
      <c r="AL516" s="498"/>
      <c r="AM516" s="498"/>
      <c r="AN516" s="498"/>
      <c r="AO516" s="498"/>
      <c r="AP516" s="498"/>
    </row>
    <row r="517" spans="1:42">
      <c r="A517" s="295">
        <v>46021</v>
      </c>
      <c r="B517" s="433"/>
      <c r="C517" s="312"/>
      <c r="D517" s="296"/>
      <c r="E517" s="312"/>
      <c r="F517" s="296"/>
      <c r="G517" s="312"/>
      <c r="H517" s="325"/>
      <c r="I517" s="312"/>
      <c r="J517" s="416"/>
      <c r="K517" s="369"/>
      <c r="L517" s="378"/>
      <c r="M517" s="312"/>
      <c r="N517" s="298"/>
      <c r="O517" s="312"/>
      <c r="P517" s="404" t="e">
        <f t="shared" ref="P517:P580" si="185">P516+P516*Q516</f>
        <v>#DIV/0!</v>
      </c>
      <c r="Q517" s="312" t="e">
        <f t="shared" si="182"/>
        <v>#DIV/0!</v>
      </c>
      <c r="R517" s="298"/>
      <c r="S517" s="312"/>
      <c r="T517" s="298"/>
      <c r="U517" s="312"/>
      <c r="V517" s="454">
        <f t="shared" ref="V517:V580" si="186">V516</f>
        <v>0</v>
      </c>
      <c r="W517" s="312"/>
      <c r="X517" s="454">
        <f t="shared" ref="X517:X580" si="187">X516</f>
        <v>0</v>
      </c>
      <c r="Y517" s="312"/>
      <c r="Z517" s="379"/>
      <c r="AA517" s="297"/>
      <c r="AB517" s="379"/>
      <c r="AC517" s="297"/>
      <c r="AD517" s="413"/>
      <c r="AE517" s="297"/>
      <c r="AG517" s="294"/>
      <c r="AH517" s="380"/>
      <c r="AI517" s="408"/>
      <c r="AJ517" s="498"/>
      <c r="AK517" s="498"/>
      <c r="AL517" s="498"/>
      <c r="AM517" s="498"/>
      <c r="AN517" s="498"/>
      <c r="AO517" s="498"/>
      <c r="AP517" s="498"/>
    </row>
    <row r="518" spans="1:42">
      <c r="A518" s="295">
        <v>46022</v>
      </c>
      <c r="B518" s="433"/>
      <c r="C518" s="312"/>
      <c r="D518" s="296"/>
      <c r="E518" s="312"/>
      <c r="F518" s="296"/>
      <c r="G518" s="312"/>
      <c r="H518" s="325"/>
      <c r="I518" s="312"/>
      <c r="J518" s="416"/>
      <c r="K518" s="369"/>
      <c r="L518" s="378"/>
      <c r="M518" s="312"/>
      <c r="N518" s="298"/>
      <c r="O518" s="312"/>
      <c r="P518" s="404" t="e">
        <f t="shared" si="185"/>
        <v>#DIV/0!</v>
      </c>
      <c r="Q518" s="312" t="e">
        <f t="shared" si="182"/>
        <v>#DIV/0!</v>
      </c>
      <c r="R518" s="298"/>
      <c r="S518" s="312"/>
      <c r="T518" s="298"/>
      <c r="U518" s="312"/>
      <c r="V518" s="454">
        <f t="shared" si="186"/>
        <v>0</v>
      </c>
      <c r="W518" s="312"/>
      <c r="X518" s="454">
        <f t="shared" si="187"/>
        <v>0</v>
      </c>
      <c r="Y518" s="312"/>
      <c r="Z518" s="379"/>
      <c r="AA518" s="297"/>
      <c r="AB518" s="379"/>
      <c r="AC518" s="297"/>
      <c r="AD518" s="413"/>
      <c r="AE518" s="297"/>
      <c r="AG518" s="294"/>
      <c r="AH518" s="380"/>
      <c r="AI518" s="408"/>
      <c r="AJ518" s="498"/>
      <c r="AK518" s="498"/>
      <c r="AL518" s="498"/>
      <c r="AM518" s="498"/>
      <c r="AN518" s="498"/>
      <c r="AO518" s="498"/>
      <c r="AP518" s="498"/>
    </row>
    <row r="519" spans="1:42">
      <c r="A519" s="295">
        <v>46023</v>
      </c>
      <c r="B519" s="433"/>
      <c r="C519" s="312"/>
      <c r="D519" s="296"/>
      <c r="E519" s="312"/>
      <c r="F519" s="296"/>
      <c r="G519" s="312"/>
      <c r="H519" s="325"/>
      <c r="I519" s="312"/>
      <c r="J519" s="416"/>
      <c r="K519" s="369"/>
      <c r="L519" s="378"/>
      <c r="M519" s="312"/>
      <c r="N519" s="298"/>
      <c r="O519" s="312"/>
      <c r="P519" s="404" t="e">
        <f t="shared" si="185"/>
        <v>#DIV/0!</v>
      </c>
      <c r="Q519" s="312" t="e">
        <f t="shared" si="182"/>
        <v>#DIV/0!</v>
      </c>
      <c r="R519" s="298"/>
      <c r="S519" s="312"/>
      <c r="T519" s="298"/>
      <c r="U519" s="312"/>
      <c r="V519" s="454">
        <f t="shared" si="186"/>
        <v>0</v>
      </c>
      <c r="W519" s="312"/>
      <c r="X519" s="454">
        <f t="shared" si="187"/>
        <v>0</v>
      </c>
      <c r="Y519" s="312"/>
      <c r="Z519" s="379"/>
      <c r="AA519" s="297"/>
      <c r="AB519" s="379"/>
      <c r="AC519" s="297"/>
      <c r="AD519" s="413"/>
      <c r="AE519" s="297"/>
      <c r="AG519" s="294"/>
      <c r="AH519" s="380"/>
      <c r="AI519" s="408"/>
      <c r="AJ519" s="498"/>
      <c r="AK519" s="498"/>
      <c r="AL519" s="498"/>
      <c r="AM519" s="498"/>
      <c r="AN519" s="498"/>
      <c r="AO519" s="498"/>
      <c r="AP519" s="498"/>
    </row>
    <row r="520" spans="1:42">
      <c r="A520" s="295">
        <v>46024</v>
      </c>
      <c r="B520" s="433"/>
      <c r="C520" s="312"/>
      <c r="D520" s="296"/>
      <c r="E520" s="312"/>
      <c r="F520" s="296"/>
      <c r="G520" s="312"/>
      <c r="H520" s="325"/>
      <c r="I520" s="312"/>
      <c r="J520" s="416"/>
      <c r="K520" s="369"/>
      <c r="L520" s="378"/>
      <c r="M520" s="312"/>
      <c r="N520" s="298"/>
      <c r="O520" s="312"/>
      <c r="P520" s="404" t="e">
        <f t="shared" si="185"/>
        <v>#DIV/0!</v>
      </c>
      <c r="Q520" s="312" t="e">
        <f t="shared" si="182"/>
        <v>#DIV/0!</v>
      </c>
      <c r="R520" s="298"/>
      <c r="S520" s="312"/>
      <c r="T520" s="298"/>
      <c r="U520" s="312"/>
      <c r="V520" s="454">
        <f t="shared" si="186"/>
        <v>0</v>
      </c>
      <c r="W520" s="312"/>
      <c r="X520" s="454">
        <f t="shared" si="187"/>
        <v>0</v>
      </c>
      <c r="Y520" s="312"/>
      <c r="Z520" s="379"/>
      <c r="AA520" s="297"/>
      <c r="AB520" s="379"/>
      <c r="AC520" s="297"/>
      <c r="AD520" s="413"/>
      <c r="AE520" s="297"/>
      <c r="AG520" s="294"/>
      <c r="AH520" s="380"/>
      <c r="AI520" s="408"/>
      <c r="AJ520" s="498"/>
      <c r="AK520" s="498"/>
      <c r="AL520" s="498"/>
      <c r="AM520" s="498"/>
      <c r="AN520" s="498"/>
      <c r="AO520" s="498"/>
      <c r="AP520" s="498"/>
    </row>
    <row r="521" spans="1:42">
      <c r="A521" s="295">
        <v>46027</v>
      </c>
      <c r="B521" s="433"/>
      <c r="C521" s="312"/>
      <c r="D521" s="296"/>
      <c r="E521" s="312"/>
      <c r="F521" s="296"/>
      <c r="G521" s="312"/>
      <c r="H521" s="325"/>
      <c r="I521" s="312"/>
      <c r="J521" s="416"/>
      <c r="K521" s="369"/>
      <c r="L521" s="378"/>
      <c r="M521" s="312"/>
      <c r="N521" s="298"/>
      <c r="O521" s="312"/>
      <c r="P521" s="404" t="e">
        <f t="shared" si="185"/>
        <v>#DIV/0!</v>
      </c>
      <c r="Q521" s="312" t="e">
        <f t="shared" si="182"/>
        <v>#DIV/0!</v>
      </c>
      <c r="R521" s="298"/>
      <c r="S521" s="312"/>
      <c r="T521" s="298"/>
      <c r="U521" s="312"/>
      <c r="V521" s="454">
        <f t="shared" si="186"/>
        <v>0</v>
      </c>
      <c r="W521" s="312"/>
      <c r="X521" s="454">
        <f t="shared" si="187"/>
        <v>0</v>
      </c>
      <c r="Y521" s="312"/>
      <c r="Z521" s="379"/>
      <c r="AA521" s="297"/>
      <c r="AB521" s="379"/>
      <c r="AC521" s="297"/>
      <c r="AD521" s="413"/>
      <c r="AE521" s="297"/>
      <c r="AG521" s="294"/>
      <c r="AH521" s="380"/>
      <c r="AI521" s="408"/>
      <c r="AJ521" s="498"/>
      <c r="AK521" s="498"/>
      <c r="AL521" s="498"/>
      <c r="AM521" s="498"/>
      <c r="AN521" s="498"/>
      <c r="AO521" s="498"/>
      <c r="AP521" s="498"/>
    </row>
    <row r="522" spans="1:42">
      <c r="A522" s="295">
        <v>46028</v>
      </c>
      <c r="B522" s="433"/>
      <c r="C522" s="312"/>
      <c r="D522" s="296"/>
      <c r="E522" s="312"/>
      <c r="F522" s="296"/>
      <c r="G522" s="312"/>
      <c r="H522" s="325"/>
      <c r="I522" s="312"/>
      <c r="J522" s="416"/>
      <c r="K522" s="369"/>
      <c r="L522" s="378"/>
      <c r="M522" s="312"/>
      <c r="N522" s="298"/>
      <c r="O522" s="312"/>
      <c r="P522" s="404" t="e">
        <f t="shared" si="185"/>
        <v>#DIV/0!</v>
      </c>
      <c r="Q522" s="312" t="e">
        <f t="shared" si="182"/>
        <v>#DIV/0!</v>
      </c>
      <c r="R522" s="298"/>
      <c r="S522" s="312"/>
      <c r="T522" s="298"/>
      <c r="U522" s="312"/>
      <c r="V522" s="454">
        <f t="shared" si="186"/>
        <v>0</v>
      </c>
      <c r="W522" s="312"/>
      <c r="X522" s="454">
        <f t="shared" si="187"/>
        <v>0</v>
      </c>
      <c r="Y522" s="312"/>
      <c r="Z522" s="379"/>
      <c r="AA522" s="297"/>
      <c r="AB522" s="379"/>
      <c r="AC522" s="297"/>
      <c r="AD522" s="413"/>
      <c r="AE522" s="297"/>
      <c r="AG522" s="294"/>
      <c r="AH522" s="380"/>
      <c r="AI522" s="408"/>
      <c r="AJ522" s="498"/>
      <c r="AK522" s="498"/>
      <c r="AL522" s="498"/>
      <c r="AM522" s="498"/>
      <c r="AN522" s="498"/>
      <c r="AO522" s="498"/>
      <c r="AP522" s="498"/>
    </row>
    <row r="523" spans="1:42">
      <c r="A523" s="295">
        <v>46029</v>
      </c>
      <c r="B523" s="433"/>
      <c r="C523" s="312"/>
      <c r="D523" s="296"/>
      <c r="E523" s="312"/>
      <c r="F523" s="296"/>
      <c r="G523" s="312"/>
      <c r="H523" s="325"/>
      <c r="I523" s="312"/>
      <c r="J523" s="416"/>
      <c r="K523" s="369"/>
      <c r="L523" s="378"/>
      <c r="M523" s="312"/>
      <c r="N523" s="298"/>
      <c r="O523" s="312"/>
      <c r="P523" s="404" t="e">
        <f t="shared" si="185"/>
        <v>#DIV/0!</v>
      </c>
      <c r="Q523" s="312" t="e">
        <f t="shared" ref="Q523:Q586" si="188">(P523+2243.33-P522)/P522</f>
        <v>#DIV/0!</v>
      </c>
      <c r="R523" s="298"/>
      <c r="S523" s="312"/>
      <c r="T523" s="298"/>
      <c r="U523" s="312"/>
      <c r="V523" s="454">
        <f t="shared" si="186"/>
        <v>0</v>
      </c>
      <c r="W523" s="312"/>
      <c r="X523" s="454">
        <f t="shared" si="187"/>
        <v>0</v>
      </c>
      <c r="Y523" s="312"/>
      <c r="Z523" s="379"/>
      <c r="AA523" s="297"/>
      <c r="AB523" s="379"/>
      <c r="AC523" s="297"/>
      <c r="AD523" s="413"/>
      <c r="AE523" s="297"/>
      <c r="AG523" s="294"/>
      <c r="AH523" s="380"/>
      <c r="AI523" s="408"/>
      <c r="AJ523" s="498"/>
      <c r="AK523" s="498"/>
      <c r="AL523" s="498"/>
      <c r="AM523" s="498"/>
      <c r="AN523" s="498"/>
      <c r="AO523" s="498"/>
      <c r="AP523" s="498"/>
    </row>
    <row r="524" spans="1:42">
      <c r="A524" s="295">
        <v>46030</v>
      </c>
      <c r="B524" s="433"/>
      <c r="C524" s="312"/>
      <c r="D524" s="296"/>
      <c r="E524" s="312"/>
      <c r="F524" s="296"/>
      <c r="G524" s="312"/>
      <c r="H524" s="325"/>
      <c r="I524" s="312"/>
      <c r="J524" s="416"/>
      <c r="K524" s="369"/>
      <c r="L524" s="378"/>
      <c r="M524" s="312"/>
      <c r="N524" s="298"/>
      <c r="O524" s="312"/>
      <c r="P524" s="404" t="e">
        <f t="shared" si="185"/>
        <v>#DIV/0!</v>
      </c>
      <c r="Q524" s="312" t="e">
        <f t="shared" si="188"/>
        <v>#DIV/0!</v>
      </c>
      <c r="R524" s="298"/>
      <c r="S524" s="312"/>
      <c r="T524" s="298"/>
      <c r="U524" s="312"/>
      <c r="V524" s="454">
        <f t="shared" si="186"/>
        <v>0</v>
      </c>
      <c r="W524" s="312"/>
      <c r="X524" s="454">
        <f t="shared" si="187"/>
        <v>0</v>
      </c>
      <c r="Y524" s="312"/>
      <c r="Z524" s="379"/>
      <c r="AA524" s="297"/>
      <c r="AB524" s="379"/>
      <c r="AC524" s="297"/>
      <c r="AD524" s="413"/>
      <c r="AE524" s="297"/>
      <c r="AG524" s="294"/>
      <c r="AH524" s="380"/>
      <c r="AI524" s="408"/>
      <c r="AJ524" s="498"/>
      <c r="AK524" s="498"/>
      <c r="AL524" s="498"/>
      <c r="AM524" s="498"/>
      <c r="AN524" s="498"/>
      <c r="AO524" s="498"/>
      <c r="AP524" s="498"/>
    </row>
    <row r="525" spans="1:42">
      <c r="A525" s="295">
        <v>46031</v>
      </c>
      <c r="B525" s="433"/>
      <c r="C525" s="312"/>
      <c r="D525" s="296"/>
      <c r="E525" s="312"/>
      <c r="F525" s="296"/>
      <c r="G525" s="312"/>
      <c r="H525" s="325"/>
      <c r="I525" s="312"/>
      <c r="J525" s="416"/>
      <c r="K525" s="369"/>
      <c r="L525" s="378"/>
      <c r="M525" s="312"/>
      <c r="N525" s="298"/>
      <c r="O525" s="312"/>
      <c r="P525" s="404" t="e">
        <f t="shared" si="185"/>
        <v>#DIV/0!</v>
      </c>
      <c r="Q525" s="312" t="e">
        <f t="shared" si="188"/>
        <v>#DIV/0!</v>
      </c>
      <c r="R525" s="298"/>
      <c r="S525" s="312"/>
      <c r="T525" s="298"/>
      <c r="U525" s="312"/>
      <c r="V525" s="454">
        <f t="shared" si="186"/>
        <v>0</v>
      </c>
      <c r="W525" s="312"/>
      <c r="X525" s="454">
        <f t="shared" si="187"/>
        <v>0</v>
      </c>
      <c r="Y525" s="312"/>
      <c r="Z525" s="379"/>
      <c r="AA525" s="297"/>
      <c r="AB525" s="379"/>
      <c r="AC525" s="297"/>
      <c r="AD525" s="413"/>
      <c r="AE525" s="297"/>
      <c r="AG525" s="294"/>
      <c r="AH525" s="380"/>
      <c r="AI525" s="408"/>
      <c r="AJ525" s="498"/>
      <c r="AK525" s="498"/>
      <c r="AL525" s="498"/>
      <c r="AM525" s="498"/>
      <c r="AN525" s="498"/>
      <c r="AO525" s="498"/>
      <c r="AP525" s="498"/>
    </row>
    <row r="526" spans="1:42">
      <c r="A526" s="295">
        <v>46034</v>
      </c>
      <c r="B526" s="433"/>
      <c r="C526" s="312"/>
      <c r="D526" s="296"/>
      <c r="E526" s="312"/>
      <c r="F526" s="296"/>
      <c r="G526" s="312"/>
      <c r="H526" s="325"/>
      <c r="I526" s="312"/>
      <c r="J526" s="416"/>
      <c r="K526" s="369"/>
      <c r="L526" s="378"/>
      <c r="M526" s="312"/>
      <c r="N526" s="298"/>
      <c r="O526" s="312"/>
      <c r="P526" s="404" t="e">
        <f t="shared" si="185"/>
        <v>#DIV/0!</v>
      </c>
      <c r="Q526" s="312" t="e">
        <f t="shared" si="188"/>
        <v>#DIV/0!</v>
      </c>
      <c r="R526" s="298"/>
      <c r="S526" s="312"/>
      <c r="T526" s="298"/>
      <c r="U526" s="312"/>
      <c r="V526" s="454">
        <f t="shared" si="186"/>
        <v>0</v>
      </c>
      <c r="W526" s="312"/>
      <c r="X526" s="454">
        <f t="shared" si="187"/>
        <v>0</v>
      </c>
      <c r="Y526" s="312"/>
      <c r="Z526" s="379"/>
      <c r="AA526" s="297"/>
      <c r="AB526" s="379"/>
      <c r="AC526" s="297"/>
      <c r="AD526" s="413"/>
      <c r="AE526" s="297"/>
      <c r="AG526" s="294"/>
      <c r="AH526" s="380"/>
      <c r="AI526" s="408"/>
      <c r="AJ526" s="498"/>
      <c r="AK526" s="498"/>
      <c r="AL526" s="498"/>
      <c r="AM526" s="498"/>
      <c r="AN526" s="498"/>
      <c r="AO526" s="498"/>
      <c r="AP526" s="498"/>
    </row>
    <row r="527" spans="1:42">
      <c r="A527" s="295">
        <v>46035</v>
      </c>
      <c r="B527" s="433"/>
      <c r="C527" s="312"/>
      <c r="D527" s="296"/>
      <c r="E527" s="312"/>
      <c r="F527" s="296"/>
      <c r="G527" s="312"/>
      <c r="H527" s="325"/>
      <c r="I527" s="312"/>
      <c r="J527" s="416"/>
      <c r="K527" s="369"/>
      <c r="L527" s="378"/>
      <c r="M527" s="312"/>
      <c r="N527" s="298"/>
      <c r="O527" s="312"/>
      <c r="P527" s="404" t="e">
        <f t="shared" si="185"/>
        <v>#DIV/0!</v>
      </c>
      <c r="Q527" s="312" t="e">
        <f t="shared" si="188"/>
        <v>#DIV/0!</v>
      </c>
      <c r="R527" s="298"/>
      <c r="S527" s="312"/>
      <c r="T527" s="298"/>
      <c r="U527" s="312"/>
      <c r="V527" s="454">
        <f t="shared" si="186"/>
        <v>0</v>
      </c>
      <c r="W527" s="312"/>
      <c r="X527" s="454">
        <f t="shared" si="187"/>
        <v>0</v>
      </c>
      <c r="Y527" s="312"/>
      <c r="Z527" s="379"/>
      <c r="AA527" s="297"/>
      <c r="AB527" s="379"/>
      <c r="AC527" s="297"/>
      <c r="AD527" s="413"/>
      <c r="AE527" s="297"/>
      <c r="AG527" s="294"/>
      <c r="AH527" s="380"/>
      <c r="AI527" s="408"/>
      <c r="AJ527" s="498"/>
      <c r="AK527" s="498"/>
      <c r="AL527" s="498"/>
      <c r="AM527" s="498"/>
      <c r="AN527" s="498"/>
      <c r="AO527" s="498"/>
      <c r="AP527" s="498"/>
    </row>
    <row r="528" spans="1:42">
      <c r="A528" s="295">
        <v>46036</v>
      </c>
      <c r="B528" s="433"/>
      <c r="C528" s="312"/>
      <c r="D528" s="296"/>
      <c r="E528" s="312"/>
      <c r="F528" s="296"/>
      <c r="G528" s="312"/>
      <c r="H528" s="325"/>
      <c r="I528" s="312"/>
      <c r="J528" s="416"/>
      <c r="K528" s="369"/>
      <c r="L528" s="378"/>
      <c r="M528" s="312"/>
      <c r="N528" s="298"/>
      <c r="O528" s="312"/>
      <c r="P528" s="404" t="e">
        <f t="shared" si="185"/>
        <v>#DIV/0!</v>
      </c>
      <c r="Q528" s="312" t="e">
        <f t="shared" si="188"/>
        <v>#DIV/0!</v>
      </c>
      <c r="R528" s="298"/>
      <c r="S528" s="312"/>
      <c r="T528" s="298"/>
      <c r="U528" s="312"/>
      <c r="V528" s="454">
        <f t="shared" si="186"/>
        <v>0</v>
      </c>
      <c r="W528" s="312"/>
      <c r="X528" s="454">
        <f t="shared" si="187"/>
        <v>0</v>
      </c>
      <c r="Y528" s="312"/>
      <c r="Z528" s="379"/>
      <c r="AA528" s="297"/>
      <c r="AB528" s="379"/>
      <c r="AC528" s="297"/>
      <c r="AD528" s="413"/>
      <c r="AE528" s="297"/>
      <c r="AG528" s="294"/>
      <c r="AH528" s="380"/>
      <c r="AI528" s="408"/>
      <c r="AJ528" s="498"/>
      <c r="AK528" s="498"/>
      <c r="AL528" s="498"/>
      <c r="AM528" s="498"/>
      <c r="AN528" s="498"/>
      <c r="AO528" s="498"/>
      <c r="AP528" s="498"/>
    </row>
    <row r="529" spans="1:42">
      <c r="A529" s="295">
        <v>46037</v>
      </c>
      <c r="B529" s="433"/>
      <c r="C529" s="312"/>
      <c r="D529" s="296"/>
      <c r="E529" s="312"/>
      <c r="F529" s="296"/>
      <c r="G529" s="312"/>
      <c r="H529" s="325"/>
      <c r="I529" s="312"/>
      <c r="J529" s="416"/>
      <c r="K529" s="369"/>
      <c r="L529" s="378"/>
      <c r="M529" s="312"/>
      <c r="N529" s="298"/>
      <c r="O529" s="312"/>
      <c r="P529" s="404" t="e">
        <f t="shared" si="185"/>
        <v>#DIV/0!</v>
      </c>
      <c r="Q529" s="312" t="e">
        <f t="shared" si="188"/>
        <v>#DIV/0!</v>
      </c>
      <c r="R529" s="298"/>
      <c r="S529" s="312"/>
      <c r="T529" s="298"/>
      <c r="U529" s="312"/>
      <c r="V529" s="454">
        <f t="shared" si="186"/>
        <v>0</v>
      </c>
      <c r="W529" s="312"/>
      <c r="X529" s="454">
        <f t="shared" si="187"/>
        <v>0</v>
      </c>
      <c r="Y529" s="312"/>
      <c r="Z529" s="379"/>
      <c r="AA529" s="297"/>
      <c r="AB529" s="379"/>
      <c r="AC529" s="297"/>
      <c r="AD529" s="413"/>
      <c r="AE529" s="297"/>
      <c r="AG529" s="294"/>
      <c r="AH529" s="380"/>
      <c r="AI529" s="408"/>
      <c r="AJ529" s="498"/>
      <c r="AK529" s="498"/>
      <c r="AL529" s="498"/>
      <c r="AM529" s="498"/>
      <c r="AN529" s="498"/>
      <c r="AO529" s="498"/>
      <c r="AP529" s="498"/>
    </row>
    <row r="530" spans="1:42">
      <c r="A530" s="295">
        <v>46038</v>
      </c>
      <c r="B530" s="433"/>
      <c r="C530" s="312"/>
      <c r="D530" s="296"/>
      <c r="E530" s="312"/>
      <c r="F530" s="296"/>
      <c r="G530" s="312"/>
      <c r="H530" s="325"/>
      <c r="I530" s="312"/>
      <c r="J530" s="416"/>
      <c r="K530" s="369"/>
      <c r="L530" s="378"/>
      <c r="M530" s="312"/>
      <c r="N530" s="298"/>
      <c r="O530" s="312"/>
      <c r="P530" s="404" t="e">
        <f t="shared" si="185"/>
        <v>#DIV/0!</v>
      </c>
      <c r="Q530" s="312" t="e">
        <f t="shared" si="188"/>
        <v>#DIV/0!</v>
      </c>
      <c r="R530" s="298"/>
      <c r="S530" s="312"/>
      <c r="T530" s="298"/>
      <c r="U530" s="312"/>
      <c r="V530" s="454">
        <f t="shared" si="186"/>
        <v>0</v>
      </c>
      <c r="W530" s="312"/>
      <c r="X530" s="454">
        <f t="shared" si="187"/>
        <v>0</v>
      </c>
      <c r="Y530" s="312"/>
      <c r="Z530" s="379"/>
      <c r="AA530" s="297"/>
      <c r="AB530" s="379"/>
      <c r="AC530" s="297"/>
      <c r="AD530" s="413"/>
      <c r="AE530" s="297"/>
      <c r="AG530" s="294"/>
      <c r="AH530" s="380"/>
      <c r="AI530" s="408"/>
      <c r="AJ530" s="498"/>
      <c r="AK530" s="498"/>
      <c r="AL530" s="498"/>
      <c r="AM530" s="498"/>
      <c r="AN530" s="498"/>
      <c r="AO530" s="498"/>
      <c r="AP530" s="498"/>
    </row>
    <row r="531" spans="1:42">
      <c r="A531" s="295">
        <v>46041</v>
      </c>
      <c r="B531" s="433"/>
      <c r="C531" s="312"/>
      <c r="D531" s="296"/>
      <c r="E531" s="312"/>
      <c r="F531" s="296"/>
      <c r="G531" s="312"/>
      <c r="H531" s="325"/>
      <c r="I531" s="312"/>
      <c r="J531" s="416"/>
      <c r="K531" s="369"/>
      <c r="L531" s="378"/>
      <c r="M531" s="312"/>
      <c r="N531" s="298"/>
      <c r="O531" s="312"/>
      <c r="P531" s="404" t="e">
        <f t="shared" si="185"/>
        <v>#DIV/0!</v>
      </c>
      <c r="Q531" s="312" t="e">
        <f t="shared" si="188"/>
        <v>#DIV/0!</v>
      </c>
      <c r="R531" s="298"/>
      <c r="S531" s="312"/>
      <c r="T531" s="298"/>
      <c r="U531" s="312"/>
      <c r="V531" s="454">
        <f t="shared" si="186"/>
        <v>0</v>
      </c>
      <c r="W531" s="312"/>
      <c r="X531" s="454">
        <f t="shared" si="187"/>
        <v>0</v>
      </c>
      <c r="Y531" s="312"/>
      <c r="Z531" s="379"/>
      <c r="AA531" s="297"/>
      <c r="AB531" s="379"/>
      <c r="AC531" s="297"/>
      <c r="AD531" s="413"/>
      <c r="AE531" s="297"/>
      <c r="AG531" s="294"/>
      <c r="AH531" s="380"/>
      <c r="AI531" s="408"/>
      <c r="AJ531" s="498"/>
      <c r="AK531" s="498"/>
      <c r="AL531" s="498"/>
      <c r="AM531" s="498"/>
      <c r="AN531" s="498"/>
      <c r="AO531" s="498"/>
      <c r="AP531" s="498"/>
    </row>
    <row r="532" spans="1:42">
      <c r="A532" s="295">
        <v>46042</v>
      </c>
      <c r="B532" s="433"/>
      <c r="C532" s="312"/>
      <c r="D532" s="296"/>
      <c r="E532" s="312"/>
      <c r="F532" s="296"/>
      <c r="G532" s="312"/>
      <c r="H532" s="325"/>
      <c r="I532" s="312"/>
      <c r="J532" s="416"/>
      <c r="K532" s="369"/>
      <c r="L532" s="378"/>
      <c r="M532" s="312"/>
      <c r="N532" s="298"/>
      <c r="O532" s="312"/>
      <c r="P532" s="404" t="e">
        <f t="shared" si="185"/>
        <v>#DIV/0!</v>
      </c>
      <c r="Q532" s="312" t="e">
        <f t="shared" si="188"/>
        <v>#DIV/0!</v>
      </c>
      <c r="R532" s="298"/>
      <c r="S532" s="312"/>
      <c r="T532" s="298"/>
      <c r="U532" s="312"/>
      <c r="V532" s="454">
        <f t="shared" si="186"/>
        <v>0</v>
      </c>
      <c r="W532" s="312"/>
      <c r="X532" s="454">
        <f t="shared" si="187"/>
        <v>0</v>
      </c>
      <c r="Y532" s="312"/>
      <c r="Z532" s="379"/>
      <c r="AA532" s="297"/>
      <c r="AB532" s="379"/>
      <c r="AC532" s="297"/>
      <c r="AD532" s="413"/>
      <c r="AE532" s="297"/>
      <c r="AG532" s="294"/>
      <c r="AH532" s="380"/>
      <c r="AI532" s="408"/>
      <c r="AJ532" s="498"/>
      <c r="AK532" s="498"/>
      <c r="AL532" s="498"/>
      <c r="AM532" s="498"/>
      <c r="AN532" s="498"/>
      <c r="AO532" s="498"/>
      <c r="AP532" s="498"/>
    </row>
    <row r="533" spans="1:42">
      <c r="A533" s="295">
        <v>46043</v>
      </c>
      <c r="B533" s="433"/>
      <c r="C533" s="312"/>
      <c r="D533" s="296"/>
      <c r="E533" s="312"/>
      <c r="F533" s="296"/>
      <c r="G533" s="312"/>
      <c r="H533" s="325"/>
      <c r="I533" s="312"/>
      <c r="J533" s="416"/>
      <c r="K533" s="369"/>
      <c r="L533" s="378"/>
      <c r="M533" s="312"/>
      <c r="N533" s="298"/>
      <c r="O533" s="312"/>
      <c r="P533" s="404" t="e">
        <f t="shared" si="185"/>
        <v>#DIV/0!</v>
      </c>
      <c r="Q533" s="312" t="e">
        <f t="shared" si="188"/>
        <v>#DIV/0!</v>
      </c>
      <c r="R533" s="298"/>
      <c r="S533" s="312"/>
      <c r="T533" s="298"/>
      <c r="U533" s="312"/>
      <c r="V533" s="454">
        <f t="shared" si="186"/>
        <v>0</v>
      </c>
      <c r="W533" s="312"/>
      <c r="X533" s="454">
        <f t="shared" si="187"/>
        <v>0</v>
      </c>
      <c r="Y533" s="312"/>
      <c r="Z533" s="379"/>
      <c r="AA533" s="297"/>
      <c r="AB533" s="379"/>
      <c r="AC533" s="297"/>
      <c r="AD533" s="413"/>
      <c r="AE533" s="297"/>
      <c r="AG533" s="294"/>
      <c r="AH533" s="380"/>
      <c r="AI533" s="408"/>
      <c r="AJ533" s="498"/>
      <c r="AK533" s="498"/>
      <c r="AL533" s="498"/>
      <c r="AM533" s="498"/>
      <c r="AN533" s="498"/>
      <c r="AO533" s="498"/>
      <c r="AP533" s="498"/>
    </row>
    <row r="534" spans="1:42">
      <c r="A534" s="295">
        <v>46044</v>
      </c>
      <c r="B534" s="433"/>
      <c r="C534" s="312"/>
      <c r="D534" s="296"/>
      <c r="E534" s="312"/>
      <c r="F534" s="296"/>
      <c r="G534" s="312"/>
      <c r="H534" s="325"/>
      <c r="I534" s="312"/>
      <c r="J534" s="416"/>
      <c r="K534" s="369"/>
      <c r="L534" s="378"/>
      <c r="M534" s="312"/>
      <c r="N534" s="298"/>
      <c r="O534" s="312"/>
      <c r="P534" s="404" t="e">
        <f t="shared" si="185"/>
        <v>#DIV/0!</v>
      </c>
      <c r="Q534" s="312" t="e">
        <f t="shared" si="188"/>
        <v>#DIV/0!</v>
      </c>
      <c r="R534" s="298"/>
      <c r="S534" s="312"/>
      <c r="T534" s="298"/>
      <c r="U534" s="312"/>
      <c r="V534" s="454">
        <f t="shared" si="186"/>
        <v>0</v>
      </c>
      <c r="W534" s="312"/>
      <c r="X534" s="454">
        <f t="shared" si="187"/>
        <v>0</v>
      </c>
      <c r="Y534" s="312"/>
      <c r="Z534" s="379"/>
      <c r="AA534" s="297"/>
      <c r="AB534" s="379"/>
      <c r="AC534" s="297"/>
      <c r="AD534" s="413"/>
      <c r="AE534" s="297"/>
      <c r="AG534" s="294"/>
      <c r="AH534" s="380"/>
      <c r="AI534" s="408"/>
      <c r="AJ534" s="498"/>
      <c r="AK534" s="498"/>
      <c r="AL534" s="498"/>
      <c r="AM534" s="498"/>
      <c r="AN534" s="498"/>
      <c r="AO534" s="498"/>
      <c r="AP534" s="498"/>
    </row>
    <row r="535" spans="1:42">
      <c r="A535" s="295">
        <v>46045</v>
      </c>
      <c r="B535" s="433"/>
      <c r="C535" s="312"/>
      <c r="D535" s="296"/>
      <c r="E535" s="312"/>
      <c r="F535" s="296"/>
      <c r="G535" s="312"/>
      <c r="H535" s="325"/>
      <c r="I535" s="312"/>
      <c r="J535" s="416"/>
      <c r="K535" s="369"/>
      <c r="L535" s="378"/>
      <c r="M535" s="312"/>
      <c r="N535" s="298"/>
      <c r="O535" s="312"/>
      <c r="P535" s="404" t="e">
        <f t="shared" si="185"/>
        <v>#DIV/0!</v>
      </c>
      <c r="Q535" s="312" t="e">
        <f t="shared" si="188"/>
        <v>#DIV/0!</v>
      </c>
      <c r="R535" s="298"/>
      <c r="S535" s="312"/>
      <c r="T535" s="298"/>
      <c r="U535" s="312"/>
      <c r="V535" s="454">
        <f t="shared" si="186"/>
        <v>0</v>
      </c>
      <c r="W535" s="312"/>
      <c r="X535" s="454">
        <f t="shared" si="187"/>
        <v>0</v>
      </c>
      <c r="Y535" s="312"/>
      <c r="Z535" s="379"/>
      <c r="AA535" s="297"/>
      <c r="AB535" s="379"/>
      <c r="AC535" s="297"/>
      <c r="AD535" s="413"/>
      <c r="AE535" s="297"/>
      <c r="AG535" s="294"/>
      <c r="AH535" s="380"/>
      <c r="AI535" s="408"/>
      <c r="AJ535" s="498"/>
      <c r="AK535" s="498"/>
      <c r="AL535" s="498"/>
      <c r="AM535" s="498"/>
      <c r="AN535" s="498"/>
      <c r="AO535" s="498"/>
      <c r="AP535" s="498"/>
    </row>
    <row r="536" spans="1:42">
      <c r="A536" s="295">
        <v>46048</v>
      </c>
      <c r="B536" s="433"/>
      <c r="C536" s="312"/>
      <c r="D536" s="296"/>
      <c r="E536" s="312"/>
      <c r="F536" s="296"/>
      <c r="G536" s="312"/>
      <c r="H536" s="325"/>
      <c r="I536" s="312"/>
      <c r="J536" s="416"/>
      <c r="K536" s="369"/>
      <c r="L536" s="378"/>
      <c r="M536" s="312"/>
      <c r="N536" s="298"/>
      <c r="O536" s="312"/>
      <c r="P536" s="404" t="e">
        <f t="shared" si="185"/>
        <v>#DIV/0!</v>
      </c>
      <c r="Q536" s="312" t="e">
        <f t="shared" si="188"/>
        <v>#DIV/0!</v>
      </c>
      <c r="R536" s="298"/>
      <c r="S536" s="312"/>
      <c r="T536" s="298"/>
      <c r="U536" s="312"/>
      <c r="V536" s="454">
        <f t="shared" si="186"/>
        <v>0</v>
      </c>
      <c r="W536" s="312"/>
      <c r="X536" s="454">
        <f t="shared" si="187"/>
        <v>0</v>
      </c>
      <c r="Y536" s="312"/>
      <c r="Z536" s="379"/>
      <c r="AA536" s="297"/>
      <c r="AB536" s="379"/>
      <c r="AC536" s="297"/>
      <c r="AD536" s="413"/>
      <c r="AE536" s="297"/>
      <c r="AG536" s="294"/>
      <c r="AH536" s="380"/>
      <c r="AI536" s="408"/>
      <c r="AJ536" s="498"/>
      <c r="AK536" s="498"/>
      <c r="AL536" s="498"/>
      <c r="AM536" s="498"/>
      <c r="AN536" s="498"/>
      <c r="AO536" s="498"/>
      <c r="AP536" s="498"/>
    </row>
    <row r="537" spans="1:42">
      <c r="A537" s="295">
        <v>46049</v>
      </c>
      <c r="B537" s="433"/>
      <c r="C537" s="312"/>
      <c r="D537" s="296"/>
      <c r="E537" s="312"/>
      <c r="F537" s="296"/>
      <c r="G537" s="312"/>
      <c r="H537" s="325"/>
      <c r="I537" s="312"/>
      <c r="J537" s="416"/>
      <c r="K537" s="369"/>
      <c r="L537" s="378"/>
      <c r="M537" s="312"/>
      <c r="N537" s="298"/>
      <c r="O537" s="312"/>
      <c r="P537" s="404" t="e">
        <f t="shared" si="185"/>
        <v>#DIV/0!</v>
      </c>
      <c r="Q537" s="312" t="e">
        <f t="shared" si="188"/>
        <v>#DIV/0!</v>
      </c>
      <c r="R537" s="298"/>
      <c r="S537" s="312"/>
      <c r="T537" s="298"/>
      <c r="U537" s="312"/>
      <c r="V537" s="454">
        <f t="shared" si="186"/>
        <v>0</v>
      </c>
      <c r="W537" s="312"/>
      <c r="X537" s="454">
        <f t="shared" si="187"/>
        <v>0</v>
      </c>
      <c r="Y537" s="312"/>
      <c r="Z537" s="379"/>
      <c r="AA537" s="297"/>
      <c r="AB537" s="379"/>
      <c r="AC537" s="297"/>
      <c r="AD537" s="413"/>
      <c r="AE537" s="297"/>
      <c r="AG537" s="294"/>
      <c r="AH537" s="380"/>
      <c r="AI537" s="408"/>
      <c r="AJ537" s="498"/>
      <c r="AK537" s="498"/>
      <c r="AL537" s="498"/>
      <c r="AM537" s="498"/>
      <c r="AN537" s="498"/>
      <c r="AO537" s="498"/>
      <c r="AP537" s="498"/>
    </row>
    <row r="538" spans="1:42">
      <c r="A538" s="295">
        <v>46050</v>
      </c>
      <c r="B538" s="433"/>
      <c r="C538" s="312"/>
      <c r="D538" s="296"/>
      <c r="E538" s="312"/>
      <c r="F538" s="296"/>
      <c r="G538" s="312"/>
      <c r="H538" s="325"/>
      <c r="I538" s="312"/>
      <c r="J538" s="416"/>
      <c r="K538" s="369"/>
      <c r="L538" s="378"/>
      <c r="M538" s="312"/>
      <c r="N538" s="298"/>
      <c r="O538" s="312"/>
      <c r="P538" s="404" t="e">
        <f t="shared" si="185"/>
        <v>#DIV/0!</v>
      </c>
      <c r="Q538" s="312" t="e">
        <f t="shared" si="188"/>
        <v>#DIV/0!</v>
      </c>
      <c r="R538" s="298"/>
      <c r="S538" s="312"/>
      <c r="T538" s="298"/>
      <c r="U538" s="312"/>
      <c r="V538" s="454">
        <f t="shared" si="186"/>
        <v>0</v>
      </c>
      <c r="W538" s="312"/>
      <c r="X538" s="454">
        <f t="shared" si="187"/>
        <v>0</v>
      </c>
      <c r="Y538" s="312"/>
      <c r="Z538" s="379"/>
      <c r="AA538" s="297"/>
      <c r="AB538" s="379"/>
      <c r="AC538" s="297"/>
      <c r="AD538" s="413"/>
      <c r="AE538" s="297"/>
      <c r="AG538" s="294"/>
      <c r="AH538" s="380"/>
      <c r="AI538" s="408"/>
      <c r="AJ538" s="498"/>
      <c r="AK538" s="498"/>
      <c r="AL538" s="498"/>
      <c r="AM538" s="498"/>
      <c r="AN538" s="498"/>
      <c r="AO538" s="498"/>
      <c r="AP538" s="498"/>
    </row>
    <row r="539" spans="1:42">
      <c r="A539" s="295">
        <v>46051</v>
      </c>
      <c r="B539" s="433"/>
      <c r="C539" s="312"/>
      <c r="D539" s="296"/>
      <c r="E539" s="312"/>
      <c r="F539" s="296"/>
      <c r="G539" s="312"/>
      <c r="H539" s="325"/>
      <c r="I539" s="312"/>
      <c r="J539" s="416"/>
      <c r="K539" s="369"/>
      <c r="L539" s="378"/>
      <c r="M539" s="312"/>
      <c r="N539" s="298"/>
      <c r="O539" s="312"/>
      <c r="P539" s="404" t="e">
        <f t="shared" si="185"/>
        <v>#DIV/0!</v>
      </c>
      <c r="Q539" s="312" t="e">
        <f t="shared" si="188"/>
        <v>#DIV/0!</v>
      </c>
      <c r="R539" s="298"/>
      <c r="S539" s="312"/>
      <c r="T539" s="298"/>
      <c r="U539" s="312"/>
      <c r="V539" s="454">
        <f t="shared" si="186"/>
        <v>0</v>
      </c>
      <c r="W539" s="312"/>
      <c r="X539" s="454">
        <f t="shared" si="187"/>
        <v>0</v>
      </c>
      <c r="Y539" s="312"/>
      <c r="Z539" s="379"/>
      <c r="AA539" s="297"/>
      <c r="AB539" s="379"/>
      <c r="AC539" s="297"/>
      <c r="AD539" s="413"/>
      <c r="AE539" s="297"/>
      <c r="AG539" s="294"/>
      <c r="AH539" s="380"/>
      <c r="AI539" s="408"/>
      <c r="AJ539" s="498"/>
      <c r="AK539" s="498"/>
      <c r="AL539" s="498"/>
      <c r="AM539" s="498"/>
      <c r="AN539" s="498"/>
      <c r="AO539" s="498"/>
      <c r="AP539" s="498"/>
    </row>
    <row r="540" spans="1:42">
      <c r="A540" s="295">
        <v>46052</v>
      </c>
      <c r="B540" s="433"/>
      <c r="C540" s="312"/>
      <c r="D540" s="296"/>
      <c r="E540" s="312"/>
      <c r="F540" s="296"/>
      <c r="G540" s="312"/>
      <c r="H540" s="325"/>
      <c r="I540" s="312"/>
      <c r="J540" s="416"/>
      <c r="K540" s="369"/>
      <c r="L540" s="378"/>
      <c r="M540" s="312"/>
      <c r="N540" s="298"/>
      <c r="O540" s="312"/>
      <c r="P540" s="404" t="e">
        <f t="shared" si="185"/>
        <v>#DIV/0!</v>
      </c>
      <c r="Q540" s="312" t="e">
        <f t="shared" si="188"/>
        <v>#DIV/0!</v>
      </c>
      <c r="R540" s="298"/>
      <c r="S540" s="312"/>
      <c r="T540" s="298"/>
      <c r="U540" s="312"/>
      <c r="V540" s="454">
        <f t="shared" si="186"/>
        <v>0</v>
      </c>
      <c r="W540" s="312"/>
      <c r="X540" s="454">
        <f t="shared" si="187"/>
        <v>0</v>
      </c>
      <c r="Y540" s="312"/>
      <c r="Z540" s="379"/>
      <c r="AA540" s="297"/>
      <c r="AB540" s="379"/>
      <c r="AC540" s="297"/>
      <c r="AD540" s="413"/>
      <c r="AE540" s="297"/>
      <c r="AG540" s="294"/>
      <c r="AH540" s="380"/>
      <c r="AI540" s="408"/>
      <c r="AJ540" s="498"/>
      <c r="AK540" s="498"/>
      <c r="AL540" s="498"/>
      <c r="AM540" s="498"/>
      <c r="AN540" s="498"/>
      <c r="AO540" s="498"/>
      <c r="AP540" s="498"/>
    </row>
    <row r="541" spans="1:42">
      <c r="A541" s="295">
        <v>46055</v>
      </c>
      <c r="B541" s="433"/>
      <c r="C541" s="312"/>
      <c r="D541" s="296"/>
      <c r="E541" s="312"/>
      <c r="F541" s="296"/>
      <c r="G541" s="312"/>
      <c r="H541" s="325"/>
      <c r="I541" s="312"/>
      <c r="J541" s="416"/>
      <c r="K541" s="369"/>
      <c r="L541" s="378"/>
      <c r="M541" s="312"/>
      <c r="N541" s="298"/>
      <c r="O541" s="312"/>
      <c r="P541" s="404" t="e">
        <f t="shared" si="185"/>
        <v>#DIV/0!</v>
      </c>
      <c r="Q541" s="312" t="e">
        <f t="shared" si="188"/>
        <v>#DIV/0!</v>
      </c>
      <c r="R541" s="298"/>
      <c r="S541" s="312"/>
      <c r="T541" s="298"/>
      <c r="U541" s="312"/>
      <c r="V541" s="454">
        <f t="shared" si="186"/>
        <v>0</v>
      </c>
      <c r="W541" s="312"/>
      <c r="X541" s="454">
        <f t="shared" si="187"/>
        <v>0</v>
      </c>
      <c r="Y541" s="312"/>
      <c r="Z541" s="379"/>
      <c r="AA541" s="297"/>
      <c r="AB541" s="379"/>
      <c r="AC541" s="297"/>
      <c r="AD541" s="413"/>
      <c r="AE541" s="297"/>
      <c r="AG541" s="294"/>
      <c r="AH541" s="380"/>
      <c r="AI541" s="408"/>
      <c r="AJ541" s="498"/>
      <c r="AK541" s="498"/>
      <c r="AL541" s="498"/>
      <c r="AM541" s="498"/>
      <c r="AN541" s="498"/>
      <c r="AO541" s="498"/>
      <c r="AP541" s="498"/>
    </row>
    <row r="542" spans="1:42">
      <c r="A542" s="295">
        <v>46056</v>
      </c>
      <c r="B542" s="433"/>
      <c r="C542" s="312"/>
      <c r="D542" s="296"/>
      <c r="E542" s="312"/>
      <c r="F542" s="296"/>
      <c r="G542" s="312"/>
      <c r="H542" s="325"/>
      <c r="I542" s="312"/>
      <c r="J542" s="416"/>
      <c r="K542" s="369"/>
      <c r="L542" s="378"/>
      <c r="M542" s="312"/>
      <c r="N542" s="298"/>
      <c r="O542" s="312"/>
      <c r="P542" s="404" t="e">
        <f t="shared" si="185"/>
        <v>#DIV/0!</v>
      </c>
      <c r="Q542" s="312" t="e">
        <f t="shared" si="188"/>
        <v>#DIV/0!</v>
      </c>
      <c r="R542" s="298"/>
      <c r="S542" s="312"/>
      <c r="T542" s="298"/>
      <c r="U542" s="312"/>
      <c r="V542" s="454">
        <f t="shared" si="186"/>
        <v>0</v>
      </c>
      <c r="W542" s="312"/>
      <c r="X542" s="454">
        <f t="shared" si="187"/>
        <v>0</v>
      </c>
      <c r="Y542" s="312"/>
      <c r="Z542" s="379"/>
      <c r="AA542" s="297"/>
      <c r="AB542" s="379"/>
      <c r="AC542" s="297"/>
      <c r="AD542" s="413"/>
      <c r="AE542" s="297"/>
      <c r="AG542" s="294"/>
      <c r="AH542" s="380"/>
      <c r="AI542" s="408"/>
      <c r="AJ542" s="498"/>
      <c r="AK542" s="498"/>
      <c r="AL542" s="498"/>
      <c r="AM542" s="498"/>
      <c r="AN542" s="498"/>
      <c r="AO542" s="498"/>
      <c r="AP542" s="498"/>
    </row>
    <row r="543" spans="1:42">
      <c r="A543" s="295">
        <v>46057</v>
      </c>
      <c r="B543" s="433"/>
      <c r="C543" s="312"/>
      <c r="D543" s="296"/>
      <c r="E543" s="312"/>
      <c r="F543" s="296"/>
      <c r="G543" s="312"/>
      <c r="H543" s="325"/>
      <c r="I543" s="312"/>
      <c r="J543" s="416"/>
      <c r="K543" s="369"/>
      <c r="L543" s="378"/>
      <c r="M543" s="312"/>
      <c r="N543" s="298"/>
      <c r="O543" s="312"/>
      <c r="P543" s="404" t="e">
        <f t="shared" si="185"/>
        <v>#DIV/0!</v>
      </c>
      <c r="Q543" s="312" t="e">
        <f t="shared" si="188"/>
        <v>#DIV/0!</v>
      </c>
      <c r="R543" s="298"/>
      <c r="S543" s="312"/>
      <c r="T543" s="298"/>
      <c r="U543" s="312"/>
      <c r="V543" s="454">
        <f t="shared" si="186"/>
        <v>0</v>
      </c>
      <c r="W543" s="312"/>
      <c r="X543" s="454">
        <f t="shared" si="187"/>
        <v>0</v>
      </c>
      <c r="Y543" s="312"/>
      <c r="Z543" s="379"/>
      <c r="AA543" s="297"/>
      <c r="AB543" s="379"/>
      <c r="AC543" s="297"/>
      <c r="AD543" s="413"/>
      <c r="AE543" s="297"/>
      <c r="AG543" s="294"/>
      <c r="AH543" s="380"/>
      <c r="AI543" s="408"/>
      <c r="AJ543" s="498"/>
      <c r="AK543" s="498"/>
      <c r="AL543" s="498"/>
      <c r="AM543" s="498"/>
      <c r="AN543" s="498"/>
      <c r="AO543" s="498"/>
      <c r="AP543" s="498"/>
    </row>
    <row r="544" spans="1:42">
      <c r="A544" s="295">
        <v>46058</v>
      </c>
      <c r="B544" s="433"/>
      <c r="C544" s="312"/>
      <c r="D544" s="296"/>
      <c r="E544" s="312"/>
      <c r="F544" s="296"/>
      <c r="G544" s="312"/>
      <c r="H544" s="325"/>
      <c r="I544" s="312"/>
      <c r="J544" s="416"/>
      <c r="K544" s="369"/>
      <c r="L544" s="378"/>
      <c r="M544" s="312"/>
      <c r="N544" s="298"/>
      <c r="O544" s="312"/>
      <c r="P544" s="404" t="e">
        <f t="shared" si="185"/>
        <v>#DIV/0!</v>
      </c>
      <c r="Q544" s="312" t="e">
        <f t="shared" si="188"/>
        <v>#DIV/0!</v>
      </c>
      <c r="R544" s="298"/>
      <c r="S544" s="312"/>
      <c r="T544" s="298"/>
      <c r="U544" s="312"/>
      <c r="V544" s="454">
        <f t="shared" si="186"/>
        <v>0</v>
      </c>
      <c r="W544" s="312"/>
      <c r="X544" s="454">
        <f t="shared" si="187"/>
        <v>0</v>
      </c>
      <c r="Y544" s="312"/>
      <c r="Z544" s="379"/>
      <c r="AA544" s="297"/>
      <c r="AB544" s="379"/>
      <c r="AC544" s="297"/>
      <c r="AD544" s="413"/>
      <c r="AE544" s="297"/>
      <c r="AG544" s="294"/>
      <c r="AH544" s="380"/>
      <c r="AI544" s="408"/>
      <c r="AJ544" s="498"/>
      <c r="AK544" s="498"/>
      <c r="AL544" s="498"/>
      <c r="AM544" s="498"/>
      <c r="AN544" s="498"/>
      <c r="AO544" s="498"/>
      <c r="AP544" s="498"/>
    </row>
    <row r="545" spans="1:42">
      <c r="A545" s="295">
        <v>46059</v>
      </c>
      <c r="B545" s="433"/>
      <c r="C545" s="312"/>
      <c r="D545" s="296"/>
      <c r="E545" s="312"/>
      <c r="F545" s="296"/>
      <c r="G545" s="312"/>
      <c r="H545" s="325"/>
      <c r="I545" s="312"/>
      <c r="J545" s="416"/>
      <c r="K545" s="369"/>
      <c r="L545" s="378"/>
      <c r="M545" s="312"/>
      <c r="N545" s="298"/>
      <c r="O545" s="312"/>
      <c r="P545" s="404" t="e">
        <f t="shared" si="185"/>
        <v>#DIV/0!</v>
      </c>
      <c r="Q545" s="312" t="e">
        <f t="shared" si="188"/>
        <v>#DIV/0!</v>
      </c>
      <c r="R545" s="298"/>
      <c r="S545" s="312"/>
      <c r="T545" s="298"/>
      <c r="U545" s="312"/>
      <c r="V545" s="454">
        <f t="shared" si="186"/>
        <v>0</v>
      </c>
      <c r="W545" s="312"/>
      <c r="X545" s="454">
        <f t="shared" si="187"/>
        <v>0</v>
      </c>
      <c r="Y545" s="312"/>
      <c r="Z545" s="379"/>
      <c r="AA545" s="297"/>
      <c r="AB545" s="379"/>
      <c r="AC545" s="297"/>
      <c r="AD545" s="413"/>
      <c r="AE545" s="297"/>
      <c r="AG545" s="294"/>
      <c r="AH545" s="380"/>
      <c r="AI545" s="408"/>
      <c r="AJ545" s="498"/>
      <c r="AK545" s="498"/>
      <c r="AL545" s="498"/>
      <c r="AM545" s="498"/>
      <c r="AN545" s="498"/>
      <c r="AO545" s="498"/>
      <c r="AP545" s="498"/>
    </row>
    <row r="546" spans="1:42">
      <c r="A546" s="295">
        <v>46062</v>
      </c>
      <c r="B546" s="433"/>
      <c r="C546" s="312"/>
      <c r="D546" s="296"/>
      <c r="E546" s="312"/>
      <c r="F546" s="296"/>
      <c r="G546" s="312"/>
      <c r="H546" s="325"/>
      <c r="I546" s="312"/>
      <c r="J546" s="416"/>
      <c r="K546" s="369"/>
      <c r="L546" s="378"/>
      <c r="M546" s="312"/>
      <c r="N546" s="298"/>
      <c r="O546" s="312"/>
      <c r="P546" s="404" t="e">
        <f t="shared" si="185"/>
        <v>#DIV/0!</v>
      </c>
      <c r="Q546" s="312" t="e">
        <f t="shared" si="188"/>
        <v>#DIV/0!</v>
      </c>
      <c r="R546" s="298"/>
      <c r="S546" s="312"/>
      <c r="T546" s="298"/>
      <c r="U546" s="312"/>
      <c r="V546" s="454">
        <f t="shared" si="186"/>
        <v>0</v>
      </c>
      <c r="W546" s="312"/>
      <c r="X546" s="454">
        <f t="shared" si="187"/>
        <v>0</v>
      </c>
      <c r="Y546" s="312"/>
      <c r="Z546" s="379"/>
      <c r="AA546" s="297"/>
      <c r="AB546" s="379"/>
      <c r="AC546" s="297"/>
      <c r="AD546" s="413"/>
      <c r="AE546" s="297"/>
      <c r="AG546" s="294"/>
      <c r="AH546" s="380"/>
      <c r="AI546" s="408"/>
      <c r="AJ546" s="498"/>
      <c r="AK546" s="498"/>
      <c r="AL546" s="498"/>
      <c r="AM546" s="498"/>
      <c r="AN546" s="498"/>
      <c r="AO546" s="498"/>
      <c r="AP546" s="498"/>
    </row>
    <row r="547" spans="1:42">
      <c r="A547" s="295">
        <v>46063</v>
      </c>
      <c r="B547" s="433"/>
      <c r="C547" s="312"/>
      <c r="D547" s="296"/>
      <c r="E547" s="312"/>
      <c r="F547" s="296"/>
      <c r="G547" s="312"/>
      <c r="H547" s="325"/>
      <c r="I547" s="312"/>
      <c r="J547" s="416"/>
      <c r="K547" s="369"/>
      <c r="L547" s="378"/>
      <c r="M547" s="312"/>
      <c r="N547" s="298"/>
      <c r="O547" s="312"/>
      <c r="P547" s="404" t="e">
        <f t="shared" si="185"/>
        <v>#DIV/0!</v>
      </c>
      <c r="Q547" s="312" t="e">
        <f t="shared" si="188"/>
        <v>#DIV/0!</v>
      </c>
      <c r="R547" s="298"/>
      <c r="S547" s="312"/>
      <c r="T547" s="298"/>
      <c r="U547" s="312"/>
      <c r="V547" s="454">
        <f t="shared" si="186"/>
        <v>0</v>
      </c>
      <c r="W547" s="312"/>
      <c r="X547" s="454">
        <f t="shared" si="187"/>
        <v>0</v>
      </c>
      <c r="Y547" s="312"/>
      <c r="Z547" s="379"/>
      <c r="AA547" s="297"/>
      <c r="AB547" s="379"/>
      <c r="AC547" s="297"/>
      <c r="AD547" s="413"/>
      <c r="AE547" s="297"/>
      <c r="AG547" s="294"/>
      <c r="AH547" s="380"/>
      <c r="AI547" s="408"/>
      <c r="AJ547" s="498"/>
      <c r="AK547" s="498"/>
      <c r="AL547" s="498"/>
      <c r="AM547" s="498"/>
      <c r="AN547" s="498"/>
      <c r="AO547" s="498"/>
      <c r="AP547" s="498"/>
    </row>
    <row r="548" spans="1:42">
      <c r="A548" s="295">
        <v>46064</v>
      </c>
      <c r="B548" s="433"/>
      <c r="C548" s="312"/>
      <c r="D548" s="296"/>
      <c r="E548" s="312"/>
      <c r="F548" s="296"/>
      <c r="G548" s="312"/>
      <c r="H548" s="325"/>
      <c r="I548" s="312"/>
      <c r="J548" s="416"/>
      <c r="K548" s="369"/>
      <c r="L548" s="378"/>
      <c r="M548" s="312"/>
      <c r="N548" s="298"/>
      <c r="O548" s="312"/>
      <c r="P548" s="404" t="e">
        <f t="shared" si="185"/>
        <v>#DIV/0!</v>
      </c>
      <c r="Q548" s="312" t="e">
        <f t="shared" si="188"/>
        <v>#DIV/0!</v>
      </c>
      <c r="R548" s="298"/>
      <c r="S548" s="312"/>
      <c r="T548" s="298"/>
      <c r="U548" s="312"/>
      <c r="V548" s="454">
        <f t="shared" si="186"/>
        <v>0</v>
      </c>
      <c r="W548" s="312"/>
      <c r="X548" s="454">
        <f t="shared" si="187"/>
        <v>0</v>
      </c>
      <c r="Y548" s="312"/>
      <c r="Z548" s="379"/>
      <c r="AA548" s="297"/>
      <c r="AB548" s="379"/>
      <c r="AC548" s="297"/>
      <c r="AD548" s="413"/>
      <c r="AE548" s="297"/>
      <c r="AG548" s="294"/>
      <c r="AH548" s="380"/>
      <c r="AI548" s="408"/>
      <c r="AJ548" s="498"/>
      <c r="AK548" s="498"/>
      <c r="AL548" s="498"/>
      <c r="AM548" s="498"/>
      <c r="AN548" s="498"/>
      <c r="AO548" s="498"/>
      <c r="AP548" s="498"/>
    </row>
    <row r="549" spans="1:42">
      <c r="A549" s="295">
        <v>46065</v>
      </c>
      <c r="B549" s="433"/>
      <c r="C549" s="312"/>
      <c r="D549" s="296"/>
      <c r="E549" s="312"/>
      <c r="F549" s="296"/>
      <c r="G549" s="312"/>
      <c r="H549" s="325"/>
      <c r="I549" s="312"/>
      <c r="J549" s="416"/>
      <c r="K549" s="369"/>
      <c r="L549" s="378"/>
      <c r="M549" s="312"/>
      <c r="N549" s="298"/>
      <c r="O549" s="312"/>
      <c r="P549" s="404" t="e">
        <f t="shared" si="185"/>
        <v>#DIV/0!</v>
      </c>
      <c r="Q549" s="312" t="e">
        <f t="shared" si="188"/>
        <v>#DIV/0!</v>
      </c>
      <c r="R549" s="298"/>
      <c r="S549" s="312"/>
      <c r="T549" s="298"/>
      <c r="U549" s="312"/>
      <c r="V549" s="454">
        <f t="shared" si="186"/>
        <v>0</v>
      </c>
      <c r="W549" s="312"/>
      <c r="X549" s="454">
        <f t="shared" si="187"/>
        <v>0</v>
      </c>
      <c r="Y549" s="312"/>
      <c r="Z549" s="379"/>
      <c r="AA549" s="297"/>
      <c r="AB549" s="379"/>
      <c r="AC549" s="297"/>
      <c r="AD549" s="413"/>
      <c r="AE549" s="297"/>
      <c r="AG549" s="294"/>
      <c r="AH549" s="380"/>
      <c r="AI549" s="408"/>
      <c r="AJ549" s="498"/>
      <c r="AK549" s="498"/>
      <c r="AL549" s="498"/>
      <c r="AM549" s="498"/>
      <c r="AN549" s="498"/>
      <c r="AO549" s="498"/>
      <c r="AP549" s="498"/>
    </row>
    <row r="550" spans="1:42">
      <c r="A550" s="295">
        <v>46066</v>
      </c>
      <c r="B550" s="433"/>
      <c r="C550" s="312"/>
      <c r="D550" s="296"/>
      <c r="E550" s="312"/>
      <c r="F550" s="296"/>
      <c r="G550" s="312"/>
      <c r="H550" s="325"/>
      <c r="I550" s="312"/>
      <c r="J550" s="416"/>
      <c r="K550" s="369"/>
      <c r="L550" s="378"/>
      <c r="M550" s="312"/>
      <c r="N550" s="298"/>
      <c r="O550" s="312"/>
      <c r="P550" s="404" t="e">
        <f t="shared" si="185"/>
        <v>#DIV/0!</v>
      </c>
      <c r="Q550" s="312" t="e">
        <f t="shared" si="188"/>
        <v>#DIV/0!</v>
      </c>
      <c r="R550" s="298"/>
      <c r="S550" s="312"/>
      <c r="T550" s="298"/>
      <c r="U550" s="312"/>
      <c r="V550" s="454">
        <f t="shared" si="186"/>
        <v>0</v>
      </c>
      <c r="W550" s="312"/>
      <c r="X550" s="454">
        <f t="shared" si="187"/>
        <v>0</v>
      </c>
      <c r="Y550" s="312"/>
      <c r="Z550" s="379"/>
      <c r="AA550" s="297"/>
      <c r="AB550" s="379"/>
      <c r="AC550" s="297"/>
      <c r="AD550" s="413"/>
      <c r="AE550" s="297"/>
      <c r="AG550" s="294"/>
      <c r="AH550" s="380"/>
      <c r="AI550" s="408"/>
      <c r="AJ550" s="498"/>
      <c r="AK550" s="498"/>
      <c r="AL550" s="498"/>
      <c r="AM550" s="498"/>
      <c r="AN550" s="498"/>
      <c r="AO550" s="498"/>
      <c r="AP550" s="498"/>
    </row>
    <row r="551" spans="1:42">
      <c r="A551" s="295">
        <v>46069</v>
      </c>
      <c r="B551" s="433"/>
      <c r="C551" s="312"/>
      <c r="D551" s="296"/>
      <c r="E551" s="312"/>
      <c r="F551" s="296"/>
      <c r="G551" s="312"/>
      <c r="H551" s="325"/>
      <c r="I551" s="312"/>
      <c r="J551" s="416"/>
      <c r="K551" s="369"/>
      <c r="L551" s="378"/>
      <c r="M551" s="312"/>
      <c r="N551" s="298"/>
      <c r="O551" s="312"/>
      <c r="P551" s="404" t="e">
        <f t="shared" si="185"/>
        <v>#DIV/0!</v>
      </c>
      <c r="Q551" s="312" t="e">
        <f t="shared" si="188"/>
        <v>#DIV/0!</v>
      </c>
      <c r="R551" s="298"/>
      <c r="S551" s="312"/>
      <c r="T551" s="298"/>
      <c r="U551" s="312"/>
      <c r="V551" s="454">
        <f t="shared" si="186"/>
        <v>0</v>
      </c>
      <c r="W551" s="312"/>
      <c r="X551" s="454">
        <f t="shared" si="187"/>
        <v>0</v>
      </c>
      <c r="Y551" s="312"/>
      <c r="Z551" s="379"/>
      <c r="AA551" s="297"/>
      <c r="AB551" s="379"/>
      <c r="AC551" s="297"/>
      <c r="AD551" s="413"/>
      <c r="AE551" s="297"/>
      <c r="AG551" s="294"/>
      <c r="AH551" s="380"/>
      <c r="AI551" s="408"/>
      <c r="AJ551" s="498"/>
      <c r="AK551" s="498"/>
      <c r="AL551" s="498"/>
      <c r="AM551" s="498"/>
      <c r="AN551" s="498"/>
      <c r="AO551" s="498"/>
      <c r="AP551" s="498"/>
    </row>
    <row r="552" spans="1:42">
      <c r="A552" s="295">
        <v>46070</v>
      </c>
      <c r="B552" s="433"/>
      <c r="C552" s="312"/>
      <c r="D552" s="296"/>
      <c r="E552" s="312"/>
      <c r="F552" s="296"/>
      <c r="G552" s="312"/>
      <c r="H552" s="325"/>
      <c r="I552" s="312"/>
      <c r="J552" s="416"/>
      <c r="K552" s="369"/>
      <c r="L552" s="378"/>
      <c r="M552" s="312"/>
      <c r="N552" s="298"/>
      <c r="O552" s="312"/>
      <c r="P552" s="404" t="e">
        <f t="shared" si="185"/>
        <v>#DIV/0!</v>
      </c>
      <c r="Q552" s="312" t="e">
        <f t="shared" si="188"/>
        <v>#DIV/0!</v>
      </c>
      <c r="R552" s="298"/>
      <c r="S552" s="312"/>
      <c r="T552" s="298"/>
      <c r="U552" s="312"/>
      <c r="V552" s="454">
        <f t="shared" si="186"/>
        <v>0</v>
      </c>
      <c r="W552" s="312"/>
      <c r="X552" s="454">
        <f t="shared" si="187"/>
        <v>0</v>
      </c>
      <c r="Y552" s="312"/>
      <c r="Z552" s="379"/>
      <c r="AA552" s="297"/>
      <c r="AB552" s="379"/>
      <c r="AC552" s="297"/>
      <c r="AD552" s="413"/>
      <c r="AE552" s="297"/>
      <c r="AG552" s="294"/>
      <c r="AH552" s="380"/>
      <c r="AI552" s="408"/>
      <c r="AJ552" s="498"/>
      <c r="AK552" s="498"/>
      <c r="AL552" s="498"/>
      <c r="AM552" s="498"/>
      <c r="AN552" s="498"/>
      <c r="AO552" s="498"/>
      <c r="AP552" s="498"/>
    </row>
    <row r="553" spans="1:42">
      <c r="A553" s="295">
        <v>46071</v>
      </c>
      <c r="B553" s="433"/>
      <c r="C553" s="312"/>
      <c r="D553" s="296"/>
      <c r="E553" s="312"/>
      <c r="F553" s="296"/>
      <c r="G553" s="312"/>
      <c r="H553" s="325"/>
      <c r="I553" s="312"/>
      <c r="J553" s="416"/>
      <c r="K553" s="369"/>
      <c r="L553" s="378"/>
      <c r="M553" s="312"/>
      <c r="N553" s="298"/>
      <c r="O553" s="312"/>
      <c r="P553" s="404" t="e">
        <f t="shared" si="185"/>
        <v>#DIV/0!</v>
      </c>
      <c r="Q553" s="312" t="e">
        <f t="shared" si="188"/>
        <v>#DIV/0!</v>
      </c>
      <c r="R553" s="298"/>
      <c r="S553" s="312"/>
      <c r="T553" s="298"/>
      <c r="U553" s="312"/>
      <c r="V553" s="454">
        <f t="shared" si="186"/>
        <v>0</v>
      </c>
      <c r="W553" s="312"/>
      <c r="X553" s="454">
        <f t="shared" si="187"/>
        <v>0</v>
      </c>
      <c r="Y553" s="312"/>
      <c r="Z553" s="379"/>
      <c r="AA553" s="297"/>
      <c r="AB553" s="379"/>
      <c r="AC553" s="297"/>
      <c r="AD553" s="413"/>
      <c r="AE553" s="297"/>
      <c r="AG553" s="294"/>
      <c r="AH553" s="380"/>
      <c r="AI553" s="408"/>
      <c r="AJ553" s="498"/>
      <c r="AK553" s="498"/>
      <c r="AL553" s="498"/>
      <c r="AM553" s="498"/>
      <c r="AN553" s="498"/>
      <c r="AO553" s="498"/>
      <c r="AP553" s="498"/>
    </row>
    <row r="554" spans="1:42">
      <c r="A554" s="295">
        <v>46072</v>
      </c>
      <c r="B554" s="433"/>
      <c r="C554" s="312"/>
      <c r="D554" s="296"/>
      <c r="E554" s="312"/>
      <c r="F554" s="296"/>
      <c r="G554" s="312"/>
      <c r="H554" s="325"/>
      <c r="I554" s="312"/>
      <c r="J554" s="416"/>
      <c r="K554" s="369"/>
      <c r="L554" s="378"/>
      <c r="M554" s="312"/>
      <c r="N554" s="298"/>
      <c r="O554" s="312"/>
      <c r="P554" s="404" t="e">
        <f t="shared" si="185"/>
        <v>#DIV/0!</v>
      </c>
      <c r="Q554" s="312" t="e">
        <f t="shared" si="188"/>
        <v>#DIV/0!</v>
      </c>
      <c r="R554" s="298"/>
      <c r="S554" s="312"/>
      <c r="T554" s="298"/>
      <c r="U554" s="312"/>
      <c r="V554" s="454">
        <f t="shared" si="186"/>
        <v>0</v>
      </c>
      <c r="W554" s="312"/>
      <c r="X554" s="454">
        <f t="shared" si="187"/>
        <v>0</v>
      </c>
      <c r="Y554" s="312"/>
      <c r="Z554" s="379"/>
      <c r="AA554" s="297"/>
      <c r="AB554" s="379"/>
      <c r="AC554" s="297"/>
      <c r="AD554" s="413"/>
      <c r="AE554" s="297"/>
      <c r="AG554" s="294"/>
      <c r="AH554" s="380"/>
      <c r="AI554" s="408"/>
      <c r="AJ554" s="498"/>
      <c r="AK554" s="498"/>
      <c r="AL554" s="498"/>
      <c r="AM554" s="498"/>
      <c r="AN554" s="498"/>
      <c r="AO554" s="498"/>
      <c r="AP554" s="498"/>
    </row>
    <row r="555" spans="1:42">
      <c r="A555" s="295">
        <v>46073</v>
      </c>
      <c r="B555" s="433"/>
      <c r="C555" s="312"/>
      <c r="D555" s="296"/>
      <c r="E555" s="312"/>
      <c r="F555" s="296"/>
      <c r="G555" s="312"/>
      <c r="H555" s="325"/>
      <c r="I555" s="312"/>
      <c r="J555" s="416"/>
      <c r="K555" s="369"/>
      <c r="L555" s="378"/>
      <c r="M555" s="312"/>
      <c r="N555" s="298"/>
      <c r="O555" s="312"/>
      <c r="P555" s="404" t="e">
        <f t="shared" si="185"/>
        <v>#DIV/0!</v>
      </c>
      <c r="Q555" s="312" t="e">
        <f t="shared" si="188"/>
        <v>#DIV/0!</v>
      </c>
      <c r="R555" s="298"/>
      <c r="S555" s="312"/>
      <c r="T555" s="298"/>
      <c r="U555" s="312"/>
      <c r="V555" s="454">
        <f t="shared" si="186"/>
        <v>0</v>
      </c>
      <c r="W555" s="312"/>
      <c r="X555" s="454">
        <f t="shared" si="187"/>
        <v>0</v>
      </c>
      <c r="Y555" s="312"/>
      <c r="Z555" s="379"/>
      <c r="AA555" s="297"/>
      <c r="AB555" s="379"/>
      <c r="AC555" s="297"/>
      <c r="AD555" s="413"/>
      <c r="AE555" s="297"/>
      <c r="AG555" s="294"/>
      <c r="AH555" s="380"/>
      <c r="AI555" s="408"/>
      <c r="AJ555" s="498"/>
      <c r="AK555" s="498"/>
      <c r="AL555" s="498"/>
      <c r="AM555" s="498"/>
      <c r="AN555" s="498"/>
      <c r="AO555" s="498"/>
      <c r="AP555" s="498"/>
    </row>
    <row r="556" spans="1:42">
      <c r="A556" s="295">
        <v>46076</v>
      </c>
      <c r="B556" s="433"/>
      <c r="C556" s="312"/>
      <c r="D556" s="296"/>
      <c r="E556" s="312"/>
      <c r="F556" s="296"/>
      <c r="G556" s="312"/>
      <c r="H556" s="325"/>
      <c r="I556" s="312"/>
      <c r="J556" s="416"/>
      <c r="K556" s="369"/>
      <c r="L556" s="378"/>
      <c r="M556" s="312"/>
      <c r="N556" s="298"/>
      <c r="O556" s="312"/>
      <c r="P556" s="404" t="e">
        <f t="shared" si="185"/>
        <v>#DIV/0!</v>
      </c>
      <c r="Q556" s="312" t="e">
        <f t="shared" si="188"/>
        <v>#DIV/0!</v>
      </c>
      <c r="R556" s="298"/>
      <c r="S556" s="312"/>
      <c r="T556" s="298"/>
      <c r="U556" s="312"/>
      <c r="V556" s="454">
        <f t="shared" si="186"/>
        <v>0</v>
      </c>
      <c r="W556" s="312"/>
      <c r="X556" s="454">
        <f t="shared" si="187"/>
        <v>0</v>
      </c>
      <c r="Y556" s="312"/>
      <c r="Z556" s="379"/>
      <c r="AA556" s="297"/>
      <c r="AB556" s="379"/>
      <c r="AC556" s="297"/>
      <c r="AD556" s="413"/>
      <c r="AE556" s="297"/>
      <c r="AG556" s="294"/>
      <c r="AH556" s="380"/>
      <c r="AI556" s="408"/>
      <c r="AJ556" s="498"/>
      <c r="AK556" s="498"/>
      <c r="AL556" s="498"/>
      <c r="AM556" s="498"/>
      <c r="AN556" s="498"/>
      <c r="AO556" s="498"/>
      <c r="AP556" s="498"/>
    </row>
    <row r="557" spans="1:42">
      <c r="A557" s="295">
        <v>46077</v>
      </c>
      <c r="B557" s="433"/>
      <c r="C557" s="312"/>
      <c r="D557" s="296"/>
      <c r="E557" s="312"/>
      <c r="F557" s="296"/>
      <c r="G557" s="312"/>
      <c r="H557" s="325"/>
      <c r="I557" s="312"/>
      <c r="J557" s="416"/>
      <c r="K557" s="369"/>
      <c r="L557" s="378"/>
      <c r="M557" s="312"/>
      <c r="N557" s="298"/>
      <c r="O557" s="312"/>
      <c r="P557" s="404" t="e">
        <f t="shared" si="185"/>
        <v>#DIV/0!</v>
      </c>
      <c r="Q557" s="312" t="e">
        <f t="shared" si="188"/>
        <v>#DIV/0!</v>
      </c>
      <c r="R557" s="298"/>
      <c r="S557" s="312"/>
      <c r="T557" s="298"/>
      <c r="U557" s="312"/>
      <c r="V557" s="454">
        <f t="shared" si="186"/>
        <v>0</v>
      </c>
      <c r="W557" s="312"/>
      <c r="X557" s="454">
        <f t="shared" si="187"/>
        <v>0</v>
      </c>
      <c r="Y557" s="312"/>
      <c r="Z557" s="379"/>
      <c r="AA557" s="297"/>
      <c r="AB557" s="379"/>
      <c r="AC557" s="297"/>
      <c r="AD557" s="413"/>
      <c r="AE557" s="297"/>
      <c r="AG557" s="294"/>
      <c r="AH557" s="380"/>
      <c r="AI557" s="408"/>
      <c r="AJ557" s="498"/>
      <c r="AK557" s="498"/>
      <c r="AL557" s="498"/>
      <c r="AM557" s="498"/>
      <c r="AN557" s="498"/>
      <c r="AO557" s="498"/>
      <c r="AP557" s="498"/>
    </row>
    <row r="558" spans="1:42">
      <c r="A558" s="295">
        <v>46078</v>
      </c>
      <c r="B558" s="433"/>
      <c r="C558" s="312"/>
      <c r="D558" s="296"/>
      <c r="E558" s="312"/>
      <c r="F558" s="296"/>
      <c r="G558" s="312"/>
      <c r="H558" s="325"/>
      <c r="I558" s="312"/>
      <c r="J558" s="416"/>
      <c r="K558" s="369"/>
      <c r="L558" s="378"/>
      <c r="M558" s="312"/>
      <c r="N558" s="298"/>
      <c r="O558" s="312"/>
      <c r="P558" s="404" t="e">
        <f t="shared" si="185"/>
        <v>#DIV/0!</v>
      </c>
      <c r="Q558" s="312" t="e">
        <f t="shared" si="188"/>
        <v>#DIV/0!</v>
      </c>
      <c r="R558" s="298"/>
      <c r="S558" s="312"/>
      <c r="T558" s="298"/>
      <c r="U558" s="312"/>
      <c r="V558" s="454">
        <f t="shared" si="186"/>
        <v>0</v>
      </c>
      <c r="W558" s="312"/>
      <c r="X558" s="454">
        <f t="shared" si="187"/>
        <v>0</v>
      </c>
      <c r="Y558" s="312"/>
      <c r="Z558" s="379"/>
      <c r="AA558" s="297"/>
      <c r="AB558" s="379"/>
      <c r="AC558" s="297"/>
      <c r="AD558" s="413"/>
      <c r="AE558" s="297"/>
      <c r="AG558" s="294"/>
      <c r="AH558" s="380"/>
      <c r="AI558" s="408"/>
      <c r="AJ558" s="498"/>
      <c r="AK558" s="498"/>
      <c r="AL558" s="498"/>
      <c r="AM558" s="498"/>
      <c r="AN558" s="498"/>
      <c r="AO558" s="498"/>
      <c r="AP558" s="498"/>
    </row>
    <row r="559" spans="1:42">
      <c r="A559" s="295">
        <v>46079</v>
      </c>
      <c r="B559" s="433"/>
      <c r="C559" s="312"/>
      <c r="D559" s="296"/>
      <c r="E559" s="312"/>
      <c r="F559" s="296"/>
      <c r="G559" s="312"/>
      <c r="H559" s="325"/>
      <c r="I559" s="312"/>
      <c r="J559" s="416"/>
      <c r="K559" s="369"/>
      <c r="L559" s="378"/>
      <c r="M559" s="312"/>
      <c r="N559" s="298"/>
      <c r="O559" s="312"/>
      <c r="P559" s="404" t="e">
        <f t="shared" si="185"/>
        <v>#DIV/0!</v>
      </c>
      <c r="Q559" s="312" t="e">
        <f t="shared" si="188"/>
        <v>#DIV/0!</v>
      </c>
      <c r="R559" s="298"/>
      <c r="S559" s="312"/>
      <c r="T559" s="298"/>
      <c r="U559" s="312"/>
      <c r="V559" s="454">
        <f t="shared" si="186"/>
        <v>0</v>
      </c>
      <c r="W559" s="312"/>
      <c r="X559" s="454">
        <f t="shared" si="187"/>
        <v>0</v>
      </c>
      <c r="Y559" s="312"/>
      <c r="Z559" s="379"/>
      <c r="AA559" s="297"/>
      <c r="AB559" s="379"/>
      <c r="AC559" s="297"/>
      <c r="AD559" s="413"/>
      <c r="AE559" s="297"/>
      <c r="AG559" s="294"/>
      <c r="AH559" s="380"/>
      <c r="AI559" s="408"/>
      <c r="AJ559" s="498"/>
      <c r="AK559" s="498"/>
      <c r="AL559" s="498"/>
      <c r="AM559" s="498"/>
      <c r="AN559" s="498"/>
      <c r="AO559" s="498"/>
      <c r="AP559" s="498"/>
    </row>
    <row r="560" spans="1:42">
      <c r="A560" s="295">
        <v>46080</v>
      </c>
      <c r="B560" s="433"/>
      <c r="C560" s="312"/>
      <c r="D560" s="296"/>
      <c r="E560" s="312"/>
      <c r="F560" s="296"/>
      <c r="G560" s="312"/>
      <c r="H560" s="325"/>
      <c r="I560" s="312"/>
      <c r="J560" s="416"/>
      <c r="K560" s="369"/>
      <c r="L560" s="378"/>
      <c r="M560" s="312"/>
      <c r="N560" s="298"/>
      <c r="O560" s="312"/>
      <c r="P560" s="404" t="e">
        <f t="shared" si="185"/>
        <v>#DIV/0!</v>
      </c>
      <c r="Q560" s="312" t="e">
        <f t="shared" si="188"/>
        <v>#DIV/0!</v>
      </c>
      <c r="R560" s="298"/>
      <c r="S560" s="312"/>
      <c r="T560" s="298"/>
      <c r="U560" s="312"/>
      <c r="V560" s="454">
        <f t="shared" si="186"/>
        <v>0</v>
      </c>
      <c r="W560" s="312"/>
      <c r="X560" s="454">
        <f t="shared" si="187"/>
        <v>0</v>
      </c>
      <c r="Y560" s="312"/>
      <c r="Z560" s="379"/>
      <c r="AA560" s="297"/>
      <c r="AB560" s="379"/>
      <c r="AC560" s="297"/>
      <c r="AD560" s="413"/>
      <c r="AE560" s="297"/>
      <c r="AG560" s="294"/>
      <c r="AH560" s="380"/>
      <c r="AI560" s="408"/>
      <c r="AJ560" s="498"/>
      <c r="AK560" s="498"/>
      <c r="AL560" s="498"/>
      <c r="AM560" s="498"/>
      <c r="AN560" s="498"/>
      <c r="AO560" s="498"/>
      <c r="AP560" s="498"/>
    </row>
    <row r="561" spans="1:42">
      <c r="A561" s="295">
        <v>46083</v>
      </c>
      <c r="B561" s="433"/>
      <c r="C561" s="312"/>
      <c r="D561" s="296"/>
      <c r="E561" s="312"/>
      <c r="F561" s="296"/>
      <c r="G561" s="312"/>
      <c r="H561" s="325"/>
      <c r="I561" s="312"/>
      <c r="J561" s="416"/>
      <c r="K561" s="369"/>
      <c r="L561" s="378"/>
      <c r="M561" s="312"/>
      <c r="N561" s="298"/>
      <c r="O561" s="312"/>
      <c r="P561" s="404" t="e">
        <f t="shared" si="185"/>
        <v>#DIV/0!</v>
      </c>
      <c r="Q561" s="312" t="e">
        <f t="shared" si="188"/>
        <v>#DIV/0!</v>
      </c>
      <c r="R561" s="298"/>
      <c r="S561" s="312"/>
      <c r="T561" s="298"/>
      <c r="U561" s="312"/>
      <c r="V561" s="454">
        <f t="shared" si="186"/>
        <v>0</v>
      </c>
      <c r="W561" s="312"/>
      <c r="X561" s="454">
        <f t="shared" si="187"/>
        <v>0</v>
      </c>
      <c r="Y561" s="312"/>
      <c r="Z561" s="379"/>
      <c r="AA561" s="297"/>
      <c r="AB561" s="379"/>
      <c r="AC561" s="297"/>
      <c r="AD561" s="413"/>
      <c r="AE561" s="297"/>
      <c r="AG561" s="294"/>
      <c r="AH561" s="380"/>
      <c r="AI561" s="408"/>
      <c r="AJ561" s="498"/>
      <c r="AK561" s="498"/>
      <c r="AL561" s="498"/>
      <c r="AM561" s="498"/>
      <c r="AN561" s="498"/>
      <c r="AO561" s="498"/>
      <c r="AP561" s="498"/>
    </row>
    <row r="562" spans="1:42">
      <c r="A562" s="295">
        <v>46084</v>
      </c>
      <c r="B562" s="433"/>
      <c r="C562" s="312"/>
      <c r="D562" s="296"/>
      <c r="E562" s="312"/>
      <c r="F562" s="296"/>
      <c r="G562" s="312"/>
      <c r="H562" s="325"/>
      <c r="I562" s="312"/>
      <c r="J562" s="416"/>
      <c r="K562" s="369"/>
      <c r="L562" s="378"/>
      <c r="M562" s="312"/>
      <c r="N562" s="298"/>
      <c r="O562" s="312"/>
      <c r="P562" s="404" t="e">
        <f t="shared" si="185"/>
        <v>#DIV/0!</v>
      </c>
      <c r="Q562" s="312" t="e">
        <f t="shared" si="188"/>
        <v>#DIV/0!</v>
      </c>
      <c r="R562" s="298"/>
      <c r="S562" s="312"/>
      <c r="T562" s="298"/>
      <c r="U562" s="312"/>
      <c r="V562" s="454">
        <f t="shared" si="186"/>
        <v>0</v>
      </c>
      <c r="W562" s="312"/>
      <c r="X562" s="454">
        <f t="shared" si="187"/>
        <v>0</v>
      </c>
      <c r="Y562" s="312"/>
      <c r="Z562" s="379"/>
      <c r="AA562" s="297"/>
      <c r="AB562" s="379"/>
      <c r="AC562" s="297"/>
      <c r="AD562" s="413"/>
      <c r="AE562" s="297"/>
      <c r="AG562" s="294"/>
      <c r="AH562" s="380"/>
      <c r="AI562" s="408"/>
      <c r="AJ562" s="498"/>
      <c r="AK562" s="498"/>
      <c r="AL562" s="498"/>
      <c r="AM562" s="498"/>
      <c r="AN562" s="498"/>
      <c r="AO562" s="498"/>
      <c r="AP562" s="498"/>
    </row>
    <row r="563" spans="1:42">
      <c r="A563" s="295">
        <v>46085</v>
      </c>
      <c r="B563" s="433"/>
      <c r="C563" s="312"/>
      <c r="D563" s="296"/>
      <c r="E563" s="312"/>
      <c r="F563" s="296"/>
      <c r="G563" s="312"/>
      <c r="H563" s="325"/>
      <c r="I563" s="312"/>
      <c r="J563" s="416"/>
      <c r="K563" s="369"/>
      <c r="L563" s="378"/>
      <c r="M563" s="312"/>
      <c r="N563" s="298"/>
      <c r="O563" s="312"/>
      <c r="P563" s="404" t="e">
        <f t="shared" si="185"/>
        <v>#DIV/0!</v>
      </c>
      <c r="Q563" s="312" t="e">
        <f t="shared" si="188"/>
        <v>#DIV/0!</v>
      </c>
      <c r="R563" s="298"/>
      <c r="S563" s="312"/>
      <c r="T563" s="298"/>
      <c r="U563" s="312"/>
      <c r="V563" s="454">
        <f t="shared" si="186"/>
        <v>0</v>
      </c>
      <c r="W563" s="312"/>
      <c r="X563" s="454">
        <f t="shared" si="187"/>
        <v>0</v>
      </c>
      <c r="Y563" s="312"/>
      <c r="Z563" s="379"/>
      <c r="AA563" s="297"/>
      <c r="AB563" s="379"/>
      <c r="AC563" s="297"/>
      <c r="AD563" s="413"/>
      <c r="AE563" s="297"/>
      <c r="AG563" s="294"/>
      <c r="AH563" s="380"/>
      <c r="AI563" s="408"/>
      <c r="AJ563" s="498"/>
      <c r="AK563" s="498"/>
      <c r="AL563" s="498"/>
      <c r="AM563" s="498"/>
      <c r="AN563" s="498"/>
      <c r="AO563" s="498"/>
      <c r="AP563" s="498"/>
    </row>
    <row r="564" spans="1:42">
      <c r="A564" s="295">
        <v>46086</v>
      </c>
      <c r="B564" s="433"/>
      <c r="C564" s="312"/>
      <c r="D564" s="296"/>
      <c r="E564" s="312"/>
      <c r="F564" s="296"/>
      <c r="G564" s="312"/>
      <c r="H564" s="325"/>
      <c r="I564" s="312"/>
      <c r="J564" s="416"/>
      <c r="K564" s="369"/>
      <c r="L564" s="378"/>
      <c r="M564" s="312"/>
      <c r="N564" s="298"/>
      <c r="O564" s="312"/>
      <c r="P564" s="404" t="e">
        <f t="shared" si="185"/>
        <v>#DIV/0!</v>
      </c>
      <c r="Q564" s="312" t="e">
        <f t="shared" si="188"/>
        <v>#DIV/0!</v>
      </c>
      <c r="R564" s="298"/>
      <c r="S564" s="312"/>
      <c r="T564" s="298"/>
      <c r="U564" s="312"/>
      <c r="V564" s="454">
        <f t="shared" si="186"/>
        <v>0</v>
      </c>
      <c r="W564" s="312"/>
      <c r="X564" s="454">
        <f t="shared" si="187"/>
        <v>0</v>
      </c>
      <c r="Y564" s="312"/>
      <c r="Z564" s="379"/>
      <c r="AA564" s="297"/>
      <c r="AB564" s="379"/>
      <c r="AC564" s="297"/>
      <c r="AD564" s="413"/>
      <c r="AE564" s="297"/>
      <c r="AG564" s="294"/>
      <c r="AH564" s="380"/>
      <c r="AI564" s="408"/>
      <c r="AJ564" s="498"/>
      <c r="AK564" s="498"/>
      <c r="AL564" s="498"/>
      <c r="AM564" s="498"/>
      <c r="AN564" s="498"/>
      <c r="AO564" s="498"/>
      <c r="AP564" s="498"/>
    </row>
    <row r="565" spans="1:42">
      <c r="A565" s="295">
        <v>46087</v>
      </c>
      <c r="B565" s="433"/>
      <c r="C565" s="312"/>
      <c r="D565" s="296"/>
      <c r="E565" s="312"/>
      <c r="F565" s="296"/>
      <c r="G565" s="312"/>
      <c r="H565" s="325"/>
      <c r="I565" s="312"/>
      <c r="J565" s="416"/>
      <c r="K565" s="369"/>
      <c r="L565" s="378"/>
      <c r="M565" s="312"/>
      <c r="N565" s="298"/>
      <c r="O565" s="312"/>
      <c r="P565" s="404" t="e">
        <f t="shared" si="185"/>
        <v>#DIV/0!</v>
      </c>
      <c r="Q565" s="312" t="e">
        <f t="shared" si="188"/>
        <v>#DIV/0!</v>
      </c>
      <c r="R565" s="298"/>
      <c r="S565" s="312"/>
      <c r="T565" s="298"/>
      <c r="U565" s="312"/>
      <c r="V565" s="454">
        <f t="shared" si="186"/>
        <v>0</v>
      </c>
      <c r="W565" s="312"/>
      <c r="X565" s="454">
        <f t="shared" si="187"/>
        <v>0</v>
      </c>
      <c r="Y565" s="312"/>
      <c r="Z565" s="379"/>
      <c r="AA565" s="297"/>
      <c r="AB565" s="379"/>
      <c r="AC565" s="297"/>
      <c r="AD565" s="413"/>
      <c r="AE565" s="297"/>
      <c r="AG565" s="294"/>
      <c r="AH565" s="380"/>
      <c r="AI565" s="408"/>
      <c r="AJ565" s="498"/>
      <c r="AK565" s="498"/>
      <c r="AL565" s="498"/>
      <c r="AM565" s="498"/>
      <c r="AN565" s="498"/>
      <c r="AO565" s="498"/>
      <c r="AP565" s="498"/>
    </row>
    <row r="566" spans="1:42">
      <c r="A566" s="295">
        <v>46090</v>
      </c>
      <c r="B566" s="433"/>
      <c r="C566" s="312"/>
      <c r="D566" s="296"/>
      <c r="E566" s="312"/>
      <c r="F566" s="296"/>
      <c r="G566" s="312"/>
      <c r="H566" s="325"/>
      <c r="I566" s="312"/>
      <c r="J566" s="416"/>
      <c r="K566" s="369"/>
      <c r="L566" s="378"/>
      <c r="M566" s="312"/>
      <c r="N566" s="298"/>
      <c r="O566" s="312"/>
      <c r="P566" s="404" t="e">
        <f t="shared" si="185"/>
        <v>#DIV/0!</v>
      </c>
      <c r="Q566" s="312" t="e">
        <f t="shared" si="188"/>
        <v>#DIV/0!</v>
      </c>
      <c r="R566" s="298"/>
      <c r="S566" s="312"/>
      <c r="T566" s="298"/>
      <c r="U566" s="312"/>
      <c r="V566" s="454">
        <f t="shared" si="186"/>
        <v>0</v>
      </c>
      <c r="W566" s="312"/>
      <c r="X566" s="454">
        <f t="shared" si="187"/>
        <v>0</v>
      </c>
      <c r="Y566" s="312"/>
      <c r="Z566" s="379"/>
      <c r="AA566" s="297"/>
      <c r="AB566" s="379"/>
      <c r="AC566" s="297"/>
      <c r="AD566" s="413"/>
      <c r="AE566" s="297"/>
      <c r="AG566" s="294"/>
      <c r="AH566" s="380"/>
      <c r="AI566" s="408"/>
      <c r="AJ566" s="498"/>
      <c r="AK566" s="498"/>
      <c r="AL566" s="498"/>
      <c r="AM566" s="498"/>
      <c r="AN566" s="498"/>
      <c r="AO566" s="498"/>
      <c r="AP566" s="498"/>
    </row>
    <row r="567" spans="1:42">
      <c r="A567" s="295">
        <v>46091</v>
      </c>
      <c r="B567" s="433"/>
      <c r="C567" s="312"/>
      <c r="D567" s="296"/>
      <c r="E567" s="312"/>
      <c r="F567" s="296"/>
      <c r="G567" s="312"/>
      <c r="H567" s="325"/>
      <c r="I567" s="312"/>
      <c r="J567" s="416"/>
      <c r="K567" s="369"/>
      <c r="L567" s="378"/>
      <c r="M567" s="312"/>
      <c r="N567" s="298"/>
      <c r="O567" s="312"/>
      <c r="P567" s="404" t="e">
        <f t="shared" si="185"/>
        <v>#DIV/0!</v>
      </c>
      <c r="Q567" s="312" t="e">
        <f t="shared" si="188"/>
        <v>#DIV/0!</v>
      </c>
      <c r="R567" s="298"/>
      <c r="S567" s="312"/>
      <c r="T567" s="298"/>
      <c r="U567" s="312"/>
      <c r="V567" s="454">
        <f t="shared" si="186"/>
        <v>0</v>
      </c>
      <c r="W567" s="312"/>
      <c r="X567" s="454">
        <f t="shared" si="187"/>
        <v>0</v>
      </c>
      <c r="Y567" s="312"/>
      <c r="Z567" s="379"/>
      <c r="AA567" s="297"/>
      <c r="AB567" s="379"/>
      <c r="AC567" s="297"/>
      <c r="AD567" s="413"/>
      <c r="AE567" s="297"/>
      <c r="AG567" s="294"/>
      <c r="AH567" s="380"/>
      <c r="AI567" s="408"/>
      <c r="AJ567" s="498"/>
      <c r="AK567" s="498"/>
      <c r="AL567" s="498"/>
      <c r="AM567" s="498"/>
      <c r="AN567" s="498"/>
      <c r="AO567" s="498"/>
      <c r="AP567" s="498"/>
    </row>
    <row r="568" spans="1:42">
      <c r="A568" s="295">
        <v>46092</v>
      </c>
      <c r="B568" s="433"/>
      <c r="C568" s="312"/>
      <c r="D568" s="296"/>
      <c r="E568" s="312"/>
      <c r="F568" s="296"/>
      <c r="G568" s="312"/>
      <c r="H568" s="325"/>
      <c r="I568" s="312"/>
      <c r="J568" s="416"/>
      <c r="K568" s="369"/>
      <c r="L568" s="378"/>
      <c r="M568" s="312"/>
      <c r="N568" s="298"/>
      <c r="O568" s="312"/>
      <c r="P568" s="404" t="e">
        <f t="shared" si="185"/>
        <v>#DIV/0!</v>
      </c>
      <c r="Q568" s="312" t="e">
        <f t="shared" si="188"/>
        <v>#DIV/0!</v>
      </c>
      <c r="R568" s="298"/>
      <c r="S568" s="312"/>
      <c r="T568" s="298"/>
      <c r="U568" s="312"/>
      <c r="V568" s="454">
        <f t="shared" si="186"/>
        <v>0</v>
      </c>
      <c r="W568" s="312"/>
      <c r="X568" s="454">
        <f t="shared" si="187"/>
        <v>0</v>
      </c>
      <c r="Y568" s="312"/>
      <c r="Z568" s="379"/>
      <c r="AA568" s="297"/>
      <c r="AB568" s="379"/>
      <c r="AC568" s="297"/>
      <c r="AD568" s="413"/>
      <c r="AE568" s="297"/>
      <c r="AG568" s="294"/>
      <c r="AH568" s="380"/>
      <c r="AI568" s="408"/>
      <c r="AJ568" s="498"/>
      <c r="AK568" s="498"/>
      <c r="AL568" s="498"/>
      <c r="AM568" s="498"/>
      <c r="AN568" s="498"/>
      <c r="AO568" s="498"/>
      <c r="AP568" s="498"/>
    </row>
    <row r="569" spans="1:42">
      <c r="A569" s="295">
        <v>46093</v>
      </c>
      <c r="B569" s="433"/>
      <c r="C569" s="312"/>
      <c r="D569" s="296"/>
      <c r="E569" s="312"/>
      <c r="F569" s="296"/>
      <c r="G569" s="312"/>
      <c r="H569" s="325"/>
      <c r="I569" s="312"/>
      <c r="J569" s="416"/>
      <c r="K569" s="369"/>
      <c r="L569" s="378"/>
      <c r="M569" s="312"/>
      <c r="N569" s="298"/>
      <c r="O569" s="312"/>
      <c r="P569" s="404" t="e">
        <f t="shared" si="185"/>
        <v>#DIV/0!</v>
      </c>
      <c r="Q569" s="312" t="e">
        <f t="shared" si="188"/>
        <v>#DIV/0!</v>
      </c>
      <c r="R569" s="298"/>
      <c r="S569" s="312"/>
      <c r="T569" s="298"/>
      <c r="U569" s="312"/>
      <c r="V569" s="454">
        <f t="shared" si="186"/>
        <v>0</v>
      </c>
      <c r="W569" s="312"/>
      <c r="X569" s="454">
        <f t="shared" si="187"/>
        <v>0</v>
      </c>
      <c r="Y569" s="312"/>
      <c r="Z569" s="379"/>
      <c r="AA569" s="297"/>
      <c r="AB569" s="379"/>
      <c r="AC569" s="297"/>
      <c r="AD569" s="413"/>
      <c r="AE569" s="297"/>
      <c r="AG569" s="294"/>
      <c r="AH569" s="380"/>
      <c r="AI569" s="408"/>
      <c r="AJ569" s="498"/>
      <c r="AK569" s="498"/>
      <c r="AL569" s="498"/>
      <c r="AM569" s="498"/>
      <c r="AN569" s="498"/>
      <c r="AO569" s="498"/>
      <c r="AP569" s="498"/>
    </row>
    <row r="570" spans="1:42">
      <c r="A570" s="295">
        <v>46094</v>
      </c>
      <c r="B570" s="433"/>
      <c r="C570" s="312"/>
      <c r="D570" s="296"/>
      <c r="E570" s="312"/>
      <c r="F570" s="296"/>
      <c r="G570" s="312"/>
      <c r="H570" s="325"/>
      <c r="I570" s="312"/>
      <c r="J570" s="416"/>
      <c r="K570" s="369"/>
      <c r="L570" s="378"/>
      <c r="M570" s="312"/>
      <c r="N570" s="298"/>
      <c r="O570" s="312"/>
      <c r="P570" s="404" t="e">
        <f t="shared" si="185"/>
        <v>#DIV/0!</v>
      </c>
      <c r="Q570" s="312" t="e">
        <f t="shared" si="188"/>
        <v>#DIV/0!</v>
      </c>
      <c r="R570" s="298"/>
      <c r="S570" s="312"/>
      <c r="T570" s="298"/>
      <c r="U570" s="312"/>
      <c r="V570" s="454">
        <f t="shared" si="186"/>
        <v>0</v>
      </c>
      <c r="W570" s="312"/>
      <c r="X570" s="454">
        <f t="shared" si="187"/>
        <v>0</v>
      </c>
      <c r="Y570" s="312"/>
      <c r="Z570" s="379"/>
      <c r="AA570" s="297"/>
      <c r="AB570" s="379"/>
      <c r="AC570" s="297"/>
      <c r="AD570" s="413"/>
      <c r="AE570" s="297"/>
      <c r="AG570" s="294"/>
      <c r="AH570" s="380"/>
      <c r="AI570" s="408"/>
      <c r="AJ570" s="498"/>
      <c r="AK570" s="498"/>
      <c r="AL570" s="498"/>
      <c r="AM570" s="498"/>
      <c r="AN570" s="498"/>
      <c r="AO570" s="498"/>
      <c r="AP570" s="498"/>
    </row>
    <row r="571" spans="1:42">
      <c r="A571" s="295">
        <v>46097</v>
      </c>
      <c r="B571" s="433"/>
      <c r="C571" s="312"/>
      <c r="D571" s="296"/>
      <c r="E571" s="312"/>
      <c r="F571" s="296"/>
      <c r="G571" s="312"/>
      <c r="H571" s="325"/>
      <c r="I571" s="312"/>
      <c r="J571" s="416"/>
      <c r="K571" s="369"/>
      <c r="L571" s="378"/>
      <c r="M571" s="312"/>
      <c r="N571" s="298"/>
      <c r="O571" s="312"/>
      <c r="P571" s="404" t="e">
        <f t="shared" si="185"/>
        <v>#DIV/0!</v>
      </c>
      <c r="Q571" s="312" t="e">
        <f t="shared" si="188"/>
        <v>#DIV/0!</v>
      </c>
      <c r="R571" s="298"/>
      <c r="S571" s="312"/>
      <c r="T571" s="298"/>
      <c r="U571" s="312"/>
      <c r="V571" s="454">
        <f t="shared" si="186"/>
        <v>0</v>
      </c>
      <c r="W571" s="312"/>
      <c r="X571" s="454">
        <f t="shared" si="187"/>
        <v>0</v>
      </c>
      <c r="Y571" s="312"/>
      <c r="Z571" s="379"/>
      <c r="AA571" s="297"/>
      <c r="AB571" s="379"/>
      <c r="AC571" s="297"/>
      <c r="AD571" s="413"/>
      <c r="AE571" s="297"/>
      <c r="AG571" s="294"/>
      <c r="AH571" s="380"/>
      <c r="AI571" s="408"/>
      <c r="AJ571" s="498"/>
      <c r="AK571" s="498"/>
      <c r="AL571" s="498"/>
      <c r="AM571" s="498"/>
      <c r="AN571" s="498"/>
      <c r="AO571" s="498"/>
      <c r="AP571" s="498"/>
    </row>
    <row r="572" spans="1:42">
      <c r="A572" s="295">
        <v>46098</v>
      </c>
      <c r="B572" s="433"/>
      <c r="C572" s="312"/>
      <c r="D572" s="296"/>
      <c r="E572" s="312"/>
      <c r="F572" s="296"/>
      <c r="G572" s="312"/>
      <c r="H572" s="325"/>
      <c r="I572" s="312"/>
      <c r="J572" s="416"/>
      <c r="K572" s="369"/>
      <c r="L572" s="378"/>
      <c r="M572" s="312"/>
      <c r="N572" s="298"/>
      <c r="O572" s="312"/>
      <c r="P572" s="404" t="e">
        <f t="shared" si="185"/>
        <v>#DIV/0!</v>
      </c>
      <c r="Q572" s="312" t="e">
        <f t="shared" si="188"/>
        <v>#DIV/0!</v>
      </c>
      <c r="R572" s="298"/>
      <c r="S572" s="312"/>
      <c r="T572" s="298"/>
      <c r="U572" s="312"/>
      <c r="V572" s="454">
        <f t="shared" si="186"/>
        <v>0</v>
      </c>
      <c r="W572" s="312"/>
      <c r="X572" s="454">
        <f t="shared" si="187"/>
        <v>0</v>
      </c>
      <c r="Y572" s="312"/>
      <c r="Z572" s="379"/>
      <c r="AA572" s="297"/>
      <c r="AB572" s="379"/>
      <c r="AC572" s="297"/>
      <c r="AD572" s="413"/>
      <c r="AE572" s="297"/>
      <c r="AG572" s="294"/>
      <c r="AH572" s="380"/>
      <c r="AI572" s="408"/>
      <c r="AJ572" s="498"/>
      <c r="AK572" s="498"/>
      <c r="AL572" s="498"/>
      <c r="AM572" s="498"/>
      <c r="AN572" s="498"/>
      <c r="AO572" s="498"/>
      <c r="AP572" s="498"/>
    </row>
    <row r="573" spans="1:42">
      <c r="A573" s="295">
        <v>46099</v>
      </c>
      <c r="B573" s="433"/>
      <c r="C573" s="312"/>
      <c r="D573" s="296"/>
      <c r="E573" s="312"/>
      <c r="F573" s="296"/>
      <c r="G573" s="312"/>
      <c r="H573" s="325"/>
      <c r="I573" s="312"/>
      <c r="J573" s="416"/>
      <c r="K573" s="369"/>
      <c r="L573" s="378"/>
      <c r="M573" s="312"/>
      <c r="N573" s="298"/>
      <c r="O573" s="312"/>
      <c r="P573" s="404" t="e">
        <f t="shared" si="185"/>
        <v>#DIV/0!</v>
      </c>
      <c r="Q573" s="312" t="e">
        <f t="shared" si="188"/>
        <v>#DIV/0!</v>
      </c>
      <c r="R573" s="298"/>
      <c r="S573" s="312"/>
      <c r="T573" s="298"/>
      <c r="U573" s="312"/>
      <c r="V573" s="454">
        <f t="shared" si="186"/>
        <v>0</v>
      </c>
      <c r="W573" s="312"/>
      <c r="X573" s="454">
        <f t="shared" si="187"/>
        <v>0</v>
      </c>
      <c r="Y573" s="312"/>
      <c r="Z573" s="379"/>
      <c r="AA573" s="297"/>
      <c r="AB573" s="379"/>
      <c r="AC573" s="297"/>
      <c r="AD573" s="413"/>
      <c r="AE573" s="297"/>
      <c r="AG573" s="294"/>
      <c r="AH573" s="380"/>
      <c r="AI573" s="408"/>
      <c r="AJ573" s="498"/>
      <c r="AK573" s="498"/>
      <c r="AL573" s="498"/>
      <c r="AM573" s="498"/>
      <c r="AN573" s="498"/>
      <c r="AO573" s="498"/>
      <c r="AP573" s="498"/>
    </row>
    <row r="574" spans="1:42">
      <c r="A574" s="295">
        <v>46100</v>
      </c>
      <c r="B574" s="433"/>
      <c r="C574" s="312"/>
      <c r="D574" s="296"/>
      <c r="E574" s="312"/>
      <c r="F574" s="296"/>
      <c r="G574" s="312"/>
      <c r="H574" s="325"/>
      <c r="I574" s="312"/>
      <c r="J574" s="416"/>
      <c r="K574" s="369"/>
      <c r="L574" s="378"/>
      <c r="M574" s="312"/>
      <c r="N574" s="298"/>
      <c r="O574" s="312"/>
      <c r="P574" s="404" t="e">
        <f t="shared" si="185"/>
        <v>#DIV/0!</v>
      </c>
      <c r="Q574" s="312" t="e">
        <f t="shared" si="188"/>
        <v>#DIV/0!</v>
      </c>
      <c r="R574" s="298"/>
      <c r="S574" s="312"/>
      <c r="T574" s="298"/>
      <c r="U574" s="312"/>
      <c r="V574" s="454">
        <f t="shared" si="186"/>
        <v>0</v>
      </c>
      <c r="W574" s="312"/>
      <c r="X574" s="454">
        <f t="shared" si="187"/>
        <v>0</v>
      </c>
      <c r="Y574" s="312"/>
      <c r="Z574" s="379"/>
      <c r="AA574" s="297"/>
      <c r="AB574" s="379"/>
      <c r="AC574" s="297"/>
      <c r="AD574" s="413"/>
      <c r="AE574" s="297"/>
      <c r="AG574" s="294"/>
      <c r="AH574" s="380"/>
      <c r="AI574" s="408"/>
      <c r="AJ574" s="498"/>
      <c r="AK574" s="498"/>
      <c r="AL574" s="498"/>
      <c r="AM574" s="498"/>
      <c r="AN574" s="498"/>
      <c r="AO574" s="498"/>
      <c r="AP574" s="498"/>
    </row>
    <row r="575" spans="1:42">
      <c r="A575" s="295">
        <v>46101</v>
      </c>
      <c r="B575" s="433"/>
      <c r="C575" s="312"/>
      <c r="D575" s="296"/>
      <c r="E575" s="312"/>
      <c r="F575" s="296"/>
      <c r="G575" s="312"/>
      <c r="H575" s="325"/>
      <c r="I575" s="312"/>
      <c r="J575" s="416"/>
      <c r="K575" s="369"/>
      <c r="L575" s="378"/>
      <c r="M575" s="312"/>
      <c r="N575" s="298"/>
      <c r="O575" s="312"/>
      <c r="P575" s="404" t="e">
        <f t="shared" si="185"/>
        <v>#DIV/0!</v>
      </c>
      <c r="Q575" s="312" t="e">
        <f t="shared" si="188"/>
        <v>#DIV/0!</v>
      </c>
      <c r="R575" s="298"/>
      <c r="S575" s="312"/>
      <c r="T575" s="298"/>
      <c r="U575" s="312"/>
      <c r="V575" s="454">
        <f t="shared" si="186"/>
        <v>0</v>
      </c>
      <c r="W575" s="312"/>
      <c r="X575" s="454">
        <f t="shared" si="187"/>
        <v>0</v>
      </c>
      <c r="Y575" s="312"/>
      <c r="Z575" s="379"/>
      <c r="AA575" s="297"/>
      <c r="AB575" s="379"/>
      <c r="AC575" s="297"/>
      <c r="AD575" s="413"/>
      <c r="AE575" s="297"/>
      <c r="AG575" s="294"/>
      <c r="AH575" s="380"/>
      <c r="AI575" s="408"/>
      <c r="AJ575" s="498"/>
      <c r="AK575" s="498"/>
      <c r="AL575" s="498"/>
      <c r="AM575" s="498"/>
      <c r="AN575" s="498"/>
      <c r="AO575" s="498"/>
      <c r="AP575" s="498"/>
    </row>
    <row r="576" spans="1:42">
      <c r="A576" s="295">
        <v>46104</v>
      </c>
      <c r="B576" s="433"/>
      <c r="C576" s="312"/>
      <c r="D576" s="296"/>
      <c r="E576" s="312"/>
      <c r="F576" s="296"/>
      <c r="G576" s="312"/>
      <c r="H576" s="325"/>
      <c r="I576" s="312"/>
      <c r="J576" s="416"/>
      <c r="K576" s="369"/>
      <c r="L576" s="378"/>
      <c r="M576" s="312"/>
      <c r="N576" s="298"/>
      <c r="O576" s="312"/>
      <c r="P576" s="404" t="e">
        <f t="shared" si="185"/>
        <v>#DIV/0!</v>
      </c>
      <c r="Q576" s="312" t="e">
        <f t="shared" si="188"/>
        <v>#DIV/0!</v>
      </c>
      <c r="R576" s="298"/>
      <c r="S576" s="312"/>
      <c r="T576" s="298"/>
      <c r="U576" s="312"/>
      <c r="V576" s="454">
        <f t="shared" si="186"/>
        <v>0</v>
      </c>
      <c r="W576" s="312"/>
      <c r="X576" s="454">
        <f t="shared" si="187"/>
        <v>0</v>
      </c>
      <c r="Y576" s="312"/>
      <c r="Z576" s="379"/>
      <c r="AA576" s="297"/>
      <c r="AB576" s="379"/>
      <c r="AC576" s="297"/>
      <c r="AD576" s="413"/>
      <c r="AE576" s="297"/>
      <c r="AG576" s="294"/>
      <c r="AH576" s="380"/>
      <c r="AI576" s="408"/>
      <c r="AJ576" s="498"/>
      <c r="AK576" s="498"/>
      <c r="AL576" s="498"/>
      <c r="AM576" s="498"/>
      <c r="AN576" s="498"/>
      <c r="AO576" s="498"/>
      <c r="AP576" s="498"/>
    </row>
    <row r="577" spans="1:42">
      <c r="A577" s="295">
        <v>46105</v>
      </c>
      <c r="B577" s="433"/>
      <c r="C577" s="312"/>
      <c r="D577" s="296"/>
      <c r="E577" s="312"/>
      <c r="F577" s="296"/>
      <c r="G577" s="312"/>
      <c r="H577" s="325"/>
      <c r="I577" s="312"/>
      <c r="J577" s="416"/>
      <c r="K577" s="369"/>
      <c r="L577" s="378"/>
      <c r="M577" s="312"/>
      <c r="N577" s="298"/>
      <c r="O577" s="312"/>
      <c r="P577" s="404" t="e">
        <f t="shared" si="185"/>
        <v>#DIV/0!</v>
      </c>
      <c r="Q577" s="312" t="e">
        <f t="shared" si="188"/>
        <v>#DIV/0!</v>
      </c>
      <c r="R577" s="298"/>
      <c r="S577" s="312"/>
      <c r="T577" s="298"/>
      <c r="U577" s="312"/>
      <c r="V577" s="454">
        <f t="shared" si="186"/>
        <v>0</v>
      </c>
      <c r="W577" s="312"/>
      <c r="X577" s="454">
        <f t="shared" si="187"/>
        <v>0</v>
      </c>
      <c r="Y577" s="312"/>
      <c r="Z577" s="379"/>
      <c r="AA577" s="297"/>
      <c r="AB577" s="379"/>
      <c r="AC577" s="297"/>
      <c r="AD577" s="413"/>
      <c r="AE577" s="297"/>
      <c r="AG577" s="294"/>
      <c r="AH577" s="380"/>
      <c r="AI577" s="408"/>
      <c r="AJ577" s="498"/>
      <c r="AK577" s="498"/>
      <c r="AL577" s="498"/>
      <c r="AM577" s="498"/>
      <c r="AN577" s="498"/>
      <c r="AO577" s="498"/>
      <c r="AP577" s="498"/>
    </row>
    <row r="578" spans="1:42">
      <c r="A578" s="295">
        <v>46106</v>
      </c>
      <c r="B578" s="433"/>
      <c r="C578" s="312"/>
      <c r="D578" s="296"/>
      <c r="E578" s="312"/>
      <c r="F578" s="296"/>
      <c r="G578" s="312"/>
      <c r="H578" s="325"/>
      <c r="I578" s="312"/>
      <c r="J578" s="416"/>
      <c r="K578" s="369"/>
      <c r="L578" s="378"/>
      <c r="M578" s="312"/>
      <c r="N578" s="298"/>
      <c r="O578" s="312"/>
      <c r="P578" s="404" t="e">
        <f t="shared" si="185"/>
        <v>#DIV/0!</v>
      </c>
      <c r="Q578" s="312" t="e">
        <f t="shared" si="188"/>
        <v>#DIV/0!</v>
      </c>
      <c r="R578" s="298"/>
      <c r="S578" s="312"/>
      <c r="T578" s="298"/>
      <c r="U578" s="312"/>
      <c r="V578" s="454">
        <f t="shared" si="186"/>
        <v>0</v>
      </c>
      <c r="W578" s="312"/>
      <c r="X578" s="454">
        <f t="shared" si="187"/>
        <v>0</v>
      </c>
      <c r="Y578" s="312"/>
      <c r="Z578" s="379"/>
      <c r="AA578" s="297"/>
      <c r="AB578" s="379"/>
      <c r="AC578" s="297"/>
      <c r="AD578" s="413"/>
      <c r="AE578" s="297"/>
      <c r="AG578" s="294"/>
      <c r="AH578" s="380"/>
      <c r="AI578" s="408"/>
      <c r="AJ578" s="498"/>
      <c r="AK578" s="498"/>
      <c r="AL578" s="498"/>
      <c r="AM578" s="498"/>
      <c r="AN578" s="498"/>
      <c r="AO578" s="498"/>
      <c r="AP578" s="498"/>
    </row>
    <row r="579" spans="1:42">
      <c r="A579" s="295">
        <v>46107</v>
      </c>
      <c r="B579" s="433"/>
      <c r="C579" s="312"/>
      <c r="D579" s="296"/>
      <c r="E579" s="312"/>
      <c r="F579" s="296"/>
      <c r="G579" s="312"/>
      <c r="H579" s="325"/>
      <c r="I579" s="312"/>
      <c r="J579" s="416"/>
      <c r="K579" s="369"/>
      <c r="L579" s="378"/>
      <c r="M579" s="312"/>
      <c r="N579" s="298"/>
      <c r="O579" s="312"/>
      <c r="P579" s="404" t="e">
        <f t="shared" si="185"/>
        <v>#DIV/0!</v>
      </c>
      <c r="Q579" s="312" t="e">
        <f t="shared" si="188"/>
        <v>#DIV/0!</v>
      </c>
      <c r="R579" s="298"/>
      <c r="S579" s="312"/>
      <c r="T579" s="298"/>
      <c r="U579" s="312"/>
      <c r="V579" s="454">
        <f t="shared" si="186"/>
        <v>0</v>
      </c>
      <c r="W579" s="312"/>
      <c r="X579" s="454">
        <f t="shared" si="187"/>
        <v>0</v>
      </c>
      <c r="Y579" s="312"/>
      <c r="Z579" s="379"/>
      <c r="AA579" s="297"/>
      <c r="AB579" s="379"/>
      <c r="AC579" s="297"/>
      <c r="AD579" s="413"/>
      <c r="AE579" s="297"/>
      <c r="AG579" s="294"/>
      <c r="AH579" s="380"/>
      <c r="AI579" s="408"/>
      <c r="AJ579" s="498"/>
      <c r="AK579" s="498"/>
      <c r="AL579" s="498"/>
      <c r="AM579" s="498"/>
      <c r="AN579" s="498"/>
      <c r="AO579" s="498"/>
      <c r="AP579" s="498"/>
    </row>
    <row r="580" spans="1:42">
      <c r="A580" s="295">
        <v>46108</v>
      </c>
      <c r="B580" s="433"/>
      <c r="C580" s="312"/>
      <c r="D580" s="296"/>
      <c r="E580" s="312"/>
      <c r="F580" s="296"/>
      <c r="G580" s="312"/>
      <c r="H580" s="325"/>
      <c r="I580" s="312"/>
      <c r="J580" s="416"/>
      <c r="K580" s="369"/>
      <c r="L580" s="378"/>
      <c r="M580" s="312"/>
      <c r="N580" s="298"/>
      <c r="O580" s="312"/>
      <c r="P580" s="404" t="e">
        <f t="shared" si="185"/>
        <v>#DIV/0!</v>
      </c>
      <c r="Q580" s="312" t="e">
        <f t="shared" si="188"/>
        <v>#DIV/0!</v>
      </c>
      <c r="R580" s="298"/>
      <c r="S580" s="312"/>
      <c r="T580" s="298"/>
      <c r="U580" s="312"/>
      <c r="V580" s="454">
        <f t="shared" si="186"/>
        <v>0</v>
      </c>
      <c r="W580" s="312"/>
      <c r="X580" s="454">
        <f t="shared" si="187"/>
        <v>0</v>
      </c>
      <c r="Y580" s="312"/>
      <c r="Z580" s="379"/>
      <c r="AA580" s="297"/>
      <c r="AB580" s="379"/>
      <c r="AC580" s="297"/>
      <c r="AD580" s="413"/>
      <c r="AE580" s="297"/>
      <c r="AG580" s="294"/>
      <c r="AH580" s="380"/>
      <c r="AI580" s="408"/>
      <c r="AJ580" s="498"/>
      <c r="AK580" s="498"/>
      <c r="AL580" s="498"/>
      <c r="AM580" s="498"/>
      <c r="AN580" s="498"/>
      <c r="AO580" s="498"/>
      <c r="AP580" s="498"/>
    </row>
    <row r="581" spans="1:42">
      <c r="A581" s="295">
        <v>46111</v>
      </c>
      <c r="B581" s="433"/>
      <c r="C581" s="312"/>
      <c r="D581" s="296"/>
      <c r="E581" s="312"/>
      <c r="F581" s="296"/>
      <c r="G581" s="312"/>
      <c r="H581" s="325"/>
      <c r="I581" s="312"/>
      <c r="J581" s="416"/>
      <c r="K581" s="369"/>
      <c r="L581" s="378"/>
      <c r="M581" s="312"/>
      <c r="N581" s="298"/>
      <c r="O581" s="312"/>
      <c r="P581" s="404" t="e">
        <f t="shared" ref="P581:P603" si="189">P580+P580*Q580</f>
        <v>#DIV/0!</v>
      </c>
      <c r="Q581" s="312" t="e">
        <f t="shared" si="188"/>
        <v>#DIV/0!</v>
      </c>
      <c r="R581" s="298"/>
      <c r="S581" s="312"/>
      <c r="T581" s="298"/>
      <c r="U581" s="312"/>
      <c r="V581" s="454">
        <f t="shared" ref="V581:V604" si="190">V580</f>
        <v>0</v>
      </c>
      <c r="W581" s="312"/>
      <c r="X581" s="454">
        <f t="shared" ref="X581:X604" si="191">X580</f>
        <v>0</v>
      </c>
      <c r="Y581" s="312"/>
      <c r="Z581" s="379"/>
      <c r="AA581" s="297"/>
      <c r="AB581" s="379"/>
      <c r="AC581" s="297"/>
      <c r="AD581" s="413"/>
      <c r="AE581" s="297"/>
      <c r="AG581" s="294"/>
      <c r="AH581" s="380"/>
      <c r="AI581" s="408"/>
      <c r="AJ581" s="498"/>
      <c r="AK581" s="498"/>
      <c r="AL581" s="498"/>
      <c r="AM581" s="498"/>
      <c r="AN581" s="498"/>
      <c r="AO581" s="498"/>
      <c r="AP581" s="498"/>
    </row>
    <row r="582" spans="1:42">
      <c r="A582" s="295">
        <v>46112</v>
      </c>
      <c r="B582" s="433"/>
      <c r="C582" s="312"/>
      <c r="D582" s="296"/>
      <c r="E582" s="312"/>
      <c r="F582" s="296"/>
      <c r="G582" s="312"/>
      <c r="H582" s="325"/>
      <c r="I582" s="312"/>
      <c r="J582" s="416"/>
      <c r="K582" s="369"/>
      <c r="L582" s="378"/>
      <c r="M582" s="312"/>
      <c r="N582" s="298"/>
      <c r="O582" s="312"/>
      <c r="P582" s="404" t="e">
        <f t="shared" si="189"/>
        <v>#DIV/0!</v>
      </c>
      <c r="Q582" s="312" t="e">
        <f t="shared" si="188"/>
        <v>#DIV/0!</v>
      </c>
      <c r="R582" s="298"/>
      <c r="S582" s="312"/>
      <c r="T582" s="298"/>
      <c r="U582" s="312"/>
      <c r="V582" s="454">
        <f t="shared" si="190"/>
        <v>0</v>
      </c>
      <c r="W582" s="312"/>
      <c r="X582" s="454">
        <f t="shared" si="191"/>
        <v>0</v>
      </c>
      <c r="Y582" s="312"/>
      <c r="Z582" s="379"/>
      <c r="AA582" s="297"/>
      <c r="AB582" s="379"/>
      <c r="AC582" s="297"/>
      <c r="AD582" s="413"/>
      <c r="AE582" s="297"/>
      <c r="AG582" s="294"/>
      <c r="AH582" s="380"/>
      <c r="AI582" s="408"/>
      <c r="AJ582" s="498"/>
      <c r="AK582" s="498"/>
      <c r="AL582" s="498"/>
      <c r="AM582" s="498"/>
      <c r="AN582" s="498"/>
      <c r="AO582" s="498"/>
      <c r="AP582" s="498"/>
    </row>
    <row r="583" spans="1:42">
      <c r="A583" s="295">
        <v>46113</v>
      </c>
      <c r="B583" s="433"/>
      <c r="C583" s="312"/>
      <c r="D583" s="296"/>
      <c r="E583" s="312"/>
      <c r="F583" s="296"/>
      <c r="G583" s="312"/>
      <c r="H583" s="325"/>
      <c r="I583" s="312"/>
      <c r="J583" s="416"/>
      <c r="K583" s="369"/>
      <c r="L583" s="378"/>
      <c r="M583" s="312"/>
      <c r="N583" s="298"/>
      <c r="O583" s="312"/>
      <c r="P583" s="404" t="e">
        <f t="shared" si="189"/>
        <v>#DIV/0!</v>
      </c>
      <c r="Q583" s="312" t="e">
        <f t="shared" si="188"/>
        <v>#DIV/0!</v>
      </c>
      <c r="R583" s="298"/>
      <c r="S583" s="312"/>
      <c r="T583" s="298"/>
      <c r="U583" s="312"/>
      <c r="V583" s="454">
        <f t="shared" si="190"/>
        <v>0</v>
      </c>
      <c r="W583" s="312"/>
      <c r="X583" s="454">
        <f t="shared" si="191"/>
        <v>0</v>
      </c>
      <c r="Y583" s="312"/>
      <c r="Z583" s="379"/>
      <c r="AA583" s="297"/>
      <c r="AB583" s="379"/>
      <c r="AC583" s="297"/>
      <c r="AD583" s="413"/>
      <c r="AE583" s="297"/>
      <c r="AG583" s="294"/>
      <c r="AH583" s="380"/>
      <c r="AI583" s="408"/>
      <c r="AJ583" s="498"/>
      <c r="AK583" s="498"/>
      <c r="AL583" s="498"/>
      <c r="AM583" s="498"/>
      <c r="AN583" s="498"/>
      <c r="AO583" s="498"/>
      <c r="AP583" s="498"/>
    </row>
    <row r="584" spans="1:42">
      <c r="A584" s="295">
        <v>46114</v>
      </c>
      <c r="B584" s="433"/>
      <c r="C584" s="312"/>
      <c r="D584" s="296"/>
      <c r="E584" s="312"/>
      <c r="F584" s="296"/>
      <c r="G584" s="312"/>
      <c r="H584" s="325"/>
      <c r="I584" s="312"/>
      <c r="J584" s="416"/>
      <c r="K584" s="369"/>
      <c r="L584" s="378"/>
      <c r="M584" s="312"/>
      <c r="N584" s="298"/>
      <c r="O584" s="312"/>
      <c r="P584" s="404" t="e">
        <f t="shared" si="189"/>
        <v>#DIV/0!</v>
      </c>
      <c r="Q584" s="312" t="e">
        <f t="shared" si="188"/>
        <v>#DIV/0!</v>
      </c>
      <c r="R584" s="298"/>
      <c r="S584" s="312"/>
      <c r="T584" s="298"/>
      <c r="U584" s="312"/>
      <c r="V584" s="454">
        <f t="shared" si="190"/>
        <v>0</v>
      </c>
      <c r="W584" s="312"/>
      <c r="X584" s="454">
        <f t="shared" si="191"/>
        <v>0</v>
      </c>
      <c r="Y584" s="312"/>
      <c r="Z584" s="379"/>
      <c r="AA584" s="297"/>
      <c r="AB584" s="379"/>
      <c r="AC584" s="297"/>
      <c r="AD584" s="413"/>
      <c r="AE584" s="297"/>
      <c r="AG584" s="294"/>
      <c r="AH584" s="380"/>
      <c r="AI584" s="408"/>
      <c r="AJ584" s="498"/>
      <c r="AK584" s="498"/>
      <c r="AL584" s="498"/>
      <c r="AM584" s="498"/>
      <c r="AN584" s="498"/>
      <c r="AO584" s="498"/>
      <c r="AP584" s="498"/>
    </row>
    <row r="585" spans="1:42">
      <c r="A585" s="295">
        <v>46115</v>
      </c>
      <c r="B585" s="433"/>
      <c r="C585" s="312"/>
      <c r="D585" s="296"/>
      <c r="E585" s="312"/>
      <c r="F585" s="296"/>
      <c r="G585" s="312"/>
      <c r="H585" s="325"/>
      <c r="I585" s="312"/>
      <c r="J585" s="416"/>
      <c r="K585" s="369"/>
      <c r="L585" s="378"/>
      <c r="M585" s="312"/>
      <c r="N585" s="298"/>
      <c r="O585" s="312"/>
      <c r="P585" s="404" t="e">
        <f t="shared" si="189"/>
        <v>#DIV/0!</v>
      </c>
      <c r="Q585" s="312" t="e">
        <f t="shared" si="188"/>
        <v>#DIV/0!</v>
      </c>
      <c r="R585" s="298"/>
      <c r="S585" s="312"/>
      <c r="T585" s="298"/>
      <c r="U585" s="312"/>
      <c r="V585" s="454">
        <f t="shared" si="190"/>
        <v>0</v>
      </c>
      <c r="W585" s="312"/>
      <c r="X585" s="454">
        <f t="shared" si="191"/>
        <v>0</v>
      </c>
      <c r="Y585" s="312"/>
      <c r="Z585" s="379"/>
      <c r="AA585" s="297"/>
      <c r="AB585" s="379"/>
      <c r="AC585" s="297"/>
      <c r="AD585" s="413"/>
      <c r="AE585" s="297"/>
      <c r="AG585" s="294"/>
      <c r="AH585" s="380"/>
      <c r="AI585" s="408"/>
      <c r="AJ585" s="498"/>
      <c r="AK585" s="498"/>
      <c r="AL585" s="498"/>
      <c r="AM585" s="498"/>
      <c r="AN585" s="498"/>
      <c r="AO585" s="498"/>
      <c r="AP585" s="498"/>
    </row>
    <row r="586" spans="1:42">
      <c r="A586" s="295">
        <v>46118</v>
      </c>
      <c r="B586" s="433"/>
      <c r="C586" s="312"/>
      <c r="D586" s="296"/>
      <c r="E586" s="312"/>
      <c r="F586" s="296"/>
      <c r="G586" s="312"/>
      <c r="H586" s="325"/>
      <c r="I586" s="312"/>
      <c r="J586" s="416"/>
      <c r="K586" s="369"/>
      <c r="L586" s="378"/>
      <c r="M586" s="312"/>
      <c r="N586" s="298"/>
      <c r="O586" s="312"/>
      <c r="P586" s="404" t="e">
        <f t="shared" si="189"/>
        <v>#DIV/0!</v>
      </c>
      <c r="Q586" s="312" t="e">
        <f t="shared" si="188"/>
        <v>#DIV/0!</v>
      </c>
      <c r="R586" s="298"/>
      <c r="S586" s="312"/>
      <c r="T586" s="298"/>
      <c r="U586" s="312"/>
      <c r="V586" s="454">
        <f t="shared" si="190"/>
        <v>0</v>
      </c>
      <c r="W586" s="312"/>
      <c r="X586" s="454">
        <f t="shared" si="191"/>
        <v>0</v>
      </c>
      <c r="Y586" s="312"/>
      <c r="Z586" s="379"/>
      <c r="AA586" s="297"/>
      <c r="AB586" s="379"/>
      <c r="AC586" s="297"/>
      <c r="AD586" s="413"/>
      <c r="AE586" s="297"/>
      <c r="AG586" s="294"/>
      <c r="AH586" s="380"/>
      <c r="AI586" s="408"/>
      <c r="AJ586" s="498"/>
      <c r="AK586" s="498"/>
      <c r="AL586" s="498"/>
      <c r="AM586" s="498"/>
      <c r="AN586" s="498"/>
      <c r="AO586" s="498"/>
      <c r="AP586" s="498"/>
    </row>
    <row r="587" spans="1:42">
      <c r="A587" s="295">
        <v>46119</v>
      </c>
      <c r="B587" s="433"/>
      <c r="C587" s="312"/>
      <c r="D587" s="296"/>
      <c r="E587" s="312"/>
      <c r="F587" s="296"/>
      <c r="G587" s="312"/>
      <c r="H587" s="325"/>
      <c r="I587" s="312"/>
      <c r="J587" s="416"/>
      <c r="K587" s="369"/>
      <c r="L587" s="378"/>
      <c r="M587" s="312"/>
      <c r="N587" s="298"/>
      <c r="O587" s="312"/>
      <c r="P587" s="404" t="e">
        <f t="shared" si="189"/>
        <v>#DIV/0!</v>
      </c>
      <c r="Q587" s="312" t="e">
        <f t="shared" ref="Q587:Q603" si="192">(P587+2243.33-P586)/P586</f>
        <v>#DIV/0!</v>
      </c>
      <c r="R587" s="298"/>
      <c r="S587" s="312"/>
      <c r="T587" s="298"/>
      <c r="U587" s="312"/>
      <c r="V587" s="454">
        <f t="shared" si="190"/>
        <v>0</v>
      </c>
      <c r="W587" s="312"/>
      <c r="X587" s="454">
        <f t="shared" si="191"/>
        <v>0</v>
      </c>
      <c r="Y587" s="312"/>
      <c r="Z587" s="379"/>
      <c r="AA587" s="297"/>
      <c r="AB587" s="379"/>
      <c r="AC587" s="297"/>
      <c r="AD587" s="413"/>
      <c r="AE587" s="297"/>
      <c r="AG587" s="294"/>
      <c r="AH587" s="380"/>
      <c r="AI587" s="408"/>
      <c r="AJ587" s="498"/>
      <c r="AK587" s="498"/>
      <c r="AL587" s="498"/>
      <c r="AM587" s="498"/>
      <c r="AN587" s="498"/>
      <c r="AO587" s="498"/>
      <c r="AP587" s="498"/>
    </row>
    <row r="588" spans="1:42">
      <c r="A588" s="295">
        <v>46120</v>
      </c>
      <c r="B588" s="433"/>
      <c r="C588" s="312"/>
      <c r="D588" s="296"/>
      <c r="E588" s="312"/>
      <c r="F588" s="296"/>
      <c r="G588" s="312"/>
      <c r="H588" s="325"/>
      <c r="I588" s="312"/>
      <c r="J588" s="416"/>
      <c r="K588" s="369"/>
      <c r="L588" s="378"/>
      <c r="M588" s="312"/>
      <c r="N588" s="298"/>
      <c r="O588" s="312"/>
      <c r="P588" s="404" t="e">
        <f t="shared" si="189"/>
        <v>#DIV/0!</v>
      </c>
      <c r="Q588" s="312" t="e">
        <f t="shared" si="192"/>
        <v>#DIV/0!</v>
      </c>
      <c r="R588" s="298"/>
      <c r="S588" s="312"/>
      <c r="T588" s="298"/>
      <c r="U588" s="312"/>
      <c r="V588" s="454">
        <f t="shared" si="190"/>
        <v>0</v>
      </c>
      <c r="W588" s="312"/>
      <c r="X588" s="454">
        <f t="shared" si="191"/>
        <v>0</v>
      </c>
      <c r="Y588" s="312"/>
      <c r="Z588" s="379"/>
      <c r="AA588" s="297"/>
      <c r="AB588" s="379"/>
      <c r="AC588" s="297"/>
      <c r="AD588" s="413"/>
      <c r="AE588" s="297"/>
      <c r="AG588" s="294"/>
      <c r="AH588" s="380"/>
      <c r="AI588" s="408"/>
      <c r="AJ588" s="498"/>
      <c r="AK588" s="498"/>
      <c r="AL588" s="498"/>
      <c r="AM588" s="498"/>
      <c r="AN588" s="498"/>
      <c r="AO588" s="498"/>
      <c r="AP588" s="498"/>
    </row>
    <row r="589" spans="1:42">
      <c r="A589" s="295">
        <v>46121</v>
      </c>
      <c r="B589" s="433"/>
      <c r="C589" s="312"/>
      <c r="D589" s="296"/>
      <c r="E589" s="312"/>
      <c r="F589" s="296"/>
      <c r="G589" s="312"/>
      <c r="H589" s="325"/>
      <c r="I589" s="312"/>
      <c r="J589" s="416"/>
      <c r="K589" s="369"/>
      <c r="L589" s="378"/>
      <c r="M589" s="312"/>
      <c r="N589" s="298"/>
      <c r="O589" s="312"/>
      <c r="P589" s="404" t="e">
        <f t="shared" si="189"/>
        <v>#DIV/0!</v>
      </c>
      <c r="Q589" s="312" t="e">
        <f t="shared" si="192"/>
        <v>#DIV/0!</v>
      </c>
      <c r="R589" s="298"/>
      <c r="S589" s="312"/>
      <c r="T589" s="298"/>
      <c r="U589" s="312"/>
      <c r="V589" s="454">
        <f t="shared" si="190"/>
        <v>0</v>
      </c>
      <c r="W589" s="312"/>
      <c r="X589" s="454">
        <f t="shared" si="191"/>
        <v>0</v>
      </c>
      <c r="Y589" s="312"/>
      <c r="Z589" s="379"/>
      <c r="AA589" s="297"/>
      <c r="AB589" s="379"/>
      <c r="AC589" s="297"/>
      <c r="AD589" s="413"/>
      <c r="AE589" s="297"/>
      <c r="AG589" s="294"/>
      <c r="AH589" s="380"/>
      <c r="AI589" s="408"/>
      <c r="AJ589" s="498"/>
      <c r="AK589" s="498"/>
      <c r="AL589" s="498"/>
      <c r="AM589" s="498"/>
      <c r="AN589" s="498"/>
      <c r="AO589" s="498"/>
      <c r="AP589" s="498"/>
    </row>
    <row r="590" spans="1:42">
      <c r="A590" s="295">
        <v>46122</v>
      </c>
      <c r="B590" s="433"/>
      <c r="C590" s="312"/>
      <c r="D590" s="296"/>
      <c r="E590" s="312"/>
      <c r="F590" s="296"/>
      <c r="G590" s="312"/>
      <c r="H590" s="325"/>
      <c r="I590" s="312"/>
      <c r="J590" s="416"/>
      <c r="K590" s="369"/>
      <c r="L590" s="378"/>
      <c r="M590" s="312"/>
      <c r="N590" s="298"/>
      <c r="O590" s="312"/>
      <c r="P590" s="404" t="e">
        <f t="shared" si="189"/>
        <v>#DIV/0!</v>
      </c>
      <c r="Q590" s="312" t="e">
        <f t="shared" si="192"/>
        <v>#DIV/0!</v>
      </c>
      <c r="R590" s="298"/>
      <c r="S590" s="312"/>
      <c r="T590" s="298"/>
      <c r="U590" s="312"/>
      <c r="V590" s="454">
        <f t="shared" si="190"/>
        <v>0</v>
      </c>
      <c r="W590" s="312"/>
      <c r="X590" s="454">
        <f t="shared" si="191"/>
        <v>0</v>
      </c>
      <c r="Y590" s="312"/>
      <c r="Z590" s="379"/>
      <c r="AA590" s="297"/>
      <c r="AB590" s="379"/>
      <c r="AC590" s="297"/>
      <c r="AD590" s="413"/>
      <c r="AE590" s="297"/>
      <c r="AG590" s="294"/>
      <c r="AH590" s="380"/>
      <c r="AI590" s="408"/>
      <c r="AJ590" s="498"/>
      <c r="AK590" s="498"/>
      <c r="AL590" s="498"/>
      <c r="AM590" s="498"/>
      <c r="AN590" s="498"/>
      <c r="AO590" s="498"/>
      <c r="AP590" s="498"/>
    </row>
    <row r="591" spans="1:42">
      <c r="A591" s="295">
        <v>46125</v>
      </c>
      <c r="B591" s="433"/>
      <c r="C591" s="312"/>
      <c r="D591" s="296"/>
      <c r="E591" s="312"/>
      <c r="F591" s="296"/>
      <c r="G591" s="312"/>
      <c r="H591" s="325"/>
      <c r="I591" s="312"/>
      <c r="J591" s="416"/>
      <c r="K591" s="369"/>
      <c r="L591" s="378"/>
      <c r="M591" s="312"/>
      <c r="N591" s="298"/>
      <c r="O591" s="312"/>
      <c r="P591" s="404" t="e">
        <f t="shared" si="189"/>
        <v>#DIV/0!</v>
      </c>
      <c r="Q591" s="312" t="e">
        <f t="shared" si="192"/>
        <v>#DIV/0!</v>
      </c>
      <c r="R591" s="298"/>
      <c r="S591" s="312"/>
      <c r="T591" s="298"/>
      <c r="U591" s="312"/>
      <c r="V591" s="454">
        <f t="shared" si="190"/>
        <v>0</v>
      </c>
      <c r="W591" s="312"/>
      <c r="X591" s="454">
        <f t="shared" si="191"/>
        <v>0</v>
      </c>
      <c r="Y591" s="312"/>
      <c r="Z591" s="379"/>
      <c r="AA591" s="297"/>
      <c r="AB591" s="379"/>
      <c r="AC591" s="297"/>
      <c r="AD591" s="413"/>
      <c r="AE591" s="297"/>
      <c r="AG591" s="294"/>
      <c r="AH591" s="380"/>
      <c r="AI591" s="408"/>
      <c r="AJ591" s="498"/>
      <c r="AK591" s="498"/>
      <c r="AL591" s="498"/>
      <c r="AM591" s="498"/>
      <c r="AN591" s="498"/>
      <c r="AO591" s="498"/>
      <c r="AP591" s="498"/>
    </row>
    <row r="592" spans="1:42">
      <c r="A592" s="295">
        <v>46126</v>
      </c>
      <c r="B592" s="433"/>
      <c r="C592" s="312"/>
      <c r="D592" s="296"/>
      <c r="E592" s="312"/>
      <c r="F592" s="296"/>
      <c r="G592" s="312"/>
      <c r="H592" s="325"/>
      <c r="I592" s="312"/>
      <c r="J592" s="416"/>
      <c r="K592" s="369"/>
      <c r="L592" s="378"/>
      <c r="M592" s="312"/>
      <c r="N592" s="298"/>
      <c r="O592" s="312"/>
      <c r="P592" s="404" t="e">
        <f t="shared" si="189"/>
        <v>#DIV/0!</v>
      </c>
      <c r="Q592" s="312" t="e">
        <f t="shared" si="192"/>
        <v>#DIV/0!</v>
      </c>
      <c r="R592" s="298"/>
      <c r="S592" s="312"/>
      <c r="T592" s="298"/>
      <c r="U592" s="312"/>
      <c r="V592" s="454">
        <f t="shared" si="190"/>
        <v>0</v>
      </c>
      <c r="W592" s="312"/>
      <c r="X592" s="454">
        <f t="shared" si="191"/>
        <v>0</v>
      </c>
      <c r="Y592" s="312"/>
      <c r="Z592" s="379"/>
      <c r="AA592" s="297"/>
      <c r="AB592" s="379"/>
      <c r="AC592" s="297"/>
      <c r="AD592" s="413"/>
      <c r="AE592" s="297"/>
      <c r="AG592" s="294"/>
      <c r="AH592" s="380"/>
      <c r="AI592" s="408"/>
      <c r="AJ592" s="498"/>
      <c r="AK592" s="498"/>
      <c r="AL592" s="498"/>
      <c r="AM592" s="498"/>
      <c r="AN592" s="498"/>
      <c r="AO592" s="498"/>
      <c r="AP592" s="498"/>
    </row>
    <row r="593" spans="1:42">
      <c r="A593" s="295">
        <v>46127</v>
      </c>
      <c r="B593" s="433"/>
      <c r="C593" s="312"/>
      <c r="D593" s="296"/>
      <c r="E593" s="312"/>
      <c r="F593" s="296"/>
      <c r="G593" s="312"/>
      <c r="H593" s="325"/>
      <c r="I593" s="312"/>
      <c r="J593" s="416"/>
      <c r="K593" s="369"/>
      <c r="L593" s="378"/>
      <c r="M593" s="312"/>
      <c r="N593" s="298"/>
      <c r="O593" s="312"/>
      <c r="P593" s="404" t="e">
        <f t="shared" si="189"/>
        <v>#DIV/0!</v>
      </c>
      <c r="Q593" s="312" t="e">
        <f t="shared" si="192"/>
        <v>#DIV/0!</v>
      </c>
      <c r="R593" s="298"/>
      <c r="S593" s="312"/>
      <c r="T593" s="298"/>
      <c r="U593" s="312"/>
      <c r="V593" s="454">
        <f t="shared" si="190"/>
        <v>0</v>
      </c>
      <c r="W593" s="312"/>
      <c r="X593" s="454">
        <f t="shared" si="191"/>
        <v>0</v>
      </c>
      <c r="Y593" s="312"/>
      <c r="Z593" s="379"/>
      <c r="AA593" s="297"/>
      <c r="AB593" s="379"/>
      <c r="AC593" s="297"/>
      <c r="AD593" s="413"/>
      <c r="AE593" s="297"/>
      <c r="AG593" s="294"/>
      <c r="AH593" s="380"/>
      <c r="AI593" s="408"/>
      <c r="AJ593" s="498"/>
      <c r="AK593" s="498"/>
      <c r="AL593" s="498"/>
      <c r="AM593" s="498"/>
      <c r="AN593" s="498"/>
      <c r="AO593" s="498"/>
      <c r="AP593" s="498"/>
    </row>
    <row r="594" spans="1:42">
      <c r="A594" s="295">
        <v>46128</v>
      </c>
      <c r="B594" s="433"/>
      <c r="C594" s="312"/>
      <c r="D594" s="296"/>
      <c r="E594" s="312"/>
      <c r="F594" s="296"/>
      <c r="G594" s="312"/>
      <c r="H594" s="325"/>
      <c r="I594" s="312"/>
      <c r="J594" s="416"/>
      <c r="K594" s="369"/>
      <c r="L594" s="378"/>
      <c r="M594" s="312"/>
      <c r="N594" s="298"/>
      <c r="O594" s="312"/>
      <c r="P594" s="404" t="e">
        <f t="shared" si="189"/>
        <v>#DIV/0!</v>
      </c>
      <c r="Q594" s="312" t="e">
        <f t="shared" si="192"/>
        <v>#DIV/0!</v>
      </c>
      <c r="R594" s="298"/>
      <c r="S594" s="312"/>
      <c r="T594" s="298"/>
      <c r="U594" s="312"/>
      <c r="V594" s="454">
        <f t="shared" si="190"/>
        <v>0</v>
      </c>
      <c r="W594" s="312"/>
      <c r="X594" s="454">
        <f t="shared" si="191"/>
        <v>0</v>
      </c>
      <c r="Y594" s="312"/>
      <c r="Z594" s="379"/>
      <c r="AA594" s="297"/>
      <c r="AB594" s="379"/>
      <c r="AC594" s="297"/>
      <c r="AD594" s="413"/>
      <c r="AE594" s="297"/>
      <c r="AG594" s="294"/>
      <c r="AH594" s="380"/>
      <c r="AI594" s="408"/>
      <c r="AJ594" s="498"/>
      <c r="AK594" s="498"/>
      <c r="AL594" s="498"/>
      <c r="AM594" s="498"/>
      <c r="AN594" s="498"/>
      <c r="AO594" s="498"/>
      <c r="AP594" s="498"/>
    </row>
    <row r="595" spans="1:42">
      <c r="A595" s="295">
        <v>46129</v>
      </c>
      <c r="B595" s="433"/>
      <c r="C595" s="312"/>
      <c r="D595" s="296"/>
      <c r="E595" s="312"/>
      <c r="F595" s="296"/>
      <c r="G595" s="312"/>
      <c r="H595" s="325"/>
      <c r="I595" s="312"/>
      <c r="J595" s="416"/>
      <c r="K595" s="369"/>
      <c r="L595" s="378"/>
      <c r="M595" s="312"/>
      <c r="N595" s="298"/>
      <c r="O595" s="312"/>
      <c r="P595" s="404" t="e">
        <f t="shared" si="189"/>
        <v>#DIV/0!</v>
      </c>
      <c r="Q595" s="312" t="e">
        <f t="shared" si="192"/>
        <v>#DIV/0!</v>
      </c>
      <c r="R595" s="298"/>
      <c r="S595" s="312"/>
      <c r="T595" s="298"/>
      <c r="U595" s="312"/>
      <c r="V595" s="454">
        <f t="shared" si="190"/>
        <v>0</v>
      </c>
      <c r="W595" s="312"/>
      <c r="X595" s="454">
        <f t="shared" si="191"/>
        <v>0</v>
      </c>
      <c r="Y595" s="312"/>
      <c r="Z595" s="379"/>
      <c r="AA595" s="297"/>
      <c r="AB595" s="379"/>
      <c r="AC595" s="297"/>
      <c r="AD595" s="413"/>
      <c r="AE595" s="297"/>
      <c r="AG595" s="294"/>
      <c r="AH595" s="380"/>
      <c r="AI595" s="408"/>
      <c r="AJ595" s="498"/>
      <c r="AK595" s="498"/>
      <c r="AL595" s="498"/>
      <c r="AM595" s="498"/>
      <c r="AN595" s="498"/>
      <c r="AO595" s="498"/>
      <c r="AP595" s="498"/>
    </row>
    <row r="596" spans="1:42">
      <c r="A596" s="295">
        <v>46132</v>
      </c>
      <c r="B596" s="433"/>
      <c r="C596" s="312"/>
      <c r="D596" s="296"/>
      <c r="E596" s="312"/>
      <c r="F596" s="296"/>
      <c r="G596" s="312"/>
      <c r="H596" s="325"/>
      <c r="I596" s="312"/>
      <c r="J596" s="416"/>
      <c r="K596" s="369"/>
      <c r="L596" s="378"/>
      <c r="M596" s="312"/>
      <c r="N596" s="298"/>
      <c r="O596" s="312"/>
      <c r="P596" s="404" t="e">
        <f t="shared" si="189"/>
        <v>#DIV/0!</v>
      </c>
      <c r="Q596" s="312" t="e">
        <f t="shared" si="192"/>
        <v>#DIV/0!</v>
      </c>
      <c r="R596" s="298"/>
      <c r="S596" s="312"/>
      <c r="T596" s="298"/>
      <c r="U596" s="312"/>
      <c r="V596" s="454">
        <f t="shared" si="190"/>
        <v>0</v>
      </c>
      <c r="W596" s="312"/>
      <c r="X596" s="454">
        <f t="shared" si="191"/>
        <v>0</v>
      </c>
      <c r="Y596" s="312"/>
      <c r="Z596" s="379"/>
      <c r="AA596" s="297"/>
      <c r="AB596" s="379"/>
      <c r="AC596" s="297"/>
      <c r="AD596" s="413"/>
      <c r="AE596" s="297"/>
      <c r="AG596" s="294"/>
      <c r="AH596" s="380"/>
      <c r="AI596" s="408"/>
      <c r="AJ596" s="498"/>
      <c r="AK596" s="498"/>
      <c r="AL596" s="498"/>
      <c r="AM596" s="498"/>
      <c r="AN596" s="498"/>
      <c r="AO596" s="498"/>
      <c r="AP596" s="498"/>
    </row>
    <row r="597" spans="1:42">
      <c r="A597" s="295">
        <v>46133</v>
      </c>
      <c r="B597" s="433"/>
      <c r="C597" s="312"/>
      <c r="D597" s="296"/>
      <c r="E597" s="312"/>
      <c r="F597" s="296"/>
      <c r="G597" s="312"/>
      <c r="H597" s="325"/>
      <c r="I597" s="312"/>
      <c r="J597" s="416"/>
      <c r="K597" s="369"/>
      <c r="L597" s="378"/>
      <c r="M597" s="312"/>
      <c r="N597" s="298"/>
      <c r="O597" s="312"/>
      <c r="P597" s="404" t="e">
        <f t="shared" si="189"/>
        <v>#DIV/0!</v>
      </c>
      <c r="Q597" s="312" t="e">
        <f t="shared" si="192"/>
        <v>#DIV/0!</v>
      </c>
      <c r="R597" s="298"/>
      <c r="S597" s="312"/>
      <c r="T597" s="298"/>
      <c r="U597" s="312"/>
      <c r="V597" s="454">
        <f t="shared" si="190"/>
        <v>0</v>
      </c>
      <c r="W597" s="312"/>
      <c r="X597" s="454">
        <f t="shared" si="191"/>
        <v>0</v>
      </c>
      <c r="Y597" s="312"/>
      <c r="Z597" s="379"/>
      <c r="AA597" s="297"/>
      <c r="AB597" s="379"/>
      <c r="AC597" s="297"/>
      <c r="AD597" s="413"/>
      <c r="AE597" s="297"/>
      <c r="AG597" s="294"/>
      <c r="AH597" s="380"/>
      <c r="AI597" s="408"/>
      <c r="AJ597" s="498"/>
      <c r="AK597" s="498"/>
      <c r="AL597" s="498"/>
      <c r="AM597" s="498"/>
      <c r="AN597" s="498"/>
      <c r="AO597" s="498"/>
      <c r="AP597" s="498"/>
    </row>
    <row r="598" spans="1:42">
      <c r="A598" s="295">
        <v>46134</v>
      </c>
      <c r="B598" s="433"/>
      <c r="C598" s="312"/>
      <c r="D598" s="296"/>
      <c r="E598" s="312"/>
      <c r="F598" s="296"/>
      <c r="G598" s="312"/>
      <c r="H598" s="325"/>
      <c r="I598" s="312"/>
      <c r="J598" s="416"/>
      <c r="K598" s="369"/>
      <c r="L598" s="378"/>
      <c r="M598" s="312"/>
      <c r="N598" s="298"/>
      <c r="O598" s="312"/>
      <c r="P598" s="404" t="e">
        <f t="shared" si="189"/>
        <v>#DIV/0!</v>
      </c>
      <c r="Q598" s="312" t="e">
        <f t="shared" si="192"/>
        <v>#DIV/0!</v>
      </c>
      <c r="R598" s="298"/>
      <c r="S598" s="312"/>
      <c r="T598" s="298"/>
      <c r="U598" s="312"/>
      <c r="V598" s="454">
        <f t="shared" si="190"/>
        <v>0</v>
      </c>
      <c r="W598" s="312"/>
      <c r="X598" s="454">
        <f t="shared" si="191"/>
        <v>0</v>
      </c>
      <c r="Y598" s="312"/>
      <c r="Z598" s="379"/>
      <c r="AA598" s="297"/>
      <c r="AB598" s="379"/>
      <c r="AC598" s="297"/>
      <c r="AD598" s="413"/>
      <c r="AE598" s="297"/>
      <c r="AG598" s="294"/>
      <c r="AH598" s="380"/>
      <c r="AI598" s="408"/>
      <c r="AJ598" s="498"/>
      <c r="AK598" s="498"/>
      <c r="AL598" s="498"/>
      <c r="AM598" s="498"/>
      <c r="AN598" s="498"/>
      <c r="AO598" s="498"/>
      <c r="AP598" s="498"/>
    </row>
    <row r="599" spans="1:42">
      <c r="A599" s="295">
        <v>46135</v>
      </c>
      <c r="B599" s="433"/>
      <c r="C599" s="312"/>
      <c r="D599" s="296"/>
      <c r="E599" s="312"/>
      <c r="F599" s="296"/>
      <c r="G599" s="312"/>
      <c r="H599" s="325"/>
      <c r="I599" s="312"/>
      <c r="J599" s="416"/>
      <c r="K599" s="369"/>
      <c r="L599" s="378"/>
      <c r="M599" s="312"/>
      <c r="N599" s="298"/>
      <c r="O599" s="312"/>
      <c r="P599" s="404" t="e">
        <f t="shared" si="189"/>
        <v>#DIV/0!</v>
      </c>
      <c r="Q599" s="312" t="e">
        <f t="shared" si="192"/>
        <v>#DIV/0!</v>
      </c>
      <c r="R599" s="298"/>
      <c r="S599" s="312"/>
      <c r="T599" s="298"/>
      <c r="U599" s="312"/>
      <c r="V599" s="454">
        <f t="shared" si="190"/>
        <v>0</v>
      </c>
      <c r="W599" s="312"/>
      <c r="X599" s="454">
        <f t="shared" si="191"/>
        <v>0</v>
      </c>
      <c r="Y599" s="312"/>
      <c r="Z599" s="379"/>
      <c r="AA599" s="297"/>
      <c r="AB599" s="379"/>
      <c r="AC599" s="297"/>
      <c r="AD599" s="413"/>
      <c r="AE599" s="297"/>
      <c r="AG599" s="294"/>
      <c r="AH599" s="380"/>
      <c r="AI599" s="408"/>
      <c r="AJ599" s="498"/>
      <c r="AK599" s="498"/>
      <c r="AL599" s="498"/>
      <c r="AM599" s="498"/>
      <c r="AN599" s="498"/>
      <c r="AO599" s="498"/>
      <c r="AP599" s="498"/>
    </row>
    <row r="600" spans="1:42">
      <c r="A600" s="295">
        <v>46136</v>
      </c>
      <c r="B600" s="433"/>
      <c r="C600" s="312"/>
      <c r="D600" s="296"/>
      <c r="E600" s="312"/>
      <c r="F600" s="296"/>
      <c r="G600" s="312"/>
      <c r="H600" s="325"/>
      <c r="I600" s="312"/>
      <c r="J600" s="416"/>
      <c r="K600" s="369"/>
      <c r="L600" s="378"/>
      <c r="M600" s="312"/>
      <c r="N600" s="298"/>
      <c r="O600" s="312"/>
      <c r="P600" s="404" t="e">
        <f t="shared" si="189"/>
        <v>#DIV/0!</v>
      </c>
      <c r="Q600" s="312" t="e">
        <f t="shared" si="192"/>
        <v>#DIV/0!</v>
      </c>
      <c r="R600" s="298"/>
      <c r="S600" s="312"/>
      <c r="T600" s="298"/>
      <c r="U600" s="312"/>
      <c r="V600" s="454">
        <f t="shared" si="190"/>
        <v>0</v>
      </c>
      <c r="W600" s="312"/>
      <c r="X600" s="454">
        <f t="shared" si="191"/>
        <v>0</v>
      </c>
      <c r="Y600" s="312"/>
      <c r="Z600" s="379"/>
      <c r="AA600" s="297"/>
      <c r="AB600" s="379"/>
      <c r="AC600" s="297"/>
      <c r="AD600" s="413"/>
      <c r="AE600" s="297"/>
      <c r="AG600" s="294"/>
      <c r="AH600" s="380"/>
      <c r="AI600" s="408"/>
      <c r="AJ600" s="498"/>
      <c r="AK600" s="498"/>
      <c r="AL600" s="498"/>
      <c r="AM600" s="498"/>
      <c r="AN600" s="498"/>
      <c r="AO600" s="498"/>
      <c r="AP600" s="498"/>
    </row>
    <row r="601" spans="1:42">
      <c r="A601" s="295">
        <v>46139</v>
      </c>
      <c r="B601" s="433"/>
      <c r="C601" s="312"/>
      <c r="D601" s="296"/>
      <c r="E601" s="312"/>
      <c r="F601" s="296"/>
      <c r="G601" s="312"/>
      <c r="H601" s="325"/>
      <c r="I601" s="312"/>
      <c r="J601" s="416"/>
      <c r="K601" s="369"/>
      <c r="L601" s="378"/>
      <c r="M601" s="312"/>
      <c r="N601" s="298"/>
      <c r="O601" s="312"/>
      <c r="P601" s="404" t="e">
        <f t="shared" si="189"/>
        <v>#DIV/0!</v>
      </c>
      <c r="Q601" s="312" t="e">
        <f t="shared" si="192"/>
        <v>#DIV/0!</v>
      </c>
      <c r="R601" s="298"/>
      <c r="S601" s="312"/>
      <c r="T601" s="298"/>
      <c r="U601" s="312"/>
      <c r="V601" s="454">
        <f t="shared" si="190"/>
        <v>0</v>
      </c>
      <c r="W601" s="312"/>
      <c r="X601" s="454">
        <f t="shared" si="191"/>
        <v>0</v>
      </c>
      <c r="Y601" s="312"/>
      <c r="Z601" s="379"/>
      <c r="AA601" s="297"/>
      <c r="AB601" s="379"/>
      <c r="AC601" s="297"/>
      <c r="AD601" s="413"/>
      <c r="AE601" s="297"/>
      <c r="AG601" s="294"/>
      <c r="AH601" s="380"/>
      <c r="AI601" s="408"/>
      <c r="AJ601" s="498"/>
      <c r="AK601" s="498"/>
      <c r="AL601" s="498"/>
      <c r="AM601" s="498"/>
      <c r="AN601" s="498"/>
      <c r="AO601" s="498"/>
      <c r="AP601" s="498"/>
    </row>
    <row r="602" spans="1:42">
      <c r="A602" s="295">
        <v>46140</v>
      </c>
      <c r="B602" s="433"/>
      <c r="C602" s="312"/>
      <c r="D602" s="296"/>
      <c r="E602" s="312"/>
      <c r="F602" s="296"/>
      <c r="G602" s="312"/>
      <c r="H602" s="325"/>
      <c r="I602" s="312"/>
      <c r="J602" s="416"/>
      <c r="K602" s="369"/>
      <c r="L602" s="378"/>
      <c r="M602" s="312"/>
      <c r="N602" s="298"/>
      <c r="O602" s="312"/>
      <c r="P602" s="404" t="e">
        <f t="shared" si="189"/>
        <v>#DIV/0!</v>
      </c>
      <c r="Q602" s="312" t="e">
        <f t="shared" si="192"/>
        <v>#DIV/0!</v>
      </c>
      <c r="R602" s="298"/>
      <c r="S602" s="312"/>
      <c r="T602" s="298"/>
      <c r="U602" s="312"/>
      <c r="V602" s="454">
        <f t="shared" si="190"/>
        <v>0</v>
      </c>
      <c r="W602" s="312"/>
      <c r="X602" s="454">
        <f t="shared" si="191"/>
        <v>0</v>
      </c>
      <c r="Y602" s="312"/>
      <c r="Z602" s="379"/>
      <c r="AA602" s="297"/>
      <c r="AB602" s="379"/>
      <c r="AC602" s="297"/>
      <c r="AD602" s="413"/>
      <c r="AE602" s="297"/>
      <c r="AG602" s="294"/>
      <c r="AH602" s="380"/>
      <c r="AI602" s="408"/>
      <c r="AJ602" s="498"/>
      <c r="AK602" s="498"/>
      <c r="AL602" s="498"/>
      <c r="AM602" s="498"/>
      <c r="AN602" s="498"/>
      <c r="AO602" s="498"/>
      <c r="AP602" s="498"/>
    </row>
    <row r="603" spans="1:42" ht="15" thickBot="1">
      <c r="A603" s="295">
        <v>46141</v>
      </c>
      <c r="B603" s="434"/>
      <c r="C603" s="312"/>
      <c r="D603" s="296"/>
      <c r="E603" s="312"/>
      <c r="F603" s="296"/>
      <c r="G603" s="312"/>
      <c r="H603" s="325"/>
      <c r="I603" s="312"/>
      <c r="J603" s="416"/>
      <c r="K603" s="369"/>
      <c r="L603" s="378"/>
      <c r="M603" s="312"/>
      <c r="N603" s="298"/>
      <c r="O603" s="312"/>
      <c r="P603" s="404" t="e">
        <f t="shared" si="189"/>
        <v>#DIV/0!</v>
      </c>
      <c r="Q603" s="312" t="e">
        <f t="shared" si="192"/>
        <v>#DIV/0!</v>
      </c>
      <c r="R603" s="298"/>
      <c r="S603" s="312"/>
      <c r="T603" s="298"/>
      <c r="U603" s="312"/>
      <c r="V603" s="454">
        <f t="shared" si="190"/>
        <v>0</v>
      </c>
      <c r="W603" s="312"/>
      <c r="X603" s="454">
        <f t="shared" si="191"/>
        <v>0</v>
      </c>
      <c r="Y603" s="312"/>
      <c r="Z603" s="379"/>
      <c r="AA603" s="297"/>
      <c r="AB603" s="379"/>
      <c r="AC603" s="297"/>
      <c r="AD603" s="413"/>
      <c r="AE603" s="297"/>
      <c r="AG603" s="294"/>
      <c r="AH603" s="380"/>
      <c r="AI603" s="408"/>
      <c r="AJ603" s="498"/>
      <c r="AK603" s="498"/>
      <c r="AL603" s="498"/>
      <c r="AM603" s="498"/>
      <c r="AN603" s="498"/>
      <c r="AO603" s="498"/>
      <c r="AP603" s="498"/>
    </row>
    <row r="604" spans="1:42" ht="15" thickBot="1">
      <c r="A604" s="299" t="s">
        <v>96</v>
      </c>
      <c r="B604" s="300">
        <f>INDEX(B3:B603,COUNTA(B3:B603),1)</f>
        <v>232997.74896010518</v>
      </c>
      <c r="C604" s="300" t="e">
        <f>(B604-#REF!)/#REF!</f>
        <v>#REF!</v>
      </c>
      <c r="D604" s="304">
        <f>INDEX(D3:D603,COUNTA(D3:D603),1)</f>
        <v>123839.56930617402</v>
      </c>
      <c r="E604" s="301" t="e">
        <f>(D604-#REF!)/#REF!</f>
        <v>#REF!</v>
      </c>
      <c r="F604" s="300">
        <f>INDEX(F3:F603,COUNTA(F3:F603),1)</f>
        <v>25097.011891617851</v>
      </c>
      <c r="G604" s="300" t="e">
        <f>(F604-#REF!)/#REF!</f>
        <v>#REF!</v>
      </c>
      <c r="H604" s="325">
        <f>H603</f>
        <v>0</v>
      </c>
      <c r="I604" s="381" t="e">
        <f>(H604-#REF!)/#REF!</f>
        <v>#REF!</v>
      </c>
      <c r="J604" s="301" t="e">
        <f>INDEX(J3:J603,COUNTA(J3:J603),1)</f>
        <v>#DIV/0!</v>
      </c>
      <c r="K604" s="303" t="e">
        <f>(J604-#REF!)/#REF!</f>
        <v>#DIV/0!</v>
      </c>
      <c r="L604" s="301" t="e">
        <f>INDEX(L3:L603,COUNTA(L3:L603),1)</f>
        <v>#DIV/0!</v>
      </c>
      <c r="M604" s="303" t="e">
        <f>(L604-#REF!)/#REF!</f>
        <v>#DIV/0!</v>
      </c>
      <c r="N604" s="302">
        <f>INDEX(N3:N603,COUNTA(N3:N603),1)</f>
        <v>20867.288393070885</v>
      </c>
      <c r="O604" s="300" t="e">
        <f>(N604-#REF!)/#REF!</f>
        <v>#REF!</v>
      </c>
      <c r="P604" s="411" t="e">
        <f>INDEX(P3:P603,COUNTA(P3:P603),1)</f>
        <v>#DIV/0!</v>
      </c>
      <c r="Q604" s="412" t="e">
        <f>(P604-#REF!)/#REF!</f>
        <v>#DIV/0!</v>
      </c>
      <c r="R604" s="411" t="e">
        <f>INDEX(R3:R603,COUNTA(R3:R603),1)</f>
        <v>#DIV/0!</v>
      </c>
      <c r="S604" s="412" t="e">
        <f>(R604-#REF!)/#REF!</f>
        <v>#DIV/0!</v>
      </c>
      <c r="T604" s="411" t="e">
        <f>INDEX(T3:T603,COUNTA(T3:T603),1)</f>
        <v>#DIV/0!</v>
      </c>
      <c r="U604" s="412" t="e">
        <f>(T604-#REF!)/#REF!</f>
        <v>#DIV/0!</v>
      </c>
      <c r="V604" s="454">
        <f t="shared" si="190"/>
        <v>0</v>
      </c>
      <c r="W604" s="312">
        <f>(V604-(798.1+29.12+9.75+904.54))/(798.1+29.12+9.75+904.542)</f>
        <v>-0.99999885157265633</v>
      </c>
      <c r="X604" s="454">
        <f t="shared" si="191"/>
        <v>0</v>
      </c>
      <c r="Y604" s="312">
        <f>(X604-(798.1+29.12+9.75+904.54))/(798.1+29.12+9.75+904.542)</f>
        <v>-0.99999885157265633</v>
      </c>
      <c r="Z604" s="379">
        <v>420.29</v>
      </c>
      <c r="AA604" s="303" t="e">
        <f>(Z604-#REF!)/#REF!</f>
        <v>#REF!</v>
      </c>
      <c r="AB604" s="379">
        <v>420.29</v>
      </c>
      <c r="AC604" s="303" t="e">
        <f>(AB604-#REF!)/#REF!</f>
        <v>#REF!</v>
      </c>
      <c r="AD604" s="413">
        <f>AD603</f>
        <v>0</v>
      </c>
      <c r="AE604" s="303" t="e">
        <f>(AD604-#REF!)/#REF!</f>
        <v>#REF!</v>
      </c>
      <c r="AG604" s="294"/>
      <c r="AH604" s="305"/>
      <c r="AI604" s="305"/>
      <c r="AJ604" s="499"/>
      <c r="AK604" s="499"/>
      <c r="AL604" s="499"/>
      <c r="AM604" s="499"/>
      <c r="AN604" s="499"/>
      <c r="AO604" s="499"/>
      <c r="AP604" s="499"/>
    </row>
    <row r="606" spans="1:42">
      <c r="R606" s="310"/>
      <c r="S606" t="s">
        <v>133</v>
      </c>
      <c r="T606" s="310"/>
      <c r="U606" t="s">
        <v>133</v>
      </c>
    </row>
    <row r="609" spans="19:25">
      <c r="S609" s="311"/>
      <c r="U609" s="311"/>
      <c r="V609" s="311"/>
      <c r="W609" s="311"/>
      <c r="X609" s="311"/>
      <c r="Y609" s="311"/>
    </row>
    <row r="610" spans="19:25">
      <c r="S610" s="311"/>
      <c r="U610" s="311"/>
      <c r="V610" s="311"/>
      <c r="W610" s="311"/>
      <c r="X610" s="311"/>
      <c r="Y610" s="311"/>
    </row>
  </sheetData>
  <mergeCells count="24">
    <mergeCell ref="AV28:BB28"/>
    <mergeCell ref="AB1:AC1"/>
    <mergeCell ref="AD1:AE1"/>
    <mergeCell ref="N1:Q1"/>
    <mergeCell ref="R1:Y1"/>
    <mergeCell ref="AK1:AP1"/>
    <mergeCell ref="Z1:AA1"/>
    <mergeCell ref="B1:G1"/>
    <mergeCell ref="H1:I1"/>
    <mergeCell ref="J1:K1"/>
    <mergeCell ref="L1:M1"/>
    <mergeCell ref="H2:I2"/>
    <mergeCell ref="J2:K2"/>
    <mergeCell ref="AG1:AG2"/>
    <mergeCell ref="AH1:AH2"/>
    <mergeCell ref="AI1:AI2"/>
    <mergeCell ref="BD1:BD4"/>
    <mergeCell ref="BE1:BJ1"/>
    <mergeCell ref="BE2:BE4"/>
    <mergeCell ref="BH2:BH4"/>
    <mergeCell ref="BL2:BP2"/>
    <mergeCell ref="BF2:BF4"/>
    <mergeCell ref="BG2:BG4"/>
    <mergeCell ref="BR2:BS2"/>
  </mergeCells>
  <conditionalFormatting sqref="E604">
    <cfRule type="cellIs" dxfId="117" priority="758" operator="greaterThanOrEqual">
      <formula>0</formula>
    </cfRule>
    <cfRule type="cellIs" dxfId="116" priority="759" operator="lessThan">
      <formula>0</formula>
    </cfRule>
  </conditionalFormatting>
  <conditionalFormatting sqref="O604">
    <cfRule type="cellIs" dxfId="115" priority="756" operator="greaterThanOrEqual">
      <formula>0</formula>
    </cfRule>
    <cfRule type="cellIs" dxfId="114" priority="757" operator="lessThan">
      <formula>0</formula>
    </cfRule>
  </conditionalFormatting>
  <conditionalFormatting sqref="G604">
    <cfRule type="cellIs" dxfId="113" priority="740" operator="greaterThanOrEqual">
      <formula>0</formula>
    </cfRule>
    <cfRule type="cellIs" dxfId="112" priority="741" operator="lessThan">
      <formula>0</formula>
    </cfRule>
  </conditionalFormatting>
  <conditionalFormatting sqref="M604">
    <cfRule type="cellIs" dxfId="111" priority="738" operator="greaterThanOrEqual">
      <formula>0</formula>
    </cfRule>
    <cfRule type="cellIs" dxfId="110" priority="739" operator="lessThan">
      <formula>0</formula>
    </cfRule>
  </conditionalFormatting>
  <conditionalFormatting sqref="AC604">
    <cfRule type="cellIs" dxfId="109" priority="722" operator="greaterThanOrEqual">
      <formula>0</formula>
    </cfRule>
    <cfRule type="cellIs" dxfId="108" priority="723" operator="lessThan">
      <formula>0</formula>
    </cfRule>
  </conditionalFormatting>
  <conditionalFormatting sqref="K604">
    <cfRule type="cellIs" dxfId="107" priority="718" operator="greaterThanOrEqual">
      <formula>0</formula>
    </cfRule>
    <cfRule type="cellIs" dxfId="106" priority="719" operator="lessThan">
      <formula>0</formula>
    </cfRule>
  </conditionalFormatting>
  <conditionalFormatting sqref="I604">
    <cfRule type="cellIs" dxfId="105" priority="704" operator="greaterThanOrEqual">
      <formula>0</formula>
    </cfRule>
    <cfRule type="cellIs" dxfId="104" priority="705" operator="lessThan">
      <formula>0</formula>
    </cfRule>
  </conditionalFormatting>
  <conditionalFormatting sqref="F604">
    <cfRule type="cellIs" dxfId="103" priority="702" operator="greaterThanOrEqual">
      <formula>0</formula>
    </cfRule>
    <cfRule type="cellIs" dxfId="102" priority="703" operator="lessThan">
      <formula>0</formula>
    </cfRule>
  </conditionalFormatting>
  <conditionalFormatting sqref="E3">
    <cfRule type="cellIs" dxfId="101" priority="682" operator="greaterThanOrEqual">
      <formula>0</formula>
    </cfRule>
    <cfRule type="cellIs" dxfId="100" priority="683" operator="lessThan">
      <formula>0</formula>
    </cfRule>
  </conditionalFormatting>
  <conditionalFormatting sqref="G3">
    <cfRule type="cellIs" dxfId="99" priority="676" operator="greaterThanOrEqual">
      <formula>0</formula>
    </cfRule>
    <cfRule type="cellIs" dxfId="98" priority="677" operator="lessThan">
      <formula>0</formula>
    </cfRule>
  </conditionalFormatting>
  <conditionalFormatting sqref="M3">
    <cfRule type="cellIs" dxfId="97" priority="658" operator="greaterThanOrEqual">
      <formula>0</formula>
    </cfRule>
    <cfRule type="cellIs" dxfId="96" priority="659" operator="lessThan">
      <formula>0</formula>
    </cfRule>
  </conditionalFormatting>
  <conditionalFormatting sqref="Q3">
    <cfRule type="cellIs" dxfId="95" priority="594" operator="greaterThanOrEqual">
      <formula>0</formula>
    </cfRule>
    <cfRule type="cellIs" dxfId="94" priority="595" operator="lessThan">
      <formula>0</formula>
    </cfRule>
  </conditionalFormatting>
  <conditionalFormatting sqref="BE7">
    <cfRule type="expression" dxfId="93" priority="327">
      <formula>"DD6&gt;HOJE()"</formula>
    </cfRule>
  </conditionalFormatting>
  <conditionalFormatting sqref="BE7:BE8">
    <cfRule type="expression" dxfId="92" priority="326" stopIfTrue="1">
      <formula>"dd10&gt;hoje()"</formula>
    </cfRule>
  </conditionalFormatting>
  <conditionalFormatting sqref="BE12:BE14">
    <cfRule type="expression" dxfId="91" priority="325">
      <formula>"dd10&gt;hoje()"</formula>
    </cfRule>
  </conditionalFormatting>
  <conditionalFormatting sqref="BE20:BE22">
    <cfRule type="expression" dxfId="90" priority="324">
      <formula>"dd10&gt;hoje()"</formula>
    </cfRule>
  </conditionalFormatting>
  <conditionalFormatting sqref="BE10:BE12">
    <cfRule type="expression" dxfId="89" priority="322" stopIfTrue="1">
      <formula>"dd10&gt;hoje()"</formula>
    </cfRule>
  </conditionalFormatting>
  <conditionalFormatting sqref="BE13:BE15">
    <cfRule type="expression" dxfId="88" priority="318">
      <formula>"dd10&gt;hoje()"</formula>
    </cfRule>
  </conditionalFormatting>
  <conditionalFormatting sqref="BE6">
    <cfRule type="expression" dxfId="87" priority="317">
      <formula>"dd10&gt;hoje()"</formula>
    </cfRule>
  </conditionalFormatting>
  <conditionalFormatting sqref="C604">
    <cfRule type="cellIs" dxfId="86" priority="255" operator="greaterThanOrEqual">
      <formula>0</formula>
    </cfRule>
    <cfRule type="cellIs" dxfId="85" priority="256" operator="lessThan">
      <formula>0</formula>
    </cfRule>
  </conditionalFormatting>
  <conditionalFormatting sqref="B604">
    <cfRule type="cellIs" dxfId="84" priority="253" operator="greaterThanOrEqual">
      <formula>0</formula>
    </cfRule>
    <cfRule type="cellIs" dxfId="83" priority="254" operator="lessThan">
      <formula>0</formula>
    </cfRule>
  </conditionalFormatting>
  <conditionalFormatting sqref="C3">
    <cfRule type="cellIs" dxfId="82" priority="247" operator="greaterThanOrEqual">
      <formula>0</formula>
    </cfRule>
    <cfRule type="cellIs" dxfId="81" priority="248" operator="lessThan">
      <formula>0</formula>
    </cfRule>
  </conditionalFormatting>
  <conditionalFormatting sqref="AE604">
    <cfRule type="cellIs" dxfId="80" priority="237" operator="greaterThanOrEqual">
      <formula>0</formula>
    </cfRule>
    <cfRule type="cellIs" dxfId="79" priority="238" operator="lessThan">
      <formula>0</formula>
    </cfRule>
  </conditionalFormatting>
  <conditionalFormatting sqref="E4:E603">
    <cfRule type="cellIs" dxfId="78" priority="233" operator="greaterThanOrEqual">
      <formula>0</formula>
    </cfRule>
    <cfRule type="cellIs" dxfId="77" priority="234" operator="lessThan">
      <formula>0</formula>
    </cfRule>
  </conditionalFormatting>
  <conditionalFormatting sqref="G4:G603">
    <cfRule type="cellIs" dxfId="76" priority="231" operator="greaterThanOrEqual">
      <formula>0</formula>
    </cfRule>
    <cfRule type="cellIs" dxfId="75" priority="232" operator="lessThan">
      <formula>0</formula>
    </cfRule>
  </conditionalFormatting>
  <conditionalFormatting sqref="M4:M603">
    <cfRule type="cellIs" dxfId="74" priority="225" operator="greaterThanOrEqual">
      <formula>0</formula>
    </cfRule>
    <cfRule type="cellIs" dxfId="73" priority="226" operator="lessThan">
      <formula>0</formula>
    </cfRule>
  </conditionalFormatting>
  <conditionalFormatting sqref="S4:S603">
    <cfRule type="cellIs" dxfId="72" priority="217" operator="greaterThanOrEqual">
      <formula>0</formula>
    </cfRule>
    <cfRule type="cellIs" dxfId="71" priority="218" operator="lessThan">
      <formula>0</formula>
    </cfRule>
  </conditionalFormatting>
  <conditionalFormatting sqref="U4:U183 U185:U603">
    <cfRule type="cellIs" dxfId="70" priority="215" operator="greaterThanOrEqual">
      <formula>0</formula>
    </cfRule>
    <cfRule type="cellIs" dxfId="69" priority="216" operator="lessThan">
      <formula>0</formula>
    </cfRule>
  </conditionalFormatting>
  <conditionalFormatting sqref="Q4:Q603">
    <cfRule type="cellIs" dxfId="68" priority="207" operator="greaterThanOrEqual">
      <formula>0</formula>
    </cfRule>
    <cfRule type="cellIs" dxfId="67" priority="208" operator="lessThan">
      <formula>0</formula>
    </cfRule>
  </conditionalFormatting>
  <conditionalFormatting sqref="O4:O603">
    <cfRule type="cellIs" dxfId="66" priority="203" operator="greaterThanOrEqual">
      <formula>0</formula>
    </cfRule>
    <cfRule type="cellIs" dxfId="65" priority="204" operator="lessThan">
      <formula>0</formula>
    </cfRule>
  </conditionalFormatting>
  <conditionalFormatting sqref="K4:K603">
    <cfRule type="cellIs" dxfId="64" priority="165" operator="greaterThanOrEqual">
      <formula>0</formula>
    </cfRule>
    <cfRule type="cellIs" dxfId="63" priority="166" operator="lessThan">
      <formula>0</formula>
    </cfRule>
  </conditionalFormatting>
  <conditionalFormatting sqref="C4:C603">
    <cfRule type="cellIs" dxfId="62" priority="159" operator="greaterThanOrEqual">
      <formula>0</formula>
    </cfRule>
    <cfRule type="cellIs" dxfId="61" priority="160" operator="lessThan">
      <formula>0</formula>
    </cfRule>
  </conditionalFormatting>
  <conditionalFormatting sqref="I3:I257">
    <cfRule type="cellIs" dxfId="60" priority="139" operator="lessThan">
      <formula>1</formula>
    </cfRule>
    <cfRule type="cellIs" dxfId="59" priority="140" operator="greaterThanOrEqual">
      <formula>0</formula>
    </cfRule>
    <cfRule type="cellIs" dxfId="58" priority="141" operator="lessThan">
      <formula>0</formula>
    </cfRule>
  </conditionalFormatting>
  <conditionalFormatting sqref="I258:I603">
    <cfRule type="cellIs" dxfId="57" priority="136" operator="lessThan">
      <formula>1</formula>
    </cfRule>
    <cfRule type="cellIs" dxfId="56" priority="137" operator="greaterThanOrEqual">
      <formula>0</formula>
    </cfRule>
    <cfRule type="cellIs" dxfId="55" priority="138" operator="lessThan">
      <formula>0</formula>
    </cfRule>
  </conditionalFormatting>
  <conditionalFormatting sqref="K3">
    <cfRule type="cellIs" dxfId="54" priority="134" operator="greaterThanOrEqual">
      <formula>0</formula>
    </cfRule>
    <cfRule type="cellIs" dxfId="53" priority="135" operator="lessThan">
      <formula>0</formula>
    </cfRule>
  </conditionalFormatting>
  <conditionalFormatting sqref="O3">
    <cfRule type="cellIs" dxfId="52" priority="130" operator="greaterThanOrEqual">
      <formula>0</formula>
    </cfRule>
    <cfRule type="cellIs" dxfId="51" priority="131" operator="lessThan">
      <formula>0</formula>
    </cfRule>
  </conditionalFormatting>
  <conditionalFormatting sqref="S3">
    <cfRule type="cellIs" dxfId="50" priority="122" operator="greaterThanOrEqual">
      <formula>0</formula>
    </cfRule>
    <cfRule type="cellIs" dxfId="49" priority="123" operator="lessThan">
      <formula>0</formula>
    </cfRule>
  </conditionalFormatting>
  <conditionalFormatting sqref="U3">
    <cfRule type="cellIs" dxfId="48" priority="120" operator="greaterThanOrEqual">
      <formula>0</formula>
    </cfRule>
    <cfRule type="cellIs" dxfId="47" priority="121" operator="lessThan">
      <formula>0</formula>
    </cfRule>
  </conditionalFormatting>
  <conditionalFormatting sqref="Q604 S604 U604">
    <cfRule type="cellIs" dxfId="46" priority="100" operator="greaterThanOrEqual">
      <formula>0</formula>
    </cfRule>
    <cfRule type="cellIs" dxfId="45" priority="101" operator="lessThan">
      <formula>0</formula>
    </cfRule>
  </conditionalFormatting>
  <conditionalFormatting sqref="U184">
    <cfRule type="cellIs" dxfId="44" priority="80" operator="greaterThanOrEqual">
      <formula>0</formula>
    </cfRule>
    <cfRule type="cellIs" dxfId="43" priority="81" operator="lessThan">
      <formula>0</formula>
    </cfRule>
  </conditionalFormatting>
  <conditionalFormatting sqref="BE9">
    <cfRule type="expression" dxfId="42" priority="73" stopIfTrue="1">
      <formula>"dd10&gt;hoje()"</formula>
    </cfRule>
  </conditionalFormatting>
  <conditionalFormatting sqref="Y258:AE604">
    <cfRule type="cellIs" dxfId="41" priority="63" operator="greaterThanOrEqual">
      <formula>0</formula>
    </cfRule>
    <cfRule type="cellIs" dxfId="40" priority="64" operator="lessThan">
      <formula>0</formula>
    </cfRule>
  </conditionalFormatting>
  <conditionalFormatting sqref="W3:W604">
    <cfRule type="cellIs" dxfId="39" priority="59" operator="greaterThanOrEqual">
      <formula>0</formula>
    </cfRule>
    <cfRule type="cellIs" dxfId="38" priority="60" operator="lessThan">
      <formula>0</formula>
    </cfRule>
  </conditionalFormatting>
  <conditionalFormatting sqref="BE22:BE24">
    <cfRule type="expression" dxfId="37" priority="56">
      <formula>"DD6&gt;HOJE()"</formula>
    </cfRule>
  </conditionalFormatting>
  <conditionalFormatting sqref="BE22:BE25">
    <cfRule type="expression" dxfId="36" priority="55" stopIfTrue="1">
      <formula>"dd10&gt;hoje()"</formula>
    </cfRule>
  </conditionalFormatting>
  <conditionalFormatting sqref="BE25:BE27">
    <cfRule type="expression" dxfId="35" priority="54" stopIfTrue="1">
      <formula>"dd10&gt;hoje()"</formula>
    </cfRule>
  </conditionalFormatting>
  <conditionalFormatting sqref="BE21:BE23">
    <cfRule type="expression" dxfId="34" priority="52">
      <formula>"dd10&gt;hoje()"</formula>
    </cfRule>
  </conditionalFormatting>
  <conditionalFormatting sqref="BE24:BE26">
    <cfRule type="expression" dxfId="33" priority="51" stopIfTrue="1">
      <formula>"dd10&gt;hoje()"</formula>
    </cfRule>
  </conditionalFormatting>
  <conditionalFormatting sqref="BE29:BE34">
    <cfRule type="expression" dxfId="32" priority="50">
      <formula>"DD6&gt;HOJE()"</formula>
    </cfRule>
  </conditionalFormatting>
  <conditionalFormatting sqref="BE29:BE37">
    <cfRule type="expression" dxfId="31" priority="49" stopIfTrue="1">
      <formula>"dd10&gt;hoje()"</formula>
    </cfRule>
  </conditionalFormatting>
  <conditionalFormatting sqref="BE28:BE33">
    <cfRule type="expression" dxfId="30" priority="46">
      <formula>"dd10&gt;hoje()"</formula>
    </cfRule>
  </conditionalFormatting>
  <conditionalFormatting sqref="BE31:BE36">
    <cfRule type="expression" dxfId="29" priority="45" stopIfTrue="1">
      <formula>"dd10&gt;hoje()"</formula>
    </cfRule>
  </conditionalFormatting>
  <conditionalFormatting sqref="BE33:BE38">
    <cfRule type="expression" dxfId="28" priority="44" stopIfTrue="1">
      <formula>"dd10&gt;hoje()"</formula>
    </cfRule>
  </conditionalFormatting>
  <conditionalFormatting sqref="BE32:BE37">
    <cfRule type="expression" dxfId="27" priority="41" stopIfTrue="1">
      <formula>"dd10&gt;hoje()"</formula>
    </cfRule>
  </conditionalFormatting>
  <conditionalFormatting sqref="BE26:BE28">
    <cfRule type="expression" dxfId="26" priority="40" stopIfTrue="1">
      <formula>"dd10&gt;hoje()"</formula>
    </cfRule>
  </conditionalFormatting>
  <conditionalFormatting sqref="BE30:BE35">
    <cfRule type="expression" dxfId="25" priority="38">
      <formula>"DD6&gt;HOJE()"</formula>
    </cfRule>
  </conditionalFormatting>
  <conditionalFormatting sqref="BE29:BE34">
    <cfRule type="expression" dxfId="24" priority="36">
      <formula>"dd10&gt;hoje()"</formula>
    </cfRule>
  </conditionalFormatting>
  <conditionalFormatting sqref="BE32:BE37">
    <cfRule type="expression" dxfId="23" priority="35" stopIfTrue="1">
      <formula>"dd10&gt;hoje()"</formula>
    </cfRule>
  </conditionalFormatting>
  <conditionalFormatting sqref="BE34:BE39">
    <cfRule type="expression" dxfId="22" priority="34" stopIfTrue="1">
      <formula>"dd10&gt;hoje()"</formula>
    </cfRule>
  </conditionalFormatting>
  <conditionalFormatting sqref="BE33:BE38">
    <cfRule type="expression" dxfId="21" priority="32" stopIfTrue="1">
      <formula>"dd10&gt;hoje()"</formula>
    </cfRule>
  </conditionalFormatting>
  <conditionalFormatting sqref="BE35:BE40">
    <cfRule type="expression" dxfId="20" priority="31" stopIfTrue="1">
      <formula>"dd10&gt;hoje()"</formula>
    </cfRule>
  </conditionalFormatting>
  <conditionalFormatting sqref="BE36:BE41">
    <cfRule type="expression" dxfId="19" priority="29" stopIfTrue="1">
      <formula>"dd10&gt;hoje()"</formula>
    </cfRule>
  </conditionalFormatting>
  <conditionalFormatting sqref="BE30:BE35">
    <cfRule type="expression" dxfId="18" priority="27">
      <formula>"DD6&gt;HOJE()"</formula>
    </cfRule>
  </conditionalFormatting>
  <conditionalFormatting sqref="BE29:BE34">
    <cfRule type="expression" dxfId="17" priority="25">
      <formula>"dd10&gt;hoje()"</formula>
    </cfRule>
  </conditionalFormatting>
  <conditionalFormatting sqref="BE32:BE37">
    <cfRule type="expression" dxfId="16" priority="24" stopIfTrue="1">
      <formula>"dd10&gt;hoje()"</formula>
    </cfRule>
  </conditionalFormatting>
  <conditionalFormatting sqref="BE34:BE39">
    <cfRule type="expression" dxfId="15" priority="23" stopIfTrue="1">
      <formula>"dd10&gt;hoje()"</formula>
    </cfRule>
  </conditionalFormatting>
  <conditionalFormatting sqref="BE33:BE38">
    <cfRule type="expression" dxfId="14" priority="21" stopIfTrue="1">
      <formula>"dd10&gt;hoje()"</formula>
    </cfRule>
  </conditionalFormatting>
  <conditionalFormatting sqref="BE27:BE32">
    <cfRule type="expression" dxfId="13" priority="20" stopIfTrue="1">
      <formula>"dd10&gt;hoje()"</formula>
    </cfRule>
  </conditionalFormatting>
  <conditionalFormatting sqref="BE31:BE36">
    <cfRule type="expression" dxfId="12" priority="18">
      <formula>"DD6&gt;HOJE()"</formula>
    </cfRule>
  </conditionalFormatting>
  <conditionalFormatting sqref="BE30:BE35">
    <cfRule type="expression" dxfId="11" priority="16">
      <formula>"dd10&gt;hoje()"</formula>
    </cfRule>
  </conditionalFormatting>
  <conditionalFormatting sqref="BE33:BE38">
    <cfRule type="expression" dxfId="10" priority="15" stopIfTrue="1">
      <formula>"dd10&gt;hoje()"</formula>
    </cfRule>
  </conditionalFormatting>
  <conditionalFormatting sqref="BE35:BE40">
    <cfRule type="expression" dxfId="9" priority="14" stopIfTrue="1">
      <formula>"dd10&gt;hoje()"</formula>
    </cfRule>
  </conditionalFormatting>
  <conditionalFormatting sqref="BE34:BE39">
    <cfRule type="expression" dxfId="8" priority="12" stopIfTrue="1">
      <formula>"dd10&gt;hoje()"</formula>
    </cfRule>
  </conditionalFormatting>
  <conditionalFormatting sqref="BE36:BE41">
    <cfRule type="expression" dxfId="7" priority="11" stopIfTrue="1">
      <formula>"dd10&gt;hoje()"</formula>
    </cfRule>
  </conditionalFormatting>
  <conditionalFormatting sqref="BE37:BE48">
    <cfRule type="expression" dxfId="6" priority="9" stopIfTrue="1">
      <formula>"dd10&gt;hoje()"</formula>
    </cfRule>
  </conditionalFormatting>
  <conditionalFormatting sqref="BE53:BE57">
    <cfRule type="expression" dxfId="5" priority="7">
      <formula>"dd10&gt;hoje()"</formula>
    </cfRule>
  </conditionalFormatting>
  <conditionalFormatting sqref="BE47:BE51">
    <cfRule type="expression" dxfId="4" priority="5">
      <formula>"dd10&gt;hoje()"</formula>
    </cfRule>
  </conditionalFormatting>
  <conditionalFormatting sqref="Y3:AE257">
    <cfRule type="cellIs" dxfId="3" priority="3" operator="greaterThanOrEqual">
      <formula>0</formula>
    </cfRule>
    <cfRule type="cellIs" dxfId="2" priority="4" operator="lessThan">
      <formula>0</formula>
    </cfRule>
  </conditionalFormatting>
  <conditionalFormatting sqref="AA604">
    <cfRule type="cellIs" dxfId="1" priority="1" operator="greaterThanOrEqual">
      <formula>0</formula>
    </cfRule>
    <cfRule type="cellIs" dxfId="0" priority="2" operator="lessThan">
      <formula>0</formula>
    </cfRule>
  </conditionalFormatting>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ilha8"/>
  <dimension ref="A1"/>
  <sheetViews>
    <sheetView topLeftCell="A13" workbookViewId="0">
      <selection activeCell="M42" sqref="M42"/>
    </sheetView>
  </sheetViews>
  <sheetFormatPr defaultRowHeight="14.5"/>
  <sheetData/>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7FD41664CBA7647869857DDFDC2814D" ma:contentTypeVersion="14" ma:contentTypeDescription="Crie um novo documento." ma:contentTypeScope="" ma:versionID="2bc49fadeccd9a5da9d7d8efa6fdf51c">
  <xsd:schema xmlns:xsd="http://www.w3.org/2001/XMLSchema" xmlns:xs="http://www.w3.org/2001/XMLSchema" xmlns:p="http://schemas.microsoft.com/office/2006/metadata/properties" xmlns:ns1="http://schemas.microsoft.com/sharepoint/v3" xmlns:ns3="26c9d628-b3d2-46bd-8abb-b4cd05045f96" xmlns:ns4="2ac5d31a-a8db-47d7-8c6d-7080883e5724" targetNamespace="http://schemas.microsoft.com/office/2006/metadata/properties" ma:root="true" ma:fieldsID="bc8076cb32d756fae8f3d36367386364" ns1:_="" ns3:_="" ns4:_="">
    <xsd:import namespace="http://schemas.microsoft.com/sharepoint/v3"/>
    <xsd:import namespace="26c9d628-b3d2-46bd-8abb-b4cd05045f96"/>
    <xsd:import namespace="2ac5d31a-a8db-47d7-8c6d-7080883e5724"/>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ServiceLocation" minOccurs="0"/>
                <xsd:element ref="ns4: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riedades da Política de Conformidade Unificada" ma:hidden="true" ma:internalName="_ip_UnifiedCompliancePolicyProperties">
      <xsd:simpleType>
        <xsd:restriction base="dms:Note"/>
      </xsd:simpleType>
    </xsd:element>
    <xsd:element name="_ip_UnifiedCompliancePolicyUIAction" ma:index="21"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c9d628-b3d2-46bd-8abb-b4cd05045f96"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SharingHintHash" ma:index="10" nillable="true" ma:displayName="Hash de Dica de Compartilhamento"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5d31a-a8db-47d7-8c6d-7080883e572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006CD9-C36C-4FE0-88F9-E991947EF342}">
  <ds:schemaRefs>
    <ds:schemaRef ds:uri="http://schemas.microsoft.com/sharepoint/v3/contenttype/forms"/>
  </ds:schemaRefs>
</ds:datastoreItem>
</file>

<file path=customXml/itemProps2.xml><?xml version="1.0" encoding="utf-8"?>
<ds:datastoreItem xmlns:ds="http://schemas.openxmlformats.org/officeDocument/2006/customXml" ds:itemID="{6CF04336-33BA-4AEA-B652-727AABE6AD17}">
  <ds:schemaRefs>
    <ds:schemaRef ds:uri="http://purl.org/dc/elements/1.1/"/>
    <ds:schemaRef ds:uri="http://schemas.microsoft.com/office/2006/metadata/properties"/>
    <ds:schemaRef ds:uri="http://schemas.microsoft.com/office/infopath/2007/PartnerControls"/>
    <ds:schemaRef ds:uri="http://purl.org/dc/terms/"/>
    <ds:schemaRef ds:uri="26c9d628-b3d2-46bd-8abb-b4cd05045f96"/>
    <ds:schemaRef ds:uri="http://schemas.microsoft.com/office/2006/documentManagement/types"/>
    <ds:schemaRef ds:uri="2ac5d31a-a8db-47d7-8c6d-7080883e5724"/>
    <ds:schemaRef ds:uri="http://schemas.openxmlformats.org/package/2006/metadata/core-properties"/>
    <ds:schemaRef ds:uri="http://schemas.microsoft.com/sharepoint/v3"/>
    <ds:schemaRef ds:uri="http://www.w3.org/XML/1998/namespace"/>
    <ds:schemaRef ds:uri="http://purl.org/dc/dcmitype/"/>
  </ds:schemaRefs>
</ds:datastoreItem>
</file>

<file path=customXml/itemProps3.xml><?xml version="1.0" encoding="utf-8"?>
<ds:datastoreItem xmlns:ds="http://schemas.openxmlformats.org/officeDocument/2006/customXml" ds:itemID="{F18C2B6E-C866-4404-93D4-25E654934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c9d628-b3d2-46bd-8abb-b4cd05045f96"/>
    <ds:schemaRef ds:uri="2ac5d31a-a8db-47d7-8c6d-7080883e57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Menu Principal</vt:lpstr>
      <vt:lpstr>Dashboard</vt:lpstr>
      <vt:lpstr>Ano</vt:lpstr>
      <vt:lpstr>Dados</vt:lpstr>
      <vt:lpstr>Diverso</vt:lpstr>
      <vt:lpstr>Investimentos</vt:lpstr>
      <vt:lpstr>Imagens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Daniele Goncalves Ferreira J Vasconcelos</dc:creator>
  <cp:lastModifiedBy>Daniele Goncalves Ferreira J Vasconcelos</cp:lastModifiedBy>
  <cp:lastPrinted>2022-04-01T14:03:18Z</cp:lastPrinted>
  <dcterms:created xsi:type="dcterms:W3CDTF">2020-04-01T17:29:27Z</dcterms:created>
  <dcterms:modified xsi:type="dcterms:W3CDTF">2024-05-10T21:59:01Z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0x010100B7FD41664CBA7647869857DDFDC2814D</vt:lpwstr>
  </property>
  <property fmtid="{D5CDD505-2E9C-101B-9397-08002B2CF9AE}" pid="3" name="MSIP_Label_9333b259-87ee-4762-9a8c-7b0d155dd87f_Enabled">
    <vt:lpwstr>true</vt:lpwstr>
  </property>
  <property fmtid="{D5CDD505-2E9C-101B-9397-08002B2CF9AE}" pid="4" name="MSIP_Label_9333b259-87ee-4762-9a8c-7b0d155dd87f_SetDate">
    <vt:lpwstr>2024-03-20T19:34:26Z</vt:lpwstr>
  </property>
  <property fmtid="{D5CDD505-2E9C-101B-9397-08002B2CF9AE}" pid="5" name="MSIP_Label_9333b259-87ee-4762-9a8c-7b0d155dd87f_Method">
    <vt:lpwstr>Privileged</vt:lpwstr>
  </property>
  <property fmtid="{D5CDD505-2E9C-101B-9397-08002B2CF9AE}" pid="6" name="MSIP_Label_9333b259-87ee-4762-9a8c-7b0d155dd87f_Name">
    <vt:lpwstr>_PESSOAL</vt:lpwstr>
  </property>
  <property fmtid="{D5CDD505-2E9C-101B-9397-08002B2CF9AE}" pid="7" name="MSIP_Label_9333b259-87ee-4762-9a8c-7b0d155dd87f_SiteId">
    <vt:lpwstr>ab9bba98-684a-43fb-add8-9c2bebede229</vt:lpwstr>
  </property>
  <property fmtid="{D5CDD505-2E9C-101B-9397-08002B2CF9AE}" pid="8" name="MSIP_Label_9333b259-87ee-4762-9a8c-7b0d155dd87f_ActionId">
    <vt:lpwstr>7eb9e177-a781-4d82-b8d3-f9109958b539</vt:lpwstr>
  </property>
  <property fmtid="{D5CDD505-2E9C-101B-9397-08002B2CF9AE}" pid="9" name="MSIP_Label_9333b259-87ee-4762-9a8c-7b0d155dd87f_ContentBits">
    <vt:lpwstr>1</vt:lpwstr>
  </property>
</Properties>
</file>