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4.DD\101- Закупки\Аналитика\"/>
    </mc:Choice>
  </mc:AlternateContent>
  <xr:revisionPtr revIDLastSave="0" documentId="8_{9DA63A0F-E75B-4106-BA5B-C3702C22BCEE}" xr6:coauthVersionLast="47" xr6:coauthVersionMax="47" xr10:uidLastSave="{00000000-0000-0000-0000-000000000000}"/>
  <bookViews>
    <workbookView xWindow="-120" yWindow="-120" windowWidth="38640" windowHeight="21240" xr2:uid="{2105652F-2399-43D9-B39F-8681412D7944}"/>
  </bookViews>
  <sheets>
    <sheet name="Base" sheetId="1" r:id="rId1"/>
    <sheet name="Stat_new_build" sheetId="5" r:id="rId2"/>
    <sheet name="Stat_kaprem" sheetId="4" r:id="rId3"/>
    <sheet name="Stat_cat" sheetId="6" r:id="rId4"/>
    <sheet name="K_inf" sheetId="2" state="hidden" r:id="rId5"/>
    <sheet name="class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I19" i="1"/>
  <c r="K19" i="1" s="1"/>
  <c r="A18" i="1"/>
  <c r="I18" i="1"/>
  <c r="K18" i="1" s="1"/>
  <c r="A17" i="4"/>
  <c r="C17" i="4"/>
  <c r="A17" i="5"/>
  <c r="C17" i="5"/>
  <c r="A17" i="1"/>
  <c r="I17" i="1"/>
  <c r="K17" i="1" s="1"/>
  <c r="D17" i="4" s="1"/>
  <c r="B6" i="6"/>
  <c r="B3" i="6"/>
  <c r="B4" i="6"/>
  <c r="B5" i="6"/>
  <c r="B2" i="6"/>
  <c r="D20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A7" i="5"/>
  <c r="A6" i="5"/>
  <c r="A5" i="5"/>
  <c r="C4" i="5"/>
  <c r="A4" i="5"/>
  <c r="A3" i="5"/>
  <c r="C2" i="5"/>
  <c r="A2" i="5"/>
  <c r="D20" i="4"/>
  <c r="D25" i="4" s="1"/>
  <c r="D27" i="4" s="1"/>
  <c r="J7" i="1"/>
  <c r="C7" i="4" s="1"/>
  <c r="J6" i="1"/>
  <c r="C6" i="5" s="1"/>
  <c r="J3" i="1"/>
  <c r="C3" i="4" s="1"/>
  <c r="J5" i="1"/>
  <c r="C5" i="5" s="1"/>
  <c r="C2" i="4"/>
  <c r="C4" i="4"/>
  <c r="C8" i="4"/>
  <c r="C9" i="4"/>
  <c r="C10" i="4"/>
  <c r="C11" i="4"/>
  <c r="C12" i="4"/>
  <c r="C13" i="4"/>
  <c r="C14" i="4"/>
  <c r="C15" i="4"/>
  <c r="C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  <c r="A16" i="1"/>
  <c r="I16" i="1"/>
  <c r="K16" i="1" s="1"/>
  <c r="D16" i="4" s="1"/>
  <c r="A15" i="1"/>
  <c r="I15" i="1"/>
  <c r="K15" i="1" s="1"/>
  <c r="D15" i="4" s="1"/>
  <c r="A14" i="1"/>
  <c r="I14" i="1"/>
  <c r="K14" i="1" s="1"/>
  <c r="D14" i="4" s="1"/>
  <c r="A13" i="1"/>
  <c r="I13" i="1"/>
  <c r="K13" i="1" s="1"/>
  <c r="D13" i="4" s="1"/>
  <c r="A12" i="1"/>
  <c r="I12" i="1"/>
  <c r="K12" i="1" s="1"/>
  <c r="D12" i="4" s="1"/>
  <c r="I2" i="1"/>
  <c r="K2" i="1" s="1"/>
  <c r="D2" i="4" s="1"/>
  <c r="I3" i="1"/>
  <c r="B3" i="4" s="1"/>
  <c r="I4" i="1"/>
  <c r="K4" i="1" s="1"/>
  <c r="D4" i="4" s="1"/>
  <c r="I5" i="1"/>
  <c r="B5" i="4" s="1"/>
  <c r="I6" i="1"/>
  <c r="K6" i="1" s="1"/>
  <c r="D6" i="4" s="1"/>
  <c r="I7" i="1"/>
  <c r="B7" i="5" s="1"/>
  <c r="I8" i="1"/>
  <c r="K8" i="1" s="1"/>
  <c r="D8" i="4" s="1"/>
  <c r="I9" i="1"/>
  <c r="K9" i="1" s="1"/>
  <c r="D9" i="4" s="1"/>
  <c r="I10" i="1"/>
  <c r="K10" i="1" s="1"/>
  <c r="D10" i="4" s="1"/>
  <c r="I11" i="1"/>
  <c r="K11" i="1" s="1"/>
  <c r="D11" i="4" s="1"/>
  <c r="A2" i="1"/>
  <c r="A3" i="1"/>
  <c r="A4" i="1"/>
  <c r="A5" i="1"/>
  <c r="A6" i="1"/>
  <c r="A7" i="1"/>
  <c r="A8" i="1"/>
  <c r="A9" i="1"/>
  <c r="A10" i="1"/>
  <c r="A11" i="1"/>
  <c r="D17" i="5" l="1"/>
  <c r="B17" i="5"/>
  <c r="B17" i="4"/>
  <c r="D25" i="5"/>
  <c r="D27" i="5" s="1"/>
  <c r="C6" i="4"/>
  <c r="C3" i="5"/>
  <c r="C5" i="4"/>
  <c r="C7" i="5"/>
  <c r="B3" i="5"/>
  <c r="B6" i="5"/>
  <c r="B9" i="5"/>
  <c r="B12" i="5"/>
  <c r="B15" i="5"/>
  <c r="D6" i="5"/>
  <c r="D9" i="5"/>
  <c r="D12" i="5"/>
  <c r="D15" i="5"/>
  <c r="B4" i="5"/>
  <c r="B10" i="5"/>
  <c r="B13" i="5"/>
  <c r="B16" i="5"/>
  <c r="D4" i="5"/>
  <c r="D10" i="5"/>
  <c r="D13" i="5"/>
  <c r="D16" i="5"/>
  <c r="B2" i="5"/>
  <c r="B5" i="5"/>
  <c r="B8" i="5"/>
  <c r="B11" i="5"/>
  <c r="B14" i="5"/>
  <c r="D2" i="5"/>
  <c r="D8" i="5"/>
  <c r="D11" i="5"/>
  <c r="D14" i="5"/>
  <c r="K7" i="1"/>
  <c r="B14" i="4"/>
  <c r="B2" i="4"/>
  <c r="B13" i="4"/>
  <c r="B12" i="4"/>
  <c r="B11" i="4"/>
  <c r="B10" i="4"/>
  <c r="B9" i="4"/>
  <c r="B8" i="4"/>
  <c r="B7" i="4"/>
  <c r="K5" i="1"/>
  <c r="B6" i="4"/>
  <c r="B16" i="4"/>
  <c r="B4" i="4"/>
  <c r="B15" i="4"/>
  <c r="K3" i="1"/>
  <c r="D5" i="4" l="1"/>
  <c r="D5" i="5"/>
  <c r="D3" i="4"/>
  <c r="D3" i="5"/>
  <c r="D7" i="4"/>
  <c r="D7" i="5"/>
</calcChain>
</file>

<file path=xl/sharedStrings.xml><?xml version="1.0" encoding="utf-8"?>
<sst xmlns="http://schemas.openxmlformats.org/spreadsheetml/2006/main" count="125" uniqueCount="83">
  <si>
    <t>номер</t>
  </si>
  <si>
    <t>ссылка</t>
  </si>
  <si>
    <t>начальная цена</t>
  </si>
  <si>
    <t xml:space="preserve">Оказание услуг по разработке проектно-сметной документации на капитальный ремонт по подготовке помещений к размещению медицинского оборудования для позитронно-эмиссионной томографии </t>
  </si>
  <si>
    <t>объект закупки</t>
  </si>
  <si>
    <t>Заказчик</t>
  </si>
  <si>
    <t xml:space="preserve">ГОСУДАРСТВЕННОЕ КАЗЕННОЕ УЧРЕЖДЕНИЕ ЧЕЛЯБИНСКОЙ ОБЛАСТИ "ЦЕНТР ОРГАНИЗАЦИИ ЗАКУПОК В СФЕРЕ ЗДРАВООХРАНЕНИЯ" </t>
  </si>
  <si>
    <t>https://zakupki.gov.ru/epz/order/notice/ea44/view/common-info.html?regNumber=0869200000220000425</t>
  </si>
  <si>
    <t>Год</t>
  </si>
  <si>
    <t>Примечание</t>
  </si>
  <si>
    <t xml:space="preserve">Разработка разделов проектно-сметной документации «Капитальный ремонт помещений Центра позитронно-эмиссионной томографии (Циклотронно-радиохимического комплекса) Центра ядерной медицины ФГБУ ФСНКЦ ФМБА России» </t>
  </si>
  <si>
    <t xml:space="preserve">ФЕДЕРАЛЬНОЕ ГОСУДАРСТВЕННОЕ БЮДЖЕТНОЕ УЧРЕЖДЕНИЕ "ФЕДЕРАЛЬНЫЙ СИБИРСКИЙ НАУЧНО-КЛИНИЧЕСКИЙ ЦЕНТР ФЕДЕРАЛЬНОГО МЕДИКО-БИОЛОГИЧЕСКОГО АГЕНТСТВА" </t>
  </si>
  <si>
    <t>https://zakupki.gov.ru/223/purchase/public/purchase/info/common-info.html?regNumber=32008880722</t>
  </si>
  <si>
    <t>Выполнение работ по разработке проектной документации, проведению государственной экспертизы проектной документации по объекту использования атомной энергии (ОИАЭ) IV категории «Капитальный ремонт лабораторного корпуса по адресу г. Екатеринбург, ул.С.Ковалевской, д.22/ул. Академическая, д.20 Литер К  (радиохимический блок: 2-й этаж – III класс работ, хранилище РВ и РАО (подвал) – II класс работ; фасад здания)»</t>
  </si>
  <si>
    <t xml:space="preserve">ФЕДЕРАЛЬНОЕ ГОСУДАРСТВЕННОЕ БЮДЖЕТНОЕ УЧРЕЖДЕНИЕ НАУКИ ИНСТИТУТ ВЫСОКОТЕМПЕРАТУРНОЙ ЭЛЕКТРОХИМИИ УРАЛЬСКОГО ОТДЕЛЕНИЯ РОССИЙСКОЙ АКАДЕМИИ НАУК </t>
  </si>
  <si>
    <t>https://zakupki.gov.ru/epz/order/notice/ea44/view/common-info.html?regNumber=0362100027621000008</t>
  </si>
  <si>
    <t xml:space="preserve">Право заключения договора на Разработка проектной и рабочей документации стационарной автоматизированной системы контроля радиационной безопасности (системы КРБ) радиохимического корпуса № 6 производственной площадки №3 (г. Гатчина, мкр. Орлова Роща, ПИЯФ) АО «Радиевый институт им. В.Г. Хлопина» </t>
  </si>
  <si>
    <t>АКЦИОНЕРНОЕ ОБЩЕСТВО "РАДИЕВЫЙ ИНСТИТУТ ИМЕНИ В.Г. ХЛОПИНА" (Заказчик)</t>
  </si>
  <si>
    <t>https://zakupki.gov.ru/223/purchase/public/purchase/info/common-info.html?regNumber=32110575070</t>
  </si>
  <si>
    <t>Разработка проектной документации для помещений Лаборатории радиохимии ГЕОХИ РАН</t>
  </si>
  <si>
    <t xml:space="preserve">ФЕДЕРАЛЬНОЕ ГОСУДАРСТВЕННОЕ БЮДЖЕТНОЕ УЧРЕЖДЕНИЕ НАУКИ ОРДЕНА ЛЕНИНА И ОРДЕНА ОКТЯБРЬСКОЙ РЕВОЛЮЦИИ ИНСТИТУТ ГЕОХИМИИ И АНАЛИТИЧЕСКОЙ ХИМИИ ИМ. В.И. ВЕРНАДСКОГО РОССИЙСКОЙ АКАДЕМИИ НАУК </t>
  </si>
  <si>
    <t>https://zakupki.gov.ru/epz/order/notice/ea44/view/common-info.html?regNumber=0373100012220000007</t>
  </si>
  <si>
    <t>номер приведен</t>
  </si>
  <si>
    <t xml:space="preserve">Выполнение работ по разработке проектной документации «Техническое перевооружение циклотронно-радиохимического комплекса» для нужд ФГБУ ФСНКЦ ФМБА России </t>
  </si>
  <si>
    <t>https://zakupki.gov.ru/223/purchase/public/purchase/info/common-info.html?regNumber=31908421525</t>
  </si>
  <si>
    <t xml:space="preserve">Право заключения договора на оказание услуг по разработке проектной документации по объекту «Модернизация радиохимического корпуса № 6 «АО «Радиевый институт им. В.Г. Хлопина» </t>
  </si>
  <si>
    <t xml:space="preserve">АКЦИОНЕРНОЕ ОБЩЕСТВО "РАДИЕВЫЙ ИНСТИТУТ ИМЕНИ В.Г. ХЛОПИНА" </t>
  </si>
  <si>
    <t>https://zakupki.gov.ru/223/purchase/public/purchase/info/common-info.html?regNumber=31704981555</t>
  </si>
  <si>
    <t xml:space="preserve">Право заключения договора на выполнение работ по корректировке проектной документации "Строительство спецсетей радиохимического завода ФГУП "ПО "Маяк" </t>
  </si>
  <si>
    <t>ФЕДЕРАЛЬНОЕ ГОСУДАРСТВЕННОЕ УНИТАРНОЕ ПРЕДПРИЯТИЕ "ПРОИЗВОДСТВЕННОЕ ОБЪЕДИНЕНИЕ "МАЯК"</t>
  </si>
  <si>
    <t>https://zakupki.gov.ru/223/purchase/public/purchase/info/common-info.html?regNumber=31502251597</t>
  </si>
  <si>
    <t xml:space="preserve">Право заключения договора на Оказание услуг по корректировке проектной и рабочей документации «ОАО «СХК» Реконструкция площадки 13 (радиохимический завод) открытого акционерного общества «Сибирским химический комбинат» (г. Северск, Томская обл.) 1пусковой комплекс. </t>
  </si>
  <si>
    <t xml:space="preserve">АКЦИОНЕРНОЕ ОБЩЕСТВО "СИБИРСКИЙ ХИМИЧЕСКИЙ КОМБИНАТ" </t>
  </si>
  <si>
    <t>https://zakupki.gov.ru/223/purchase/public/purchase/info/common-info.html?regNumber=31300570616</t>
  </si>
  <si>
    <t>Цена приведенная</t>
  </si>
  <si>
    <t>Площадь</t>
  </si>
  <si>
    <t>Вид работ</t>
  </si>
  <si>
    <t>капитальный ремонт</t>
  </si>
  <si>
    <t>реконструкция</t>
  </si>
  <si>
    <t>текущий ремонт / перервооружение / размещение</t>
  </si>
  <si>
    <t>новое строительство</t>
  </si>
  <si>
    <t>корректировка</t>
  </si>
  <si>
    <t>0373 1000 5062 100 00 01</t>
  </si>
  <si>
    <t>Выполнение проектно-изыскательских работ по объекту капитально строительства «Реконструкция части здания клинического лечебного корпуса для создания Научно-клинического нейроонкологического центра с устройством подземного перехода в ПЭТ-центр»</t>
  </si>
  <si>
    <t>Общая площадь – 2 698,4 кв.м.
Из них:
Зона ПЭТ-КТ – 829 кв.м.
Клиническая зона – 856 кв.м.
Лабораторная зона – 984 кв.м.</t>
  </si>
  <si>
    <t>Выполнение проектных работ «Капитальный ремонт здания по адресу: г. Москва, ул. Нижняя Первомайская д.65 для размещения отделения радиотерапии».г. Москва</t>
  </si>
  <si>
    <t>За квадрат</t>
  </si>
  <si>
    <t>ПСД радиохимической лаборатории МРНЦ им. Цыба г. Обнинск</t>
  </si>
  <si>
    <t>Выполнение проектных и изыскательских работ для объекта капитального строительства: «Строительство здания отделения лучевой терапии», расположенного на земельном участке, по адресу: г. Москва, Бол. Пироговская ул., вл. 6, стр. 1, 2, Абрикосовский пер., вл. 1, стр. 1, 2 для нужд ФГАОУ ВО Первый МГМУ им. И.М. Сеченова Минздрава России (Сеченовский Университет)</t>
  </si>
  <si>
    <t>Оказание услуг по корректировке проектно-сметной документации строительства объекта капитального строительства "Центр доклинических исследований"» ФГБУ «НМИЦ радиологии» Минздрава России с получением положительного заключения государственной экспертизы</t>
  </si>
  <si>
    <t>_0365100010414000147</t>
  </si>
  <si>
    <t>Выполнение работ по разработке проекта «Обследовательские и проектные работы для проведения капитального ремонта комплекса помещений корпуса № 11 ТПУ для установки оборудования на основе циклотрона и ускорителей электронов для проведения НИОКР и получения радиоизотопов и радиофармацевтических препаратов медицинского назначения» для ТПУ.</t>
  </si>
  <si>
    <t>https://zakupki.gov.ru/epz/order/notice/ea44/view/common-info.html?regNumber=0365100010414000147</t>
  </si>
  <si>
    <t>Цена</t>
  </si>
  <si>
    <t>Удельная стоимость</t>
  </si>
  <si>
    <t>Проектируемая площадь</t>
  </si>
  <si>
    <t>Прогнозируемая цена</t>
  </si>
  <si>
    <t>это наружние сети</t>
  </si>
  <si>
    <t>Коэфициенты уравнения</t>
  </si>
  <si>
    <t xml:space="preserve">Множитель = </t>
  </si>
  <si>
    <t>Показатель степени =</t>
  </si>
  <si>
    <t>Очистка отходов производства радиоактивных жлементов, огромные площади с санитарными зонами, не понятно как к нам применить</t>
  </si>
  <si>
    <t>Площади не ясны из документации</t>
  </si>
  <si>
    <t>Кол-во</t>
  </si>
  <si>
    <t>_0372100049620001991</t>
  </si>
  <si>
    <t xml:space="preserve">Разработка проектно-сметной документации по объекту капитального строительства: «Строительство Медицинского радиологического центра, г. Санкт – Петербург, ул. Заповедная, уч. 1» федерального государственного бюджетного учреждения «Национальный медицинский исследовательский центр имени В.А. Алмазова» Министерства здравоохранения Российской Федерации </t>
  </si>
  <si>
    <t xml:space="preserve">ФЕДЕРАЛЬНОЕ ГОСУДАРСТВЕННОЕ БЮДЖЕТНОЕ УЧРЕЖДЕНИЕ "НАЦИОНАЛЬНЫЙ МЕДИЦИНСКИЙ ИССЛЕДОВАТЕЛЬСКИЙ ЦЕНТР ИМЕНИ В.А. АЛМАЗОВА" МИНИСТЕРСТВА ЗДРАВООХРАНЕНИЯ РОССИЙСКОЙ ФЕДЕРАЦИИ </t>
  </si>
  <si>
    <t>https://zakupki.gov.ru/epz/order/notice/ea44/view/common-info.html?regNumber=0372100049620001991</t>
  </si>
  <si>
    <t>Зона производства - 1500 кв.м.
Зона лучевой терапии - 2470 кв.м.
Зона радиоизотопной диагносткии - 1410 кв.м.
Зона радионуклидной терапии - 2550 кв.м.</t>
  </si>
  <si>
    <t xml:space="preserve"> - научно техническое сопровождение</t>
  </si>
  <si>
    <t xml:space="preserve"> - оплата госэкспертизы</t>
  </si>
  <si>
    <t xml:space="preserve"> - разработка концепции</t>
  </si>
  <si>
    <t>Кроме, стоимость по госзакупкам не включает</t>
  </si>
  <si>
    <t>ИТОГО стоимость проектирования</t>
  </si>
  <si>
    <t>Разработка проектно-сметной документации по строительству 1 и 2 этапов Научно-клинического нейрохирургического комплекса ФГБУ "СЗФМИЦ им. В.В. Алмазова" Минздрава России по адресу: г. Санкт-Петербург, Заповедная улица, участок 1 (напротив дома 41, литер А по Заповедной улице)</t>
  </si>
  <si>
    <t>_0372100049616000585</t>
  </si>
  <si>
    <t xml:space="preserve">ФЕДЕРАЛЬНОЕ ГОСУДАРСТВЕННОЕ БЮДЖЕТНОЕ УЧРЕЖДЕНИЕ "СЕВЕРО-ЗАПАДНЫЙ ФЕДЕРАЛЬНЫЙ МЕДИЦИНСКИЙ ИССЛЕДОВАТЕЛЬСКИЙ ЦЕНТР ИМЕНИ В.А. АЛМАЗОВА" МИНИСТЕРСТВА ЗДРАВООХРАНЕНИЯ РОССИЙСКОЙ ФЕДЕРАЦИИ </t>
  </si>
  <si>
    <t>https://zakupki.gov.ru/epz/order/notice/oku44/view/common-info.html?regNumber=0372100049616000585#</t>
  </si>
  <si>
    <t>•	Лечебно-диагностический корпус, 35 500 м.кв. 
•	Лечебно-реабилитационный комплекс  21 300 м.кв. 
•	Патологоанатомический корпус 1 700 м.кв.
•	Корпус хозяйственного и технического назначения
2 000 м.кв.
•	паркинг, 3 500 м.кв.
•	Вспомогательные здания и сооружения</t>
  </si>
  <si>
    <t>_0372100049618001527</t>
  </si>
  <si>
    <t>Разработка проектно-сметной документации на строительство Научно-образовательного комплекса федерального государственного бюджетного учреждения «Национальный медицинский исследовательский центр имени В.А. Алмазова» Министерства здравоохранения Российской Федерации» по адресу: г. Санкт-Петербург, Коломяжский пр., уч.1, (юго-восточнее пересечения с аллеей Котельникова)</t>
  </si>
  <si>
    <t>https://zakupki.gov.ru/epz/order/notice/ok44/view/documents.html?regNumber=0372100049618001527</t>
  </si>
  <si>
    <t>•	Научно-образовательный корпус -40 000 м.кв. 
•	Общежитие - 17 000 м.кв. 
•	Административно-бытовой корпус - 8 000м.кв.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</si>
</sst>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&quot;р.&quot;_-;\-* #,##0.00&quot;р.&quot;_-;_-* &quot;-&quot;??&quot;р.&quot;_-;_-@_-"/>
    <numFmt numFmtId="164" formatCode="_-* #,##0.00\ [$₽-419]_-;\-* #,##0.00\ [$₽-419]_-;_-* &quot;-&quot;??\ [$₽-419]_-;_-@_-"/>
  </numFmts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sz val="11"/>
      <color theme="1"/>
      <name val="ISOCPEUR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44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1" applyAlignment="1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5" fillId="2" borderId="0" xfId="2" applyFont="1"/>
    <xf numFmtId="0" fontId="5" fillId="3" borderId="0" xfId="3" applyFont="1"/>
    <xf numFmtId="164" fontId="5" fillId="3" borderId="0" xfId="3" applyNumberFormat="1" applyFont="1"/>
    <xf numFmtId="0" fontId="0" fillId="0" borderId="0" xfId="0" applyAlignment="1">
      <alignment horizontal="center"/>
    </xf>
    <xf numFmtId="0" fontId="8" fillId="0" borderId="0" xfId="0" applyFont="1"/>
    <xf numFmtId="0" fontId="5" fillId="4" borderId="0" xfId="3" applyFont="1" applyFill="1"/>
    <xf numFmtId="44" fontId="5" fillId="4" borderId="0" xfId="4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2" borderId="0" xfId="2" applyFont="1"/>
  </cellXfs>
  <cellStyles count="5">
    <cellStyle name="Акцент3" xfId="2" builtinId="37"/>
    <cellStyle name="Акцент5" xfId="3" builtinId="45"/>
    <cellStyle name="Гиперссылка" xfId="1" builtinId="8"/>
    <cellStyle name="Денежный" xfId="4" builtinId="4"/>
    <cellStyle name="Обычный" xfId="0" builtinId="0"/>
  </cellStyles>
  <dxfs count="17">
    <dxf>
      <alignment horizontal="center" vertical="bottom" textRotation="0" wrapText="0" indent="0" justifyLastLine="0" shrinkToFit="0" readingOrder="0"/>
    </dxf>
    <dxf>
      <numFmt numFmtId="164" formatCode="_-* #,##0.00\ [$₽-419]_-;\-* #,##0.00\ [$₽-419]_-;_-* &quot;-&quot;??\ [$₽-419]_-;_-@_-"/>
    </dxf>
    <dxf>
      <numFmt numFmtId="2" formatCode="0.00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numFmt numFmtId="2" formatCode="0.00"/>
    </dxf>
    <dxf>
      <numFmt numFmtId="164" formatCode="_-* #,##0.00\ [$₽-419]_-;\-* #,##0.00\ [$₽-419]_-;_-* &quot;-&quot;??\ [$₽-419]_-;_-@_-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  <numFmt numFmtId="164" formatCode="_-* #,##0.00\ [$₽-419]_-;\-* #,##0.00\ [$₽-419]_-;_-* &quot;-&quot;??\ [$₽-419]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  <numFmt numFmtId="164" formatCode="_-* #,##0.00\ [$₽-419]_-;\-* #,##0.00\ [$₽-419]_-;_-* &quot;-&quot;??\ [$₽-419]_-;_-@_-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charset val="204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удельной стоимости за квадратный метр от площади объекта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86908322587503E-2"/>
          <c:y val="0.10325217207951948"/>
          <c:w val="0.89552365346741347"/>
          <c:h val="0.827517467646332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748783029019418E-2"/>
                  <c:y val="4.3998193407642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Stat_new_build!$C$2:$C$17</c:f>
              <c:numCache>
                <c:formatCode>0.00</c:formatCode>
                <c:ptCount val="4"/>
                <c:pt idx="0">
                  <c:v>231.29999999999998</c:v>
                </c:pt>
                <c:pt idx="1">
                  <c:v>101</c:v>
                </c:pt>
                <c:pt idx="2">
                  <c:v>2900</c:v>
                </c:pt>
                <c:pt idx="3">
                  <c:v>8500</c:v>
                </c:pt>
              </c:numCache>
            </c:numRef>
          </c:xVal>
          <c:yVal>
            <c:numRef>
              <c:f>Stat_new_build!$D$2:$D$17</c:f>
              <c:numCache>
                <c:formatCode>_-* #\ ##0.00\ [$₽-419]_-;\-* #\ ##0.00\ [$₽-419]_-;_-* "-"??\ [$₽-419]_-;_-@_-</c:formatCode>
                <c:ptCount val="4"/>
                <c:pt idx="0">
                  <c:v>13694.737775616084</c:v>
                </c:pt>
                <c:pt idx="1">
                  <c:v>31065.346534653465</c:v>
                </c:pt>
                <c:pt idx="2">
                  <c:v>16095.236648275863</c:v>
                </c:pt>
                <c:pt idx="3">
                  <c:v>11752.941176470589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8-48BF-90A4-1BF876EF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43167"/>
        <c:axId val="1019325695"/>
      </c:scatterChart>
      <c:valAx>
        <c:axId val="10193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325695"/>
        <c:crosses val="autoZero"/>
        <c:crossBetween val="midCat"/>
      </c:valAx>
      <c:valAx>
        <c:axId val="1019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3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удельной стоимости за квадратный метр от площади объекта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86908322587503E-2"/>
          <c:y val="0.10325217207951948"/>
          <c:w val="0.89552365346741347"/>
          <c:h val="0.827517467646332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748783029019418E-2"/>
                  <c:y val="4.3998193407642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Stat_kaprem!$C$2:$C$17</c:f>
              <c:numCache>
                <c:formatCode>0.00</c:formatCode>
                <c:ptCount val="8"/>
                <c:pt idx="0">
                  <c:v>100</c:v>
                </c:pt>
                <c:pt idx="1">
                  <c:v>900</c:v>
                </c:pt>
                <c:pt idx="2">
                  <c:v>2768</c:v>
                </c:pt>
                <c:pt idx="3">
                  <c:v>9000</c:v>
                </c:pt>
                <c:pt idx="4">
                  <c:v>450</c:v>
                </c:pt>
                <c:pt idx="5">
                  <c:v>1000</c:v>
                </c:pt>
                <c:pt idx="6">
                  <c:v>2900</c:v>
                </c:pt>
                <c:pt idx="7">
                  <c:v>2700</c:v>
                </c:pt>
              </c:numCache>
            </c:numRef>
          </c:xVal>
          <c:yVal>
            <c:numRef>
              <c:f>Stat_kaprem!$D$2:$D$17</c:f>
              <c:numCache>
                <c:formatCode>_-* #\ ##0.00\ [$₽-419]_-;\-* #\ ##0.00\ [$₽-419]_-;_-* "-"??\ [$₽-419]_-;_-@_-</c:formatCode>
                <c:ptCount val="8"/>
                <c:pt idx="0">
                  <c:v>23828.000037000002</c:v>
                </c:pt>
                <c:pt idx="1">
                  <c:v>5006.0913666666675</c:v>
                </c:pt>
                <c:pt idx="2">
                  <c:v>2898.2778106936416</c:v>
                </c:pt>
                <c:pt idx="3">
                  <c:v>1147.2791574444443</c:v>
                </c:pt>
                <c:pt idx="4">
                  <c:v>9430</c:v>
                </c:pt>
                <c:pt idx="5">
                  <c:v>6278.3789007000005</c:v>
                </c:pt>
                <c:pt idx="6">
                  <c:v>19206.896551724138</c:v>
                </c:pt>
                <c:pt idx="7">
                  <c:v>9029.6296296296296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4C81-827C-B720351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43167"/>
        <c:axId val="1019325695"/>
      </c:scatterChart>
      <c:valAx>
        <c:axId val="10193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325695"/>
        <c:crosses val="autoZero"/>
        <c:crossBetween val="midCat"/>
      </c:valAx>
      <c:valAx>
        <c:axId val="1019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3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49697</xdr:colOff>
      <xdr:row>0</xdr:row>
      <xdr:rowOff>57978</xdr:rowOff>
    </xdr:from>
    <xdr:to>
      <xdr:col>15</xdr:col>
      <xdr:colOff>563218</xdr:colOff>
      <xdr:row>29</xdr:row>
      <xdr:rowOff>91109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E34A70-F7E5-419B-BB07-67E318272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49697</xdr:colOff>
      <xdr:row>0</xdr:row>
      <xdr:rowOff>57979</xdr:rowOff>
    </xdr:from>
    <xdr:to>
      <xdr:col>16</xdr:col>
      <xdr:colOff>82826</xdr:colOff>
      <xdr:row>26</xdr:row>
      <xdr:rowOff>149087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556F13-8E32-4A74-A6CC-3895CD52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913A2-9328-4DC0-8FF6-EE153A49266B}" name="Таблица1" displayName="Таблица1" ref="A1:L19" totalsRowShown="0">
  <autoFilter ref="A1:L19" xr:uid="{B73913A2-9328-4DC0-8FF6-EE153A49266B}"/>
  <tableColumns count="12">
    <tableColumn id="9" xr3:uid="{B071BFE3-B586-492C-B941-C94624F940F0}" name="номер приведен" dataDxfId="16">
      <calculatedColumnFormula>TEXT(TRIM(Таблица1[[#This Row],[номер]]), "### ###")</calculatedColumnFormula>
    </tableColumn>
    <tableColumn id="1" xr3:uid="{069316E8-5164-45D1-89B6-2071B8A01D7F}" name="номер"/>
    <tableColumn id="2" xr3:uid="{D3DA0228-A78A-400C-99E6-6581880E567C}" name="объект закупки" dataDxfId="15"/>
    <tableColumn id="15" xr3:uid="{30CFD2DA-8807-4AF2-884F-6151D382BE0D}" name="Вид работ" dataDxfId="14"/>
    <tableColumn id="3" xr3:uid="{9BCA05F8-237B-4A36-891B-CE0D28699554}" name="Заказчик" dataDxfId="13"/>
    <tableColumn id="7" xr3:uid="{4E85C853-BB63-480B-9D9F-5C0C338E82B1}" name="Год" dataDxfId="12"/>
    <tableColumn id="4" xr3:uid="{40B96076-9AD1-4BC6-8534-37DC66B01512}" name="ссылка" dataDxfId="11"/>
    <tableColumn id="5" xr3:uid="{E9CF8921-D9DD-4BF9-86D4-DB364781EDF0}" name="начальная цена"/>
    <tableColumn id="6" xr3:uid="{0DBA7FD1-5388-4436-B7E6-947CAC3D4B62}" name="Цена приведенная" dataDxfId="10">
      <calculatedColumnFormula>VALUE(TRIM(H2))*_xlfn.XLOOKUP(Таблица1[[#This Row],[Год]],K_inf!$A$1:$A$15,K_inf!$B$1:$B$15)</calculatedColumnFormula>
    </tableColumn>
    <tableColumn id="13" xr3:uid="{98321BD3-CE84-469E-BA94-7DEA5CD1A230}" name="Площадь" dataDxfId="9"/>
    <tableColumn id="16" xr3:uid="{F2DCE92B-530F-4FB4-8BDD-BB0139ECD6F4}" name="За квадрат" dataDxfId="8">
      <calculatedColumnFormula>Таблица1[[#This Row],[Цена приведенная]]/Таблица1[[#This Row],[Площадь]]</calculatedColumnFormula>
    </tableColumn>
    <tableColumn id="8" xr3:uid="{A073C241-5808-45B0-8731-0D4424E73C0E}" name="Примечание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293CE4-2BB0-45E0-94A5-EEEFFD4E4200}" name="Таблица25" displayName="Таблица25" ref="A1:D17" totalsRowShown="0">
  <autoFilter ref="A1:D17" xr:uid="{617BE692-4B8A-417E-A78D-02E651C4D328}">
    <filterColumn colId="0">
      <filters>
        <filter val="новое строительство"/>
      </filters>
    </filterColumn>
  </autoFilter>
  <tableColumns count="4">
    <tableColumn id="1" xr3:uid="{3E8F982A-7017-4FCD-A76D-F3D3D8D13497}" name="Вид работ">
      <calculatedColumnFormula>Таблица1[[#This Row],[Вид работ]]</calculatedColumnFormula>
    </tableColumn>
    <tableColumn id="2" xr3:uid="{B5EABC41-9E43-4737-982B-70DE4B230F14}" name="Цена" dataDxfId="6">
      <calculatedColumnFormula>Таблица1[[#This Row],[Цена приведенная]]</calculatedColumnFormula>
    </tableColumn>
    <tableColumn id="3" xr3:uid="{A7412351-B3B5-43CA-8D77-2F5FD91BD59F}" name="Площадь" dataDxfId="5">
      <calculatedColumnFormula>Таблица1[[#This Row],[Площадь]]</calculatedColumnFormula>
    </tableColumn>
    <tableColumn id="4" xr3:uid="{1ADD652D-0B1D-4BEE-BEA2-54CF10816437}" name="Удельная стоимость" dataDxfId="4">
      <calculatedColumnFormula>Таблица1[[#This Row],[За квадрат]]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BE692-4B8A-417E-A78D-02E651C4D328}" name="Таблица2" displayName="Таблица2" ref="A1:D17" totalsRowShown="0">
  <autoFilter ref="A1:D17" xr:uid="{617BE692-4B8A-417E-A78D-02E651C4D328}">
    <filterColumn colId="0">
      <filters>
        <filter val="капитальный ремонт"/>
        <filter val="реконструкция"/>
        <filter val="текущий ремонт / перервооружение / размещение"/>
      </filters>
    </filterColumn>
    <filterColumn colId="3">
      <filters>
        <filter val="1 147,28 ₽"/>
        <filter val="13 694,74 ₽"/>
        <filter val="16 095,24 ₽"/>
        <filter val="19 206,90 ₽"/>
        <filter val="2 828,28 ₽"/>
        <filter val="2 898,28 ₽"/>
        <filter val="23 828,00 ₽"/>
        <filter val="31 065,35 ₽"/>
        <filter val="5 006,09 ₽"/>
        <filter val="6 278,38 ₽"/>
        <filter val="9 029,63 ₽"/>
        <filter val="9 430,00 ₽"/>
      </filters>
    </filterColumn>
  </autoFilter>
  <tableColumns count="4">
    <tableColumn id="1" xr3:uid="{E531BACF-CBE1-496A-A71C-4BB2D7FB3716}" name="Вид работ"/>
    <tableColumn id="2" xr3:uid="{5494BFE8-BA0F-4A0E-8340-D53F81D18E0A}" name="Цена" dataDxfId="3">
      <calculatedColumnFormula>Таблица1[[#This Row],[Цена приведенная]]</calculatedColumnFormula>
    </tableColumn>
    <tableColumn id="3" xr3:uid="{8179BF46-CADA-47D8-A874-84293CDA9ACF}" name="Площадь" dataDxfId="2">
      <calculatedColumnFormula>Таблица1[[#This Row],[Площадь]]</calculatedColumnFormula>
    </tableColumn>
    <tableColumn id="4" xr3:uid="{DF1DA38E-FCAA-4D9F-8728-FC2717F25F3F}" name="Удельная стоимость" dataDxfId="1">
      <calculatedColumnFormula>Таблица1[[#This Row],[За квадрат]]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BD6C57-5658-479B-A2DA-8807BDB14621}" name="Таблица6" displayName="Таблица6" ref="A1:B6" totalsRowShown="0">
  <autoFilter ref="A1:B6" xr:uid="{75BD6C57-5658-479B-A2DA-8807BDB14621}"/>
  <tableColumns count="2">
    <tableColumn id="1" xr3:uid="{8A326D75-FB59-4F85-9432-281AC5B9008C}" name="Вид работ"/>
    <tableColumn id="2" xr3:uid="{DA880DF5-FC43-4ACB-85D4-8F3C64218FFF}" name="Кол-во" dataDxfId="0">
      <calculatedColumnFormula>COUNTIFS(Таблица1[Вид работ],A2)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kupki.gov.ru/223/purchase/public/purchase/info/common-info.html?regNumber=31502251597" TargetMode="External"/><Relationship Id="rId13" Type="http://schemas.openxmlformats.org/officeDocument/2006/relationships/hyperlink" Target="https://zakupki.gov.ru/epz/order/notice/oku44/view/common-info.html?regNumber=0372100049616000585" TargetMode="External"/><Relationship Id="rId3" Type="http://schemas.openxmlformats.org/officeDocument/2006/relationships/hyperlink" Target="https://zakupki.gov.ru/epz/order/notice/ea44/view/common-info.html?regNumber=0362100027621000008" TargetMode="External"/><Relationship Id="rId7" Type="http://schemas.openxmlformats.org/officeDocument/2006/relationships/hyperlink" Target="https://zakupki.gov.ru/223/purchase/public/purchase/info/common-info.html?regNumber=31704981555" TargetMode="External"/><Relationship Id="rId12" Type="http://schemas.openxmlformats.org/officeDocument/2006/relationships/hyperlink" Target="https://zakupki.gov.ru/epz/order/notice/ea44/view/common-info.html?regNumber=0372100049620001991" TargetMode="External"/><Relationship Id="rId2" Type="http://schemas.openxmlformats.org/officeDocument/2006/relationships/hyperlink" Target="https://zakupki.gov.ru/223/purchase/public/purchase/info/common-info.html?regNumber=32008880722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zakupki.gov.ru/epz/order/notice/ea44/view/common-info.html?regNumber=0869200000220000425" TargetMode="External"/><Relationship Id="rId6" Type="http://schemas.openxmlformats.org/officeDocument/2006/relationships/hyperlink" Target="https://zakupki.gov.ru/223/purchase/public/purchase/info/common-info.html?regNumber=31908421525" TargetMode="External"/><Relationship Id="rId11" Type="http://schemas.openxmlformats.org/officeDocument/2006/relationships/hyperlink" Target="https://zakupki.gov.ru/epz/organization/view/info.html?organizationCode=03721000496" TargetMode="External"/><Relationship Id="rId5" Type="http://schemas.openxmlformats.org/officeDocument/2006/relationships/hyperlink" Target="https://zakupki.gov.ru/epz/order/notice/ea44/view/common-info.html?regNumber=037310001222000000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zakupki.gov.ru/epz/order/notice/ea44/view/common-info.html?regNumber=0365100010414000147" TargetMode="External"/><Relationship Id="rId4" Type="http://schemas.openxmlformats.org/officeDocument/2006/relationships/hyperlink" Target="https://zakupki.gov.ru/223/purchase/public/purchase/info/common-info.html?regNumber=32110575070" TargetMode="External"/><Relationship Id="rId9" Type="http://schemas.openxmlformats.org/officeDocument/2006/relationships/hyperlink" Target="https://zakupki.gov.ru/223/purchase/public/purchase/info/common-info.html?regNumber=31300570616" TargetMode="External"/><Relationship Id="rId14" Type="http://schemas.openxmlformats.org/officeDocument/2006/relationships/hyperlink" Target="https://zakupki.gov.ru/epz/order/notice/ok44/view/documents.html?regNumber=03721000496180015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760D-0C23-495B-BF5D-B6BCB3F9043D}">
  <dimension ref="A1:L19"/>
  <sheetViews>
    <sheetView tabSelected="1" topLeftCell="A11" workbookViewId="0">
      <selection activeCell="L19" sqref="L19"/>
    </sheetView>
  </sheetViews>
  <sheetFormatPr defaultRowHeight="15" x14ac:dyDescent="0.25"/>
  <cols>
    <col min="1" max="1" width="21.5703125" style="5" customWidth="1"/>
    <col min="2" max="2" width="22.5703125" bestFit="1" customWidth="1"/>
    <col min="3" max="3" width="93.140625" customWidth="1"/>
    <col min="4" max="4" width="36.5703125" style="5" customWidth="1"/>
    <col min="5" max="5" width="79.28515625" style="1" customWidth="1"/>
    <col min="6" max="6" width="13.5703125" style="3" customWidth="1"/>
    <col min="7" max="7" width="7" style="1" customWidth="1"/>
    <col min="8" max="8" width="18.5703125" customWidth="1"/>
    <col min="9" max="9" width="24" style="13" customWidth="1"/>
    <col min="10" max="10" width="24" style="18" customWidth="1"/>
    <col min="11" max="11" width="34.85546875" style="7" customWidth="1"/>
    <col min="12" max="12" width="35.7109375" customWidth="1"/>
  </cols>
  <sheetData>
    <row r="1" spans="1:12" x14ac:dyDescent="0.25">
      <c r="A1" s="5" t="s">
        <v>22</v>
      </c>
      <c r="B1" t="s">
        <v>0</v>
      </c>
      <c r="C1" s="1" t="s">
        <v>4</v>
      </c>
      <c r="D1" s="15" t="s">
        <v>36</v>
      </c>
      <c r="E1" s="1" t="s">
        <v>5</v>
      </c>
      <c r="F1" s="3" t="s">
        <v>8</v>
      </c>
      <c r="G1" t="s">
        <v>1</v>
      </c>
      <c r="H1" t="s">
        <v>2</v>
      </c>
      <c r="I1" s="13" t="s">
        <v>34</v>
      </c>
      <c r="J1" s="18" t="s">
        <v>35</v>
      </c>
      <c r="K1" s="14" t="s">
        <v>46</v>
      </c>
      <c r="L1" s="5" t="s">
        <v>9</v>
      </c>
    </row>
    <row r="2" spans="1:12" ht="45" x14ac:dyDescent="0.25">
      <c r="A2" s="5" t="str">
        <f>TEXT(TRIM(Таблица1[[#This Row],[номер]]), "### ###")</f>
        <v>869 200 000 220 000 000</v>
      </c>
      <c r="B2">
        <v>8.6920000022E+17</v>
      </c>
      <c r="C2" s="1" t="s">
        <v>3</v>
      </c>
      <c r="D2" s="15" t="s">
        <v>37</v>
      </c>
      <c r="E2" s="1" t="s">
        <v>6</v>
      </c>
      <c r="F2" s="3">
        <v>2020</v>
      </c>
      <c r="G2" s="4" t="s">
        <v>7</v>
      </c>
      <c r="H2" s="2">
        <v>2146666.67</v>
      </c>
      <c r="I2" s="14">
        <f>VALUE(TRIM(H2))*_xlfn.XLOOKUP(Таблица1[[#This Row],[Год]],K_inf!$A$1:$A$15,K_inf!$B$1:$B$15)</f>
        <v>2382800.0037000002</v>
      </c>
      <c r="J2" s="18">
        <v>100</v>
      </c>
      <c r="K2" s="14">
        <f>Таблица1[[#This Row],[Цена приведенная]]/Таблица1[[#This Row],[Площадь]]</f>
        <v>23828.000037000002</v>
      </c>
      <c r="L2" s="5"/>
    </row>
    <row r="3" spans="1:12" ht="45" x14ac:dyDescent="0.25">
      <c r="A3" s="5" t="str">
        <f>TEXT(TRIM(Таблица1[[#This Row],[номер]]), "### ###")</f>
        <v>32 008 880 722</v>
      </c>
      <c r="B3">
        <v>32008880722</v>
      </c>
      <c r="C3" s="1" t="s">
        <v>10</v>
      </c>
      <c r="D3" s="15" t="s">
        <v>37</v>
      </c>
      <c r="E3" s="1" t="s">
        <v>11</v>
      </c>
      <c r="F3" s="3">
        <v>2020</v>
      </c>
      <c r="G3" s="4" t="s">
        <v>12</v>
      </c>
      <c r="H3" s="2">
        <v>4058993</v>
      </c>
      <c r="I3" s="14">
        <f>VALUE(TRIM(H3))*_xlfn.XLOOKUP(Таблица1[[#This Row],[Год]],K_inf!$A$1:$A$15,K_inf!$B$1:$B$15)</f>
        <v>4505482.2300000004</v>
      </c>
      <c r="J3" s="18">
        <f>15*30*2</f>
        <v>900</v>
      </c>
      <c r="K3" s="14">
        <f>Таблица1[[#This Row],[Цена приведенная]]/Таблица1[[#This Row],[Площадь]]</f>
        <v>5006.0913666666675</v>
      </c>
      <c r="L3" s="5"/>
    </row>
    <row r="4" spans="1:12" ht="75" x14ac:dyDescent="0.25">
      <c r="A4" s="5" t="str">
        <f>TEXT(TRIM(Таблица1[[#This Row],[номер]]), "### ###")</f>
        <v>362 100 027 621 000 000</v>
      </c>
      <c r="B4">
        <v>3.62100027621E+17</v>
      </c>
      <c r="C4" s="1" t="s">
        <v>13</v>
      </c>
      <c r="D4" s="15" t="s">
        <v>37</v>
      </c>
      <c r="E4" s="1" t="s">
        <v>14</v>
      </c>
      <c r="F4" s="3">
        <v>2021</v>
      </c>
      <c r="G4" s="4" t="s">
        <v>15</v>
      </c>
      <c r="H4" s="2">
        <v>7568333</v>
      </c>
      <c r="I4" s="14">
        <f>VALUE(TRIM(H4))*_xlfn.XLOOKUP(Таблица1[[#This Row],[Год]],K_inf!$A$1:$A$15,K_inf!$B$1:$B$15)</f>
        <v>8022432.9800000004</v>
      </c>
      <c r="J4" s="18">
        <v>2768</v>
      </c>
      <c r="K4" s="14">
        <f>Таблица1[[#This Row],[Цена приведенная]]/Таблица1[[#This Row],[Площадь]]</f>
        <v>2898.2778106936416</v>
      </c>
      <c r="L4" s="5"/>
    </row>
    <row r="5" spans="1:12" ht="60" x14ac:dyDescent="0.25">
      <c r="A5" s="5" t="str">
        <f>TEXT(TRIM(Таблица1[[#This Row],[номер]]), "### ###")</f>
        <v>32 110 575 070</v>
      </c>
      <c r="B5">
        <v>32110575070</v>
      </c>
      <c r="C5" s="1" t="s">
        <v>16</v>
      </c>
      <c r="D5" s="15" t="s">
        <v>39</v>
      </c>
      <c r="E5" s="1" t="s">
        <v>17</v>
      </c>
      <c r="F5" s="3">
        <v>2021</v>
      </c>
      <c r="G5" s="4" t="s">
        <v>18</v>
      </c>
      <c r="H5" s="2">
        <v>9741049.4499999993</v>
      </c>
      <c r="I5" s="14">
        <f>VALUE(TRIM(H5))*_xlfn.XLOOKUP(Таблица1[[#This Row],[Год]],K_inf!$A$1:$A$15,K_inf!$B$1:$B$15)</f>
        <v>10325512.416999999</v>
      </c>
      <c r="J5" s="18">
        <f>60*30*5</f>
        <v>9000</v>
      </c>
      <c r="K5" s="14">
        <f>Таблица1[[#This Row],[Цена приведенная]]/Таблица1[[#This Row],[Площадь]]</f>
        <v>1147.2791574444443</v>
      </c>
      <c r="L5" s="5"/>
    </row>
    <row r="6" spans="1:12" ht="45" x14ac:dyDescent="0.25">
      <c r="A6" s="5" t="str">
        <f>TEXT(TRIM(Таблица1[[#This Row],[номер]]), "### ###")</f>
        <v>373 100 012 220 000 000</v>
      </c>
      <c r="B6">
        <v>3.7310001222E+17</v>
      </c>
      <c r="C6" s="1" t="s">
        <v>19</v>
      </c>
      <c r="D6" s="15" t="s">
        <v>40</v>
      </c>
      <c r="E6" s="1" t="s">
        <v>20</v>
      </c>
      <c r="F6" s="3">
        <v>2020</v>
      </c>
      <c r="G6" s="4" t="s">
        <v>21</v>
      </c>
      <c r="H6" s="2">
        <v>2853687.25</v>
      </c>
      <c r="I6" s="14">
        <f>VALUE(TRIM(H6))*_xlfn.XLOOKUP(Таблица1[[#This Row],[Год]],K_inf!$A$1:$A$15,K_inf!$B$1:$B$15)</f>
        <v>3167592.8475000001</v>
      </c>
      <c r="J6" s="18">
        <f>13.8+46.2+24.8+7.2+16.7+25.4+22.9+21.7+22.3+9.7+20.6</f>
        <v>231.29999999999998</v>
      </c>
      <c r="K6" s="14">
        <f>Таблица1[[#This Row],[Цена приведенная]]/Таблица1[[#This Row],[Площадь]]</f>
        <v>13694.737775616084</v>
      </c>
      <c r="L6" s="5"/>
    </row>
    <row r="7" spans="1:12" ht="45" x14ac:dyDescent="0.25">
      <c r="A7" s="6" t="str">
        <f>TEXT(TRIM(Таблица1[[#This Row],[номер]]), "### ###")</f>
        <v>31 908 421 525</v>
      </c>
      <c r="B7">
        <v>31908421525</v>
      </c>
      <c r="C7" s="1" t="s">
        <v>23</v>
      </c>
      <c r="D7" s="15" t="s">
        <v>39</v>
      </c>
      <c r="E7" s="1" t="s">
        <v>11</v>
      </c>
      <c r="F7" s="3">
        <v>2019</v>
      </c>
      <c r="G7" s="4" t="s">
        <v>24</v>
      </c>
      <c r="H7" s="2">
        <v>3690000</v>
      </c>
      <c r="I7" s="14">
        <f>VALUE(TRIM(H7))*_xlfn.XLOOKUP(Таблица1[[#This Row],[Год]],K_inf!$A$1:$A$15,K_inf!$B$1:$B$15)</f>
        <v>4243500</v>
      </c>
      <c r="J7" s="18">
        <f>15*30</f>
        <v>450</v>
      </c>
      <c r="K7" s="14">
        <f>Таблица1[[#This Row],[Цена приведенная]]/Таблица1[[#This Row],[Площадь]]</f>
        <v>9430</v>
      </c>
      <c r="L7" s="7"/>
    </row>
    <row r="8" spans="1:12" ht="45" x14ac:dyDescent="0.25">
      <c r="A8" s="6" t="str">
        <f>TEXT(TRIM(Таблица1[[#This Row],[номер]]), "### ###")</f>
        <v>31 704 981 555</v>
      </c>
      <c r="B8">
        <v>31704981555</v>
      </c>
      <c r="C8" s="1" t="s">
        <v>25</v>
      </c>
      <c r="D8" s="15" t="s">
        <v>39</v>
      </c>
      <c r="E8" s="1" t="s">
        <v>26</v>
      </c>
      <c r="F8" s="3">
        <v>2017</v>
      </c>
      <c r="G8" s="4" t="s">
        <v>27</v>
      </c>
      <c r="H8" s="2">
        <v>5104373.09</v>
      </c>
      <c r="I8" s="14">
        <f>VALUE(TRIM(H8))*_xlfn.XLOOKUP(Таблица1[[#This Row],[Год]],K_inf!$A$1:$A$15,K_inf!$B$1:$B$15)</f>
        <v>6278378.9007000001</v>
      </c>
      <c r="J8" s="18">
        <v>1000</v>
      </c>
      <c r="K8" s="14">
        <f>Таблица1[[#This Row],[Цена приведенная]]/Таблица1[[#This Row],[Площадь]]</f>
        <v>6278.3789007000005</v>
      </c>
      <c r="L8" s="7"/>
    </row>
    <row r="9" spans="1:12" ht="30" x14ac:dyDescent="0.25">
      <c r="A9" s="6" t="str">
        <f>TEXT(TRIM(Таблица1[[#This Row],[номер]]), "### ###")</f>
        <v>31 502 251 597</v>
      </c>
      <c r="B9">
        <v>31502251597</v>
      </c>
      <c r="C9" s="1" t="s">
        <v>28</v>
      </c>
      <c r="D9" s="15" t="s">
        <v>41</v>
      </c>
      <c r="E9" s="1" t="s">
        <v>29</v>
      </c>
      <c r="F9" s="3">
        <v>2015</v>
      </c>
      <c r="G9" s="4" t="s">
        <v>30</v>
      </c>
      <c r="H9" s="2">
        <v>6366669</v>
      </c>
      <c r="I9" s="14">
        <f>VALUE(TRIM(H9))*_xlfn.XLOOKUP(Таблица1[[#This Row],[Год]],K_inf!$A$1:$A$15,K_inf!$B$1:$B$15)</f>
        <v>9295336.7400000002</v>
      </c>
      <c r="K9" s="14" t="e">
        <f>Таблица1[[#This Row],[Цена приведенная]]/Таблица1[[#This Row],[Площадь]]</f>
        <v>#DIV/0!</v>
      </c>
      <c r="L9" s="7" t="s">
        <v>57</v>
      </c>
    </row>
    <row r="10" spans="1:12" ht="75" x14ac:dyDescent="0.25">
      <c r="A10" s="6" t="str">
        <f>TEXT(TRIM(Таблица1[[#This Row],[номер]]), "### ###")</f>
        <v>31 300 570 616</v>
      </c>
      <c r="B10">
        <v>31300570616</v>
      </c>
      <c r="C10" s="1" t="s">
        <v>31</v>
      </c>
      <c r="D10" s="15" t="s">
        <v>41</v>
      </c>
      <c r="E10" s="1" t="s">
        <v>32</v>
      </c>
      <c r="F10" s="3">
        <v>2013</v>
      </c>
      <c r="G10" s="4" t="s">
        <v>33</v>
      </c>
      <c r="H10" s="2">
        <v>5594566</v>
      </c>
      <c r="I10" s="14">
        <f>VALUE(TRIM(H10))*_xlfn.XLOOKUP(Таблица1[[#This Row],[Год]],K_inf!$A$1:$A$15,K_inf!$B$1:$B$15)</f>
        <v>9678599.1799999997</v>
      </c>
      <c r="K10" s="14" t="e">
        <f>Таблица1[[#This Row],[Цена приведенная]]/Таблица1[[#This Row],[Площадь]]</f>
        <v>#DIV/0!</v>
      </c>
      <c r="L10" s="19" t="s">
        <v>61</v>
      </c>
    </row>
    <row r="11" spans="1:12" ht="75" x14ac:dyDescent="0.25">
      <c r="A11" s="6" t="str">
        <f>TEXT(TRIM(Таблица1[[#This Row],[номер]]), "### ###")</f>
        <v>0373 1000 5062 100 00 01</v>
      </c>
      <c r="B11" t="s">
        <v>42</v>
      </c>
      <c r="C11" s="1" t="s">
        <v>43</v>
      </c>
      <c r="D11" s="15" t="s">
        <v>38</v>
      </c>
      <c r="F11" s="3">
        <v>2022</v>
      </c>
      <c r="G11" s="8"/>
      <c r="H11">
        <v>55700000</v>
      </c>
      <c r="I11" s="14">
        <f>VALUE(TRIM(H11))*_xlfn.XLOOKUP(Таблица1[[#This Row],[Год]],K_inf!$A$1:$A$15,K_inf!$B$1:$B$15)</f>
        <v>55700000</v>
      </c>
      <c r="J11" s="18">
        <v>2900</v>
      </c>
      <c r="K11" s="14">
        <f>Таблица1[[#This Row],[Цена приведенная]]/Таблица1[[#This Row],[Площадь]]</f>
        <v>19206.896551724138</v>
      </c>
      <c r="L11" s="19" t="s">
        <v>44</v>
      </c>
    </row>
    <row r="12" spans="1:12" ht="30" x14ac:dyDescent="0.25">
      <c r="A12" s="6" t="str">
        <f>TEXT(TRIM(Таблица1[[#This Row],[номер]]), "### ###")</f>
        <v>32 110 803 707</v>
      </c>
      <c r="B12">
        <v>32110803707</v>
      </c>
      <c r="C12" s="1" t="s">
        <v>45</v>
      </c>
      <c r="D12" s="15" t="s">
        <v>37</v>
      </c>
      <c r="F12" s="3">
        <v>2021</v>
      </c>
      <c r="G12" s="8"/>
      <c r="H12">
        <v>23000000</v>
      </c>
      <c r="I12" s="14">
        <f>VALUE(TRIM(H12))*_xlfn.XLOOKUP(Таблица1[[#This Row],[Год]],K_inf!$A$1:$A$15,K_inf!$B$1:$B$15)</f>
        <v>24380000</v>
      </c>
      <c r="J12" s="18">
        <v>2700</v>
      </c>
      <c r="K12" s="14">
        <f>Таблица1[[#This Row],[Цена приведенная]]/Таблица1[[#This Row],[Площадь]]</f>
        <v>9029.6296296296296</v>
      </c>
      <c r="L12" s="7"/>
    </row>
    <row r="13" spans="1:12" x14ac:dyDescent="0.25">
      <c r="A13" s="6" t="str">
        <f>TEXT(TRIM(Таблица1[[#This Row],[номер]]), "### ###")</f>
        <v>32 110 624 879</v>
      </c>
      <c r="B13">
        <v>32110624879</v>
      </c>
      <c r="C13" s="1" t="s">
        <v>47</v>
      </c>
      <c r="D13" s="15" t="s">
        <v>40</v>
      </c>
      <c r="F13" s="3">
        <v>2021</v>
      </c>
      <c r="G13" s="8"/>
      <c r="H13">
        <v>2960000</v>
      </c>
      <c r="I13" s="14">
        <f>VALUE(TRIM(H13))*_xlfn.XLOOKUP(Таблица1[[#This Row],[Год]],K_inf!$A$1:$A$15,K_inf!$B$1:$B$15)</f>
        <v>3137600</v>
      </c>
      <c r="J13" s="18">
        <v>101</v>
      </c>
      <c r="K13" s="14">
        <f>Таблица1[[#This Row],[Цена приведенная]]/Таблица1[[#This Row],[Площадь]]</f>
        <v>31065.346534653465</v>
      </c>
      <c r="L13" s="5"/>
    </row>
    <row r="14" spans="1:12" ht="60" x14ac:dyDescent="0.25">
      <c r="A14" s="6" t="str">
        <f>TEXT(TRIM(Таблица1[[#This Row],[номер]]), "### ###")</f>
        <v>32 110 690 042</v>
      </c>
      <c r="B14">
        <v>32110690042</v>
      </c>
      <c r="C14" s="1" t="s">
        <v>48</v>
      </c>
      <c r="D14" s="15" t="s">
        <v>40</v>
      </c>
      <c r="F14" s="3">
        <v>2021</v>
      </c>
      <c r="G14" s="8"/>
      <c r="H14">
        <v>44034138</v>
      </c>
      <c r="I14" s="14">
        <f>VALUE(TRIM(H14))*_xlfn.XLOOKUP(Таблица1[[#This Row],[Год]],K_inf!$A$1:$A$15,K_inf!$B$1:$B$15)</f>
        <v>46676186.280000001</v>
      </c>
      <c r="J14" s="18">
        <v>2900</v>
      </c>
      <c r="K14" s="14">
        <f>Таблица1[[#This Row],[Цена приведенная]]/Таблица1[[#This Row],[Площадь]]</f>
        <v>16095.236648275863</v>
      </c>
      <c r="L14" s="5"/>
    </row>
    <row r="15" spans="1:12" ht="45" x14ac:dyDescent="0.25">
      <c r="A15" s="6" t="str">
        <f>TEXT(TRIM(Таблица1[[#This Row],[номер]]), "### ###")</f>
        <v>32 211 127 162</v>
      </c>
      <c r="B15">
        <v>32211127162</v>
      </c>
      <c r="C15" s="1" t="s">
        <v>49</v>
      </c>
      <c r="D15" s="15" t="s">
        <v>41</v>
      </c>
      <c r="F15" s="3">
        <v>2022</v>
      </c>
      <c r="G15" s="8"/>
      <c r="H15">
        <v>14000000</v>
      </c>
      <c r="I15" s="14">
        <f>VALUE(TRIM(H15))*_xlfn.XLOOKUP(Таблица1[[#This Row],[Год]],K_inf!$A$1:$A$15,K_inf!$B$1:$B$15)</f>
        <v>14000000</v>
      </c>
      <c r="J15" s="18">
        <v>4950</v>
      </c>
      <c r="K15" s="14">
        <f>Таблица1[[#This Row],[Цена приведенная]]/Таблица1[[#This Row],[Площадь]]</f>
        <v>2828.2828282828282</v>
      </c>
      <c r="L15" s="5"/>
    </row>
    <row r="16" spans="1:12" ht="75" x14ac:dyDescent="0.25">
      <c r="A16" s="6" t="str">
        <f>TEXT(TRIM(Таблица1[[#This Row],[номер]]), "### ###")</f>
        <v>_0365100010414000147</v>
      </c>
      <c r="B16" t="s">
        <v>50</v>
      </c>
      <c r="C16" s="1" t="s">
        <v>51</v>
      </c>
      <c r="D16" s="15" t="s">
        <v>37</v>
      </c>
      <c r="F16" s="3">
        <v>2014</v>
      </c>
      <c r="G16" s="4" t="s">
        <v>52</v>
      </c>
      <c r="H16">
        <v>5500000</v>
      </c>
      <c r="I16" s="14">
        <f>VALUE(TRIM(H16))*_xlfn.XLOOKUP(Таблица1[[#This Row],[Год]],K_inf!$A$1:$A$15,K_inf!$B$1:$B$15)</f>
        <v>8965000</v>
      </c>
      <c r="K16" s="14" t="e">
        <f>Таблица1[[#This Row],[Цена приведенная]]/Таблица1[[#This Row],[Площадь]]</f>
        <v>#DIV/0!</v>
      </c>
      <c r="L16" s="5" t="s">
        <v>62</v>
      </c>
    </row>
    <row r="17" spans="1:12" ht="90" x14ac:dyDescent="0.25">
      <c r="A17" s="6" t="str">
        <f>TEXT(TRIM(Таблица1[[#This Row],[номер]]), "### ###")</f>
        <v>_0372100049620001991</v>
      </c>
      <c r="B17" t="s">
        <v>64</v>
      </c>
      <c r="C17" s="1" t="s">
        <v>65</v>
      </c>
      <c r="D17" s="15" t="s">
        <v>40</v>
      </c>
      <c r="E17" s="1" t="s">
        <v>66</v>
      </c>
      <c r="F17" s="3">
        <v>2020</v>
      </c>
      <c r="G17" s="4" t="s">
        <v>67</v>
      </c>
      <c r="H17">
        <v>90000000</v>
      </c>
      <c r="I17" s="14">
        <f>VALUE(TRIM(H17))*_xlfn.XLOOKUP(Таблица1[[#This Row],[Год]],K_inf!$A$1:$A$15,K_inf!$B$1:$B$15)</f>
        <v>99900000.000000015</v>
      </c>
      <c r="J17" s="18">
        <v>8500</v>
      </c>
      <c r="K17" s="14">
        <f>Таблица1[[#This Row],[Цена приведенная]]/Таблица1[[#This Row],[Площадь]]</f>
        <v>11752.941176470589</v>
      </c>
      <c r="L17" s="15" t="s">
        <v>68</v>
      </c>
    </row>
    <row r="18" spans="1:12" ht="180" x14ac:dyDescent="0.25">
      <c r="A18" s="6" t="str">
        <f>TEXT(TRIM(Таблица1[[#This Row],[номер]]), "### ###")</f>
        <v>_0372100049616000585</v>
      </c>
      <c r="B18" t="s">
        <v>75</v>
      </c>
      <c r="C18" s="1" t="s">
        <v>74</v>
      </c>
      <c r="D18" s="15" t="s">
        <v>40</v>
      </c>
      <c r="E18" s="1" t="s">
        <v>76</v>
      </c>
      <c r="F18" s="3">
        <v>2016</v>
      </c>
      <c r="G18" s="4" t="s">
        <v>77</v>
      </c>
      <c r="H18">
        <v>153000000</v>
      </c>
      <c r="I18" s="14">
        <f>VALUE(TRIM(H18))*_xlfn.XLOOKUP(Таблица1[[#This Row],[Год]],K_inf!$A$1:$A$15,K_inf!$B$1:$B$15)</f>
        <v>197370000</v>
      </c>
      <c r="J18" s="18">
        <v>66800</v>
      </c>
      <c r="K18" s="14">
        <f>Таблица1[[#This Row],[Цена приведенная]]/Таблица1[[#This Row],[Площадь]]</f>
        <v>2954.6407185628741</v>
      </c>
      <c r="L18" s="15" t="s">
        <v>78</v>
      </c>
    </row>
    <row r="19" spans="1:12" ht="75" x14ac:dyDescent="0.25">
      <c r="A19" s="6" t="str">
        <f>TEXT(TRIM(Таблица1[[#This Row],[номер]]), "### ###")</f>
        <v>_0372100049618001527</v>
      </c>
      <c r="B19" t="s">
        <v>79</v>
      </c>
      <c r="C19" s="1" t="s">
        <v>80</v>
      </c>
      <c r="D19" s="15" t="s">
        <v>40</v>
      </c>
      <c r="E19" s="1" t="s">
        <v>66</v>
      </c>
      <c r="F19" s="3">
        <v>2018</v>
      </c>
      <c r="G19" s="4" t="s">
        <v>81</v>
      </c>
      <c r="H19">
        <v>307366600</v>
      </c>
      <c r="I19" s="14">
        <f>VALUE(TRIM(H19))*_xlfn.XLOOKUP(Таблица1[[#This Row],[Год]],K_inf!$A$1:$A$15,K_inf!$B$1:$B$15)</f>
        <v>368839920</v>
      </c>
      <c r="J19" s="18">
        <v>65000</v>
      </c>
      <c r="K19" s="14">
        <f>Таблица1[[#This Row],[Цена приведенная]]/Таблица1[[#This Row],[Площадь]]</f>
        <v>5674.4603076923077</v>
      </c>
      <c r="L19" s="15" t="s">
        <v>82</v>
      </c>
    </row>
  </sheetData>
  <phoneticPr fontId="4" type="noConversion"/>
  <hyperlinks>
    <hyperlink ref="G2" r:id="rId1" xr:uid="{E358E1DC-B191-4C0C-96F0-BAF59D5A6572}"/>
    <hyperlink ref="G3" r:id="rId2" xr:uid="{22B8510D-64F9-49C3-9191-F93E256E1635}"/>
    <hyperlink ref="G4" r:id="rId3" xr:uid="{CDA3F2AC-4742-4607-B373-B4F16AA839C1}"/>
    <hyperlink ref="G5" r:id="rId4" xr:uid="{0FA2619B-6608-4B8F-A6E8-A04F2B6DDB0F}"/>
    <hyperlink ref="G6" r:id="rId5" xr:uid="{C7FC6466-1AC4-44C4-A866-AFE2EF1AB4FD}"/>
    <hyperlink ref="G7" r:id="rId6" xr:uid="{8C26E563-F02C-417D-8010-78DCB55F6E21}"/>
    <hyperlink ref="G8" r:id="rId7" xr:uid="{AE282B48-3891-42B1-9FD1-0BB9884EC693}"/>
    <hyperlink ref="G9" r:id="rId8" xr:uid="{B21D33CA-1FB8-4392-A224-23CE5BAD1FEA}"/>
    <hyperlink ref="G10" r:id="rId9" xr:uid="{83A16DB9-46ED-4033-81EF-AF28B998F197}"/>
    <hyperlink ref="G16" r:id="rId10" xr:uid="{DB96FA38-04C7-4D79-A5FC-54DA9B4D880B}"/>
    <hyperlink ref="E17" r:id="rId11" display="https://zakupki.gov.ru/epz/organization/view/info.html?organizationCode=03721000496" xr:uid="{925F5152-D31D-4765-8A4B-D61DFD914B72}"/>
    <hyperlink ref="G17" r:id="rId12" xr:uid="{87A6DEEE-1F73-49EC-9BC6-FAFD5923614A}"/>
    <hyperlink ref="G18" r:id="rId13" xr:uid="{C8DF37AD-EAEF-46EF-98B3-865D113AD2BA}"/>
    <hyperlink ref="G19" r:id="rId14" xr:uid="{26C76160-F62C-4535-86FF-AE5EE9ACAE17}"/>
  </hyperlinks>
  <pageMargins left="0.7" right="0.7" top="0.75" bottom="0.75" header="0.3" footer="0.3"/>
  <pageSetup paperSize="256" orientation="portrait" verticalDpi="0" r:id="rId15"/>
  <tableParts count="1"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E6FCC5-B8F5-4AFE-B4D0-FB6D8AE9F158}">
          <x14:formula1>
            <xm:f>class!$A$1:$A$5</xm:f>
          </x14:formula1>
          <xm:sqref>D2:D19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A3C1-CF72-4C08-8CE8-97FCFEFADF77}">
  <dimension ref="A1:D27"/>
  <sheetViews>
    <sheetView zoomScale="115" zoomScaleNormal="115" workbookViewId="0">
      <selection activeCell="D35" sqref="D35"/>
    </sheetView>
  </sheetViews>
  <sheetFormatPr defaultRowHeight="15" x14ac:dyDescent="0.25"/>
  <cols>
    <col min="1" max="1" width="26.5703125" customWidth="1"/>
    <col min="2" max="2" width="19.85546875" customWidth="1"/>
    <col min="3" max="3" width="13.5703125" customWidth="1"/>
    <col min="4" max="4" width="22.28515625" bestFit="1" customWidth="1"/>
  </cols>
  <sheetData>
    <row r="1" spans="1:4" x14ac:dyDescent="0.25">
      <c r="A1" t="s">
        <v>36</v>
      </c>
      <c r="B1" t="s">
        <v>53</v>
      </c>
      <c r="C1" t="s">
        <v>35</v>
      </c>
      <c r="D1" t="s">
        <v>54</v>
      </c>
    </row>
    <row r="2" spans="1:4" hidden="1" x14ac:dyDescent="0.25">
      <c r="A2" t="str">
        <f>Таблица1[[#This Row],[Вид работ]]</f>
        <v>капитальный ремонт</v>
      </c>
      <c r="B2" s="20">
        <f>Таблица1[[#This Row],[Цена приведенная]]</f>
        <v>2382800.0037000002</v>
      </c>
      <c r="C2" s="21">
        <f>Таблица1[[#This Row],[Площадь]]</f>
        <v>100</v>
      </c>
      <c r="D2" s="20">
        <f>Таблица1[[#This Row],[За квадрат]]</f>
        <v>23828.000037000002</v>
      </c>
    </row>
    <row r="3" spans="1:4" hidden="1" x14ac:dyDescent="0.25">
      <c r="A3" t="str">
        <f>Таблица1[[#This Row],[Вид работ]]</f>
        <v>капитальный ремонт</v>
      </c>
      <c r="B3" s="20">
        <f>Таблица1[[#This Row],[Цена приведенная]]</f>
        <v>4505482.2300000004</v>
      </c>
      <c r="C3" s="21">
        <f>Таблица1[[#This Row],[Площадь]]</f>
        <v>900</v>
      </c>
      <c r="D3" s="20">
        <f>Таблица1[[#This Row],[За квадрат]]</f>
        <v>5006.0913666666675</v>
      </c>
    </row>
    <row r="4" spans="1:4" hidden="1" x14ac:dyDescent="0.25">
      <c r="A4" t="str">
        <f>Таблица1[[#This Row],[Вид работ]]</f>
        <v>капитальный ремонт</v>
      </c>
      <c r="B4" s="20">
        <f>Таблица1[[#This Row],[Цена приведенная]]</f>
        <v>8022432.9800000004</v>
      </c>
      <c r="C4" s="21">
        <f>Таблица1[[#This Row],[Площадь]]</f>
        <v>2768</v>
      </c>
      <c r="D4" s="20">
        <f>Таблица1[[#This Row],[За квадрат]]</f>
        <v>2898.2778106936416</v>
      </c>
    </row>
    <row r="5" spans="1:4" hidden="1" x14ac:dyDescent="0.25">
      <c r="A5" t="str">
        <f>Таблица1[[#This Row],[Вид работ]]</f>
        <v>текущий ремонт / перервооружение / размещение</v>
      </c>
      <c r="B5" s="20">
        <f>Таблица1[[#This Row],[Цена приведенная]]</f>
        <v>10325512.416999999</v>
      </c>
      <c r="C5" s="21">
        <f>Таблица1[[#This Row],[Площадь]]</f>
        <v>9000</v>
      </c>
      <c r="D5" s="20">
        <f>Таблица1[[#This Row],[За квадрат]]</f>
        <v>1147.2791574444443</v>
      </c>
    </row>
    <row r="6" spans="1:4" x14ac:dyDescent="0.25">
      <c r="A6" t="str">
        <f>Таблица1[[#This Row],[Вид работ]]</f>
        <v>новое строительство</v>
      </c>
      <c r="B6" s="20">
        <f>Таблица1[[#This Row],[Цена приведенная]]</f>
        <v>3167592.8475000001</v>
      </c>
      <c r="C6" s="21">
        <f>Таблица1[[#This Row],[Площадь]]</f>
        <v>231.29999999999998</v>
      </c>
      <c r="D6" s="20">
        <f>Таблица1[[#This Row],[За квадрат]]</f>
        <v>13694.737775616084</v>
      </c>
    </row>
    <row r="7" spans="1:4" hidden="1" x14ac:dyDescent="0.25">
      <c r="A7" t="str">
        <f>Таблица1[[#This Row],[Вид работ]]</f>
        <v>текущий ремонт / перервооружение / размещение</v>
      </c>
      <c r="B7" s="20">
        <f>Таблица1[[#This Row],[Цена приведенная]]</f>
        <v>4243500</v>
      </c>
      <c r="C7" s="21">
        <f>Таблица1[[#This Row],[Площадь]]</f>
        <v>450</v>
      </c>
      <c r="D7" s="20">
        <f>Таблица1[[#This Row],[За квадрат]]</f>
        <v>9430</v>
      </c>
    </row>
    <row r="8" spans="1:4" hidden="1" x14ac:dyDescent="0.25">
      <c r="A8" t="str">
        <f>Таблица1[[#This Row],[Вид работ]]</f>
        <v>текущий ремонт / перервооружение / размещение</v>
      </c>
      <c r="B8" s="20">
        <f>Таблица1[[#This Row],[Цена приведенная]]</f>
        <v>6278378.9007000001</v>
      </c>
      <c r="C8" s="21">
        <f>Таблица1[[#This Row],[Площадь]]</f>
        <v>1000</v>
      </c>
      <c r="D8" s="20">
        <f>Таблица1[[#This Row],[За квадрат]]</f>
        <v>6278.3789007000005</v>
      </c>
    </row>
    <row r="9" spans="1:4" hidden="1" x14ac:dyDescent="0.25">
      <c r="A9" t="str">
        <f>Таблица1[[#This Row],[Вид работ]]</f>
        <v>корректировка</v>
      </c>
      <c r="B9" s="20">
        <f>Таблица1[[#This Row],[Цена приведенная]]</f>
        <v>9295336.7400000002</v>
      </c>
      <c r="C9" s="21">
        <f>Таблица1[[#This Row],[Площадь]]</f>
        <v>0</v>
      </c>
      <c r="D9" s="20" t="e">
        <f>Таблица1[[#This Row],[За квадрат]]</f>
        <v>#DIV/0!</v>
      </c>
    </row>
    <row r="10" spans="1:4" hidden="1" x14ac:dyDescent="0.25">
      <c r="A10" t="str">
        <f>Таблица1[[#This Row],[Вид работ]]</f>
        <v>корректировка</v>
      </c>
      <c r="B10" s="20">
        <f>Таблица1[[#This Row],[Цена приведенная]]</f>
        <v>9678599.1799999997</v>
      </c>
      <c r="C10" s="21">
        <f>Таблица1[[#This Row],[Площадь]]</f>
        <v>0</v>
      </c>
      <c r="D10" s="20" t="e">
        <f>Таблица1[[#This Row],[За квадрат]]</f>
        <v>#DIV/0!</v>
      </c>
    </row>
    <row r="11" spans="1:4" hidden="1" x14ac:dyDescent="0.25">
      <c r="A11" t="str">
        <f>Таблица1[[#This Row],[Вид работ]]</f>
        <v>реконструкция</v>
      </c>
      <c r="B11" s="20">
        <f>Таблица1[[#This Row],[Цена приведенная]]</f>
        <v>55700000</v>
      </c>
      <c r="C11" s="21">
        <f>Таблица1[[#This Row],[Площадь]]</f>
        <v>2900</v>
      </c>
      <c r="D11" s="20">
        <f>Таблица1[[#This Row],[За квадрат]]</f>
        <v>19206.896551724138</v>
      </c>
    </row>
    <row r="12" spans="1:4" hidden="1" x14ac:dyDescent="0.25">
      <c r="A12" t="str">
        <f>Таблица1[[#This Row],[Вид работ]]</f>
        <v>капитальный ремонт</v>
      </c>
      <c r="B12" s="20">
        <f>Таблица1[[#This Row],[Цена приведенная]]</f>
        <v>24380000</v>
      </c>
      <c r="C12" s="21">
        <f>Таблица1[[#This Row],[Площадь]]</f>
        <v>2700</v>
      </c>
      <c r="D12" s="20">
        <f>Таблица1[[#This Row],[За квадрат]]</f>
        <v>9029.6296296296296</v>
      </c>
    </row>
    <row r="13" spans="1:4" x14ac:dyDescent="0.25">
      <c r="A13" t="str">
        <f>Таблица1[[#This Row],[Вид работ]]</f>
        <v>новое строительство</v>
      </c>
      <c r="B13" s="20">
        <f>Таблица1[[#This Row],[Цена приведенная]]</f>
        <v>3137600</v>
      </c>
      <c r="C13" s="21">
        <f>Таблица1[[#This Row],[Площадь]]</f>
        <v>101</v>
      </c>
      <c r="D13" s="20">
        <f>Таблица1[[#This Row],[За квадрат]]</f>
        <v>31065.346534653465</v>
      </c>
    </row>
    <row r="14" spans="1:4" x14ac:dyDescent="0.25">
      <c r="A14" t="str">
        <f>Таблица1[[#This Row],[Вид работ]]</f>
        <v>новое строительство</v>
      </c>
      <c r="B14" s="20">
        <f>Таблица1[[#This Row],[Цена приведенная]]</f>
        <v>46676186.280000001</v>
      </c>
      <c r="C14" s="21">
        <f>Таблица1[[#This Row],[Площадь]]</f>
        <v>2900</v>
      </c>
      <c r="D14" s="20">
        <f>Таблица1[[#This Row],[За квадрат]]</f>
        <v>16095.236648275863</v>
      </c>
    </row>
    <row r="15" spans="1:4" hidden="1" x14ac:dyDescent="0.25">
      <c r="A15" t="str">
        <f>Таблица1[[#This Row],[Вид работ]]</f>
        <v>корректировка</v>
      </c>
      <c r="B15" s="20">
        <f>Таблица1[[#This Row],[Цена приведенная]]</f>
        <v>14000000</v>
      </c>
      <c r="C15" s="21">
        <f>Таблица1[[#This Row],[Площадь]]</f>
        <v>4950</v>
      </c>
      <c r="D15" s="20">
        <f>Таблица1[[#This Row],[За квадрат]]</f>
        <v>2828.2828282828282</v>
      </c>
    </row>
    <row r="16" spans="1:4" hidden="1" x14ac:dyDescent="0.25">
      <c r="A16" t="str">
        <f>Таблица1[[#This Row],[Вид работ]]</f>
        <v>капитальный ремонт</v>
      </c>
      <c r="B16" s="20">
        <f>Таблица1[[#This Row],[Цена приведенная]]</f>
        <v>8965000</v>
      </c>
      <c r="C16" s="21">
        <f>Таблица1[[#This Row],[Площадь]]</f>
        <v>0</v>
      </c>
      <c r="D16" s="20" t="e">
        <f>Таблица1[[#This Row],[За квадрат]]</f>
        <v>#DIV/0!</v>
      </c>
    </row>
    <row r="17" spans="1:4" x14ac:dyDescent="0.25">
      <c r="A17" t="str">
        <f>Таблица1[[#This Row],[Вид работ]]</f>
        <v>новое строительство</v>
      </c>
      <c r="B17" s="20">
        <f>Таблица1[[#This Row],[Цена приведенная]]</f>
        <v>99900000.000000015</v>
      </c>
      <c r="C17" s="21">
        <f>Таблица1[[#This Row],[Площадь]]</f>
        <v>8500</v>
      </c>
      <c r="D17" s="20">
        <f>Таблица1[[#This Row],[За квадрат]]</f>
        <v>11752.941176470589</v>
      </c>
    </row>
    <row r="18" spans="1:4" x14ac:dyDescent="0.25">
      <c r="B18" s="20"/>
      <c r="C18" s="21"/>
      <c r="D18" s="20"/>
    </row>
    <row r="19" spans="1:4" x14ac:dyDescent="0.25">
      <c r="A19" s="22" t="s">
        <v>55</v>
      </c>
      <c r="B19" s="22"/>
      <c r="C19" s="22"/>
      <c r="D19" s="31">
        <v>2000</v>
      </c>
    </row>
    <row r="20" spans="1:4" x14ac:dyDescent="0.25">
      <c r="A20" s="23" t="s">
        <v>56</v>
      </c>
      <c r="B20" s="23"/>
      <c r="C20" s="23"/>
      <c r="D20" s="24">
        <f>D19*C21*POWER(D19,-C22)</f>
        <v>29850589.110034302</v>
      </c>
    </row>
    <row r="21" spans="1:4" x14ac:dyDescent="0.25">
      <c r="A21" s="26" t="s">
        <v>58</v>
      </c>
      <c r="B21" s="30" t="s">
        <v>59</v>
      </c>
      <c r="C21" s="29">
        <v>45622</v>
      </c>
      <c r="D21" s="26"/>
    </row>
    <row r="22" spans="1:4" x14ac:dyDescent="0.25">
      <c r="A22" s="26"/>
      <c r="B22" s="30" t="s">
        <v>60</v>
      </c>
      <c r="C22" s="29">
        <v>0.14699999999999999</v>
      </c>
      <c r="D22" s="26"/>
    </row>
    <row r="23" spans="1:4" x14ac:dyDescent="0.25">
      <c r="A23" s="22" t="s">
        <v>72</v>
      </c>
      <c r="B23" s="22"/>
      <c r="C23" s="22"/>
      <c r="D23" s="22"/>
    </row>
    <row r="24" spans="1:4" x14ac:dyDescent="0.25">
      <c r="A24" s="23" t="s">
        <v>69</v>
      </c>
      <c r="B24" s="23"/>
      <c r="C24" s="23"/>
      <c r="D24" s="24">
        <v>2000000</v>
      </c>
    </row>
    <row r="25" spans="1:4" x14ac:dyDescent="0.25">
      <c r="A25" s="23" t="s">
        <v>70</v>
      </c>
      <c r="B25" s="23"/>
      <c r="C25" s="23"/>
      <c r="D25" s="24">
        <f>D20*0.13</f>
        <v>3880576.5843044594</v>
      </c>
    </row>
    <row r="26" spans="1:4" x14ac:dyDescent="0.25">
      <c r="A26" s="23" t="s">
        <v>71</v>
      </c>
      <c r="B26" s="23"/>
      <c r="C26" s="23"/>
      <c r="D26" s="24">
        <v>500000</v>
      </c>
    </row>
    <row r="27" spans="1:4" x14ac:dyDescent="0.25">
      <c r="A27" s="27" t="s">
        <v>73</v>
      </c>
      <c r="B27" s="27"/>
      <c r="C27" s="27"/>
      <c r="D27" s="28">
        <f>SUM(D24:D26)+D20</f>
        <v>36231165.694338761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A6A0-0D74-46E1-99FC-10D01BEDA0F0}">
  <dimension ref="A1:D27"/>
  <sheetViews>
    <sheetView zoomScale="115" zoomScaleNormal="115" workbookViewId="0">
      <selection activeCell="A40" sqref="A40"/>
    </sheetView>
  </sheetViews>
  <sheetFormatPr defaultRowHeight="15" x14ac:dyDescent="0.25"/>
  <cols>
    <col min="1" max="1" width="50" customWidth="1"/>
    <col min="2" max="2" width="19.85546875" customWidth="1"/>
    <col min="3" max="3" width="13.5703125" customWidth="1"/>
    <col min="4" max="4" width="22.28515625" bestFit="1" customWidth="1"/>
  </cols>
  <sheetData>
    <row r="1" spans="1:4" x14ac:dyDescent="0.25">
      <c r="A1" t="s">
        <v>36</v>
      </c>
      <c r="B1" t="s">
        <v>53</v>
      </c>
      <c r="C1" t="s">
        <v>35</v>
      </c>
      <c r="D1" t="s">
        <v>54</v>
      </c>
    </row>
    <row r="2" spans="1:4" x14ac:dyDescent="0.25">
      <c r="A2" t="str">
        <f>Таблица1[[#This Row],[Вид работ]]</f>
        <v>капитальный ремонт</v>
      </c>
      <c r="B2" s="20">
        <f>Таблица1[[#This Row],[Цена приведенная]]</f>
        <v>2382800.0037000002</v>
      </c>
      <c r="C2" s="21">
        <f>Таблица1[[#This Row],[Площадь]]</f>
        <v>100</v>
      </c>
      <c r="D2" s="20">
        <f>Таблица1[[#This Row],[За квадрат]]</f>
        <v>23828.000037000002</v>
      </c>
    </row>
    <row r="3" spans="1:4" x14ac:dyDescent="0.25">
      <c r="A3" t="str">
        <f>Таблица1[[#This Row],[Вид работ]]</f>
        <v>капитальный ремонт</v>
      </c>
      <c r="B3" s="20">
        <f>Таблица1[[#This Row],[Цена приведенная]]</f>
        <v>4505482.2300000004</v>
      </c>
      <c r="C3" s="21">
        <f>Таблица1[[#This Row],[Площадь]]</f>
        <v>900</v>
      </c>
      <c r="D3" s="20">
        <f>Таблица1[[#This Row],[За квадрат]]</f>
        <v>5006.0913666666675</v>
      </c>
    </row>
    <row r="4" spans="1:4" x14ac:dyDescent="0.25">
      <c r="A4" t="str">
        <f>Таблица1[[#This Row],[Вид работ]]</f>
        <v>капитальный ремонт</v>
      </c>
      <c r="B4" s="20">
        <f>Таблица1[[#This Row],[Цена приведенная]]</f>
        <v>8022432.9800000004</v>
      </c>
      <c r="C4" s="21">
        <f>Таблица1[[#This Row],[Площадь]]</f>
        <v>2768</v>
      </c>
      <c r="D4" s="20">
        <f>Таблица1[[#This Row],[За квадрат]]</f>
        <v>2898.2778106936416</v>
      </c>
    </row>
    <row r="5" spans="1:4" x14ac:dyDescent="0.25">
      <c r="A5" t="str">
        <f>Таблица1[[#This Row],[Вид работ]]</f>
        <v>текущий ремонт / перервооружение / размещение</v>
      </c>
      <c r="B5" s="20">
        <f>Таблица1[[#This Row],[Цена приведенная]]</f>
        <v>10325512.416999999</v>
      </c>
      <c r="C5" s="21">
        <f>Таблица1[[#This Row],[Площадь]]</f>
        <v>9000</v>
      </c>
      <c r="D5" s="20">
        <f>Таблица1[[#This Row],[За квадрат]]</f>
        <v>1147.2791574444443</v>
      </c>
    </row>
    <row r="6" spans="1:4" hidden="1" x14ac:dyDescent="0.25">
      <c r="A6" t="str">
        <f>Таблица1[[#This Row],[Вид работ]]</f>
        <v>новое строительство</v>
      </c>
      <c r="B6" s="20">
        <f>Таблица1[[#This Row],[Цена приведенная]]</f>
        <v>3167592.8475000001</v>
      </c>
      <c r="C6" s="21">
        <f>Таблица1[[#This Row],[Площадь]]</f>
        <v>231.29999999999998</v>
      </c>
      <c r="D6" s="20">
        <f>Таблица1[[#This Row],[За квадрат]]</f>
        <v>13694.737775616084</v>
      </c>
    </row>
    <row r="7" spans="1:4" x14ac:dyDescent="0.25">
      <c r="A7" t="str">
        <f>Таблица1[[#This Row],[Вид работ]]</f>
        <v>текущий ремонт / перервооружение / размещение</v>
      </c>
      <c r="B7" s="20">
        <f>Таблица1[[#This Row],[Цена приведенная]]</f>
        <v>4243500</v>
      </c>
      <c r="C7" s="21">
        <f>Таблица1[[#This Row],[Площадь]]</f>
        <v>450</v>
      </c>
      <c r="D7" s="20">
        <f>Таблица1[[#This Row],[За квадрат]]</f>
        <v>9430</v>
      </c>
    </row>
    <row r="8" spans="1:4" x14ac:dyDescent="0.25">
      <c r="A8" t="str">
        <f>Таблица1[[#This Row],[Вид работ]]</f>
        <v>текущий ремонт / перервооружение / размещение</v>
      </c>
      <c r="B8" s="20">
        <f>Таблица1[[#This Row],[Цена приведенная]]</f>
        <v>6278378.9007000001</v>
      </c>
      <c r="C8" s="21">
        <f>Таблица1[[#This Row],[Площадь]]</f>
        <v>1000</v>
      </c>
      <c r="D8" s="20">
        <f>Таблица1[[#This Row],[За квадрат]]</f>
        <v>6278.3789007000005</v>
      </c>
    </row>
    <row r="9" spans="1:4" hidden="1" x14ac:dyDescent="0.25">
      <c r="A9" t="str">
        <f>Таблица1[[#This Row],[Вид работ]]</f>
        <v>корректировка</v>
      </c>
      <c r="B9" s="20">
        <f>Таблица1[[#This Row],[Цена приведенная]]</f>
        <v>9295336.7400000002</v>
      </c>
      <c r="C9" s="21">
        <f>Таблица1[[#This Row],[Площадь]]</f>
        <v>0</v>
      </c>
      <c r="D9" s="20" t="e">
        <f>Таблица1[[#This Row],[За квадрат]]</f>
        <v>#DIV/0!</v>
      </c>
    </row>
    <row r="10" spans="1:4" hidden="1" x14ac:dyDescent="0.25">
      <c r="A10" t="str">
        <f>Таблица1[[#This Row],[Вид работ]]</f>
        <v>корректировка</v>
      </c>
      <c r="B10" s="20">
        <f>Таблица1[[#This Row],[Цена приведенная]]</f>
        <v>9678599.1799999997</v>
      </c>
      <c r="C10" s="21">
        <f>Таблица1[[#This Row],[Площадь]]</f>
        <v>0</v>
      </c>
      <c r="D10" s="20" t="e">
        <f>Таблица1[[#This Row],[За квадрат]]</f>
        <v>#DIV/0!</v>
      </c>
    </row>
    <row r="11" spans="1:4" x14ac:dyDescent="0.25">
      <c r="A11" t="str">
        <f>Таблица1[[#This Row],[Вид работ]]</f>
        <v>реконструкция</v>
      </c>
      <c r="B11" s="20">
        <f>Таблица1[[#This Row],[Цена приведенная]]</f>
        <v>55700000</v>
      </c>
      <c r="C11" s="21">
        <f>Таблица1[[#This Row],[Площадь]]</f>
        <v>2900</v>
      </c>
      <c r="D11" s="20">
        <f>Таблица1[[#This Row],[За квадрат]]</f>
        <v>19206.896551724138</v>
      </c>
    </row>
    <row r="12" spans="1:4" x14ac:dyDescent="0.25">
      <c r="A12" t="str">
        <f>Таблица1[[#This Row],[Вид работ]]</f>
        <v>капитальный ремонт</v>
      </c>
      <c r="B12" s="20">
        <f>Таблица1[[#This Row],[Цена приведенная]]</f>
        <v>24380000</v>
      </c>
      <c r="C12" s="21">
        <f>Таблица1[[#This Row],[Площадь]]</f>
        <v>2700</v>
      </c>
      <c r="D12" s="20">
        <f>Таблица1[[#This Row],[За квадрат]]</f>
        <v>9029.6296296296296</v>
      </c>
    </row>
    <row r="13" spans="1:4" hidden="1" x14ac:dyDescent="0.25">
      <c r="A13" t="str">
        <f>Таблица1[[#This Row],[Вид работ]]</f>
        <v>новое строительство</v>
      </c>
      <c r="B13" s="20">
        <f>Таблица1[[#This Row],[Цена приведенная]]</f>
        <v>3137600</v>
      </c>
      <c r="C13" s="21">
        <f>Таблица1[[#This Row],[Площадь]]</f>
        <v>101</v>
      </c>
      <c r="D13" s="20">
        <f>Таблица1[[#This Row],[За квадрат]]</f>
        <v>31065.346534653465</v>
      </c>
    </row>
    <row r="14" spans="1:4" hidden="1" x14ac:dyDescent="0.25">
      <c r="A14" t="str">
        <f>Таблица1[[#This Row],[Вид работ]]</f>
        <v>новое строительство</v>
      </c>
      <c r="B14" s="20">
        <f>Таблица1[[#This Row],[Цена приведенная]]</f>
        <v>46676186.280000001</v>
      </c>
      <c r="C14" s="21">
        <f>Таблица1[[#This Row],[Площадь]]</f>
        <v>2900</v>
      </c>
      <c r="D14" s="20">
        <f>Таблица1[[#This Row],[За квадрат]]</f>
        <v>16095.236648275863</v>
      </c>
    </row>
    <row r="15" spans="1:4" hidden="1" x14ac:dyDescent="0.25">
      <c r="A15" t="str">
        <f>Таблица1[[#This Row],[Вид работ]]</f>
        <v>корректировка</v>
      </c>
      <c r="B15" s="20">
        <f>Таблица1[[#This Row],[Цена приведенная]]</f>
        <v>14000000</v>
      </c>
      <c r="C15" s="21">
        <f>Таблица1[[#This Row],[Площадь]]</f>
        <v>4950</v>
      </c>
      <c r="D15" s="20">
        <f>Таблица1[[#This Row],[За квадрат]]</f>
        <v>2828.2828282828282</v>
      </c>
    </row>
    <row r="16" spans="1:4" hidden="1" x14ac:dyDescent="0.25">
      <c r="A16" t="str">
        <f>Таблица1[[#This Row],[Вид работ]]</f>
        <v>капитальный ремонт</v>
      </c>
      <c r="B16" s="20">
        <f>Таблица1[[#This Row],[Цена приведенная]]</f>
        <v>8965000</v>
      </c>
      <c r="C16" s="21">
        <f>Таблица1[[#This Row],[Площадь]]</f>
        <v>0</v>
      </c>
      <c r="D16" s="20" t="e">
        <f>Таблица1[[#This Row],[За квадрат]]</f>
        <v>#DIV/0!</v>
      </c>
    </row>
    <row r="17" spans="1:4" hidden="1" x14ac:dyDescent="0.25">
      <c r="A17" t="str">
        <f>Таблица1[[#This Row],[Вид работ]]</f>
        <v>новое строительство</v>
      </c>
      <c r="B17" s="20">
        <f>Таблица1[[#This Row],[Цена приведенная]]</f>
        <v>99900000.000000015</v>
      </c>
      <c r="C17" s="21">
        <f>Таблица1[[#This Row],[Площадь]]</f>
        <v>8500</v>
      </c>
      <c r="D17" s="20">
        <f>Таблица1[[#This Row],[За квадрат]]</f>
        <v>11752.941176470589</v>
      </c>
    </row>
    <row r="18" spans="1:4" x14ac:dyDescent="0.25">
      <c r="B18" s="20"/>
      <c r="C18" s="21"/>
      <c r="D18" s="20"/>
    </row>
    <row r="19" spans="1:4" x14ac:dyDescent="0.25">
      <c r="A19" s="22" t="s">
        <v>55</v>
      </c>
      <c r="B19" s="22"/>
      <c r="C19" s="22"/>
      <c r="D19" s="31">
        <v>1377</v>
      </c>
    </row>
    <row r="20" spans="1:4" x14ac:dyDescent="0.25">
      <c r="A20" s="23" t="s">
        <v>56</v>
      </c>
      <c r="B20" s="23"/>
      <c r="C20" s="23"/>
      <c r="D20" s="24">
        <f>D19*C21*POWER(D19,-C22)</f>
        <v>8980939.2848735191</v>
      </c>
    </row>
    <row r="21" spans="1:4" x14ac:dyDescent="0.25">
      <c r="A21" s="26" t="s">
        <v>58</v>
      </c>
      <c r="B21" s="30" t="s">
        <v>59</v>
      </c>
      <c r="C21" s="29">
        <v>214039</v>
      </c>
    </row>
    <row r="22" spans="1:4" x14ac:dyDescent="0.25">
      <c r="A22" s="26"/>
      <c r="B22" s="30" t="s">
        <v>60</v>
      </c>
      <c r="C22" s="29">
        <v>0.48299999999999998</v>
      </c>
    </row>
    <row r="23" spans="1:4" x14ac:dyDescent="0.25">
      <c r="A23" s="22" t="s">
        <v>72</v>
      </c>
      <c r="B23" s="22"/>
      <c r="C23" s="22"/>
      <c r="D23" s="22"/>
    </row>
    <row r="24" spans="1:4" x14ac:dyDescent="0.25">
      <c r="A24" s="23" t="s">
        <v>69</v>
      </c>
      <c r="B24" s="23"/>
      <c r="C24" s="23"/>
      <c r="D24" s="24">
        <v>2000000</v>
      </c>
    </row>
    <row r="25" spans="1:4" x14ac:dyDescent="0.25">
      <c r="A25" s="23" t="s">
        <v>70</v>
      </c>
      <c r="B25" s="23"/>
      <c r="C25" s="23"/>
      <c r="D25" s="24">
        <f>D20*0.13</f>
        <v>1167522.1070335575</v>
      </c>
    </row>
    <row r="26" spans="1:4" x14ac:dyDescent="0.25">
      <c r="A26" s="23" t="s">
        <v>71</v>
      </c>
      <c r="B26" s="23"/>
      <c r="C26" s="23"/>
      <c r="D26" s="24">
        <v>500000</v>
      </c>
    </row>
    <row r="27" spans="1:4" x14ac:dyDescent="0.25">
      <c r="A27" s="27" t="s">
        <v>73</v>
      </c>
      <c r="B27" s="27"/>
      <c r="C27" s="27"/>
      <c r="D27" s="28">
        <f>SUM(D24:D26)+D20</f>
        <v>12648461.391907077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7983-B4FC-4B6E-8149-C914AFA79565}">
  <dimension ref="A1:B6"/>
  <sheetViews>
    <sheetView zoomScale="115" zoomScaleNormal="115" workbookViewId="0">
      <selection activeCell="B4" sqref="B4"/>
    </sheetView>
  </sheetViews>
  <sheetFormatPr defaultRowHeight="15" x14ac:dyDescent="0.25"/>
  <cols>
    <col min="1" max="1" width="49.7109375" bestFit="1" customWidth="1"/>
    <col min="2" max="2" width="19.85546875" customWidth="1"/>
    <col min="3" max="3" width="13.5703125" customWidth="1"/>
    <col min="4" max="4" width="22.28515625" bestFit="1" customWidth="1"/>
  </cols>
  <sheetData>
    <row r="1" spans="1:2" x14ac:dyDescent="0.25">
      <c r="A1" t="s">
        <v>36</v>
      </c>
      <c r="B1" t="s">
        <v>63</v>
      </c>
    </row>
    <row r="2" spans="1:2" x14ac:dyDescent="0.25">
      <c r="A2" t="s">
        <v>37</v>
      </c>
      <c r="B2" s="25">
        <f>COUNTIFS(Таблица1[Вид работ],A2)</f>
        <v>5</v>
      </c>
    </row>
    <row r="3" spans="1:2" x14ac:dyDescent="0.25">
      <c r="A3" t="s">
        <v>41</v>
      </c>
      <c r="B3" s="25">
        <f>COUNTIFS(Таблица1[Вид работ],A3)</f>
        <v>3</v>
      </c>
    </row>
    <row r="4" spans="1:2" x14ac:dyDescent="0.25">
      <c r="A4" t="s">
        <v>40</v>
      </c>
      <c r="B4" s="25">
        <f>COUNTIFS(Таблица1[Вид работ],A4)</f>
        <v>6</v>
      </c>
    </row>
    <row r="5" spans="1:2" x14ac:dyDescent="0.25">
      <c r="A5" t="s">
        <v>39</v>
      </c>
      <c r="B5" s="25">
        <f>COUNTIFS(Таблица1[Вид работ],A5)</f>
        <v>3</v>
      </c>
    </row>
    <row r="6" spans="1:2" x14ac:dyDescent="0.25">
      <c r="A6" t="s">
        <v>38</v>
      </c>
      <c r="B6" s="25">
        <f>COUNTIFS(Таблица1[Вид работ],A6)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6F96-5F5D-47D1-8E28-D13B9F2F9862}">
  <dimension ref="A1:B15"/>
  <sheetViews>
    <sheetView workbookViewId="0">
      <selection activeCell="A15" sqref="A15"/>
    </sheetView>
  </sheetViews>
  <sheetFormatPr defaultRowHeight="15" x14ac:dyDescent="0.25"/>
  <cols>
    <col min="1" max="1" width="11.28515625" customWidth="1"/>
  </cols>
  <sheetData>
    <row r="1" spans="1:2" x14ac:dyDescent="0.25">
      <c r="A1" s="9">
        <v>2008</v>
      </c>
      <c r="B1" s="10">
        <v>2.63</v>
      </c>
    </row>
    <row r="2" spans="1:2" x14ac:dyDescent="0.25">
      <c r="A2" s="11">
        <v>2009</v>
      </c>
      <c r="B2" s="12">
        <v>2.3199999999999998</v>
      </c>
    </row>
    <row r="3" spans="1:2" x14ac:dyDescent="0.25">
      <c r="A3" s="11">
        <v>2010</v>
      </c>
      <c r="B3" s="12">
        <v>2.13</v>
      </c>
    </row>
    <row r="4" spans="1:2" x14ac:dyDescent="0.25">
      <c r="A4" s="11">
        <v>2011</v>
      </c>
      <c r="B4" s="12">
        <v>1.96</v>
      </c>
    </row>
    <row r="5" spans="1:2" x14ac:dyDescent="0.25">
      <c r="A5" s="11">
        <v>2012</v>
      </c>
      <c r="B5" s="12">
        <v>1.85</v>
      </c>
    </row>
    <row r="6" spans="1:2" x14ac:dyDescent="0.25">
      <c r="A6" s="11">
        <v>2013</v>
      </c>
      <c r="B6" s="12">
        <v>1.73</v>
      </c>
    </row>
    <row r="7" spans="1:2" x14ac:dyDescent="0.25">
      <c r="A7" s="11">
        <v>2014</v>
      </c>
      <c r="B7" s="12">
        <v>1.63</v>
      </c>
    </row>
    <row r="8" spans="1:2" x14ac:dyDescent="0.25">
      <c r="A8" s="11">
        <v>2015</v>
      </c>
      <c r="B8" s="12">
        <v>1.46</v>
      </c>
    </row>
    <row r="9" spans="1:2" x14ac:dyDescent="0.25">
      <c r="A9" s="11">
        <v>2016</v>
      </c>
      <c r="B9" s="12">
        <v>1.29</v>
      </c>
    </row>
    <row r="10" spans="1:2" x14ac:dyDescent="0.25">
      <c r="A10" s="11">
        <v>2017</v>
      </c>
      <c r="B10" s="12">
        <v>1.23</v>
      </c>
    </row>
    <row r="11" spans="1:2" x14ac:dyDescent="0.25">
      <c r="A11" s="11">
        <v>2018</v>
      </c>
      <c r="B11" s="12">
        <v>1.2</v>
      </c>
    </row>
    <row r="12" spans="1:2" x14ac:dyDescent="0.25">
      <c r="A12" s="11">
        <v>2019</v>
      </c>
      <c r="B12" s="12">
        <v>1.1499999999999999</v>
      </c>
    </row>
    <row r="13" spans="1:2" x14ac:dyDescent="0.25">
      <c r="A13" s="11">
        <v>2020</v>
      </c>
      <c r="B13" s="12">
        <v>1.1100000000000001</v>
      </c>
    </row>
    <row r="14" spans="1:2" x14ac:dyDescent="0.25">
      <c r="A14" s="11">
        <v>2021</v>
      </c>
      <c r="B14" s="12">
        <v>1.06</v>
      </c>
    </row>
    <row r="15" spans="1:2" x14ac:dyDescent="0.25">
      <c r="A15" s="16">
        <v>2022</v>
      </c>
      <c r="B15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0BE6-896E-4AE8-AF27-69DDA9B61421}">
  <dimension ref="A1:A5"/>
  <sheetViews>
    <sheetView workbookViewId="0">
      <selection activeCell="A6" sqref="A6"/>
    </sheetView>
  </sheetViews>
  <sheetFormatPr defaultRowHeight="15" x14ac:dyDescent="0.25"/>
  <cols>
    <col min="1" max="1" width="49.7109375" bestFit="1" customWidth="1"/>
  </cols>
  <sheetData>
    <row r="1" spans="1:1" x14ac:dyDescent="0.25">
      <c r="A1" t="s">
        <v>39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40</v>
      </c>
    </row>
    <row r="5" spans="1:1" x14ac:dyDescent="0.25">
      <c r="A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Base</vt:lpstr>
      <vt:lpstr>Stat_new_build</vt:lpstr>
      <vt:lpstr>Stat_kaprem</vt:lpstr>
      <vt:lpstr>Stat_cat</vt:lpstr>
      <vt:lpstr>K_inf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HASCCA</dc:creator>
  <cp:lastModifiedBy>Engineer HASCCA</cp:lastModifiedBy>
  <dcterms:created xsi:type="dcterms:W3CDTF">2022-02-28T15:49:56Z</dcterms:created>
  <dcterms:modified xsi:type="dcterms:W3CDTF">2022-03-05T15:22:41Z</dcterms:modified>
</cp:coreProperties>
</file>