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uarios\Danilo\Downloads\"/>
    </mc:Choice>
  </mc:AlternateContent>
  <xr:revisionPtr revIDLastSave="0" documentId="8_{6A99E6A5-5D0A-4571-861C-74BE7615A8A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1ª Entrega" sheetId="1" r:id="rId1"/>
    <sheet name="2ª Entrega" sheetId="2" r:id="rId2"/>
    <sheet name="3ª Entrega" sheetId="3" r:id="rId3"/>
    <sheet name="4ª Entrega" sheetId="4" r:id="rId4"/>
    <sheet name="5ª Entrega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5" l="1"/>
  <c r="I10" i="5"/>
  <c r="H10" i="5"/>
  <c r="G10" i="5"/>
  <c r="F10" i="5"/>
  <c r="I7" i="5"/>
  <c r="H7" i="5"/>
  <c r="G7" i="5"/>
  <c r="F7" i="5"/>
  <c r="G4" i="5"/>
  <c r="G11" i="5" s="1"/>
  <c r="F4" i="5"/>
  <c r="F11" i="5" s="1"/>
  <c r="H3" i="5"/>
  <c r="H4" i="5" s="1"/>
  <c r="H11" i="5" s="1"/>
  <c r="G3" i="5"/>
  <c r="K16" i="4"/>
  <c r="P16" i="4" s="1"/>
  <c r="K15" i="4"/>
  <c r="P15" i="4" s="1"/>
  <c r="B15" i="4"/>
  <c r="P14" i="4"/>
  <c r="K14" i="4"/>
  <c r="B14" i="4"/>
  <c r="K13" i="4"/>
  <c r="J9" i="4"/>
  <c r="E9" i="4"/>
  <c r="E8" i="4"/>
  <c r="J7" i="4"/>
  <c r="K3" i="4"/>
  <c r="K4" i="4" s="1"/>
  <c r="K5" i="4" s="1"/>
  <c r="K6" i="4" s="1"/>
  <c r="J3" i="4"/>
  <c r="L2" i="4"/>
  <c r="L3" i="4" s="1"/>
  <c r="L4" i="4" s="1"/>
  <c r="L5" i="4" s="1"/>
  <c r="L6" i="4" s="1"/>
  <c r="K2" i="4"/>
  <c r="P64" i="3"/>
  <c r="Q64" i="3" s="1"/>
  <c r="R64" i="3" s="1"/>
  <c r="N64" i="3"/>
  <c r="O64" i="3" s="1"/>
  <c r="P63" i="3"/>
  <c r="Q63" i="3" s="1"/>
  <c r="R63" i="3" s="1"/>
  <c r="O63" i="3"/>
  <c r="N63" i="3"/>
  <c r="P62" i="3"/>
  <c r="Q62" i="3" s="1"/>
  <c r="R62" i="3" s="1"/>
  <c r="N62" i="3"/>
  <c r="O62" i="3" s="1"/>
  <c r="Q61" i="3"/>
  <c r="R61" i="3" s="1"/>
  <c r="P61" i="3"/>
  <c r="N61" i="3"/>
  <c r="O61" i="3" s="1"/>
  <c r="P60" i="3"/>
  <c r="Q60" i="3" s="1"/>
  <c r="R60" i="3" s="1"/>
  <c r="N60" i="3"/>
  <c r="O60" i="3" s="1"/>
  <c r="P59" i="3"/>
  <c r="Q59" i="3" s="1"/>
  <c r="R59" i="3" s="1"/>
  <c r="O59" i="3"/>
  <c r="N59" i="3"/>
  <c r="Q58" i="3"/>
  <c r="R58" i="3" s="1"/>
  <c r="P58" i="3"/>
  <c r="N58" i="3"/>
  <c r="O58" i="3" s="1"/>
  <c r="Q57" i="3"/>
  <c r="R57" i="3" s="1"/>
  <c r="P57" i="3"/>
  <c r="N57" i="3"/>
  <c r="O57" i="3" s="1"/>
  <c r="P56" i="3"/>
  <c r="Q56" i="3" s="1"/>
  <c r="R56" i="3" s="1"/>
  <c r="O56" i="3"/>
  <c r="N56" i="3"/>
  <c r="Q55" i="3"/>
  <c r="R55" i="3" s="1"/>
  <c r="P55" i="3"/>
  <c r="O55" i="3"/>
  <c r="N55" i="3"/>
  <c r="P54" i="3"/>
  <c r="Q54" i="3" s="1"/>
  <c r="R54" i="3" s="1"/>
  <c r="N54" i="3"/>
  <c r="O54" i="3" s="1"/>
  <c r="R53" i="3"/>
  <c r="Q53" i="3"/>
  <c r="P53" i="3"/>
  <c r="O53" i="3"/>
  <c r="N53" i="3"/>
  <c r="P52" i="3"/>
  <c r="Q52" i="3" s="1"/>
  <c r="R52" i="3" s="1"/>
  <c r="N52" i="3"/>
  <c r="O52" i="3" s="1"/>
  <c r="P51" i="3"/>
  <c r="Q51" i="3" s="1"/>
  <c r="R51" i="3" s="1"/>
  <c r="O51" i="3"/>
  <c r="N51" i="3"/>
  <c r="P50" i="3"/>
  <c r="Q50" i="3" s="1"/>
  <c r="R50" i="3" s="1"/>
  <c r="N50" i="3"/>
  <c r="O50" i="3" s="1"/>
  <c r="Q49" i="3"/>
  <c r="R49" i="3" s="1"/>
  <c r="P49" i="3"/>
  <c r="N49" i="3"/>
  <c r="O49" i="3" s="1"/>
  <c r="P48" i="3"/>
  <c r="Q48" i="3" s="1"/>
  <c r="R48" i="3" s="1"/>
  <c r="N48" i="3"/>
  <c r="O48" i="3" s="1"/>
  <c r="P47" i="3"/>
  <c r="Q47" i="3" s="1"/>
  <c r="R47" i="3" s="1"/>
  <c r="O47" i="3"/>
  <c r="N47" i="3"/>
  <c r="Q46" i="3"/>
  <c r="R46" i="3" s="1"/>
  <c r="P46" i="3"/>
  <c r="N46" i="3"/>
  <c r="O46" i="3" s="1"/>
  <c r="Q45" i="3"/>
  <c r="R45" i="3" s="1"/>
  <c r="P45" i="3"/>
  <c r="N45" i="3"/>
  <c r="O45" i="3" s="1"/>
  <c r="P44" i="3"/>
  <c r="Q44" i="3" s="1"/>
  <c r="R44" i="3" s="1"/>
  <c r="O44" i="3"/>
  <c r="N44" i="3"/>
  <c r="Q43" i="3"/>
  <c r="R43" i="3" s="1"/>
  <c r="P43" i="3"/>
  <c r="O43" i="3"/>
  <c r="N43" i="3"/>
  <c r="P42" i="3"/>
  <c r="Q42" i="3" s="1"/>
  <c r="R42" i="3" s="1"/>
  <c r="O42" i="3"/>
  <c r="N42" i="3"/>
  <c r="R41" i="3"/>
  <c r="Q41" i="3"/>
  <c r="P41" i="3"/>
  <c r="O41" i="3"/>
  <c r="N41" i="3"/>
  <c r="P40" i="3"/>
  <c r="Q40" i="3" s="1"/>
  <c r="R40" i="3" s="1"/>
  <c r="N40" i="3"/>
  <c r="O40" i="3" s="1"/>
  <c r="P39" i="3"/>
  <c r="Q39" i="3" s="1"/>
  <c r="R39" i="3" s="1"/>
  <c r="O39" i="3"/>
  <c r="N39" i="3"/>
  <c r="P38" i="3"/>
  <c r="Q38" i="3" s="1"/>
  <c r="R38" i="3" s="1"/>
  <c r="N38" i="3"/>
  <c r="O38" i="3" s="1"/>
  <c r="Q37" i="3"/>
  <c r="R37" i="3" s="1"/>
  <c r="P37" i="3"/>
  <c r="N37" i="3"/>
  <c r="O37" i="3" s="1"/>
  <c r="P36" i="3"/>
  <c r="Q36" i="3" s="1"/>
  <c r="R36" i="3" s="1"/>
  <c r="N36" i="3"/>
  <c r="O36" i="3" s="1"/>
  <c r="Q35" i="3"/>
  <c r="R35" i="3" s="1"/>
  <c r="P35" i="3"/>
  <c r="N35" i="3"/>
  <c r="O35" i="3" s="1"/>
  <c r="P34" i="3"/>
  <c r="Q34" i="3" s="1"/>
  <c r="R34" i="3" s="1"/>
  <c r="N34" i="3"/>
  <c r="O34" i="3" s="1"/>
  <c r="Y33" i="3"/>
  <c r="Q33" i="3"/>
  <c r="R33" i="3" s="1"/>
  <c r="P33" i="3"/>
  <c r="O33" i="3"/>
  <c r="N33" i="3"/>
  <c r="X32" i="3"/>
  <c r="X33" i="3" s="1"/>
  <c r="P32" i="3"/>
  <c r="Q32" i="3" s="1"/>
  <c r="R32" i="3" s="1"/>
  <c r="O32" i="3"/>
  <c r="N32" i="3"/>
  <c r="Q31" i="3"/>
  <c r="R31" i="3" s="1"/>
  <c r="P31" i="3"/>
  <c r="N31" i="3"/>
  <c r="O31" i="3" s="1"/>
  <c r="L31" i="3"/>
  <c r="AA30" i="3"/>
  <c r="Z30" i="3"/>
  <c r="Y30" i="3"/>
  <c r="X30" i="3"/>
  <c r="Q30" i="3"/>
  <c r="R30" i="3" s="1"/>
  <c r="P30" i="3"/>
  <c r="N30" i="3"/>
  <c r="O30" i="3" s="1"/>
  <c r="AA28" i="3"/>
  <c r="X28" i="3"/>
  <c r="AC29" i="3" s="1"/>
  <c r="E27" i="3"/>
  <c r="E28" i="3" s="1"/>
  <c r="E29" i="3" s="1"/>
  <c r="AA26" i="3"/>
  <c r="Z26" i="3"/>
  <c r="Y26" i="3"/>
  <c r="AC25" i="3"/>
  <c r="U25" i="3"/>
  <c r="U26" i="3" s="1"/>
  <c r="AA24" i="3"/>
  <c r="Y24" i="3"/>
  <c r="X24" i="3"/>
  <c r="K24" i="3"/>
  <c r="E24" i="3"/>
  <c r="E25" i="3" s="1"/>
  <c r="AC23" i="3"/>
  <c r="K23" i="3"/>
  <c r="E23" i="3"/>
  <c r="AC22" i="3"/>
  <c r="Y32" i="3" s="1"/>
  <c r="E22" i="3"/>
  <c r="B2" i="4" s="1"/>
  <c r="B3" i="4" s="1"/>
  <c r="U20" i="3"/>
  <c r="B19" i="3"/>
  <c r="B8" i="4" s="1"/>
  <c r="E18" i="3"/>
  <c r="U16" i="3"/>
  <c r="R16" i="3"/>
  <c r="E16" i="3"/>
  <c r="B15" i="3"/>
  <c r="B10" i="3" s="1"/>
  <c r="B13" i="3" s="1"/>
  <c r="B14" i="3" s="1"/>
  <c r="B12" i="3"/>
  <c r="B9" i="3"/>
  <c r="R7" i="3"/>
  <c r="R8" i="3" s="1"/>
  <c r="R9" i="3" s="1"/>
  <c r="R6" i="3"/>
  <c r="B46" i="2"/>
  <c r="B45" i="2"/>
  <c r="B47" i="2" s="1"/>
  <c r="B44" i="2"/>
  <c r="H13" i="2"/>
  <c r="I12" i="2" s="1"/>
  <c r="B10" i="2"/>
  <c r="B18" i="2" s="1"/>
  <c r="E9" i="2"/>
  <c r="B9" i="2"/>
  <c r="B17" i="2" s="1"/>
  <c r="E8" i="2"/>
  <c r="I6" i="2"/>
  <c r="E5" i="2"/>
  <c r="H13" i="1"/>
  <c r="E6" i="1" s="1"/>
  <c r="E9" i="1"/>
  <c r="H8" i="1"/>
  <c r="E8" i="1"/>
  <c r="E5" i="1"/>
  <c r="E12" i="1" s="1"/>
  <c r="F54" i="2" l="1"/>
  <c r="F48" i="2"/>
  <c r="F39" i="2"/>
  <c r="F29" i="2"/>
  <c r="F25" i="2"/>
  <c r="C15" i="2"/>
  <c r="F28" i="2"/>
  <c r="F46" i="2"/>
  <c r="F32" i="2"/>
  <c r="F57" i="2"/>
  <c r="F51" i="2"/>
  <c r="F36" i="2"/>
  <c r="F27" i="2"/>
  <c r="F18" i="2"/>
  <c r="F56" i="2"/>
  <c r="F50" i="2"/>
  <c r="F45" i="2"/>
  <c r="F41" i="2"/>
  <c r="F35" i="2"/>
  <c r="F31" i="2"/>
  <c r="B22" i="2"/>
  <c r="F26" i="2"/>
  <c r="F17" i="2"/>
  <c r="F22" i="2"/>
  <c r="F55" i="2"/>
  <c r="B26" i="2"/>
  <c r="B32" i="2" s="1"/>
  <c r="C42" i="2" s="1"/>
  <c r="F49" i="2"/>
  <c r="F40" i="2"/>
  <c r="F30" i="2"/>
  <c r="F21" i="2"/>
  <c r="F44" i="2"/>
  <c r="F34" i="2"/>
  <c r="F20" i="2"/>
  <c r="F53" i="2"/>
  <c r="F47" i="2"/>
  <c r="F43" i="2"/>
  <c r="F38" i="2"/>
  <c r="F33" i="2"/>
  <c r="F24" i="2"/>
  <c r="B20" i="2"/>
  <c r="F52" i="2"/>
  <c r="F37" i="2"/>
  <c r="F23" i="2"/>
  <c r="F19" i="2"/>
  <c r="F42" i="2"/>
  <c r="L7" i="4"/>
  <c r="L8" i="4"/>
  <c r="L9" i="4" s="1"/>
  <c r="G20" i="2"/>
  <c r="G52" i="2"/>
  <c r="G37" i="2"/>
  <c r="G23" i="2"/>
  <c r="G19" i="2"/>
  <c r="G57" i="2"/>
  <c r="G51" i="2"/>
  <c r="G36" i="2"/>
  <c r="G27" i="2"/>
  <c r="B23" i="2"/>
  <c r="G18" i="2"/>
  <c r="G22" i="2"/>
  <c r="G26" i="2"/>
  <c r="G17" i="2"/>
  <c r="G49" i="2"/>
  <c r="G30" i="2"/>
  <c r="G21" i="2"/>
  <c r="G56" i="2"/>
  <c r="G50" i="2"/>
  <c r="G45" i="2"/>
  <c r="G41" i="2"/>
  <c r="G35" i="2"/>
  <c r="G31" i="2"/>
  <c r="B27" i="2"/>
  <c r="B33" i="2" s="1"/>
  <c r="C43" i="2" s="1"/>
  <c r="G55" i="2"/>
  <c r="G44" i="2"/>
  <c r="G34" i="2"/>
  <c r="G40" i="2"/>
  <c r="G54" i="2"/>
  <c r="G48" i="2"/>
  <c r="G39" i="2"/>
  <c r="G29" i="2"/>
  <c r="G25" i="2"/>
  <c r="B21" i="2"/>
  <c r="C16" i="2"/>
  <c r="G53" i="2"/>
  <c r="G47" i="2"/>
  <c r="G43" i="2"/>
  <c r="G38" i="2"/>
  <c r="G33" i="2"/>
  <c r="G24" i="2"/>
  <c r="G28" i="2"/>
  <c r="G46" i="2"/>
  <c r="G42" i="2"/>
  <c r="G32" i="2"/>
  <c r="F5" i="4"/>
  <c r="G5" i="4" s="1"/>
  <c r="F2" i="4"/>
  <c r="G2" i="4" s="1"/>
  <c r="F4" i="4"/>
  <c r="G4" i="4" s="1"/>
  <c r="F3" i="4"/>
  <c r="G3" i="4" s="1"/>
  <c r="B4" i="4"/>
  <c r="K8" i="4"/>
  <c r="K9" i="4" s="1"/>
  <c r="K7" i="4"/>
  <c r="N14" i="4"/>
  <c r="R3" i="3"/>
  <c r="E7" i="1"/>
  <c r="E6" i="2"/>
  <c r="E13" i="2" s="1"/>
  <c r="L10" i="2" s="1"/>
  <c r="H26" i="3"/>
  <c r="H9" i="1"/>
  <c r="H10" i="1" s="1"/>
  <c r="H11" i="1" s="1"/>
  <c r="E11" i="1"/>
  <c r="E13" i="1" s="1"/>
  <c r="L35" i="3"/>
  <c r="N13" i="4"/>
  <c r="O13" i="4" s="1"/>
  <c r="P13" i="4" s="1"/>
  <c r="I3" i="5"/>
  <c r="I4" i="5" s="1"/>
  <c r="I11" i="5" s="1"/>
  <c r="AC24" i="3"/>
  <c r="U27" i="3" s="1"/>
  <c r="U28" i="3" s="1"/>
  <c r="M10" i="2" l="1"/>
  <c r="J10" i="2"/>
  <c r="B34" i="2"/>
  <c r="U17" i="3"/>
  <c r="R10" i="3"/>
  <c r="B5" i="4"/>
  <c r="Q14" i="4"/>
  <c r="R14" i="4" s="1"/>
  <c r="B29" i="2"/>
  <c r="Q13" i="4"/>
  <c r="R13" i="4" s="1"/>
  <c r="AC28" i="3"/>
  <c r="B35" i="2"/>
  <c r="E12" i="2"/>
  <c r="L7" i="2" s="1"/>
  <c r="E11" i="2"/>
  <c r="L4" i="2" s="1"/>
  <c r="E14" i="2"/>
  <c r="L13" i="2" s="1"/>
  <c r="B28" i="2"/>
  <c r="H28" i="3"/>
  <c r="H29" i="3" s="1"/>
  <c r="H30" i="3" s="1"/>
  <c r="H31" i="3" s="1"/>
  <c r="K28" i="3"/>
  <c r="K29" i="3" s="1"/>
  <c r="K30" i="3" s="1"/>
  <c r="R11" i="3" l="1"/>
  <c r="R12" i="3" s="1"/>
  <c r="R13" i="3" s="1"/>
  <c r="M13" i="2"/>
  <c r="J13" i="2"/>
  <c r="H32" i="3"/>
  <c r="H35" i="3"/>
  <c r="H36" i="3" s="1"/>
  <c r="H37" i="3" s="1"/>
  <c r="B6" i="4"/>
  <c r="N15" i="4"/>
  <c r="Q15" i="4" s="1"/>
  <c r="R15" i="4" s="1"/>
  <c r="M4" i="2"/>
  <c r="J4" i="2"/>
  <c r="B12" i="2" s="1"/>
  <c r="M7" i="2"/>
  <c r="J7" i="2"/>
  <c r="B11" i="2" s="1"/>
  <c r="O22" i="3"/>
  <c r="K31" i="3"/>
  <c r="Q16" i="4" l="1"/>
  <c r="R16" i="4" s="1"/>
  <c r="N16" i="4"/>
  <c r="N25" i="3"/>
  <c r="K35" i="3"/>
  <c r="K32" i="3"/>
  <c r="AA13" i="3"/>
  <c r="R14" i="3"/>
  <c r="X16" i="3" l="1"/>
  <c r="R17" i="3"/>
  <c r="R15" i="3"/>
  <c r="O23" i="3"/>
  <c r="Z23" i="3" s="1"/>
  <c r="L36" i="3"/>
  <c r="P25" i="3"/>
  <c r="N26" i="3"/>
  <c r="P26" i="3" s="1"/>
  <c r="R25" i="3"/>
  <c r="K36" i="3"/>
  <c r="K37" i="3" s="1"/>
  <c r="AB16" i="3" l="1"/>
  <c r="Z16" i="3"/>
  <c r="X17" i="3"/>
  <c r="Z17" i="3" s="1"/>
  <c r="AA14" i="3"/>
  <c r="U18" i="3"/>
  <c r="Z24" i="3"/>
  <c r="AC27" i="3" s="1"/>
  <c r="R18" i="3"/>
  <c r="R19" i="3" s="1"/>
</calcChain>
</file>

<file path=xl/sharedStrings.xml><?xml version="1.0" encoding="utf-8"?>
<sst xmlns="http://schemas.openxmlformats.org/spreadsheetml/2006/main" count="338" uniqueCount="275">
  <si>
    <t>Cabo de Aço e Motor</t>
  </si>
  <si>
    <t>Dados</t>
  </si>
  <si>
    <t>Motor</t>
  </si>
  <si>
    <t>Cabo de aço - alma aço ou fibra</t>
  </si>
  <si>
    <t/>
  </si>
  <si>
    <t>Q (N)</t>
  </si>
  <si>
    <t>FS</t>
  </si>
  <si>
    <t>Cátalogo SIVA</t>
  </si>
  <si>
    <t>V_min (m/min)</t>
  </si>
  <si>
    <t>RPM_min</t>
  </si>
  <si>
    <t>Tensão_0 (MPa)</t>
  </si>
  <si>
    <t>Acro Cabos</t>
  </si>
  <si>
    <t>V_máx (m/min)</t>
  </si>
  <si>
    <t>RPM_max</t>
  </si>
  <si>
    <t>Ec (kgf/mm²)</t>
  </si>
  <si>
    <t>Polos</t>
  </si>
  <si>
    <t>V_min (m/s)</t>
  </si>
  <si>
    <t>Ec (GPa)</t>
  </si>
  <si>
    <t>V_max (m/s)</t>
  </si>
  <si>
    <t>A (m²)</t>
  </si>
  <si>
    <t>FS.Q/Tensão_0</t>
  </si>
  <si>
    <t>eficiencia</t>
  </si>
  <si>
    <t>d (mm)</t>
  </si>
  <si>
    <t>raiz(4.A/pi).1000</t>
  </si>
  <si>
    <t>P_min (kW)</t>
  </si>
  <si>
    <t>d (pol)</t>
  </si>
  <si>
    <t>P_max (kW)</t>
  </si>
  <si>
    <t>fator k</t>
  </si>
  <si>
    <t>P (cv)</t>
  </si>
  <si>
    <t>Dmin (mm) - Tambor</t>
  </si>
  <si>
    <r>
      <rPr>
        <sz val="10"/>
        <color theme="1"/>
        <rFont val="Arial"/>
        <family val="2"/>
      </rPr>
      <t xml:space="preserve">Como não tem </t>
    </r>
    <r>
      <rPr>
        <b/>
        <sz val="10"/>
        <color theme="1"/>
        <rFont val="Arial"/>
        <family val="2"/>
      </rPr>
      <t>3 cv</t>
    </r>
    <r>
      <rPr>
        <sz val="10"/>
        <color theme="1"/>
        <rFont val="Arial"/>
        <family val="2"/>
      </rPr>
      <t xml:space="preserve">, o motor terá potência de </t>
    </r>
    <r>
      <rPr>
        <b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cv</t>
    </r>
  </si>
  <si>
    <t>Cabo escolhido: Cabo de aço revestido com Nylon ou PVC de 3/8'' 6x25</t>
  </si>
  <si>
    <t>O motor deve ter classe de proteção IP65 (contra água do mar)</t>
  </si>
  <si>
    <t>Motor escolhido: WEG W22 IR3 Super Premium, Trifásico, 60 Hz, 4 polos, 5 hp, 1755 RPM</t>
  </si>
  <si>
    <t>Polias, correias e engrenagens</t>
  </si>
  <si>
    <t>i_4</t>
  </si>
  <si>
    <t>RPM1</t>
  </si>
  <si>
    <t>i_tot1</t>
  </si>
  <si>
    <t>Dados do motor</t>
  </si>
  <si>
    <t>Velocidades do tambor</t>
  </si>
  <si>
    <t>i_1</t>
  </si>
  <si>
    <t>RPM_mot</t>
  </si>
  <si>
    <t>q</t>
  </si>
  <si>
    <t>RPM_p1</t>
  </si>
  <si>
    <t>Escorregamento (%)</t>
  </si>
  <si>
    <t>D_t (mm)</t>
  </si>
  <si>
    <t>i_3</t>
  </si>
  <si>
    <t>RPM2</t>
  </si>
  <si>
    <t>i_tot2</t>
  </si>
  <si>
    <t>V_1 (m/min)</t>
  </si>
  <si>
    <t>Relações de transmissão</t>
  </si>
  <si>
    <t>V_2 (m/min)</t>
  </si>
  <si>
    <t>i_2</t>
  </si>
  <si>
    <t>V_3 (m/min)</t>
  </si>
  <si>
    <t>RPM3</t>
  </si>
  <si>
    <t>i_tot3</t>
  </si>
  <si>
    <t>V_4 (m/min)</t>
  </si>
  <si>
    <t>RPM_p2</t>
  </si>
  <si>
    <t>RPM4</t>
  </si>
  <si>
    <t>i_tot4</t>
  </si>
  <si>
    <t>Polias</t>
  </si>
  <si>
    <t>dmot_2 (mm)</t>
  </si>
  <si>
    <t>dmot_1 (mm)</t>
  </si>
  <si>
    <t>C</t>
  </si>
  <si>
    <t>alfa2</t>
  </si>
  <si>
    <t>alfa1</t>
  </si>
  <si>
    <t>dmov_2 (mm)</t>
  </si>
  <si>
    <t>dmov_1 (mm)</t>
  </si>
  <si>
    <t>Entre-eixos (mm)</t>
  </si>
  <si>
    <t>alfa_2 (º)</t>
  </si>
  <si>
    <t>alfa_1 (°)</t>
  </si>
  <si>
    <t>L_2 (mm)</t>
  </si>
  <si>
    <t>L_1 (mm)</t>
  </si>
  <si>
    <t>L_real (mm)</t>
  </si>
  <si>
    <t>la2</t>
  </si>
  <si>
    <t>la1</t>
  </si>
  <si>
    <t>(D2-d2)/la2</t>
  </si>
  <si>
    <t>(D1-d1)/la1</t>
  </si>
  <si>
    <t>h2</t>
  </si>
  <si>
    <t>h1</t>
  </si>
  <si>
    <t>Ca2</t>
  </si>
  <si>
    <t>Ca1</t>
  </si>
  <si>
    <t>(D2-d2)/Ca2</t>
  </si>
  <si>
    <t>(D1-d1)/Ca1</t>
  </si>
  <si>
    <t>Pa2 (cv)</t>
  </si>
  <si>
    <t>Pa1 (cv)</t>
  </si>
  <si>
    <t>Pb2 (cv)</t>
  </si>
  <si>
    <t>Pb1 (cv)</t>
  </si>
  <si>
    <t>fcc2</t>
  </si>
  <si>
    <t>fcc1</t>
  </si>
  <si>
    <t>fcac2</t>
  </si>
  <si>
    <t>fcac1</t>
  </si>
  <si>
    <t>Ppc2</t>
  </si>
  <si>
    <t>Ppc1</t>
  </si>
  <si>
    <t>Nc2</t>
  </si>
  <si>
    <t>Nc1</t>
  </si>
  <si>
    <t>Logo n = 3</t>
  </si>
  <si>
    <t>Cálculos para a trasnmissão</t>
  </si>
  <si>
    <t>Fator de forma q</t>
  </si>
  <si>
    <t>i_reduzido</t>
  </si>
  <si>
    <t>N° de dentes</t>
  </si>
  <si>
    <t>M</t>
  </si>
  <si>
    <t>i_par</t>
  </si>
  <si>
    <t>Z_1</t>
  </si>
  <si>
    <t>Z_2</t>
  </si>
  <si>
    <t>W</t>
  </si>
  <si>
    <t>Valores do projeto</t>
  </si>
  <si>
    <t>Critérios de desgaste e flexão</t>
  </si>
  <si>
    <t>W^(1/6)</t>
  </si>
  <si>
    <t>Padm</t>
  </si>
  <si>
    <t>Razão da PG</t>
  </si>
  <si>
    <t>bd²</t>
  </si>
  <si>
    <t>D_tambor (mm)</t>
  </si>
  <si>
    <t>d1</t>
  </si>
  <si>
    <t>Cálculos para demais pares</t>
  </si>
  <si>
    <t>V_1 (m/s)</t>
  </si>
  <si>
    <t>m</t>
  </si>
  <si>
    <t>Dimensões das engrenagens</t>
  </si>
  <si>
    <t>V_2 (m/s)</t>
  </si>
  <si>
    <t>Dados e cálculos para as engrenagens</t>
  </si>
  <si>
    <t>mn</t>
  </si>
  <si>
    <t>V_3 (m/s</t>
  </si>
  <si>
    <t>p_max</t>
  </si>
  <si>
    <t>d01</t>
  </si>
  <si>
    <t>Correção</t>
  </si>
  <si>
    <t>b (mm)</t>
  </si>
  <si>
    <t>V_4 (m/s)</t>
  </si>
  <si>
    <t>K_ev</t>
  </si>
  <si>
    <t>B/d = 0.75 ou 1.2</t>
  </si>
  <si>
    <t>b1</t>
  </si>
  <si>
    <t>novo m</t>
  </si>
  <si>
    <t>Diâmetros (mm)</t>
  </si>
  <si>
    <t>Dentes</t>
  </si>
  <si>
    <t>Distância entre-eixos</t>
  </si>
  <si>
    <t>M (Nm)</t>
  </si>
  <si>
    <t>novo d01</t>
  </si>
  <si>
    <t>d1a (mm)</t>
  </si>
  <si>
    <t>Z1a (dentes)</t>
  </si>
  <si>
    <t>C (mm)</t>
  </si>
  <si>
    <t>alpha (°)</t>
  </si>
  <si>
    <t>Ft</t>
  </si>
  <si>
    <t>Ft_novo</t>
  </si>
  <si>
    <t>d1b (mm)</t>
  </si>
  <si>
    <t>Z1b (dentes)</t>
  </si>
  <si>
    <t>Pot (hp)</t>
  </si>
  <si>
    <t>alpha (rad)</t>
  </si>
  <si>
    <t>sigma_max</t>
  </si>
  <si>
    <t>sigma_novo</t>
  </si>
  <si>
    <t>Pot (W)</t>
  </si>
  <si>
    <t>N_mín_pinhão</t>
  </si>
  <si>
    <t>Número mínimo de dentes no pinhão</t>
  </si>
  <si>
    <t>A tensão é maior que a de escoamento?</t>
  </si>
  <si>
    <t>sigma_material</t>
  </si>
  <si>
    <t>Rotação do motor (RPM)</t>
  </si>
  <si>
    <t>Cálculos para primeiro par</t>
  </si>
  <si>
    <t>Valores Finais - SAE8640</t>
  </si>
  <si>
    <t>Critério de pressão</t>
  </si>
  <si>
    <t>Propriedades do material</t>
  </si>
  <si>
    <t>M_pinhão (Nmm)</t>
  </si>
  <si>
    <t>M = 30000.P/pi.n</t>
  </si>
  <si>
    <t>Par 1</t>
  </si>
  <si>
    <t>Par 2</t>
  </si>
  <si>
    <t>Par 3</t>
  </si>
  <si>
    <t>Total</t>
  </si>
  <si>
    <t>Engrenagem</t>
  </si>
  <si>
    <t>Diâmetro (mm)</t>
  </si>
  <si>
    <t>Módulo</t>
  </si>
  <si>
    <t>Largura (mm)</t>
  </si>
  <si>
    <t>Número de dentes</t>
  </si>
  <si>
    <t>C1 (mm)</t>
  </si>
  <si>
    <t>Aço AISI 4340</t>
  </si>
  <si>
    <t>i</t>
  </si>
  <si>
    <t>i_Verde</t>
  </si>
  <si>
    <t>Pinhão 1</t>
  </si>
  <si>
    <t>C2 (mm)</t>
  </si>
  <si>
    <t>Resis. Tração (MPa)</t>
  </si>
  <si>
    <t>i_Roxo</t>
  </si>
  <si>
    <t>Movida 1</t>
  </si>
  <si>
    <t>C3 (mm)</t>
  </si>
  <si>
    <t>Limite de escoamento (MPa)</t>
  </si>
  <si>
    <t>Pinhão 2</t>
  </si>
  <si>
    <t>C4 (mm)</t>
  </si>
  <si>
    <t>Dureza (HB)</t>
  </si>
  <si>
    <t>h (vida em horas)</t>
  </si>
  <si>
    <t>bd² (mm³)</t>
  </si>
  <si>
    <t>Movida 2</t>
  </si>
  <si>
    <t>Dimensões da caixa</t>
  </si>
  <si>
    <t>Dureza (HRC)</t>
  </si>
  <si>
    <t>60.n.h/10^6</t>
  </si>
  <si>
    <t>b/d 1 - Balanço</t>
  </si>
  <si>
    <t>b/d 2 - Mancal</t>
  </si>
  <si>
    <t>Pinhão 3</t>
  </si>
  <si>
    <t>Dureza (HB) - Sarkis</t>
  </si>
  <si>
    <t>d1 (mm)</t>
  </si>
  <si>
    <t>d2 (mm)</t>
  </si>
  <si>
    <t>Verificar onde os comprimentos C3 e C4 serão iguais para valores inteiros de d3a e d4a</t>
  </si>
  <si>
    <t>Movida 3</t>
  </si>
  <si>
    <t>Comprimento (mm)</t>
  </si>
  <si>
    <t>Padm (N/mm²)</t>
  </si>
  <si>
    <t>Y.HB/W^(1/6)</t>
  </si>
  <si>
    <t>m1</t>
  </si>
  <si>
    <t>m2</t>
  </si>
  <si>
    <t>d3a (mm)</t>
  </si>
  <si>
    <t>d3b (mm)</t>
  </si>
  <si>
    <t>C3</t>
  </si>
  <si>
    <t>d4a (mm)</t>
  </si>
  <si>
    <t>d4b (mm)</t>
  </si>
  <si>
    <t>C4</t>
  </si>
  <si>
    <t>Pinhão 4</t>
  </si>
  <si>
    <t>Altura (mm)</t>
  </si>
  <si>
    <t>mn1</t>
  </si>
  <si>
    <t>mn2</t>
  </si>
  <si>
    <t>Movida 4</t>
  </si>
  <si>
    <t>fi - Fator de serviço</t>
  </si>
  <si>
    <t>d01 (mm)</t>
  </si>
  <si>
    <t>d02 (mm)</t>
  </si>
  <si>
    <t>b1 (mm)</t>
  </si>
  <si>
    <t>b2 (mm)</t>
  </si>
  <si>
    <t>Critério de resistência à flexão</t>
  </si>
  <si>
    <t>Fator de forma (Z = 18)</t>
  </si>
  <si>
    <t>F_T1 (N)</t>
  </si>
  <si>
    <t>F_T2 (N)</t>
  </si>
  <si>
    <t>Sigma_1_máx (N/mm²)</t>
  </si>
  <si>
    <t>Sigma_2_máx (N/mm²)</t>
  </si>
  <si>
    <t>Torques</t>
  </si>
  <si>
    <t>Relação de transmissão</t>
  </si>
  <si>
    <t>Força tangencial (kN)</t>
  </si>
  <si>
    <t>Força radial (kN)</t>
  </si>
  <si>
    <t>Velocidade 1 (RPM) - ic = 4,6</t>
  </si>
  <si>
    <t>Velocidade 2 (RPM) - ic = 2,91</t>
  </si>
  <si>
    <t>Torque motor (N/m)</t>
  </si>
  <si>
    <t>Torque eixo 1 (N/m)</t>
  </si>
  <si>
    <t>Torque eixo 2 (N/m)</t>
  </si>
  <si>
    <t>Torque eixo 3 (N/m)</t>
  </si>
  <si>
    <t>Par 4</t>
  </si>
  <si>
    <t>Torque eixo 4 (N/m)</t>
  </si>
  <si>
    <t>Ft Correia (kN)</t>
  </si>
  <si>
    <t>Potência (W)</t>
  </si>
  <si>
    <t>i = 4,6</t>
  </si>
  <si>
    <t>Rotação (RPM)</t>
  </si>
  <si>
    <t>i = 2,91</t>
  </si>
  <si>
    <t>Dados do diagrama de força cortante e momento fletor</t>
  </si>
  <si>
    <t>Aço 1050</t>
  </si>
  <si>
    <t>Eixo</t>
  </si>
  <si>
    <t>Ray (kN)</t>
  </si>
  <si>
    <t>Raz (kN)</t>
  </si>
  <si>
    <t>Rby (kN)</t>
  </si>
  <si>
    <t>Rbz (kN)</t>
  </si>
  <si>
    <t>My_max (Nm)</t>
  </si>
  <si>
    <t>Mz_max (Nm)</t>
  </si>
  <si>
    <t>|M_max| (Nm)</t>
  </si>
  <si>
    <t>Vy_max (kN)</t>
  </si>
  <si>
    <t>Vz_max (kN)</t>
  </si>
  <si>
    <t>d' (mm)</t>
  </si>
  <si>
    <t>sigma_a'</t>
  </si>
  <si>
    <t>sigma_m'</t>
  </si>
  <si>
    <t>nf</t>
  </si>
  <si>
    <t>Sut (MPa)</t>
  </si>
  <si>
    <t>ka (MPa)</t>
  </si>
  <si>
    <t>Se (MPa)</t>
  </si>
  <si>
    <t>n</t>
  </si>
  <si>
    <t>Kf</t>
  </si>
  <si>
    <t>Reduções</t>
  </si>
  <si>
    <t>Rotação máx (RPM)</t>
  </si>
  <si>
    <t>Ld (rev/min)</t>
  </si>
  <si>
    <t>Ra (kN)</t>
  </si>
  <si>
    <t>Rb (kN)</t>
  </si>
  <si>
    <t>Frb (kN)</t>
  </si>
  <si>
    <t>Vida útil (h)</t>
  </si>
  <si>
    <t>x0</t>
  </si>
  <si>
    <t>theta - x0</t>
  </si>
  <si>
    <t>theta</t>
  </si>
  <si>
    <t>a</t>
  </si>
  <si>
    <t>b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</si>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</sst>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0000"/>
    <numFmt numFmtId="167" formatCode="#,##0.0000"/>
  </numFmts>
  <fonts count="7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7" xfId="0" quotePrefix="1" applyFont="1" applyBorder="1"/>
    <xf numFmtId="0" fontId="3" fillId="0" borderId="8" xfId="0" applyFont="1" applyBorder="1"/>
    <xf numFmtId="0" fontId="4" fillId="0" borderId="7" xfId="0" applyFont="1" applyBorder="1"/>
    <xf numFmtId="4" fontId="4" fillId="0" borderId="8" xfId="0" applyNumberFormat="1" applyFont="1" applyBorder="1"/>
    <xf numFmtId="0" fontId="4" fillId="0" borderId="8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6" xfId="0" applyFont="1" applyBorder="1"/>
    <xf numFmtId="164" fontId="4" fillId="0" borderId="8" xfId="0" applyNumberFormat="1" applyFont="1" applyBorder="1"/>
    <xf numFmtId="165" fontId="4" fillId="0" borderId="0" xfId="0" applyNumberFormat="1" applyFont="1"/>
    <xf numFmtId="166" fontId="4" fillId="0" borderId="0" xfId="0" applyNumberFormat="1" applyFont="1"/>
    <xf numFmtId="2" fontId="4" fillId="0" borderId="8" xfId="0" applyNumberFormat="1" applyFont="1" applyBorder="1"/>
    <xf numFmtId="2" fontId="4" fillId="0" borderId="0" xfId="0" applyNumberFormat="1" applyFont="1"/>
    <xf numFmtId="167" fontId="4" fillId="0" borderId="8" xfId="0" applyNumberFormat="1" applyFont="1" applyBorder="1"/>
    <xf numFmtId="0" fontId="3" fillId="0" borderId="0" xfId="0" applyFont="1" applyAlignment="1">
      <alignment horizontal="right"/>
    </xf>
    <xf numFmtId="1" fontId="3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4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/>
    <xf numFmtId="0" fontId="4" fillId="0" borderId="6" xfId="0" applyFont="1" applyBorder="1"/>
    <xf numFmtId="0" fontId="4" fillId="0" borderId="1" xfId="0" applyFont="1" applyBorder="1"/>
    <xf numFmtId="2" fontId="4" fillId="0" borderId="3" xfId="0" applyNumberFormat="1" applyFont="1" applyBorder="1"/>
    <xf numFmtId="0" fontId="4" fillId="0" borderId="2" xfId="0" applyFont="1" applyBorder="1"/>
    <xf numFmtId="1" fontId="4" fillId="0" borderId="3" xfId="0" applyNumberFormat="1" applyFont="1" applyBorder="1"/>
    <xf numFmtId="0" fontId="4" fillId="0" borderId="3" xfId="0" applyFont="1" applyBorder="1"/>
    <xf numFmtId="2" fontId="4" fillId="0" borderId="6" xfId="0" applyNumberFormat="1" applyFont="1" applyBorder="1"/>
    <xf numFmtId="0" fontId="4" fillId="0" borderId="5" xfId="0" applyFont="1" applyBorder="1"/>
    <xf numFmtId="1" fontId="4" fillId="0" borderId="6" xfId="0" applyNumberFormat="1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2" fontId="4" fillId="0" borderId="2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4" fillId="3" borderId="0" xfId="0" applyFont="1" applyFill="1"/>
    <xf numFmtId="0" fontId="4" fillId="4" borderId="0" xfId="0" applyFont="1" applyFill="1"/>
    <xf numFmtId="0" fontId="4" fillId="4" borderId="8" xfId="0" applyFont="1" applyFill="1" applyBorder="1"/>
    <xf numFmtId="2" fontId="4" fillId="3" borderId="0" xfId="0" applyNumberFormat="1" applyFont="1" applyFill="1"/>
    <xf numFmtId="2" fontId="4" fillId="4" borderId="8" xfId="0" applyNumberFormat="1" applyFont="1" applyFill="1" applyBorder="1"/>
    <xf numFmtId="0" fontId="4" fillId="3" borderId="5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165" fontId="4" fillId="0" borderId="5" xfId="0" applyNumberFormat="1" applyFont="1" applyBorder="1"/>
    <xf numFmtId="0" fontId="4" fillId="5" borderId="0" xfId="0" applyFont="1" applyFill="1"/>
    <xf numFmtId="3" fontId="4" fillId="0" borderId="0" xfId="0" applyNumberFormat="1" applyFont="1"/>
    <xf numFmtId="0" fontId="3" fillId="6" borderId="0" xfId="0" applyFont="1" applyFill="1" applyAlignment="1">
      <alignment horizontal="center"/>
    </xf>
    <xf numFmtId="11" fontId="4" fillId="6" borderId="0" xfId="0" applyNumberFormat="1" applyFont="1" applyFill="1"/>
    <xf numFmtId="165" fontId="4" fillId="6" borderId="0" xfId="0" applyNumberFormat="1" applyFont="1" applyFill="1"/>
    <xf numFmtId="0" fontId="3" fillId="5" borderId="0" xfId="0" applyFont="1" applyFill="1" applyAlignment="1">
      <alignment horizontal="center"/>
    </xf>
    <xf numFmtId="165" fontId="4" fillId="5" borderId="0" xfId="0" applyNumberFormat="1" applyFont="1" applyFill="1"/>
    <xf numFmtId="0" fontId="4" fillId="0" borderId="0" xfId="0" applyFont="1" applyAlignment="1">
      <alignment horizontal="right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/>
    <xf numFmtId="0" fontId="2" fillId="0" borderId="8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3" fillId="2" borderId="4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7" xfId="0" applyFont="1" applyBorder="1"/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Ângulos de abraçamento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'2ª Entrega'!$F$16</c:f>
              <c:strCache>
                <c:ptCount val="1"/>
                <c:pt idx="0">
                  <c:v>alfa2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'2ª Entrega'!$E$17:$E$57</c:f>
              <c:numCache>
                <c:formatCode>General</c:formatCode>
                <c:ptCount val="4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</c:numCache>
            </c:numRef>
          </c:cat>
          <c:val>
            <c:numRef>
              <c:f>'2ª Entrega'!$F$17:$F$57</c:f>
              <c:numCache>
                <c:formatCode>General</c:formatCode>
                <c:ptCount val="41"/>
                <c:pt idx="0">
                  <c:v>165.7122375737294</c:v>
                </c:pt>
                <c:pt idx="1">
                  <c:v>166.39590343651884</c:v>
                </c:pt>
                <c:pt idx="2">
                  <c:v>167.01699530013497</c:v>
                </c:pt>
                <c:pt idx="3">
                  <c:v>167.58374437138096</c:v>
                </c:pt>
                <c:pt idx="4">
                  <c:v>168.10299629026338</c:v>
                </c:pt>
                <c:pt idx="5">
                  <c:v>168.58049137014723</c:v>
                </c:pt>
                <c:pt idx="6">
                  <c:v>169.02107936396317</c:v>
                </c:pt>
                <c:pt idx="7">
                  <c:v>169.4288859588786</c:v>
                </c:pt>
                <c:pt idx="8">
                  <c:v>169.80744321666396</c:v>
                </c:pt>
                <c:pt idx="9">
                  <c:v>170.1597927622106</c:v>
                </c:pt>
                <c:pt idx="10">
                  <c:v>170.48856814658907</c:v>
                </c:pt>
                <c:pt idx="11">
                  <c:v>170.79606113372728</c:v>
                </c:pt>
                <c:pt idx="12">
                  <c:v>171.08427545991097</c:v>
                </c:pt>
                <c:pt idx="13">
                  <c:v>171.35497074635688</c:v>
                </c:pt>
                <c:pt idx="14">
                  <c:v>171.60969860859672</c:v>
                </c:pt>
                <c:pt idx="15">
                  <c:v>171.8498325351932</c:v>
                </c:pt>
                <c:pt idx="16">
                  <c:v>172.07659275599039</c:v>
                </c:pt>
                <c:pt idx="17">
                  <c:v>172.29106705423078</c:v>
                </c:pt>
                <c:pt idx="18">
                  <c:v>172.49422827449285</c:v>
                </c:pt>
                <c:pt idx="19">
                  <c:v>172.68694912308911</c:v>
                </c:pt>
                <c:pt idx="20">
                  <c:v>172.87001473745673</c:v>
                </c:pt>
                <c:pt idx="21">
                  <c:v>173.04413340751304</c:v>
                </c:pt>
                <c:pt idx="22">
                  <c:v>173.20994575857216</c:v>
                </c:pt>
                <c:pt idx="23">
                  <c:v>173.36803264749611</c:v>
                </c:pt>
                <c:pt idx="24">
                  <c:v>173.51892197775041</c:v>
                </c:pt>
                <c:pt idx="25">
                  <c:v>173.66309460228581</c:v>
                </c:pt>
                <c:pt idx="26">
                  <c:v>173.80098945364577</c:v>
                </c:pt>
                <c:pt idx="27">
                  <c:v>173.933008016863</c:v>
                </c:pt>
                <c:pt idx="28">
                  <c:v>174.05951824136145</c:v>
                </c:pt>
                <c:pt idx="29">
                  <c:v>174.18085797230486</c:v>
                </c:pt>
                <c:pt idx="30">
                  <c:v>174.29733796891026</c:v>
                </c:pt>
                <c:pt idx="31">
                  <c:v>174.40924456661142</c:v>
                </c:pt>
                <c:pt idx="32">
                  <c:v>174.51684203117432</c:v>
                </c:pt>
                <c:pt idx="33">
                  <c:v>174.62037464557861</c:v>
                </c:pt>
                <c:pt idx="34">
                  <c:v>174.72006856441175</c:v>
                </c:pt>
                <c:pt idx="35">
                  <c:v>174.81613346545259</c:v>
                </c:pt>
                <c:pt idx="36">
                  <c:v>174.90876402386678</c:v>
                </c:pt>
                <c:pt idx="37">
                  <c:v>174.99814123085767</c:v>
                </c:pt>
                <c:pt idx="38">
                  <c:v>175.08443357559511</c:v>
                </c:pt>
                <c:pt idx="39">
                  <c:v>175.16779810668424</c:v>
                </c:pt>
                <c:pt idx="40">
                  <c:v>175.24838138726227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9-4CE3-AAFB-35508AA7DF3B}"/>
            </c:ext>
          </c:extLst>
        </c:ser>
        <c:ser>
          <c:idx val="1"/>
          <c:order val="1"/>
          <c:tx>
            <c:strRef>
              <c:f>'2ª Entrega'!$G$16</c:f>
              <c:strCache>
                <c:ptCount val="1"/>
                <c:pt idx="0">
                  <c:v>alfa1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'2ª Entrega'!$E$17:$E$57</c:f>
              <c:numCache>
                <c:formatCode>General</c:formatCode>
                <c:ptCount val="41"/>
                <c:pt idx="0">
                  <c:v>1000</c:v>
                </c:pt>
                <c:pt idx="1">
                  <c:v>1050</c:v>
                </c:pt>
                <c:pt idx="2">
                  <c:v>1100</c:v>
                </c:pt>
                <c:pt idx="3">
                  <c:v>1150</c:v>
                </c:pt>
                <c:pt idx="4">
                  <c:v>1200</c:v>
                </c:pt>
                <c:pt idx="5">
                  <c:v>1250</c:v>
                </c:pt>
                <c:pt idx="6">
                  <c:v>1300</c:v>
                </c:pt>
                <c:pt idx="7">
                  <c:v>1350</c:v>
                </c:pt>
                <c:pt idx="8">
                  <c:v>1400</c:v>
                </c:pt>
                <c:pt idx="9">
                  <c:v>1450</c:v>
                </c:pt>
                <c:pt idx="10">
                  <c:v>1500</c:v>
                </c:pt>
                <c:pt idx="11">
                  <c:v>1550</c:v>
                </c:pt>
                <c:pt idx="12">
                  <c:v>1600</c:v>
                </c:pt>
                <c:pt idx="13">
                  <c:v>1650</c:v>
                </c:pt>
                <c:pt idx="14">
                  <c:v>1700</c:v>
                </c:pt>
                <c:pt idx="15">
                  <c:v>1750</c:v>
                </c:pt>
                <c:pt idx="16">
                  <c:v>1800</c:v>
                </c:pt>
                <c:pt idx="17">
                  <c:v>1850</c:v>
                </c:pt>
                <c:pt idx="18">
                  <c:v>1900</c:v>
                </c:pt>
                <c:pt idx="19">
                  <c:v>1950</c:v>
                </c:pt>
                <c:pt idx="20">
                  <c:v>2000</c:v>
                </c:pt>
                <c:pt idx="21">
                  <c:v>2050</c:v>
                </c:pt>
                <c:pt idx="22">
                  <c:v>2100</c:v>
                </c:pt>
                <c:pt idx="23">
                  <c:v>2150</c:v>
                </c:pt>
                <c:pt idx="24">
                  <c:v>2200</c:v>
                </c:pt>
                <c:pt idx="25">
                  <c:v>2250</c:v>
                </c:pt>
                <c:pt idx="26">
                  <c:v>2300</c:v>
                </c:pt>
                <c:pt idx="27">
                  <c:v>2350</c:v>
                </c:pt>
                <c:pt idx="28">
                  <c:v>2400</c:v>
                </c:pt>
                <c:pt idx="29">
                  <c:v>2450</c:v>
                </c:pt>
                <c:pt idx="30">
                  <c:v>2500</c:v>
                </c:pt>
                <c:pt idx="31">
                  <c:v>2550</c:v>
                </c:pt>
                <c:pt idx="32">
                  <c:v>2600</c:v>
                </c:pt>
                <c:pt idx="33">
                  <c:v>2650</c:v>
                </c:pt>
                <c:pt idx="34">
                  <c:v>2700</c:v>
                </c:pt>
                <c:pt idx="35">
                  <c:v>2750</c:v>
                </c:pt>
                <c:pt idx="36">
                  <c:v>2800</c:v>
                </c:pt>
                <c:pt idx="37">
                  <c:v>2850</c:v>
                </c:pt>
                <c:pt idx="38">
                  <c:v>2900</c:v>
                </c:pt>
                <c:pt idx="39">
                  <c:v>2950</c:v>
                </c:pt>
                <c:pt idx="40">
                  <c:v>3000</c:v>
                </c:pt>
              </c:numCache>
            </c:numRef>
          </c:cat>
          <c:val>
            <c:numRef>
              <c:f>'2ª Entrega'!$G$17:$G$57</c:f>
              <c:numCache>
                <c:formatCode>General</c:formatCode>
                <c:ptCount val="41"/>
                <c:pt idx="0">
                  <c:v>161.35399504683448</c:v>
                </c:pt>
                <c:pt idx="1">
                  <c:v>162.24925523150088</c:v>
                </c:pt>
                <c:pt idx="2">
                  <c:v>163.0621799423032</c:v>
                </c:pt>
                <c:pt idx="3">
                  <c:v>163.80366529683295</c:v>
                </c:pt>
                <c:pt idx="4">
                  <c:v>164.48276022282636</c:v>
                </c:pt>
                <c:pt idx="5">
                  <c:v>165.10704306840185</c:v>
                </c:pt>
                <c:pt idx="6">
                  <c:v>165.68290944394101</c:v>
                </c:pt>
                <c:pt idx="7">
                  <c:v>166.21579484130723</c:v>
                </c:pt>
                <c:pt idx="8">
                  <c:v>166.71034868322911</c:v>
                </c:pt>
                <c:pt idx="9">
                  <c:v>167.1705717574138</c:v>
                </c:pt>
                <c:pt idx="10">
                  <c:v>167.59992573496726</c:v>
                </c:pt>
                <c:pt idx="11">
                  <c:v>168.0014211837354</c:v>
                </c:pt>
                <c:pt idx="12">
                  <c:v>168.37768885532495</c:v>
                </c:pt>
                <c:pt idx="13">
                  <c:v>168.73103784635575</c:v>
                </c:pt>
                <c:pt idx="14">
                  <c:v>169.06350337381039</c:v>
                </c:pt>
                <c:pt idx="15">
                  <c:v>169.37688626872824</c:v>
                </c:pt>
                <c:pt idx="16">
                  <c:v>169.67278581830723</c:v>
                </c:pt>
                <c:pt idx="17">
                  <c:v>169.95262722936619</c:v>
                </c:pt>
                <c:pt idx="18">
                  <c:v>170.21768471477938</c:v>
                </c:pt>
                <c:pt idx="19">
                  <c:v>170.46910099661247</c:v>
                </c:pt>
                <c:pt idx="20">
                  <c:v>170.70790385916692</c:v>
                </c:pt>
                <c:pt idx="21">
                  <c:v>170.9350202602777</c:v>
                </c:pt>
                <c:pt idx="22">
                  <c:v>171.15128841140705</c:v>
                </c:pt>
                <c:pt idx="23">
                  <c:v>171.35746815996677</c:v>
                </c:pt>
                <c:pt idx="24">
                  <c:v>171.55424994612397</c:v>
                </c:pt>
                <c:pt idx="25">
                  <c:v>171.74226255752487</c:v>
                </c:pt>
                <c:pt idx="26">
                  <c:v>171.92207986619084</c:v>
                </c:pt>
                <c:pt idx="27">
                  <c:v>172.09422670023051</c:v>
                </c:pt>
                <c:pt idx="28">
                  <c:v>172.25918397737803</c:v>
                </c:pt>
                <c:pt idx="29">
                  <c:v>172.41739320648182</c:v>
                </c:pt>
                <c:pt idx="30">
                  <c:v>172.56926044596918</c:v>
                </c:pt>
                <c:pt idx="31">
                  <c:v>172.71515979425627</c:v>
                </c:pt>
                <c:pt idx="32">
                  <c:v>172.85543647546328</c:v>
                </c:pt>
                <c:pt idx="33">
                  <c:v>172.99040957417398</c:v>
                </c:pt>
                <c:pt idx="34">
                  <c:v>173.12037446496959</c:v>
                </c:pt>
                <c:pt idx="35">
                  <c:v>173.24560497577806</c:v>
                </c:pt>
                <c:pt idx="36">
                  <c:v>173.36635531847088</c:v>
                </c:pt>
                <c:pt idx="37">
                  <c:v>173.48286181542477</c:v>
                </c:pt>
                <c:pt idx="38">
                  <c:v>173.59534444678201</c:v>
                </c:pt>
                <c:pt idx="39">
                  <c:v>173.70400823977479</c:v>
                </c:pt>
                <c:pt idx="40">
                  <c:v>173.80904451861619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9-4CE3-AAFB-35508AA7D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552590"/>
        <c:axId val="1921211260"/>
      </c:lineChart>
      <c:catAx>
        <c:axId val="1947552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21211260"/>
        <c:crosses val="autoZero"/>
        <c:auto val="1"/>
        <c:lblAlgn val="ctr"/>
        <c:lblOffset val="100"/>
        <c:noMultiLvlLbl val="1"/>
      </c:catAx>
      <c:valAx>
        <c:axId val="19212112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4755259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Diâmetros dos pinhões x distância entre-eixos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'3ª Entrega'!$P$29</c:f>
              <c:strCache>
                <c:ptCount val="1"/>
                <c:pt idx="0">
                  <c:v>d4a (mm)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8D44-452D-8747-CB6EAB46F9F7}"/>
              </c:ext>
            </c:extLst>
          </c:dPt>
          <c:dPt>
            <c:idx val="1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D44-452D-8747-CB6EAB46F9F7}"/>
              </c:ext>
            </c:extLst>
          </c:dPt>
          <c:dPt>
            <c:idx val="2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8D44-452D-8747-CB6EAB46F9F7}"/>
              </c:ext>
            </c:extLst>
          </c:dPt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8D44-452D-8747-CB6EAB46F9F7}"/>
              </c:ext>
            </c:extLst>
          </c:dPt>
          <c:dPt>
            <c:idx val="2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8D44-452D-8747-CB6EAB46F9F7}"/>
              </c:ext>
            </c:extLst>
          </c:dPt>
          <c:xVal>
            <c:numRef>
              <c:f>'3ª Entrega'!$O$30:$O$60</c:f>
              <c:numCache>
                <c:formatCode>General</c:formatCode>
                <c:ptCount val="31"/>
                <c:pt idx="0">
                  <c:v>100.8</c:v>
                </c:pt>
                <c:pt idx="1">
                  <c:v>103.6</c:v>
                </c:pt>
                <c:pt idx="2">
                  <c:v>106.39999999999999</c:v>
                </c:pt>
                <c:pt idx="3">
                  <c:v>109.19999999999999</c:v>
                </c:pt>
                <c:pt idx="4">
                  <c:v>112</c:v>
                </c:pt>
                <c:pt idx="5">
                  <c:v>114.8</c:v>
                </c:pt>
                <c:pt idx="6">
                  <c:v>117.6</c:v>
                </c:pt>
                <c:pt idx="7">
                  <c:v>120.39999999999999</c:v>
                </c:pt>
                <c:pt idx="8">
                  <c:v>123.19999999999999</c:v>
                </c:pt>
                <c:pt idx="9">
                  <c:v>125.99999999999999</c:v>
                </c:pt>
                <c:pt idx="10">
                  <c:v>128.80000000000001</c:v>
                </c:pt>
                <c:pt idx="11">
                  <c:v>131.6</c:v>
                </c:pt>
                <c:pt idx="12">
                  <c:v>134.39999999999998</c:v>
                </c:pt>
                <c:pt idx="13">
                  <c:v>137.19999999999999</c:v>
                </c:pt>
                <c:pt idx="14">
                  <c:v>140</c:v>
                </c:pt>
                <c:pt idx="15">
                  <c:v>142.80000000000001</c:v>
                </c:pt>
                <c:pt idx="16">
                  <c:v>145.6</c:v>
                </c:pt>
                <c:pt idx="17">
                  <c:v>148.39999999999998</c:v>
                </c:pt>
                <c:pt idx="18">
                  <c:v>151.19999999999999</c:v>
                </c:pt>
                <c:pt idx="19">
                  <c:v>154</c:v>
                </c:pt>
                <c:pt idx="20">
                  <c:v>156.79999999999998</c:v>
                </c:pt>
                <c:pt idx="21">
                  <c:v>159.6</c:v>
                </c:pt>
                <c:pt idx="22">
                  <c:v>162.39999999999998</c:v>
                </c:pt>
                <c:pt idx="23">
                  <c:v>165.2</c:v>
                </c:pt>
                <c:pt idx="24">
                  <c:v>168</c:v>
                </c:pt>
                <c:pt idx="25">
                  <c:v>170.79999999999998</c:v>
                </c:pt>
                <c:pt idx="26">
                  <c:v>173.6</c:v>
                </c:pt>
                <c:pt idx="27">
                  <c:v>176.39999999999998</c:v>
                </c:pt>
                <c:pt idx="28">
                  <c:v>179.2</c:v>
                </c:pt>
                <c:pt idx="29">
                  <c:v>182</c:v>
                </c:pt>
                <c:pt idx="30">
                  <c:v>184.79999999999998</c:v>
                </c:pt>
              </c:numCache>
            </c:numRef>
          </c:xVal>
          <c:yVal>
            <c:numRef>
              <c:f>'3ª Entrega'!$P$30:$P$60</c:f>
              <c:numCache>
                <c:formatCode>0.0</c:formatCode>
                <c:ptCount val="31"/>
                <c:pt idx="0" formatCode="General">
                  <c:v>42</c:v>
                </c:pt>
                <c:pt idx="1">
                  <c:v>43.166666666666671</c:v>
                </c:pt>
                <c:pt idx="2">
                  <c:v>44.333333333333336</c:v>
                </c:pt>
                <c:pt idx="3" formatCode="General">
                  <c:v>45.5</c:v>
                </c:pt>
                <c:pt idx="4">
                  <c:v>46.666666666666671</c:v>
                </c:pt>
                <c:pt idx="5">
                  <c:v>47.833333333333336</c:v>
                </c:pt>
                <c:pt idx="6" formatCode="General">
                  <c:v>49</c:v>
                </c:pt>
                <c:pt idx="7">
                  <c:v>50.166666666666671</c:v>
                </c:pt>
                <c:pt idx="8">
                  <c:v>51.333333333333336</c:v>
                </c:pt>
                <c:pt idx="9" formatCode="General">
                  <c:v>52.5</c:v>
                </c:pt>
                <c:pt idx="10">
                  <c:v>53.666666666666671</c:v>
                </c:pt>
                <c:pt idx="11">
                  <c:v>54.833333333333336</c:v>
                </c:pt>
                <c:pt idx="12" formatCode="General">
                  <c:v>56</c:v>
                </c:pt>
                <c:pt idx="13">
                  <c:v>57.166666666666671</c:v>
                </c:pt>
                <c:pt idx="14">
                  <c:v>58.333333333333336</c:v>
                </c:pt>
                <c:pt idx="15" formatCode="General">
                  <c:v>59.500000000000007</c:v>
                </c:pt>
                <c:pt idx="16">
                  <c:v>60.666666666666671</c:v>
                </c:pt>
                <c:pt idx="17">
                  <c:v>61.833333333333336</c:v>
                </c:pt>
                <c:pt idx="18" formatCode="General">
                  <c:v>63.000000000000007</c:v>
                </c:pt>
                <c:pt idx="19">
                  <c:v>64.166666666666671</c:v>
                </c:pt>
                <c:pt idx="20">
                  <c:v>65.333333333333343</c:v>
                </c:pt>
                <c:pt idx="21" formatCode="General">
                  <c:v>66.5</c:v>
                </c:pt>
                <c:pt idx="22">
                  <c:v>67.666666666666671</c:v>
                </c:pt>
                <c:pt idx="23">
                  <c:v>68.833333333333343</c:v>
                </c:pt>
                <c:pt idx="24" formatCode="General">
                  <c:v>70</c:v>
                </c:pt>
                <c:pt idx="25">
                  <c:v>71.166666666666671</c:v>
                </c:pt>
                <c:pt idx="26">
                  <c:v>72.333333333333343</c:v>
                </c:pt>
                <c:pt idx="27" formatCode="General">
                  <c:v>73.5</c:v>
                </c:pt>
                <c:pt idx="28">
                  <c:v>74.666666666666671</c:v>
                </c:pt>
                <c:pt idx="29">
                  <c:v>75.833333333333343</c:v>
                </c:pt>
                <c:pt idx="30" formatCode="General">
                  <c:v>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D44-452D-8747-CB6EAB46F9F7}"/>
            </c:ext>
          </c:extLst>
        </c:ser>
        <c:ser>
          <c:idx val="1"/>
          <c:order val="1"/>
          <c:tx>
            <c:strRef>
              <c:f>'3ª Entrega'!$M$29</c:f>
              <c:strCache>
                <c:ptCount val="1"/>
                <c:pt idx="0">
                  <c:v>d3a (mm)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'3ª Entrega'!$O$30:$O$60</c:f>
              <c:numCache>
                <c:formatCode>General</c:formatCode>
                <c:ptCount val="31"/>
                <c:pt idx="0">
                  <c:v>100.8</c:v>
                </c:pt>
                <c:pt idx="1">
                  <c:v>103.6</c:v>
                </c:pt>
                <c:pt idx="2">
                  <c:v>106.39999999999999</c:v>
                </c:pt>
                <c:pt idx="3">
                  <c:v>109.19999999999999</c:v>
                </c:pt>
                <c:pt idx="4">
                  <c:v>112</c:v>
                </c:pt>
                <c:pt idx="5">
                  <c:v>114.8</c:v>
                </c:pt>
                <c:pt idx="6">
                  <c:v>117.6</c:v>
                </c:pt>
                <c:pt idx="7">
                  <c:v>120.39999999999999</c:v>
                </c:pt>
                <c:pt idx="8">
                  <c:v>123.19999999999999</c:v>
                </c:pt>
                <c:pt idx="9">
                  <c:v>125.99999999999999</c:v>
                </c:pt>
                <c:pt idx="10">
                  <c:v>128.80000000000001</c:v>
                </c:pt>
                <c:pt idx="11">
                  <c:v>131.6</c:v>
                </c:pt>
                <c:pt idx="12">
                  <c:v>134.39999999999998</c:v>
                </c:pt>
                <c:pt idx="13">
                  <c:v>137.19999999999999</c:v>
                </c:pt>
                <c:pt idx="14">
                  <c:v>140</c:v>
                </c:pt>
                <c:pt idx="15">
                  <c:v>142.80000000000001</c:v>
                </c:pt>
                <c:pt idx="16">
                  <c:v>145.6</c:v>
                </c:pt>
                <c:pt idx="17">
                  <c:v>148.39999999999998</c:v>
                </c:pt>
                <c:pt idx="18">
                  <c:v>151.19999999999999</c:v>
                </c:pt>
                <c:pt idx="19">
                  <c:v>154</c:v>
                </c:pt>
                <c:pt idx="20">
                  <c:v>156.79999999999998</c:v>
                </c:pt>
                <c:pt idx="21">
                  <c:v>159.6</c:v>
                </c:pt>
                <c:pt idx="22">
                  <c:v>162.39999999999998</c:v>
                </c:pt>
                <c:pt idx="23">
                  <c:v>165.2</c:v>
                </c:pt>
                <c:pt idx="24">
                  <c:v>168</c:v>
                </c:pt>
                <c:pt idx="25">
                  <c:v>170.79999999999998</c:v>
                </c:pt>
                <c:pt idx="26">
                  <c:v>173.6</c:v>
                </c:pt>
                <c:pt idx="27">
                  <c:v>176.39999999999998</c:v>
                </c:pt>
                <c:pt idx="28">
                  <c:v>179.2</c:v>
                </c:pt>
                <c:pt idx="29">
                  <c:v>182</c:v>
                </c:pt>
                <c:pt idx="30">
                  <c:v>184.79999999999998</c:v>
                </c:pt>
              </c:numCache>
            </c:numRef>
          </c:xVal>
          <c:yVal>
            <c:numRef>
              <c:f>'3ª Entrega'!$M$30:$M$60</c:f>
              <c:numCache>
                <c:formatCode>General</c:formatCode>
                <c:ptCount val="31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63</c:v>
                </c:pt>
                <c:pt idx="28">
                  <c:v>64</c:v>
                </c:pt>
                <c:pt idx="29">
                  <c:v>65</c:v>
                </c:pt>
                <c:pt idx="30">
                  <c:v>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D44-452D-8747-CB6EAB46F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3308"/>
        <c:axId val="859357496"/>
      </c:scatterChart>
      <c:valAx>
        <c:axId val="14303308"/>
        <c:scaling>
          <c:orientation val="minMax"/>
          <c:max val="16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Entre-eixos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859357496"/>
        <c:crosses val="autoZero"/>
        <c:crossBetween val="midCat"/>
      </c:valAx>
      <c:valAx>
        <c:axId val="859357496"/>
        <c:scaling>
          <c:orientation val="minMax"/>
          <c:max val="7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Diâmetro (mm)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430330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2.xml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3</xdr:row>
      <xdr:rowOff>0</xdr:rowOff>
    </xdr:from>
    <xdr:ext cx="2994660" cy="559308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96300" y="594360"/>
          <a:ext cx="2994660" cy="559308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4030980" cy="1950720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34840" y="2971800"/>
          <a:ext cx="4030980" cy="195072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304800</xdr:colOff>
      <xdr:row>14</xdr:row>
      <xdr:rowOff>47625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952500</xdr:colOff>
      <xdr:row>5</xdr:row>
      <xdr:rowOff>28575</xdr:rowOff>
    </xdr:from>
    <xdr:ext cx="952500" cy="323850"/>
    <xdr:grpSp>
      <xdr:nvGrpSpPr>
        <xdr:cNvPr id="3" name="Shape 2" title="Desenh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324600" y="1019175"/>
          <a:ext cx="952500" cy="323850"/>
          <a:chOff x="1822200" y="1249450"/>
          <a:chExt cx="930600" cy="30690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 rot="10800000" flipH="1">
            <a:off x="1822200" y="1249450"/>
            <a:ext cx="930600" cy="306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962025</xdr:colOff>
      <xdr:row>2</xdr:row>
      <xdr:rowOff>38100</xdr:rowOff>
    </xdr:from>
    <xdr:ext cx="828675" cy="419100"/>
    <xdr:grpSp>
      <xdr:nvGrpSpPr>
        <xdr:cNvPr id="5" name="Shape 2" title="Desenh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8932545" y="434340"/>
          <a:ext cx="828675" cy="419100"/>
          <a:chOff x="2241450" y="1852975"/>
          <a:chExt cx="807900" cy="398700"/>
        </a:xfrm>
      </xdr:grpSpPr>
      <xdr:cxnSp macro="">
        <xdr:nvCxnSpPr>
          <xdr:cNvPr id="6" name="Shape 4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 rot="10800000" flipH="1">
            <a:off x="2241450" y="1852975"/>
            <a:ext cx="807900" cy="398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962025</xdr:colOff>
      <xdr:row>8</xdr:row>
      <xdr:rowOff>66675</xdr:rowOff>
    </xdr:from>
    <xdr:ext cx="828675" cy="428625"/>
    <xdr:grpSp>
      <xdr:nvGrpSpPr>
        <xdr:cNvPr id="7" name="Shape 2" title="Desenh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8932545" y="1651635"/>
          <a:ext cx="828675" cy="428625"/>
          <a:chOff x="2599350" y="1178125"/>
          <a:chExt cx="807900" cy="408900"/>
        </a:xfrm>
      </xdr:grpSpPr>
      <xdr:cxnSp macro="">
        <xdr:nvCxnSpPr>
          <xdr:cNvPr id="8" name="Shape 5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 rot="10800000" flipH="1">
            <a:off x="2599350" y="1178125"/>
            <a:ext cx="807900" cy="408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38100</xdr:colOff>
      <xdr:row>9</xdr:row>
      <xdr:rowOff>85725</xdr:rowOff>
    </xdr:from>
    <xdr:ext cx="857250" cy="209550"/>
    <xdr:grpSp>
      <xdr:nvGrpSpPr>
        <xdr:cNvPr id="9" name="Shape 2" title="Desenh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62700" y="1868805"/>
          <a:ext cx="857250" cy="209550"/>
          <a:chOff x="3008375" y="881450"/>
          <a:chExt cx="838500" cy="194400"/>
        </a:xfrm>
      </xdr:grpSpPr>
      <xdr:cxnSp macro="">
        <xdr:nvCxnSpPr>
          <xdr:cNvPr id="10" name="Shape 6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3008375" y="881450"/>
            <a:ext cx="838500" cy="194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952500</xdr:colOff>
      <xdr:row>5</xdr:row>
      <xdr:rowOff>76200</xdr:rowOff>
    </xdr:from>
    <xdr:ext cx="857250" cy="228600"/>
    <xdr:grpSp>
      <xdr:nvGrpSpPr>
        <xdr:cNvPr id="11" name="Shape 2" title="Desenho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8930640" y="1066800"/>
          <a:ext cx="857250" cy="228600"/>
          <a:chOff x="2967475" y="513325"/>
          <a:chExt cx="940800" cy="255600"/>
        </a:xfrm>
      </xdr:grpSpPr>
      <xdr:cxnSp macro="">
        <xdr:nvCxnSpPr>
          <xdr:cNvPr id="12" name="Shape 7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/>
        </xdr:nvCxnSpPr>
        <xdr:spPr>
          <a:xfrm>
            <a:off x="2967475" y="513325"/>
            <a:ext cx="940800" cy="255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952500</xdr:colOff>
      <xdr:row>11</xdr:row>
      <xdr:rowOff>38100</xdr:rowOff>
    </xdr:from>
    <xdr:ext cx="857250" cy="228600"/>
    <xdr:grpSp>
      <xdr:nvGrpSpPr>
        <xdr:cNvPr id="13" name="Shape 2" title="Desenho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8930640" y="2217420"/>
          <a:ext cx="857250" cy="228600"/>
          <a:chOff x="2333500" y="1515450"/>
          <a:chExt cx="920400" cy="235200"/>
        </a:xfrm>
      </xdr:grpSpPr>
      <xdr:cxnSp macro="">
        <xdr:nvCxnSpPr>
          <xdr:cNvPr id="14" name="Shape 8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/>
        </xdr:nvCxnSpPr>
        <xdr:spPr>
          <a:xfrm>
            <a:off x="2333500" y="1515450"/>
            <a:ext cx="920400" cy="235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39</xdr:row>
      <xdr:rowOff>123825</xdr:rowOff>
    </xdr:from>
    <xdr:ext cx="11763375" cy="4162425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19050</xdr:colOff>
      <xdr:row>8</xdr:row>
      <xdr:rowOff>0</xdr:rowOff>
    </xdr:from>
    <xdr:ext cx="3924300" cy="666750"/>
    <xdr:pic>
      <xdr:nvPicPr>
        <xdr:cNvPr id="3" name="image7.png" title="Imagem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923925</xdr:colOff>
      <xdr:row>8</xdr:row>
      <xdr:rowOff>0</xdr:rowOff>
    </xdr:from>
    <xdr:ext cx="1571625" cy="666750"/>
    <xdr:pic>
      <xdr:nvPicPr>
        <xdr:cNvPr id="4" name="image5.png" title="Imagem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7</xdr:row>
      <xdr:rowOff>19050</xdr:rowOff>
    </xdr:from>
    <xdr:ext cx="3524250" cy="2266950"/>
    <xdr:pic>
      <xdr:nvPicPr>
        <xdr:cNvPr id="5" name="image8.png" title="Imagem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17</xdr:row>
      <xdr:rowOff>190500</xdr:rowOff>
    </xdr:from>
    <xdr:ext cx="885825" cy="342900"/>
    <xdr:pic>
      <xdr:nvPicPr>
        <xdr:cNvPr id="6" name="image4.png" title="Imagem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9525</xdr:colOff>
      <xdr:row>0</xdr:row>
      <xdr:rowOff>95250</xdr:rowOff>
    </xdr:from>
    <xdr:ext cx="3581400" cy="1695450"/>
    <xdr:pic>
      <xdr:nvPicPr>
        <xdr:cNvPr id="7" name="image3.png" title="Imagem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485775</xdr:colOff>
      <xdr:row>6</xdr:row>
      <xdr:rowOff>180975</xdr:rowOff>
    </xdr:from>
    <xdr:ext cx="2809875" cy="542925"/>
    <xdr:pic>
      <xdr:nvPicPr>
        <xdr:cNvPr id="2" name="image9.png" title="Imagem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695325</xdr:colOff>
      <xdr:row>2</xdr:row>
      <xdr:rowOff>104775</xdr:rowOff>
    </xdr:from>
    <xdr:ext cx="1647825" cy="1543050"/>
    <xdr:pic>
      <xdr:nvPicPr>
        <xdr:cNvPr id="3" name="image6.png" title="Imagem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3524250" cy="2266950"/>
    <xdr:pic>
      <xdr:nvPicPr>
        <xdr:cNvPr id="2" name="image8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opLeftCell="A11" workbookViewId="0">
      <selection sqref="A1:L2"/>
    </sheetView>
  </sheetViews>
  <sheetFormatPr defaultColWidth="12.6640625" defaultRowHeight="15.75" customHeight="1" x14ac:dyDescent="0.25"/>
  <cols>
    <col min="4" max="4" width="14" customWidth="1"/>
    <col min="7" max="7" width="20.6640625" customWidth="1"/>
    <col min="9" max="9" width="13.21875" customWidth="1"/>
    <col min="12" max="12" width="18.6640625" customWidth="1"/>
  </cols>
  <sheetData>
    <row r="1" spans="1:12" x14ac:dyDescent="0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8"/>
    </row>
    <row r="2" spans="1:12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4"/>
    </row>
    <row r="3" spans="1:12" x14ac:dyDescent="0.25">
      <c r="A3" s="1"/>
      <c r="B3" s="1"/>
      <c r="D3" s="1"/>
      <c r="E3" s="1"/>
      <c r="G3" s="1"/>
      <c r="H3" s="1"/>
      <c r="I3" s="1"/>
    </row>
    <row r="4" spans="1:12" x14ac:dyDescent="0.25">
      <c r="A4" s="69" t="s">
        <v>1</v>
      </c>
      <c r="B4" s="68"/>
      <c r="D4" s="69" t="s">
        <v>2</v>
      </c>
      <c r="E4" s="68"/>
      <c r="G4" s="69" t="s">
        <v>3</v>
      </c>
      <c r="H4" s="67"/>
      <c r="I4" s="68"/>
      <c r="J4" s="65"/>
      <c r="K4" s="60"/>
      <c r="L4" s="60"/>
    </row>
    <row r="5" spans="1:12" x14ac:dyDescent="0.25">
      <c r="A5" s="3" t="s">
        <v>4</v>
      </c>
      <c r="B5" s="4">
        <v>2500</v>
      </c>
      <c r="D5" s="5" t="s">
        <v>5</v>
      </c>
      <c r="E5" s="6">
        <f>B5*9.81</f>
        <v>24525</v>
      </c>
      <c r="G5" s="5" t="s">
        <v>6</v>
      </c>
      <c r="H5" s="2">
        <v>5</v>
      </c>
      <c r="I5" s="7" t="s">
        <v>7</v>
      </c>
      <c r="J5" s="60"/>
      <c r="K5" s="60"/>
      <c r="L5" s="60"/>
    </row>
    <row r="6" spans="1:12" x14ac:dyDescent="0.25">
      <c r="A6" s="8" t="s">
        <v>8</v>
      </c>
      <c r="B6" s="4">
        <v>6.3</v>
      </c>
      <c r="D6" s="5" t="s">
        <v>9</v>
      </c>
      <c r="E6" s="6">
        <f>1000*B6/(PI()*$H$13)</f>
        <v>4.0107045659157627</v>
      </c>
      <c r="G6" s="5" t="s">
        <v>10</v>
      </c>
      <c r="H6" s="2">
        <v>1770</v>
      </c>
      <c r="I6" s="7" t="s">
        <v>11</v>
      </c>
      <c r="J6" s="60"/>
      <c r="K6" s="60"/>
      <c r="L6" s="60"/>
    </row>
    <row r="7" spans="1:12" x14ac:dyDescent="0.25">
      <c r="A7" s="8" t="s">
        <v>12</v>
      </c>
      <c r="B7" s="4">
        <v>12.5</v>
      </c>
      <c r="D7" s="5" t="s">
        <v>13</v>
      </c>
      <c r="E7" s="6">
        <f>1000*B7/(PI()*$H$13)</f>
        <v>7.9577471545947676</v>
      </c>
      <c r="G7" s="5" t="s">
        <v>14</v>
      </c>
      <c r="H7" s="2">
        <v>10000</v>
      </c>
      <c r="I7" s="7" t="s">
        <v>11</v>
      </c>
      <c r="J7" s="60"/>
      <c r="K7" s="60"/>
      <c r="L7" s="60"/>
    </row>
    <row r="8" spans="1:12" x14ac:dyDescent="0.25">
      <c r="A8" s="9" t="s">
        <v>15</v>
      </c>
      <c r="B8" s="10">
        <v>4</v>
      </c>
      <c r="D8" s="5" t="s">
        <v>16</v>
      </c>
      <c r="E8" s="11">
        <f t="shared" ref="E8:E9" si="0">B6/60</f>
        <v>0.105</v>
      </c>
      <c r="G8" s="5" t="s">
        <v>17</v>
      </c>
      <c r="H8" s="12">
        <f>H7*0.00980665</f>
        <v>98.066500000000005</v>
      </c>
      <c r="I8" s="7" t="s">
        <v>11</v>
      </c>
      <c r="J8" s="60"/>
      <c r="K8" s="60"/>
      <c r="L8" s="60"/>
    </row>
    <row r="9" spans="1:12" x14ac:dyDescent="0.25">
      <c r="D9" s="5" t="s">
        <v>18</v>
      </c>
      <c r="E9" s="11">
        <f t="shared" si="0"/>
        <v>0.20833333333333334</v>
      </c>
      <c r="G9" s="5" t="s">
        <v>19</v>
      </c>
      <c r="H9" s="13">
        <f>E5*H5/(H6*1000000)</f>
        <v>6.9279661016949156E-5</v>
      </c>
      <c r="I9" s="7" t="s">
        <v>20</v>
      </c>
      <c r="J9" s="60"/>
      <c r="K9" s="60"/>
      <c r="L9" s="60"/>
    </row>
    <row r="10" spans="1:12" x14ac:dyDescent="0.25">
      <c r="D10" s="5" t="s">
        <v>21</v>
      </c>
      <c r="E10" s="14">
        <v>0.95</v>
      </c>
      <c r="G10" s="5" t="s">
        <v>22</v>
      </c>
      <c r="H10" s="15">
        <f>SQRT(4*H9/PI())*1000</f>
        <v>9.3919968085933014</v>
      </c>
      <c r="I10" s="7" t="s">
        <v>23</v>
      </c>
      <c r="J10" s="60"/>
      <c r="K10" s="60"/>
      <c r="L10" s="60"/>
    </row>
    <row r="11" spans="1:12" x14ac:dyDescent="0.25">
      <c r="D11" s="5" t="s">
        <v>24</v>
      </c>
      <c r="E11" s="16">
        <f t="shared" ref="E11:E12" si="1">$E$5*E8/$E$10/1000</f>
        <v>2.7106578947368423</v>
      </c>
      <c r="G11" s="8" t="s">
        <v>25</v>
      </c>
      <c r="H11" s="17" t="str">
        <f>TEXT(H10/25.4,"# ?/?")</f>
        <v xml:space="preserve"> 3/8</v>
      </c>
      <c r="I11" s="7"/>
      <c r="J11" s="60"/>
      <c r="K11" s="60"/>
      <c r="L11" s="60"/>
    </row>
    <row r="12" spans="1:12" x14ac:dyDescent="0.25">
      <c r="D12" s="5" t="s">
        <v>26</v>
      </c>
      <c r="E12" s="6">
        <f t="shared" si="1"/>
        <v>5.3782894736842106</v>
      </c>
      <c r="G12" s="5" t="s">
        <v>27</v>
      </c>
      <c r="H12" s="2">
        <v>39</v>
      </c>
      <c r="I12" s="7" t="s">
        <v>11</v>
      </c>
      <c r="J12" s="60"/>
      <c r="K12" s="60"/>
      <c r="L12" s="60"/>
    </row>
    <row r="13" spans="1:12" x14ac:dyDescent="0.25">
      <c r="D13" s="8" t="s">
        <v>28</v>
      </c>
      <c r="E13" s="4">
        <f>INT(MIN(E11:E12)/0.7355)</f>
        <v>3</v>
      </c>
      <c r="G13" s="8" t="s">
        <v>29</v>
      </c>
      <c r="H13" s="18">
        <f>CEILING(12.7*H12,10)</f>
        <v>500</v>
      </c>
      <c r="I13" s="7"/>
      <c r="J13" s="60"/>
      <c r="K13" s="60"/>
      <c r="L13" s="60"/>
    </row>
    <row r="14" spans="1:12" x14ac:dyDescent="0.25">
      <c r="D14" s="70" t="s">
        <v>30</v>
      </c>
      <c r="E14" s="61"/>
      <c r="G14" s="59" t="s">
        <v>31</v>
      </c>
      <c r="H14" s="60"/>
      <c r="I14" s="61"/>
      <c r="J14" s="60"/>
      <c r="K14" s="60"/>
      <c r="L14" s="60"/>
    </row>
    <row r="15" spans="1:12" x14ac:dyDescent="0.25">
      <c r="D15" s="71"/>
      <c r="E15" s="61"/>
      <c r="G15" s="62"/>
      <c r="H15" s="63"/>
      <c r="I15" s="64"/>
      <c r="J15" s="60"/>
      <c r="K15" s="60"/>
      <c r="L15" s="60"/>
    </row>
    <row r="16" spans="1:12" x14ac:dyDescent="0.25">
      <c r="D16" s="70" t="s">
        <v>32</v>
      </c>
      <c r="E16" s="61"/>
      <c r="F16" s="65"/>
      <c r="G16" s="60"/>
      <c r="H16" s="60"/>
      <c r="I16" s="60"/>
      <c r="J16" s="60"/>
      <c r="K16" s="60"/>
      <c r="L16" s="60"/>
    </row>
    <row r="17" spans="4:12" x14ac:dyDescent="0.25">
      <c r="D17" s="71"/>
      <c r="E17" s="61"/>
      <c r="F17" s="60"/>
      <c r="G17" s="60"/>
      <c r="H17" s="60"/>
      <c r="I17" s="60"/>
      <c r="J17" s="60"/>
      <c r="K17" s="60"/>
      <c r="L17" s="60"/>
    </row>
    <row r="18" spans="4:12" x14ac:dyDescent="0.25">
      <c r="D18" s="71"/>
      <c r="E18" s="61"/>
      <c r="F18" s="60"/>
      <c r="G18" s="60"/>
      <c r="H18" s="60"/>
      <c r="I18" s="60"/>
      <c r="J18" s="60"/>
      <c r="K18" s="60"/>
      <c r="L18" s="60"/>
    </row>
    <row r="19" spans="4:12" x14ac:dyDescent="0.25">
      <c r="D19" s="59" t="s">
        <v>33</v>
      </c>
      <c r="E19" s="61"/>
      <c r="F19" s="60"/>
      <c r="G19" s="60"/>
      <c r="H19" s="60"/>
      <c r="I19" s="60"/>
      <c r="J19" s="60"/>
      <c r="K19" s="60"/>
      <c r="L19" s="60"/>
    </row>
    <row r="20" spans="4:12" x14ac:dyDescent="0.25">
      <c r="D20" s="71"/>
      <c r="E20" s="61"/>
      <c r="F20" s="60"/>
      <c r="G20" s="60"/>
      <c r="H20" s="60"/>
      <c r="I20" s="60"/>
      <c r="J20" s="60"/>
      <c r="K20" s="60"/>
      <c r="L20" s="60"/>
    </row>
    <row r="21" spans="4:12" x14ac:dyDescent="0.25">
      <c r="D21" s="62"/>
      <c r="E21" s="64"/>
      <c r="F21" s="60"/>
      <c r="G21" s="60"/>
      <c r="H21" s="60"/>
      <c r="I21" s="60"/>
      <c r="J21" s="60"/>
      <c r="K21" s="60"/>
      <c r="L21" s="60"/>
    </row>
    <row r="22" spans="4:12" ht="15.75" customHeight="1" x14ac:dyDescent="0.25">
      <c r="F22" s="60"/>
      <c r="G22" s="60"/>
      <c r="H22" s="60"/>
      <c r="I22" s="60"/>
      <c r="J22" s="60"/>
      <c r="K22" s="60"/>
      <c r="L22" s="60"/>
    </row>
    <row r="23" spans="4:12" ht="15.75" customHeight="1" x14ac:dyDescent="0.25">
      <c r="F23" s="60"/>
      <c r="G23" s="60"/>
      <c r="H23" s="60"/>
      <c r="I23" s="60"/>
      <c r="J23" s="60"/>
      <c r="K23" s="60"/>
      <c r="L23" s="60"/>
    </row>
    <row r="24" spans="4:12" ht="15.75" customHeight="1" x14ac:dyDescent="0.25">
      <c r="F24" s="60"/>
      <c r="G24" s="60"/>
      <c r="H24" s="60"/>
      <c r="I24" s="60"/>
      <c r="J24" s="60"/>
      <c r="K24" s="60"/>
      <c r="L24" s="60"/>
    </row>
    <row r="25" spans="4:12" ht="15.75" customHeight="1" x14ac:dyDescent="0.25">
      <c r="F25" s="60"/>
      <c r="G25" s="60"/>
      <c r="H25" s="60"/>
      <c r="I25" s="60"/>
      <c r="J25" s="60"/>
      <c r="K25" s="60"/>
      <c r="L25" s="60"/>
    </row>
    <row r="26" spans="4:12" ht="15.75" customHeight="1" x14ac:dyDescent="0.25">
      <c r="J26" s="60"/>
      <c r="K26" s="60"/>
      <c r="L26" s="60"/>
    </row>
    <row r="27" spans="4:12" ht="15.75" customHeight="1" x14ac:dyDescent="0.25">
      <c r="J27" s="60"/>
      <c r="K27" s="60"/>
      <c r="L27" s="60"/>
    </row>
    <row r="28" spans="4:12" ht="15.75" customHeight="1" x14ac:dyDescent="0.25">
      <c r="J28" s="60"/>
      <c r="K28" s="60"/>
      <c r="L28" s="60"/>
    </row>
    <row r="29" spans="4:12" ht="15.75" customHeight="1" x14ac:dyDescent="0.25">
      <c r="J29" s="60"/>
      <c r="K29" s="60"/>
      <c r="L29" s="60"/>
    </row>
    <row r="30" spans="4:12" ht="15.75" customHeight="1" x14ac:dyDescent="0.25">
      <c r="J30" s="60"/>
      <c r="K30" s="60"/>
      <c r="L30" s="60"/>
    </row>
    <row r="31" spans="4:12" ht="15.75" customHeight="1" x14ac:dyDescent="0.25">
      <c r="J31" s="60"/>
      <c r="K31" s="60"/>
      <c r="L31" s="60"/>
    </row>
    <row r="32" spans="4:12" ht="15.75" customHeight="1" x14ac:dyDescent="0.25">
      <c r="J32" s="60"/>
      <c r="K32" s="60"/>
      <c r="L32" s="60"/>
    </row>
  </sheetData>
  <mergeCells count="10">
    <mergeCell ref="G14:I15"/>
    <mergeCell ref="F16:I25"/>
    <mergeCell ref="A1:L2"/>
    <mergeCell ref="A4:B4"/>
    <mergeCell ref="D4:E4"/>
    <mergeCell ref="G4:I4"/>
    <mergeCell ref="J4:L32"/>
    <mergeCell ref="D14:E15"/>
    <mergeCell ref="D16:E18"/>
    <mergeCell ref="D19:E2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57"/>
  <sheetViews>
    <sheetView workbookViewId="0">
      <selection sqref="A1:M2"/>
    </sheetView>
  </sheetViews>
  <sheetFormatPr defaultColWidth="12.6640625" defaultRowHeight="15.75" customHeight="1" x14ac:dyDescent="0.25"/>
  <cols>
    <col min="1" max="1" width="16.21875" customWidth="1"/>
  </cols>
  <sheetData>
    <row r="1" spans="1:14" x14ac:dyDescent="0.25">
      <c r="A1" s="66" t="s">
        <v>34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19"/>
    </row>
    <row r="2" spans="1:14" x14ac:dyDescent="0.25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20"/>
    </row>
    <row r="3" spans="1:14" x14ac:dyDescent="0.25">
      <c r="J3" s="2" t="s">
        <v>35</v>
      </c>
      <c r="K3" s="2"/>
      <c r="L3" s="2" t="s">
        <v>36</v>
      </c>
      <c r="M3" s="2" t="s">
        <v>37</v>
      </c>
    </row>
    <row r="4" spans="1:14" x14ac:dyDescent="0.25">
      <c r="A4" s="72" t="s">
        <v>38</v>
      </c>
      <c r="B4" s="60"/>
      <c r="D4" s="72" t="s">
        <v>39</v>
      </c>
      <c r="E4" s="60"/>
      <c r="H4" s="2" t="s">
        <v>40</v>
      </c>
      <c r="J4" s="15">
        <f>I6/L4</f>
        <v>95.125864510871068</v>
      </c>
      <c r="L4" s="15">
        <f>E11</f>
        <v>4.0107045659157627</v>
      </c>
      <c r="M4" s="21">
        <f>G9/L4</f>
        <v>437.57897675000686</v>
      </c>
    </row>
    <row r="5" spans="1:14" x14ac:dyDescent="0.25">
      <c r="A5" s="2" t="s">
        <v>41</v>
      </c>
      <c r="B5" s="2">
        <v>1755</v>
      </c>
      <c r="D5" s="2" t="s">
        <v>42</v>
      </c>
      <c r="E5" s="15">
        <f>('1ª Entrega'!B7/'1ª Entrega'!B6)^(1/3)</f>
        <v>1.2565790685485896</v>
      </c>
      <c r="H5" s="15">
        <v>4.5999999999999996</v>
      </c>
      <c r="I5" s="2" t="s">
        <v>43</v>
      </c>
    </row>
    <row r="6" spans="1:14" x14ac:dyDescent="0.25">
      <c r="A6" s="2" t="s">
        <v>44</v>
      </c>
      <c r="B6" s="2">
        <v>2.5</v>
      </c>
      <c r="D6" s="2" t="s">
        <v>45</v>
      </c>
      <c r="E6" s="21">
        <f>'1ª Entrega'!H13</f>
        <v>500</v>
      </c>
      <c r="I6" s="15">
        <f>G9/H5</f>
        <v>381.52173913043481</v>
      </c>
      <c r="J6" s="2" t="s">
        <v>46</v>
      </c>
      <c r="K6" s="2"/>
      <c r="L6" s="2" t="s">
        <v>47</v>
      </c>
      <c r="M6" s="2" t="s">
        <v>48</v>
      </c>
    </row>
    <row r="7" spans="1:14" x14ac:dyDescent="0.25">
      <c r="D7" s="2" t="s">
        <v>49</v>
      </c>
      <c r="E7" s="2">
        <v>6.3</v>
      </c>
      <c r="J7" s="15">
        <f>I6/L7</f>
        <v>75.702251367871426</v>
      </c>
      <c r="L7" s="15">
        <f>E12</f>
        <v>5.0397674076620049</v>
      </c>
      <c r="M7" s="21">
        <f>G9/L7</f>
        <v>348.23035629220851</v>
      </c>
    </row>
    <row r="8" spans="1:14" x14ac:dyDescent="0.25">
      <c r="A8" s="73" t="s">
        <v>50</v>
      </c>
      <c r="B8" s="60"/>
      <c r="D8" s="2" t="s">
        <v>51</v>
      </c>
      <c r="E8" s="12">
        <f>E5*'1ª Entrega'!B6</f>
        <v>7.9164481318561144</v>
      </c>
      <c r="G8" s="2" t="s">
        <v>41</v>
      </c>
    </row>
    <row r="9" spans="1:14" x14ac:dyDescent="0.25">
      <c r="A9" s="2" t="s">
        <v>52</v>
      </c>
      <c r="B9" s="15">
        <f>H13</f>
        <v>2.9132529125230504</v>
      </c>
      <c r="D9" s="2" t="s">
        <v>53</v>
      </c>
      <c r="E9" s="12">
        <f>E5*E8</f>
        <v>9.947643019740978</v>
      </c>
      <c r="G9" s="2">
        <v>1755</v>
      </c>
      <c r="J9" s="2" t="s">
        <v>35</v>
      </c>
      <c r="K9" s="2"/>
      <c r="L9" s="2" t="s">
        <v>54</v>
      </c>
      <c r="M9" s="2" t="s">
        <v>55</v>
      </c>
    </row>
    <row r="10" spans="1:14" x14ac:dyDescent="0.25">
      <c r="A10" s="2" t="s">
        <v>40</v>
      </c>
      <c r="B10" s="15">
        <f>H5</f>
        <v>4.5999999999999996</v>
      </c>
      <c r="D10" s="2" t="s">
        <v>56</v>
      </c>
      <c r="E10" s="2">
        <v>12.5</v>
      </c>
      <c r="J10" s="15">
        <f>I12/L10</f>
        <v>95.125864510871082</v>
      </c>
      <c r="L10" s="15">
        <f>E13</f>
        <v>6.332866234821461</v>
      </c>
      <c r="M10" s="21">
        <f>G9/L10</f>
        <v>277.12570184256822</v>
      </c>
    </row>
    <row r="11" spans="1:14" x14ac:dyDescent="0.25">
      <c r="A11" s="2" t="s">
        <v>46</v>
      </c>
      <c r="B11" s="15">
        <f>J7</f>
        <v>75.702251367871426</v>
      </c>
      <c r="D11" s="2" t="s">
        <v>36</v>
      </c>
      <c r="E11" s="15">
        <f t="shared" ref="E11:E14" si="0">1000*E7/(PI()*$E$6)</f>
        <v>4.0107045659157627</v>
      </c>
      <c r="I11" s="2" t="s">
        <v>57</v>
      </c>
    </row>
    <row r="12" spans="1:14" x14ac:dyDescent="0.25">
      <c r="A12" s="2" t="s">
        <v>35</v>
      </c>
      <c r="B12" s="15">
        <f>J4</f>
        <v>95.125864510871068</v>
      </c>
      <c r="D12" s="2" t="s">
        <v>47</v>
      </c>
      <c r="E12" s="15">
        <f t="shared" si="0"/>
        <v>5.0397674076620049</v>
      </c>
      <c r="H12" s="2" t="s">
        <v>52</v>
      </c>
      <c r="I12" s="15">
        <f>G9/H13</f>
        <v>602.41937541909658</v>
      </c>
      <c r="J12" s="2" t="s">
        <v>46</v>
      </c>
      <c r="K12" s="2"/>
      <c r="L12" s="2" t="s">
        <v>58</v>
      </c>
      <c r="M12" s="2" t="s">
        <v>59</v>
      </c>
    </row>
    <row r="13" spans="1:14" x14ac:dyDescent="0.25">
      <c r="D13" s="2" t="s">
        <v>54</v>
      </c>
      <c r="E13" s="15">
        <f t="shared" si="0"/>
        <v>6.332866234821461</v>
      </c>
      <c r="H13" s="15">
        <f>H5/E5^2</f>
        <v>2.9132529125230504</v>
      </c>
      <c r="J13" s="15">
        <f>I12/L13</f>
        <v>75.702251367871412</v>
      </c>
      <c r="L13" s="15">
        <f>E14</f>
        <v>7.9577471545947676</v>
      </c>
      <c r="M13" s="21">
        <f>G9/L13</f>
        <v>220.53980428200347</v>
      </c>
    </row>
    <row r="14" spans="1:14" x14ac:dyDescent="0.25">
      <c r="A14" s="73" t="s">
        <v>60</v>
      </c>
      <c r="B14" s="60"/>
      <c r="D14" s="2" t="s">
        <v>58</v>
      </c>
      <c r="E14" s="15">
        <f t="shared" si="0"/>
        <v>7.9577471545947676</v>
      </c>
    </row>
    <row r="15" spans="1:14" x14ac:dyDescent="0.25">
      <c r="A15" s="2" t="s">
        <v>61</v>
      </c>
      <c r="B15" s="2">
        <v>130</v>
      </c>
      <c r="C15" s="21">
        <f t="shared" ref="C15:C16" si="1">B15+B17</f>
        <v>508.72287862799658</v>
      </c>
    </row>
    <row r="16" spans="1:14" x14ac:dyDescent="0.25">
      <c r="A16" s="2" t="s">
        <v>62</v>
      </c>
      <c r="B16" s="2">
        <v>90</v>
      </c>
      <c r="C16" s="21">
        <f t="shared" si="1"/>
        <v>503.99999999999994</v>
      </c>
      <c r="E16" s="2" t="s">
        <v>63</v>
      </c>
      <c r="F16" s="2" t="s">
        <v>64</v>
      </c>
      <c r="G16" s="2" t="s">
        <v>65</v>
      </c>
    </row>
    <row r="17" spans="1:7" x14ac:dyDescent="0.25">
      <c r="A17" s="2" t="s">
        <v>66</v>
      </c>
      <c r="B17" s="21">
        <f t="shared" ref="B17:B18" si="2">B15*B9</f>
        <v>378.72287862799658</v>
      </c>
      <c r="E17" s="2">
        <v>1000</v>
      </c>
      <c r="F17" s="2">
        <f t="shared" ref="F17:F57" si="3">2*ACOS(($B$17-$B$15)/(2*E17))*180/PI()</f>
        <v>165.7122375737294</v>
      </c>
      <c r="G17" s="2">
        <f t="shared" ref="G17:G57" si="4">2*ACOS(($B$18-$B$16)/(2*E17))*180/PI()</f>
        <v>161.35399504683448</v>
      </c>
    </row>
    <row r="18" spans="1:7" x14ac:dyDescent="0.25">
      <c r="A18" s="2" t="s">
        <v>67</v>
      </c>
      <c r="B18" s="21">
        <f t="shared" si="2"/>
        <v>413.99999999999994</v>
      </c>
      <c r="E18" s="2">
        <v>1050</v>
      </c>
      <c r="F18" s="2">
        <f t="shared" si="3"/>
        <v>166.39590343651884</v>
      </c>
      <c r="G18" s="2">
        <f t="shared" si="4"/>
        <v>162.24925523150088</v>
      </c>
    </row>
    <row r="19" spans="1:7" x14ac:dyDescent="0.25">
      <c r="A19" s="2" t="s">
        <v>68</v>
      </c>
      <c r="B19" s="2">
        <v>1600</v>
      </c>
      <c r="E19" s="2">
        <v>1100</v>
      </c>
      <c r="F19" s="2">
        <f t="shared" si="3"/>
        <v>167.01699530013497</v>
      </c>
      <c r="G19" s="2">
        <f t="shared" si="4"/>
        <v>163.0621799423032</v>
      </c>
    </row>
    <row r="20" spans="1:7" x14ac:dyDescent="0.25">
      <c r="A20" s="2" t="s">
        <v>69</v>
      </c>
      <c r="B20" s="21">
        <f t="shared" ref="B20:B21" si="5">2*ACOS((B17-B15)/(2*$B$19))*180/PI()</f>
        <v>171.08427545991097</v>
      </c>
      <c r="E20" s="2">
        <v>1150</v>
      </c>
      <c r="F20" s="2">
        <f t="shared" si="3"/>
        <v>167.58374437138096</v>
      </c>
      <c r="G20" s="2">
        <f t="shared" si="4"/>
        <v>163.80366529683295</v>
      </c>
    </row>
    <row r="21" spans="1:7" x14ac:dyDescent="0.25">
      <c r="A21" s="2" t="s">
        <v>70</v>
      </c>
      <c r="B21" s="21">
        <f t="shared" si="5"/>
        <v>168.37768885532495</v>
      </c>
      <c r="E21" s="2">
        <v>1200</v>
      </c>
      <c r="F21" s="2">
        <f t="shared" si="3"/>
        <v>168.10299629026338</v>
      </c>
      <c r="G21" s="2">
        <f t="shared" si="4"/>
        <v>164.48276022282636</v>
      </c>
    </row>
    <row r="22" spans="1:7" x14ac:dyDescent="0.25">
      <c r="A22" s="2" t="s">
        <v>71</v>
      </c>
      <c r="B22" s="21">
        <f t="shared" ref="B22:B23" si="6">2*$B$19+(PI()/2*(B15+B17))+(B17-B15)^2/(4*$B$19)</f>
        <v>4008.7661338480389</v>
      </c>
      <c r="E22" s="2">
        <v>1250</v>
      </c>
      <c r="F22" s="2">
        <f t="shared" si="3"/>
        <v>168.58049137014723</v>
      </c>
      <c r="G22" s="2">
        <f t="shared" si="4"/>
        <v>165.10704306840185</v>
      </c>
    </row>
    <row r="23" spans="1:7" x14ac:dyDescent="0.25">
      <c r="A23" s="2" t="s">
        <v>72</v>
      </c>
      <c r="B23" s="21">
        <f t="shared" si="6"/>
        <v>4008.0838487046281</v>
      </c>
      <c r="E23" s="2">
        <v>1300</v>
      </c>
      <c r="F23" s="2">
        <f t="shared" si="3"/>
        <v>169.02107936396317</v>
      </c>
      <c r="G23" s="2">
        <f t="shared" si="4"/>
        <v>165.68290944394101</v>
      </c>
    </row>
    <row r="24" spans="1:7" x14ac:dyDescent="0.25">
      <c r="A24" s="2" t="s">
        <v>73</v>
      </c>
      <c r="B24" s="2">
        <v>4045</v>
      </c>
      <c r="E24" s="2">
        <v>1350</v>
      </c>
      <c r="F24" s="2">
        <f t="shared" si="3"/>
        <v>169.4288859588786</v>
      </c>
      <c r="G24" s="2">
        <f t="shared" si="4"/>
        <v>166.21579484130723</v>
      </c>
    </row>
    <row r="25" spans="1:7" x14ac:dyDescent="0.25">
      <c r="E25" s="2">
        <v>1400</v>
      </c>
      <c r="F25" s="2">
        <f t="shared" si="3"/>
        <v>169.80744321666396</v>
      </c>
      <c r="G25" s="2">
        <f t="shared" si="4"/>
        <v>166.71034868322911</v>
      </c>
    </row>
    <row r="26" spans="1:7" x14ac:dyDescent="0.25">
      <c r="A26" s="2" t="s">
        <v>74</v>
      </c>
      <c r="B26" s="12">
        <f>B24-(PI()/2*(B15+B17))</f>
        <v>3245.8999708946171</v>
      </c>
      <c r="E26" s="2">
        <v>1450</v>
      </c>
      <c r="F26" s="2">
        <f t="shared" si="3"/>
        <v>170.1597927622106</v>
      </c>
      <c r="G26" s="2">
        <f t="shared" si="4"/>
        <v>167.1705717574138</v>
      </c>
    </row>
    <row r="27" spans="1:7" x14ac:dyDescent="0.25">
      <c r="A27" s="2" t="s">
        <v>75</v>
      </c>
      <c r="B27" s="12">
        <f>B24-(PI()/2*(B16+B18))</f>
        <v>3253.3186512953721</v>
      </c>
      <c r="E27" s="2">
        <v>1500</v>
      </c>
      <c r="F27" s="2">
        <f t="shared" si="3"/>
        <v>170.48856814658907</v>
      </c>
      <c r="G27" s="2">
        <f t="shared" si="4"/>
        <v>167.59992573496726</v>
      </c>
    </row>
    <row r="28" spans="1:7" x14ac:dyDescent="0.25">
      <c r="A28" s="2" t="s">
        <v>76</v>
      </c>
      <c r="B28" s="15">
        <f t="shared" ref="B28:B29" si="7">(B17-B15)/B26</f>
        <v>7.6626784823392122E-2</v>
      </c>
      <c r="E28" s="2">
        <v>1550</v>
      </c>
      <c r="F28" s="2">
        <f t="shared" si="3"/>
        <v>170.79606113372728</v>
      </c>
      <c r="G28" s="2">
        <f t="shared" si="4"/>
        <v>168.0014211837354</v>
      </c>
    </row>
    <row r="29" spans="1:7" x14ac:dyDescent="0.25">
      <c r="A29" s="2" t="s">
        <v>77</v>
      </c>
      <c r="B29" s="15">
        <f t="shared" si="7"/>
        <v>9.9590613379046969E-2</v>
      </c>
      <c r="E29" s="2">
        <v>1600</v>
      </c>
      <c r="F29" s="2">
        <f t="shared" si="3"/>
        <v>171.08427545991097</v>
      </c>
      <c r="G29" s="2">
        <f t="shared" si="4"/>
        <v>168.37768885532495</v>
      </c>
    </row>
    <row r="30" spans="1:7" x14ac:dyDescent="0.25">
      <c r="A30" s="2" t="s">
        <v>78</v>
      </c>
      <c r="B30" s="2">
        <v>0.04</v>
      </c>
      <c r="E30" s="2">
        <v>1650</v>
      </c>
      <c r="F30" s="2">
        <f t="shared" si="3"/>
        <v>171.35497074635688</v>
      </c>
      <c r="G30" s="2">
        <f t="shared" si="4"/>
        <v>168.73103784635575</v>
      </c>
    </row>
    <row r="31" spans="1:7" x14ac:dyDescent="0.25">
      <c r="A31" s="2" t="s">
        <v>79</v>
      </c>
      <c r="B31" s="2">
        <v>0.05</v>
      </c>
      <c r="E31" s="2">
        <v>1700</v>
      </c>
      <c r="F31" s="2">
        <f t="shared" si="3"/>
        <v>171.60969860859672</v>
      </c>
      <c r="G31" s="2">
        <f t="shared" si="4"/>
        <v>169.06350337381039</v>
      </c>
    </row>
    <row r="32" spans="1:7" x14ac:dyDescent="0.25">
      <c r="A32" s="2" t="s">
        <v>80</v>
      </c>
      <c r="B32" s="21">
        <f t="shared" ref="B32:B33" si="8">(B26-B30*(B17-B15))/2</f>
        <v>1617.9755278747486</v>
      </c>
      <c r="E32" s="2">
        <v>1750</v>
      </c>
      <c r="F32" s="2">
        <f t="shared" si="3"/>
        <v>171.8498325351932</v>
      </c>
      <c r="G32" s="2">
        <f t="shared" si="4"/>
        <v>169.37688626872824</v>
      </c>
    </row>
    <row r="33" spans="1:7" x14ac:dyDescent="0.25">
      <c r="A33" s="2" t="s">
        <v>81</v>
      </c>
      <c r="B33" s="21">
        <f t="shared" si="8"/>
        <v>1618.5593256476861</v>
      </c>
      <c r="E33" s="2">
        <v>1800</v>
      </c>
      <c r="F33" s="2">
        <f t="shared" si="3"/>
        <v>172.07659275599039</v>
      </c>
      <c r="G33" s="2">
        <f t="shared" si="4"/>
        <v>169.67278581830723</v>
      </c>
    </row>
    <row r="34" spans="1:7" x14ac:dyDescent="0.25">
      <c r="A34" s="2" t="s">
        <v>82</v>
      </c>
      <c r="B34" s="15">
        <f t="shared" ref="B34:B35" si="9">(B17-B15)/B32</f>
        <v>0.15372474697111169</v>
      </c>
      <c r="E34" s="2">
        <v>1850</v>
      </c>
      <c r="F34" s="2">
        <f t="shared" si="3"/>
        <v>172.29106705423078</v>
      </c>
      <c r="G34" s="2">
        <f t="shared" si="4"/>
        <v>169.95262722936619</v>
      </c>
    </row>
    <row r="35" spans="1:7" x14ac:dyDescent="0.25">
      <c r="A35" s="2" t="s">
        <v>83</v>
      </c>
      <c r="B35" s="15">
        <f t="shared" si="9"/>
        <v>0.20017801934467086</v>
      </c>
      <c r="E35" s="2">
        <v>1900</v>
      </c>
      <c r="F35" s="2">
        <f t="shared" si="3"/>
        <v>172.49422827449285</v>
      </c>
      <c r="G35" s="2">
        <f t="shared" si="4"/>
        <v>170.21768471477938</v>
      </c>
    </row>
    <row r="36" spans="1:7" x14ac:dyDescent="0.25">
      <c r="A36" s="2" t="s">
        <v>84</v>
      </c>
      <c r="B36" s="2">
        <v>0.23</v>
      </c>
      <c r="E36" s="2">
        <v>1950</v>
      </c>
      <c r="F36" s="2">
        <f t="shared" si="3"/>
        <v>172.68694912308911</v>
      </c>
      <c r="G36" s="2">
        <f t="shared" si="4"/>
        <v>170.46910099661247</v>
      </c>
    </row>
    <row r="37" spans="1:7" x14ac:dyDescent="0.25">
      <c r="A37" s="2" t="s">
        <v>85</v>
      </c>
      <c r="B37" s="2">
        <v>0.23</v>
      </c>
      <c r="E37" s="2">
        <v>2000</v>
      </c>
      <c r="F37" s="2">
        <f t="shared" si="3"/>
        <v>172.87001473745673</v>
      </c>
      <c r="G37" s="2">
        <f t="shared" si="4"/>
        <v>170.70790385916692</v>
      </c>
    </row>
    <row r="38" spans="1:7" x14ac:dyDescent="0.25">
      <c r="A38" s="2" t="s">
        <v>86</v>
      </c>
      <c r="B38" s="2">
        <v>3.56</v>
      </c>
      <c r="E38" s="2">
        <v>2050</v>
      </c>
      <c r="F38" s="2">
        <f t="shared" si="3"/>
        <v>173.04413340751304</v>
      </c>
      <c r="G38" s="2">
        <f t="shared" si="4"/>
        <v>170.9350202602777</v>
      </c>
    </row>
    <row r="39" spans="1:7" x14ac:dyDescent="0.25">
      <c r="A39" s="2" t="s">
        <v>87</v>
      </c>
      <c r="B39" s="2">
        <v>2.11</v>
      </c>
      <c r="E39" s="2">
        <v>2100</v>
      </c>
      <c r="F39" s="2">
        <f t="shared" si="3"/>
        <v>173.20994575857216</v>
      </c>
      <c r="G39" s="2">
        <f t="shared" si="4"/>
        <v>171.15128841140705</v>
      </c>
    </row>
    <row r="40" spans="1:7" x14ac:dyDescent="0.25">
      <c r="A40" s="2" t="s">
        <v>88</v>
      </c>
      <c r="B40" s="2">
        <v>1.1200000000000001</v>
      </c>
      <c r="E40" s="2">
        <v>2150</v>
      </c>
      <c r="F40" s="2">
        <f t="shared" si="3"/>
        <v>173.36803264749611</v>
      </c>
      <c r="G40" s="2">
        <f t="shared" si="4"/>
        <v>171.35746815996677</v>
      </c>
    </row>
    <row r="41" spans="1:7" x14ac:dyDescent="0.25">
      <c r="A41" s="2" t="s">
        <v>89</v>
      </c>
      <c r="B41" s="2">
        <v>1.1200000000000001</v>
      </c>
      <c r="E41" s="2">
        <v>2200</v>
      </c>
      <c r="F41" s="2">
        <f t="shared" si="3"/>
        <v>173.51892197775041</v>
      </c>
      <c r="G41" s="2">
        <f t="shared" si="4"/>
        <v>171.55424994612397</v>
      </c>
    </row>
    <row r="42" spans="1:7" x14ac:dyDescent="0.25">
      <c r="A42" s="2" t="s">
        <v>90</v>
      </c>
      <c r="B42" s="2">
        <v>0.98</v>
      </c>
      <c r="C42" s="15">
        <f t="shared" ref="C42:C43" si="10">(B17-B15)/B32</f>
        <v>0.15372474697111169</v>
      </c>
      <c r="E42" s="2">
        <v>2250</v>
      </c>
      <c r="F42" s="2">
        <f t="shared" si="3"/>
        <v>173.66309460228581</v>
      </c>
      <c r="G42" s="2">
        <f t="shared" si="4"/>
        <v>171.74226255752487</v>
      </c>
    </row>
    <row r="43" spans="1:7" x14ac:dyDescent="0.25">
      <c r="A43" s="2" t="s">
        <v>91</v>
      </c>
      <c r="B43" s="2">
        <v>0.97</v>
      </c>
      <c r="C43" s="15">
        <f t="shared" si="10"/>
        <v>0.20017801934467086</v>
      </c>
      <c r="E43" s="2">
        <v>2300</v>
      </c>
      <c r="F43" s="2">
        <f t="shared" si="3"/>
        <v>173.80098945364577</v>
      </c>
      <c r="G43" s="2">
        <f t="shared" si="4"/>
        <v>171.92207986619084</v>
      </c>
    </row>
    <row r="44" spans="1:7" x14ac:dyDescent="0.25">
      <c r="A44" s="2" t="s">
        <v>92</v>
      </c>
      <c r="B44" s="2">
        <f t="shared" ref="B44:B45" si="11">(B36+B38)*B40*B42</f>
        <v>4.159904</v>
      </c>
      <c r="E44" s="2">
        <v>2350</v>
      </c>
      <c r="F44" s="2">
        <f t="shared" si="3"/>
        <v>173.933008016863</v>
      </c>
      <c r="G44" s="2">
        <f t="shared" si="4"/>
        <v>172.09422670023051</v>
      </c>
    </row>
    <row r="45" spans="1:7" x14ac:dyDescent="0.25">
      <c r="A45" s="2" t="s">
        <v>93</v>
      </c>
      <c r="B45" s="2">
        <f t="shared" si="11"/>
        <v>2.542176</v>
      </c>
      <c r="E45" s="2">
        <v>2400</v>
      </c>
      <c r="F45" s="2">
        <f t="shared" si="3"/>
        <v>174.05951824136145</v>
      </c>
      <c r="G45" s="2">
        <f t="shared" si="4"/>
        <v>172.25918397737803</v>
      </c>
    </row>
    <row r="46" spans="1:7" x14ac:dyDescent="0.25">
      <c r="A46" s="2" t="s">
        <v>94</v>
      </c>
      <c r="B46" s="12">
        <f t="shared" ref="B46:B47" si="12">6.5/B44</f>
        <v>1.5625360585244275</v>
      </c>
      <c r="E46" s="2">
        <v>2450</v>
      </c>
      <c r="F46" s="2">
        <f t="shared" si="3"/>
        <v>174.18085797230486</v>
      </c>
      <c r="G46" s="2">
        <f t="shared" si="4"/>
        <v>172.41739320648182</v>
      </c>
    </row>
    <row r="47" spans="1:7" x14ac:dyDescent="0.25">
      <c r="A47" s="2" t="s">
        <v>95</v>
      </c>
      <c r="B47" s="12">
        <f t="shared" si="12"/>
        <v>2.5568646702667319</v>
      </c>
      <c r="E47" s="2">
        <v>2500</v>
      </c>
      <c r="F47" s="2">
        <f t="shared" si="3"/>
        <v>174.29733796891026</v>
      </c>
      <c r="G47" s="2">
        <f t="shared" si="4"/>
        <v>172.56926044596918</v>
      </c>
    </row>
    <row r="48" spans="1:7" x14ac:dyDescent="0.25">
      <c r="A48" s="72" t="s">
        <v>96</v>
      </c>
      <c r="B48" s="60"/>
      <c r="E48" s="2">
        <v>2550</v>
      </c>
      <c r="F48" s="2">
        <f t="shared" si="3"/>
        <v>174.40924456661142</v>
      </c>
      <c r="G48" s="2">
        <f t="shared" si="4"/>
        <v>172.71515979425627</v>
      </c>
    </row>
    <row r="49" spans="5:7" x14ac:dyDescent="0.25">
      <c r="E49" s="2">
        <v>2600</v>
      </c>
      <c r="F49" s="2">
        <f t="shared" si="3"/>
        <v>174.51684203117432</v>
      </c>
      <c r="G49" s="2">
        <f t="shared" si="4"/>
        <v>172.85543647546328</v>
      </c>
    </row>
    <row r="50" spans="5:7" x14ac:dyDescent="0.25">
      <c r="E50" s="2">
        <v>2650</v>
      </c>
      <c r="F50" s="2">
        <f t="shared" si="3"/>
        <v>174.62037464557861</v>
      </c>
      <c r="G50" s="2">
        <f t="shared" si="4"/>
        <v>172.99040957417398</v>
      </c>
    </row>
    <row r="51" spans="5:7" x14ac:dyDescent="0.25">
      <c r="E51" s="2">
        <v>2700</v>
      </c>
      <c r="F51" s="2">
        <f t="shared" si="3"/>
        <v>174.72006856441175</v>
      </c>
      <c r="G51" s="2">
        <f t="shared" si="4"/>
        <v>173.12037446496959</v>
      </c>
    </row>
    <row r="52" spans="5:7" x14ac:dyDescent="0.25">
      <c r="E52" s="2">
        <v>2750</v>
      </c>
      <c r="F52" s="2">
        <f t="shared" si="3"/>
        <v>174.81613346545259</v>
      </c>
      <c r="G52" s="2">
        <f t="shared" si="4"/>
        <v>173.24560497577806</v>
      </c>
    </row>
    <row r="53" spans="5:7" x14ac:dyDescent="0.25">
      <c r="E53" s="2">
        <v>2800</v>
      </c>
      <c r="F53" s="2">
        <f t="shared" si="3"/>
        <v>174.90876402386678</v>
      </c>
      <c r="G53" s="2">
        <f t="shared" si="4"/>
        <v>173.36635531847088</v>
      </c>
    </row>
    <row r="54" spans="5:7" x14ac:dyDescent="0.25">
      <c r="E54" s="2">
        <v>2850</v>
      </c>
      <c r="F54" s="2">
        <f t="shared" si="3"/>
        <v>174.99814123085767</v>
      </c>
      <c r="G54" s="2">
        <f t="shared" si="4"/>
        <v>173.48286181542477</v>
      </c>
    </row>
    <row r="55" spans="5:7" x14ac:dyDescent="0.25">
      <c r="E55" s="2">
        <v>2900</v>
      </c>
      <c r="F55" s="2">
        <f t="shared" si="3"/>
        <v>175.08443357559511</v>
      </c>
      <c r="G55" s="2">
        <f t="shared" si="4"/>
        <v>173.59534444678201</v>
      </c>
    </row>
    <row r="56" spans="5:7" x14ac:dyDescent="0.25">
      <c r="E56" s="2">
        <v>2950</v>
      </c>
      <c r="F56" s="2">
        <f t="shared" si="3"/>
        <v>175.16779810668424</v>
      </c>
      <c r="G56" s="2">
        <f t="shared" si="4"/>
        <v>173.70400823977479</v>
      </c>
    </row>
    <row r="57" spans="5:7" x14ac:dyDescent="0.25">
      <c r="E57" s="2">
        <v>3000</v>
      </c>
      <c r="F57" s="2">
        <f t="shared" si="3"/>
        <v>175.24838138726227</v>
      </c>
      <c r="G57" s="2">
        <f t="shared" si="4"/>
        <v>173.80904451861619</v>
      </c>
    </row>
  </sheetData>
  <mergeCells count="6">
    <mergeCell ref="A48:B48"/>
    <mergeCell ref="A1:M2"/>
    <mergeCell ref="A4:B4"/>
    <mergeCell ref="D4:E4"/>
    <mergeCell ref="A8:B8"/>
    <mergeCell ref="A14:B1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64"/>
  <sheetViews>
    <sheetView workbookViewId="0"/>
  </sheetViews>
  <sheetFormatPr defaultColWidth="12.6640625" defaultRowHeight="15.75" customHeight="1" x14ac:dyDescent="0.25"/>
  <cols>
    <col min="1" max="1" width="22.21875" customWidth="1"/>
    <col min="4" max="4" width="19" customWidth="1"/>
    <col min="6" max="6" width="15.88671875" customWidth="1"/>
    <col min="7" max="7" width="18.6640625" customWidth="1"/>
    <col min="8" max="8" width="12.6640625" customWidth="1"/>
    <col min="9" max="9" width="15.21875" customWidth="1"/>
    <col min="10" max="10" width="18.21875" customWidth="1"/>
    <col min="17" max="17" width="20.33203125" customWidth="1"/>
    <col min="18" max="18" width="14.77734375" customWidth="1"/>
    <col min="20" max="20" width="17" customWidth="1"/>
    <col min="21" max="21" width="16" customWidth="1"/>
    <col min="27" max="27" width="14.77734375" customWidth="1"/>
    <col min="28" max="28" width="17.88671875" customWidth="1"/>
  </cols>
  <sheetData>
    <row r="1" spans="1:28" x14ac:dyDescent="0.25">
      <c r="A1" s="2"/>
      <c r="B1" s="2"/>
      <c r="D1" s="2"/>
      <c r="E1" s="2"/>
      <c r="F1" s="2"/>
      <c r="G1" s="2"/>
      <c r="H1" s="2"/>
      <c r="I1" s="2"/>
      <c r="J1" s="2"/>
      <c r="Q1" s="74" t="s">
        <v>97</v>
      </c>
      <c r="R1" s="75"/>
      <c r="S1" s="2"/>
      <c r="T1" s="74" t="s">
        <v>98</v>
      </c>
      <c r="U1" s="75"/>
    </row>
    <row r="2" spans="1:28" x14ac:dyDescent="0.25">
      <c r="A2" s="2"/>
      <c r="B2" s="2"/>
      <c r="D2" s="2"/>
      <c r="E2" s="2"/>
      <c r="F2" s="2"/>
      <c r="G2" s="2"/>
      <c r="H2" s="2"/>
      <c r="I2" s="2"/>
      <c r="J2" s="2"/>
      <c r="Q2" s="5" t="s">
        <v>99</v>
      </c>
      <c r="R2" s="7">
        <v>20</v>
      </c>
      <c r="S2" s="23"/>
      <c r="T2" s="24" t="s">
        <v>100</v>
      </c>
      <c r="U2" s="25" t="s">
        <v>42</v>
      </c>
    </row>
    <row r="3" spans="1:28" x14ac:dyDescent="0.25">
      <c r="A3" s="2"/>
      <c r="B3" s="2"/>
      <c r="D3" s="2"/>
      <c r="E3" s="2"/>
      <c r="F3" s="2"/>
      <c r="G3" s="2"/>
      <c r="H3" s="2"/>
      <c r="I3" s="2"/>
      <c r="J3" s="2"/>
      <c r="Q3" s="5" t="s">
        <v>101</v>
      </c>
      <c r="R3" s="7">
        <f>E22*R2</f>
        <v>405749.88397820975</v>
      </c>
      <c r="S3" s="2"/>
      <c r="T3" s="5">
        <v>18</v>
      </c>
      <c r="U3" s="7">
        <v>3.5</v>
      </c>
    </row>
    <row r="4" spans="1:28" x14ac:dyDescent="0.25">
      <c r="A4" s="2"/>
      <c r="B4" s="2"/>
      <c r="D4" s="2"/>
      <c r="E4" s="2"/>
      <c r="F4" s="2"/>
      <c r="G4" s="2"/>
      <c r="H4" s="2"/>
      <c r="I4" s="2"/>
      <c r="J4" s="2"/>
      <c r="Q4" s="5" t="s">
        <v>102</v>
      </c>
      <c r="R4" s="7">
        <v>3.8</v>
      </c>
      <c r="S4" s="2"/>
      <c r="T4" s="5">
        <v>21</v>
      </c>
      <c r="U4" s="7">
        <v>3.3</v>
      </c>
    </row>
    <row r="5" spans="1:28" x14ac:dyDescent="0.25">
      <c r="A5" s="2"/>
      <c r="B5" s="2"/>
      <c r="D5" s="2"/>
      <c r="E5" s="2"/>
      <c r="F5" s="2"/>
      <c r="G5" s="2"/>
      <c r="H5" s="2"/>
      <c r="I5" s="2"/>
      <c r="J5" s="2"/>
      <c r="Q5" s="5" t="s">
        <v>103</v>
      </c>
      <c r="R5" s="7">
        <v>25</v>
      </c>
      <c r="S5" s="2"/>
      <c r="T5" s="5">
        <v>24</v>
      </c>
      <c r="U5" s="7">
        <v>3.2</v>
      </c>
    </row>
    <row r="6" spans="1:28" x14ac:dyDescent="0.25">
      <c r="A6" s="2"/>
      <c r="B6" s="2"/>
      <c r="D6" s="2"/>
      <c r="E6" s="2"/>
      <c r="F6" s="2"/>
      <c r="G6" s="2"/>
      <c r="H6" s="2"/>
      <c r="I6" s="2"/>
      <c r="J6" s="2"/>
      <c r="Q6" s="5" t="s">
        <v>104</v>
      </c>
      <c r="R6" s="7">
        <f>R5*R4</f>
        <v>95</v>
      </c>
      <c r="S6" s="2"/>
      <c r="T6" s="5">
        <v>28</v>
      </c>
      <c r="U6" s="7">
        <v>3.1</v>
      </c>
    </row>
    <row r="7" spans="1:28" x14ac:dyDescent="0.25">
      <c r="A7" s="2"/>
      <c r="B7" s="2"/>
      <c r="D7" s="2"/>
      <c r="E7" s="2"/>
      <c r="F7" s="2"/>
      <c r="G7" s="2"/>
      <c r="H7" s="2"/>
      <c r="I7" s="2"/>
      <c r="J7" s="2"/>
      <c r="Q7" s="5" t="s">
        <v>105</v>
      </c>
      <c r="R7" s="7">
        <f>60*B20*E26/(10^6*R2)</f>
        <v>15.795</v>
      </c>
      <c r="S7" s="2"/>
      <c r="T7" s="5">
        <v>34</v>
      </c>
      <c r="U7" s="7">
        <v>3</v>
      </c>
    </row>
    <row r="8" spans="1:28" x14ac:dyDescent="0.25">
      <c r="A8" s="74" t="s">
        <v>106</v>
      </c>
      <c r="B8" s="75"/>
      <c r="D8" s="74" t="s">
        <v>107</v>
      </c>
      <c r="E8" s="76"/>
      <c r="F8" s="76"/>
      <c r="G8" s="76"/>
      <c r="H8" s="76"/>
      <c r="I8" s="76"/>
      <c r="J8" s="75"/>
      <c r="Q8" s="5" t="s">
        <v>108</v>
      </c>
      <c r="R8" s="7">
        <f>R7^(1/6)</f>
        <v>1.5839930499250174</v>
      </c>
      <c r="S8" s="2"/>
      <c r="T8" s="5">
        <v>40</v>
      </c>
      <c r="U8" s="7">
        <v>2.9</v>
      </c>
    </row>
    <row r="9" spans="1:28" x14ac:dyDescent="0.25">
      <c r="A9" s="5" t="s">
        <v>5</v>
      </c>
      <c r="B9" s="7">
        <f>2500*9.81</f>
        <v>24525</v>
      </c>
      <c r="Q9" s="5" t="s">
        <v>109</v>
      </c>
      <c r="R9" s="7">
        <f>0.487*B28/R8</f>
        <v>1777.0658779931193</v>
      </c>
      <c r="S9" s="2"/>
      <c r="T9" s="5">
        <v>50</v>
      </c>
      <c r="U9" s="7">
        <v>2.8</v>
      </c>
    </row>
    <row r="10" spans="1:28" x14ac:dyDescent="0.25">
      <c r="A10" s="5" t="s">
        <v>110</v>
      </c>
      <c r="B10" s="14">
        <f>(B15/B12)^(1/3)</f>
        <v>1.2565790685485896</v>
      </c>
      <c r="Q10" s="5" t="s">
        <v>111</v>
      </c>
      <c r="R10" s="7">
        <f>5.72*10^5*(R3/R9^2)*((1+R4)/(0.14+R4))</f>
        <v>89534.908227756197</v>
      </c>
      <c r="S10" s="2"/>
      <c r="T10" s="5">
        <v>65</v>
      </c>
      <c r="U10" s="7">
        <v>2.7</v>
      </c>
    </row>
    <row r="11" spans="1:28" x14ac:dyDescent="0.25">
      <c r="A11" s="5" t="s">
        <v>112</v>
      </c>
      <c r="B11" s="7">
        <v>500</v>
      </c>
      <c r="Q11" s="5" t="s">
        <v>113</v>
      </c>
      <c r="R11" s="7">
        <f>(R10/1.2)^(1/3)</f>
        <v>42.098864514096526</v>
      </c>
      <c r="S11" s="2"/>
      <c r="T11" s="5">
        <v>80</v>
      </c>
      <c r="U11" s="7">
        <v>2.6</v>
      </c>
      <c r="W11" s="74" t="s">
        <v>114</v>
      </c>
      <c r="X11" s="76"/>
      <c r="Y11" s="76"/>
      <c r="Z11" s="76"/>
      <c r="AA11" s="76"/>
      <c r="AB11" s="75"/>
    </row>
    <row r="12" spans="1:28" x14ac:dyDescent="0.25">
      <c r="A12" s="5" t="s">
        <v>115</v>
      </c>
      <c r="B12" s="14">
        <f>6.3/60</f>
        <v>0.105</v>
      </c>
      <c r="Q12" s="5" t="s">
        <v>116</v>
      </c>
      <c r="R12" s="7">
        <f>R11/R5</f>
        <v>1.6839545805638609</v>
      </c>
      <c r="S12" s="2"/>
      <c r="T12" s="26">
        <v>100</v>
      </c>
      <c r="U12" s="27">
        <v>2.5</v>
      </c>
      <c r="Y12" s="74" t="s">
        <v>117</v>
      </c>
      <c r="Z12" s="76"/>
      <c r="AA12" s="76"/>
      <c r="AB12" s="75"/>
    </row>
    <row r="13" spans="1:28" x14ac:dyDescent="0.25">
      <c r="A13" s="5" t="s">
        <v>118</v>
      </c>
      <c r="B13" s="14">
        <f>B12*B10</f>
        <v>0.1319408021976019</v>
      </c>
      <c r="D13" s="74" t="s">
        <v>119</v>
      </c>
      <c r="E13" s="76"/>
      <c r="F13" s="76"/>
      <c r="G13" s="76"/>
      <c r="H13" s="76"/>
      <c r="I13" s="76"/>
      <c r="J13" s="75"/>
      <c r="Q13" s="5" t="s">
        <v>120</v>
      </c>
      <c r="R13" s="7">
        <f>MROUND(R12,0.25)</f>
        <v>1.75</v>
      </c>
      <c r="Y13" s="78" t="s">
        <v>116</v>
      </c>
      <c r="Z13" s="60"/>
      <c r="AA13" s="79">
        <f>R13</f>
        <v>1.75</v>
      </c>
      <c r="AB13" s="61"/>
    </row>
    <row r="14" spans="1:28" x14ac:dyDescent="0.25">
      <c r="A14" s="5" t="s">
        <v>121</v>
      </c>
      <c r="B14" s="14">
        <f>B13*B10</f>
        <v>0.16579405032901631</v>
      </c>
      <c r="D14" s="5" t="s">
        <v>122</v>
      </c>
      <c r="J14" s="7"/>
      <c r="Q14" s="5" t="s">
        <v>123</v>
      </c>
      <c r="R14" s="7">
        <f>R13*R5</f>
        <v>43.75</v>
      </c>
      <c r="T14" s="74" t="s">
        <v>124</v>
      </c>
      <c r="U14" s="75"/>
      <c r="Y14" s="78" t="s">
        <v>125</v>
      </c>
      <c r="Z14" s="60"/>
      <c r="AA14" s="79">
        <f>R15</f>
        <v>46.777421441439969</v>
      </c>
      <c r="AB14" s="61"/>
    </row>
    <row r="15" spans="1:28" x14ac:dyDescent="0.25">
      <c r="A15" s="5" t="s">
        <v>126</v>
      </c>
      <c r="B15" s="14">
        <f>12.5/60</f>
        <v>0.20833333333333334</v>
      </c>
      <c r="D15" s="5" t="s">
        <v>127</v>
      </c>
      <c r="E15" s="2">
        <v>1</v>
      </c>
      <c r="F15" s="2" t="s">
        <v>128</v>
      </c>
      <c r="J15" s="7"/>
      <c r="Q15" s="5" t="s">
        <v>129</v>
      </c>
      <c r="R15" s="7">
        <f>R10/(R14^2)</f>
        <v>46.777421441439969</v>
      </c>
      <c r="T15" s="5" t="s">
        <v>130</v>
      </c>
      <c r="U15" s="7">
        <v>3.75</v>
      </c>
      <c r="W15" s="74" t="s">
        <v>131</v>
      </c>
      <c r="X15" s="75"/>
      <c r="Y15" s="80" t="s">
        <v>132</v>
      </c>
      <c r="Z15" s="75"/>
      <c r="AA15" s="74" t="s">
        <v>133</v>
      </c>
      <c r="AB15" s="75"/>
    </row>
    <row r="16" spans="1:28" x14ac:dyDescent="0.25">
      <c r="A16" s="5" t="s">
        <v>46</v>
      </c>
      <c r="B16" s="7">
        <v>75.7</v>
      </c>
      <c r="D16" s="5" t="s">
        <v>134</v>
      </c>
      <c r="E16" s="2">
        <f>B9*B11/2/1000</f>
        <v>6131.25</v>
      </c>
      <c r="J16" s="7"/>
      <c r="Q16" s="5" t="s">
        <v>42</v>
      </c>
      <c r="R16" s="7" t="e">
        <f ca="1">interpolate(R5,T3:T12,U3:U12)</f>
        <v>#NAME?</v>
      </c>
      <c r="T16" s="5" t="s">
        <v>135</v>
      </c>
      <c r="U16" s="7">
        <f>U15*R5</f>
        <v>93.75</v>
      </c>
      <c r="W16" s="28" t="s">
        <v>136</v>
      </c>
      <c r="X16" s="29">
        <f>R14</f>
        <v>43.75</v>
      </c>
      <c r="Y16" s="30" t="s">
        <v>137</v>
      </c>
      <c r="Z16" s="31">
        <f>X16/AA13</f>
        <v>25</v>
      </c>
      <c r="AA16" s="28" t="s">
        <v>138</v>
      </c>
      <c r="AB16" s="32">
        <f>(X16+X17)/2</f>
        <v>105</v>
      </c>
    </row>
    <row r="17" spans="1:29" x14ac:dyDescent="0.25">
      <c r="A17" s="5" t="s">
        <v>35</v>
      </c>
      <c r="B17" s="7">
        <v>95.13</v>
      </c>
      <c r="D17" s="5" t="s">
        <v>139</v>
      </c>
      <c r="E17" s="2">
        <v>20</v>
      </c>
      <c r="J17" s="7"/>
      <c r="Q17" s="5" t="s">
        <v>140</v>
      </c>
      <c r="R17" s="7">
        <f>2*R3/R14</f>
        <v>18548.56612471816</v>
      </c>
      <c r="T17" s="5" t="s">
        <v>141</v>
      </c>
      <c r="U17" s="7">
        <f>2*R3/U16</f>
        <v>8655.997524868475</v>
      </c>
      <c r="W17" s="26" t="s">
        <v>142</v>
      </c>
      <c r="X17" s="33">
        <f>R4*X16</f>
        <v>166.25</v>
      </c>
      <c r="Y17" s="34" t="s">
        <v>143</v>
      </c>
      <c r="Z17" s="35">
        <f>X17/AA13</f>
        <v>95</v>
      </c>
      <c r="AA17" s="34"/>
      <c r="AB17" s="27"/>
    </row>
    <row r="18" spans="1:29" x14ac:dyDescent="0.25">
      <c r="A18" s="5" t="s">
        <v>144</v>
      </c>
      <c r="B18" s="7">
        <v>5</v>
      </c>
      <c r="D18" s="5" t="s">
        <v>145</v>
      </c>
      <c r="E18" s="2">
        <f>RADIANS(E17)</f>
        <v>0.3490658503988659</v>
      </c>
      <c r="J18" s="7"/>
      <c r="Q18" s="5" t="s">
        <v>146</v>
      </c>
      <c r="R18" s="14" t="e">
        <f ca="1">R17*R16/(R15*R13)</f>
        <v>#NAME?</v>
      </c>
      <c r="T18" s="5" t="s">
        <v>147</v>
      </c>
      <c r="U18" s="7" t="e">
        <f ca="1">U17*R16/(R15*U15)</f>
        <v>#NAME?</v>
      </c>
    </row>
    <row r="19" spans="1:29" x14ac:dyDescent="0.25">
      <c r="A19" s="5" t="s">
        <v>148</v>
      </c>
      <c r="B19" s="7">
        <f>B18*745.7</f>
        <v>3728.5</v>
      </c>
      <c r="D19" s="26" t="s">
        <v>149</v>
      </c>
      <c r="E19" s="34">
        <v>18</v>
      </c>
      <c r="F19" s="36" t="s">
        <v>150</v>
      </c>
      <c r="G19" s="34"/>
      <c r="H19" s="34"/>
      <c r="I19" s="34"/>
      <c r="J19" s="27"/>
      <c r="Q19" s="37" t="s">
        <v>151</v>
      </c>
      <c r="R19" s="27" t="e">
        <f ca="1">IF(R18&gt;U19,"Sim, redimensione","Não, pode seguir")</f>
        <v>#NAME?</v>
      </c>
      <c r="T19" s="5" t="s">
        <v>152</v>
      </c>
      <c r="U19" s="7">
        <v>200</v>
      </c>
    </row>
    <row r="20" spans="1:29" x14ac:dyDescent="0.25">
      <c r="A20" s="26" t="s">
        <v>153</v>
      </c>
      <c r="B20" s="27">
        <v>1755</v>
      </c>
      <c r="M20" s="74" t="s">
        <v>154</v>
      </c>
      <c r="N20" s="76"/>
      <c r="O20" s="76"/>
      <c r="P20" s="76"/>
      <c r="Q20" s="76"/>
      <c r="R20" s="75"/>
      <c r="T20" s="37" t="s">
        <v>151</v>
      </c>
      <c r="U20" s="27" t="str">
        <f>IF(U19&gt;B25,"Sim, redimensione","Não, pode seguir")</f>
        <v>Não, pode seguir</v>
      </c>
      <c r="W20" s="74" t="s">
        <v>155</v>
      </c>
      <c r="X20" s="76"/>
      <c r="Y20" s="76"/>
      <c r="Z20" s="76"/>
      <c r="AA20" s="76"/>
      <c r="AB20" s="76"/>
      <c r="AC20" s="75"/>
    </row>
    <row r="21" spans="1:29" x14ac:dyDescent="0.25">
      <c r="D21" s="81" t="s">
        <v>156</v>
      </c>
      <c r="E21" s="67"/>
      <c r="F21" s="67"/>
      <c r="G21" s="67"/>
      <c r="H21" s="67"/>
      <c r="I21" s="67"/>
      <c r="J21" s="67"/>
      <c r="K21" s="68"/>
      <c r="M21" s="74" t="s">
        <v>117</v>
      </c>
      <c r="N21" s="76"/>
      <c r="O21" s="76"/>
      <c r="P21" s="75"/>
      <c r="R21" s="7"/>
      <c r="W21" s="77" t="s">
        <v>117</v>
      </c>
      <c r="X21" s="63"/>
      <c r="Y21" s="63"/>
      <c r="Z21" s="63"/>
      <c r="AA21" s="64"/>
      <c r="AB21" s="77" t="s">
        <v>133</v>
      </c>
      <c r="AC21" s="64"/>
    </row>
    <row r="22" spans="1:29" x14ac:dyDescent="0.25">
      <c r="A22" s="74" t="s">
        <v>157</v>
      </c>
      <c r="B22" s="75"/>
      <c r="D22" s="28" t="s">
        <v>158</v>
      </c>
      <c r="E22" s="38">
        <f>30000*B19/(PI()*B20)</f>
        <v>20287.494198910488</v>
      </c>
      <c r="F22" s="30" t="s">
        <v>159</v>
      </c>
      <c r="G22" s="28"/>
      <c r="H22" s="39" t="s">
        <v>160</v>
      </c>
      <c r="I22" s="39" t="s">
        <v>161</v>
      </c>
      <c r="J22" s="39" t="s">
        <v>162</v>
      </c>
      <c r="K22" s="40" t="s">
        <v>163</v>
      </c>
      <c r="M22" s="78" t="s">
        <v>116</v>
      </c>
      <c r="N22" s="60"/>
      <c r="O22" s="79">
        <f>K30</f>
        <v>1.25</v>
      </c>
      <c r="P22" s="61"/>
      <c r="R22" s="7"/>
      <c r="W22" s="41" t="s">
        <v>164</v>
      </c>
      <c r="X22" s="39" t="s">
        <v>165</v>
      </c>
      <c r="Y22" s="39" t="s">
        <v>166</v>
      </c>
      <c r="Z22" s="39" t="s">
        <v>167</v>
      </c>
      <c r="AA22" s="40" t="s">
        <v>168</v>
      </c>
      <c r="AB22" s="28" t="s">
        <v>169</v>
      </c>
      <c r="AC22" s="32">
        <f>AVERAGE(X23:X24)</f>
        <v>100</v>
      </c>
    </row>
    <row r="23" spans="1:29" x14ac:dyDescent="0.25">
      <c r="A23" s="82" t="s">
        <v>170</v>
      </c>
      <c r="B23" s="61"/>
      <c r="D23" s="5" t="s">
        <v>171</v>
      </c>
      <c r="E23" s="2">
        <f>H23</f>
        <v>4</v>
      </c>
      <c r="G23" s="8" t="s">
        <v>172</v>
      </c>
      <c r="H23" s="2">
        <v>4</v>
      </c>
      <c r="I23" s="2">
        <v>5</v>
      </c>
      <c r="J23" s="2">
        <v>4.5999999999999996</v>
      </c>
      <c r="K23" s="7">
        <f t="shared" ref="K23:K24" si="0">H23*I23*J23</f>
        <v>92</v>
      </c>
      <c r="M23" s="78" t="s">
        <v>125</v>
      </c>
      <c r="N23" s="60"/>
      <c r="O23" s="79">
        <f>K32</f>
        <v>23.795710344796841</v>
      </c>
      <c r="P23" s="61"/>
      <c r="R23" s="7"/>
      <c r="W23" s="8" t="s">
        <v>173</v>
      </c>
      <c r="X23" s="2">
        <v>40</v>
      </c>
      <c r="Y23" s="2">
        <v>1.5</v>
      </c>
      <c r="Z23" s="21">
        <f>O23</f>
        <v>23.795710344796841</v>
      </c>
      <c r="AA23" s="7">
        <v>24</v>
      </c>
      <c r="AB23" s="5" t="s">
        <v>174</v>
      </c>
      <c r="AC23" s="7">
        <f>AVERAGE(X25:X26)</f>
        <v>140</v>
      </c>
    </row>
    <row r="24" spans="1:29" x14ac:dyDescent="0.25">
      <c r="A24" s="5" t="s">
        <v>175</v>
      </c>
      <c r="B24" s="7">
        <v>1207</v>
      </c>
      <c r="D24" s="5" t="s">
        <v>103</v>
      </c>
      <c r="E24" s="2">
        <f>E19</f>
        <v>18</v>
      </c>
      <c r="F24" s="2"/>
      <c r="G24" s="9" t="s">
        <v>176</v>
      </c>
      <c r="H24" s="34">
        <v>4</v>
      </c>
      <c r="I24" s="34">
        <v>5</v>
      </c>
      <c r="J24" s="34">
        <v>3.8</v>
      </c>
      <c r="K24" s="27">
        <f t="shared" si="0"/>
        <v>76</v>
      </c>
      <c r="M24" s="74" t="s">
        <v>131</v>
      </c>
      <c r="N24" s="75"/>
      <c r="O24" s="80" t="s">
        <v>132</v>
      </c>
      <c r="P24" s="75"/>
      <c r="Q24" s="74" t="s">
        <v>133</v>
      </c>
      <c r="R24" s="75"/>
      <c r="W24" s="8" t="s">
        <v>177</v>
      </c>
      <c r="X24" s="2">
        <f>X23*4</f>
        <v>160</v>
      </c>
      <c r="Y24" s="2">
        <f t="shared" ref="Y24:Z24" si="1">Y23</f>
        <v>1.5</v>
      </c>
      <c r="Z24" s="21">
        <f t="shared" si="1"/>
        <v>23.795710344796841</v>
      </c>
      <c r="AA24" s="7">
        <f>AA23*4</f>
        <v>96</v>
      </c>
      <c r="AB24" s="5" t="s">
        <v>178</v>
      </c>
      <c r="AC24" s="7">
        <f>AVERAGE(X27:X28)</f>
        <v>224</v>
      </c>
    </row>
    <row r="25" spans="1:29" x14ac:dyDescent="0.25">
      <c r="A25" s="5" t="s">
        <v>179</v>
      </c>
      <c r="B25" s="7">
        <v>200</v>
      </c>
      <c r="D25" s="5" t="s">
        <v>104</v>
      </c>
      <c r="E25" s="2">
        <f>E24*E23</f>
        <v>72</v>
      </c>
      <c r="K25" s="7"/>
      <c r="M25" s="28" t="s">
        <v>136</v>
      </c>
      <c r="N25" s="32">
        <f>K31</f>
        <v>22.5</v>
      </c>
      <c r="O25" s="30" t="s">
        <v>137</v>
      </c>
      <c r="P25" s="32">
        <f t="shared" ref="P25:P26" si="2">N25/$O$22</f>
        <v>18</v>
      </c>
      <c r="Q25" s="28" t="s">
        <v>169</v>
      </c>
      <c r="R25" s="32">
        <f>(N25+N26)/2</f>
        <v>56.25</v>
      </c>
      <c r="U25" s="2">
        <f>40+AC22</f>
        <v>140</v>
      </c>
      <c r="W25" s="8" t="s">
        <v>180</v>
      </c>
      <c r="X25" s="2">
        <v>50</v>
      </c>
      <c r="Y25" s="2">
        <v>2.5</v>
      </c>
      <c r="Z25" s="2">
        <v>30</v>
      </c>
      <c r="AA25" s="7">
        <v>24</v>
      </c>
      <c r="AB25" s="26" t="s">
        <v>181</v>
      </c>
      <c r="AC25" s="27">
        <f>AVERAGE(X29:X30)</f>
        <v>225</v>
      </c>
    </row>
    <row r="26" spans="1:29" x14ac:dyDescent="0.25">
      <c r="A26" s="5" t="s">
        <v>182</v>
      </c>
      <c r="B26" s="7">
        <v>352</v>
      </c>
      <c r="D26" s="5" t="s">
        <v>183</v>
      </c>
      <c r="E26" s="2">
        <v>3000</v>
      </c>
      <c r="G26" s="2" t="s">
        <v>184</v>
      </c>
      <c r="H26" s="15">
        <f>5.72*10^5*(E22/E29^2)*((E23+1)/(E23+0.14))*E31</f>
        <v>12046.5783620534</v>
      </c>
      <c r="K26" s="7"/>
      <c r="M26" s="26" t="s">
        <v>142</v>
      </c>
      <c r="N26" s="27">
        <f>N25*H23</f>
        <v>90</v>
      </c>
      <c r="O26" s="34" t="s">
        <v>143</v>
      </c>
      <c r="P26" s="27">
        <f t="shared" si="2"/>
        <v>72</v>
      </c>
      <c r="Q26" s="34"/>
      <c r="R26" s="27"/>
      <c r="U26" s="2">
        <f t="shared" ref="U26:U27" si="3">U25+AC23</f>
        <v>280</v>
      </c>
      <c r="W26" s="8" t="s">
        <v>185</v>
      </c>
      <c r="X26" s="2">
        <v>230</v>
      </c>
      <c r="Y26" s="2">
        <f t="shared" ref="Y26:Z26" si="4">Y25</f>
        <v>2.5</v>
      </c>
      <c r="Z26" s="2">
        <f t="shared" si="4"/>
        <v>30</v>
      </c>
      <c r="AA26" s="7">
        <f>AA25*I23</f>
        <v>120</v>
      </c>
      <c r="AB26" s="74" t="s">
        <v>186</v>
      </c>
      <c r="AC26" s="75"/>
    </row>
    <row r="27" spans="1:29" x14ac:dyDescent="0.25">
      <c r="A27" s="5" t="s">
        <v>187</v>
      </c>
      <c r="B27" s="7">
        <v>57</v>
      </c>
      <c r="D27" s="5" t="s">
        <v>105</v>
      </c>
      <c r="E27" s="2">
        <f>60*B20*E26/10^6</f>
        <v>315.89999999999998</v>
      </c>
      <c r="F27" s="2" t="s">
        <v>188</v>
      </c>
      <c r="G27" s="42" t="s">
        <v>189</v>
      </c>
      <c r="H27" s="42">
        <v>0.75</v>
      </c>
      <c r="J27" s="43" t="s">
        <v>190</v>
      </c>
      <c r="K27" s="44">
        <v>1.2</v>
      </c>
      <c r="M27" s="2"/>
      <c r="N27" s="2"/>
      <c r="U27" s="2">
        <f t="shared" si="3"/>
        <v>504</v>
      </c>
      <c r="W27" s="8" t="s">
        <v>191</v>
      </c>
      <c r="X27" s="2">
        <v>80</v>
      </c>
      <c r="Y27" s="2">
        <v>4</v>
      </c>
      <c r="Z27" s="2">
        <v>43</v>
      </c>
      <c r="AA27" s="7">
        <v>20</v>
      </c>
      <c r="AB27" s="28" t="s">
        <v>167</v>
      </c>
      <c r="AC27" s="32">
        <f>2*SUM(Z23:Z30)</f>
        <v>563.18284137918738</v>
      </c>
    </row>
    <row r="28" spans="1:29" x14ac:dyDescent="0.25">
      <c r="A28" s="26" t="s">
        <v>192</v>
      </c>
      <c r="B28" s="27">
        <v>5780</v>
      </c>
      <c r="D28" s="5" t="s">
        <v>108</v>
      </c>
      <c r="E28" s="15">
        <f>E27^(1/6)</f>
        <v>2.609706121759336</v>
      </c>
      <c r="G28" s="42" t="s">
        <v>193</v>
      </c>
      <c r="H28" s="45">
        <f>(H26/H27)^(1/3)</f>
        <v>25.230981716151387</v>
      </c>
      <c r="J28" s="43" t="s">
        <v>194</v>
      </c>
      <c r="K28" s="46">
        <f>(H26/K27)^(1/3)</f>
        <v>21.572185922829195</v>
      </c>
      <c r="M28" s="87" t="s">
        <v>195</v>
      </c>
      <c r="N28" s="76"/>
      <c r="O28" s="76"/>
      <c r="P28" s="76"/>
      <c r="Q28" s="76"/>
      <c r="R28" s="75"/>
      <c r="U28" s="2">
        <f>U27+X28/2</f>
        <v>688</v>
      </c>
      <c r="W28" s="8" t="s">
        <v>196</v>
      </c>
      <c r="X28" s="2">
        <f>X27*4.6</f>
        <v>368</v>
      </c>
      <c r="Y28" s="2">
        <v>4</v>
      </c>
      <c r="Z28" s="2">
        <v>43</v>
      </c>
      <c r="AA28" s="7">
        <f>AA27*4.6</f>
        <v>92</v>
      </c>
      <c r="AB28" s="5" t="s">
        <v>197</v>
      </c>
      <c r="AC28" s="7">
        <f>(SUM(AC22:AC24)+X23/2+X28/2)*1.2</f>
        <v>801.6</v>
      </c>
    </row>
    <row r="29" spans="1:29" x14ac:dyDescent="0.25">
      <c r="D29" s="5" t="s">
        <v>198</v>
      </c>
      <c r="E29" s="2">
        <f>0.487*B28/E28</f>
        <v>1078.6118699458618</v>
      </c>
      <c r="F29" s="2" t="s">
        <v>199</v>
      </c>
      <c r="G29" s="42" t="s">
        <v>200</v>
      </c>
      <c r="H29" s="45">
        <f>H28/E24</f>
        <v>1.4017212064528548</v>
      </c>
      <c r="J29" s="43" t="s">
        <v>201</v>
      </c>
      <c r="K29" s="46">
        <f>K28/E24</f>
        <v>1.1984547734905109</v>
      </c>
      <c r="M29" s="41" t="s">
        <v>202</v>
      </c>
      <c r="N29" s="39" t="s">
        <v>203</v>
      </c>
      <c r="O29" s="39" t="s">
        <v>204</v>
      </c>
      <c r="P29" s="39" t="s">
        <v>205</v>
      </c>
      <c r="Q29" s="39" t="s">
        <v>206</v>
      </c>
      <c r="R29" s="40" t="s">
        <v>207</v>
      </c>
      <c r="W29" s="8" t="s">
        <v>208</v>
      </c>
      <c r="X29" s="2">
        <v>93.75</v>
      </c>
      <c r="Y29" s="2">
        <v>3.75</v>
      </c>
      <c r="Z29" s="2">
        <v>44</v>
      </c>
      <c r="AA29" s="7">
        <v>25</v>
      </c>
      <c r="AB29" s="5" t="s">
        <v>209</v>
      </c>
      <c r="AC29" s="7">
        <f>MAX(X23:X30)*1.2</f>
        <v>441.59999999999997</v>
      </c>
    </row>
    <row r="30" spans="1:29" x14ac:dyDescent="0.25">
      <c r="D30" s="5"/>
      <c r="E30" s="2"/>
      <c r="G30" s="42" t="s">
        <v>210</v>
      </c>
      <c r="H30" s="42">
        <f>MROUND(H29,0.25)</f>
        <v>1.5</v>
      </c>
      <c r="J30" s="43" t="s">
        <v>211</v>
      </c>
      <c r="K30" s="44">
        <f>MROUND(K29,0.25)</f>
        <v>1.25</v>
      </c>
      <c r="L30" s="2">
        <v>1.5</v>
      </c>
      <c r="M30" s="28">
        <v>36</v>
      </c>
      <c r="N30" s="30">
        <f t="shared" ref="N30:N64" si="5">M30*$J$23</f>
        <v>165.6</v>
      </c>
      <c r="O30" s="30">
        <f t="shared" ref="O30:O64" si="6">(M30+N30)/2</f>
        <v>100.8</v>
      </c>
      <c r="P30" s="30">
        <f t="shared" ref="P30:P64" si="7">(($J$23+1)/($J$24+1))*M30</f>
        <v>42</v>
      </c>
      <c r="Q30" s="30">
        <f t="shared" ref="Q30:Q64" si="8">P30*$J$24</f>
        <v>159.6</v>
      </c>
      <c r="R30" s="32">
        <f t="shared" ref="R30:R64" si="9">(Q30+P30)/2</f>
        <v>100.8</v>
      </c>
      <c r="W30" s="9" t="s">
        <v>212</v>
      </c>
      <c r="X30" s="34">
        <f>X29*3.8</f>
        <v>356.25</v>
      </c>
      <c r="Y30" s="34">
        <f t="shared" ref="Y30:Z30" si="10">Y29</f>
        <v>3.75</v>
      </c>
      <c r="Z30" s="34">
        <f t="shared" si="10"/>
        <v>44</v>
      </c>
      <c r="AA30" s="27">
        <f>AA29*3.8</f>
        <v>95</v>
      </c>
      <c r="AB30" s="26"/>
      <c r="AC30" s="27"/>
    </row>
    <row r="31" spans="1:29" x14ac:dyDescent="0.25">
      <c r="D31" s="5" t="s">
        <v>213</v>
      </c>
      <c r="E31" s="2">
        <v>1</v>
      </c>
      <c r="G31" s="42" t="s">
        <v>214</v>
      </c>
      <c r="H31" s="42">
        <f>H30*E24</f>
        <v>27</v>
      </c>
      <c r="J31" s="43" t="s">
        <v>215</v>
      </c>
      <c r="K31" s="44">
        <f>K30*E24</f>
        <v>22.5</v>
      </c>
      <c r="L31" s="2">
        <f>L30*E24</f>
        <v>27</v>
      </c>
      <c r="M31" s="5">
        <v>37</v>
      </c>
      <c r="N31" s="2">
        <f t="shared" si="5"/>
        <v>170.2</v>
      </c>
      <c r="O31" s="2">
        <f t="shared" si="6"/>
        <v>103.6</v>
      </c>
      <c r="P31" s="12">
        <f t="shared" si="7"/>
        <v>43.166666666666671</v>
      </c>
      <c r="Q31" s="12">
        <f t="shared" si="8"/>
        <v>164.03333333333333</v>
      </c>
      <c r="R31" s="7">
        <f t="shared" si="9"/>
        <v>103.6</v>
      </c>
    </row>
    <row r="32" spans="1:29" x14ac:dyDescent="0.25">
      <c r="D32" s="26"/>
      <c r="E32" s="34"/>
      <c r="F32" s="34"/>
      <c r="G32" s="47" t="s">
        <v>216</v>
      </c>
      <c r="H32" s="47">
        <f>H31*H27</f>
        <v>20.25</v>
      </c>
      <c r="I32" s="34"/>
      <c r="J32" s="48" t="s">
        <v>217</v>
      </c>
      <c r="K32" s="49">
        <f>H26/(K31^2)</f>
        <v>23.795710344796841</v>
      </c>
      <c r="M32" s="5">
        <v>38</v>
      </c>
      <c r="N32" s="2">
        <f t="shared" si="5"/>
        <v>174.79999999999998</v>
      </c>
      <c r="O32" s="2">
        <f t="shared" si="6"/>
        <v>106.39999999999999</v>
      </c>
      <c r="P32" s="12">
        <f t="shared" si="7"/>
        <v>44.333333333333336</v>
      </c>
      <c r="Q32" s="12">
        <f t="shared" si="8"/>
        <v>168.46666666666667</v>
      </c>
      <c r="R32" s="7">
        <f t="shared" si="9"/>
        <v>106.4</v>
      </c>
      <c r="X32" s="2">
        <f>460-Z30-Z28</f>
        <v>373</v>
      </c>
      <c r="Y32" s="2">
        <f>AC22+AC23+AC25+X28/2+X23/2</f>
        <v>669</v>
      </c>
    </row>
    <row r="33" spans="4:25" x14ac:dyDescent="0.25">
      <c r="M33" s="5">
        <v>39</v>
      </c>
      <c r="N33" s="2">
        <f t="shared" si="5"/>
        <v>179.39999999999998</v>
      </c>
      <c r="O33" s="2">
        <f t="shared" si="6"/>
        <v>109.19999999999999</v>
      </c>
      <c r="P33" s="2">
        <f t="shared" si="7"/>
        <v>45.5</v>
      </c>
      <c r="Q33" s="2">
        <f t="shared" si="8"/>
        <v>172.9</v>
      </c>
      <c r="R33" s="7">
        <f t="shared" si="9"/>
        <v>109.2</v>
      </c>
      <c r="X33" s="2">
        <f>X32/3</f>
        <v>124.33333333333333</v>
      </c>
      <c r="Y33" s="2">
        <f>X25/2+X26/2</f>
        <v>140</v>
      </c>
    </row>
    <row r="34" spans="4:25" x14ac:dyDescent="0.25">
      <c r="D34" s="74" t="s">
        <v>218</v>
      </c>
      <c r="E34" s="76"/>
      <c r="F34" s="76"/>
      <c r="G34" s="76"/>
      <c r="H34" s="76"/>
      <c r="I34" s="76"/>
      <c r="J34" s="76"/>
      <c r="K34" s="75"/>
      <c r="M34" s="5">
        <v>40</v>
      </c>
      <c r="N34" s="2">
        <f t="shared" si="5"/>
        <v>184</v>
      </c>
      <c r="O34" s="2">
        <f t="shared" si="6"/>
        <v>112</v>
      </c>
      <c r="P34" s="12">
        <f t="shared" si="7"/>
        <v>46.666666666666671</v>
      </c>
      <c r="Q34" s="12">
        <f t="shared" si="8"/>
        <v>177.33333333333334</v>
      </c>
      <c r="R34" s="7">
        <f t="shared" si="9"/>
        <v>112</v>
      </c>
    </row>
    <row r="35" spans="4:25" x14ac:dyDescent="0.25">
      <c r="D35" s="5" t="s">
        <v>219</v>
      </c>
      <c r="E35" s="2">
        <v>3.5</v>
      </c>
      <c r="G35" s="42" t="s">
        <v>220</v>
      </c>
      <c r="H35" s="45">
        <f>2*$E$22/H31</f>
        <v>1502.7773480674437</v>
      </c>
      <c r="J35" s="43" t="s">
        <v>221</v>
      </c>
      <c r="K35" s="46">
        <f t="shared" ref="K35:L35" si="11">2*$E$22/K31</f>
        <v>1803.3328176809323</v>
      </c>
      <c r="L35" s="2">
        <f t="shared" si="11"/>
        <v>1502.7773480674437</v>
      </c>
      <c r="M35" s="5">
        <v>41</v>
      </c>
      <c r="N35" s="2">
        <f t="shared" si="5"/>
        <v>188.6</v>
      </c>
      <c r="O35" s="2">
        <f t="shared" si="6"/>
        <v>114.8</v>
      </c>
      <c r="P35" s="12">
        <f t="shared" si="7"/>
        <v>47.833333333333336</v>
      </c>
      <c r="Q35" s="12">
        <f t="shared" si="8"/>
        <v>181.76666666666668</v>
      </c>
      <c r="R35" s="7">
        <f t="shared" si="9"/>
        <v>114.80000000000001</v>
      </c>
    </row>
    <row r="36" spans="4:25" x14ac:dyDescent="0.25">
      <c r="D36" s="5"/>
      <c r="G36" s="42" t="s">
        <v>222</v>
      </c>
      <c r="H36" s="45">
        <f>$E$35*$E$31*H35/(H32*H30)</f>
        <v>173.15952981847087</v>
      </c>
      <c r="J36" s="43" t="s">
        <v>223</v>
      </c>
      <c r="K36" s="46">
        <f>$E$35*$E$31*K35/(K32*K30)</f>
        <v>212.19504760910382</v>
      </c>
      <c r="L36" s="2">
        <f>L35*E35*E31/(K32*L30)</f>
        <v>147.35767195076656</v>
      </c>
      <c r="M36" s="5">
        <v>42</v>
      </c>
      <c r="N36" s="2">
        <f t="shared" si="5"/>
        <v>193.2</v>
      </c>
      <c r="O36" s="2">
        <f t="shared" si="6"/>
        <v>117.6</v>
      </c>
      <c r="P36" s="2">
        <f t="shared" si="7"/>
        <v>49</v>
      </c>
      <c r="Q36" s="2">
        <f t="shared" si="8"/>
        <v>186.2</v>
      </c>
      <c r="R36" s="7">
        <f t="shared" si="9"/>
        <v>117.6</v>
      </c>
    </row>
    <row r="37" spans="4:25" x14ac:dyDescent="0.25">
      <c r="D37" s="5"/>
      <c r="G37" s="83" t="s">
        <v>151</v>
      </c>
      <c r="H37" s="83" t="str">
        <f>IF(H36&gt;$B$25,"Sim, redimensione","Não, pode seguir")</f>
        <v>Não, pode seguir</v>
      </c>
      <c r="I37" s="84"/>
      <c r="J37" s="85" t="s">
        <v>151</v>
      </c>
      <c r="K37" s="86" t="str">
        <f>IF(K36&gt;$B$25,"Sim, redimensione","Não, pode seguir")</f>
        <v>Sim, redimensione</v>
      </c>
      <c r="M37" s="5">
        <v>43</v>
      </c>
      <c r="N37" s="2">
        <f t="shared" si="5"/>
        <v>197.79999999999998</v>
      </c>
      <c r="O37" s="2">
        <f t="shared" si="6"/>
        <v>120.39999999999999</v>
      </c>
      <c r="P37" s="12">
        <f t="shared" si="7"/>
        <v>50.166666666666671</v>
      </c>
      <c r="Q37" s="12">
        <f t="shared" si="8"/>
        <v>190.63333333333335</v>
      </c>
      <c r="R37" s="7">
        <f t="shared" si="9"/>
        <v>120.4</v>
      </c>
    </row>
    <row r="38" spans="4:25" x14ac:dyDescent="0.25">
      <c r="D38" s="26"/>
      <c r="E38" s="34"/>
      <c r="F38" s="34"/>
      <c r="G38" s="63"/>
      <c r="H38" s="63"/>
      <c r="I38" s="63"/>
      <c r="J38" s="63"/>
      <c r="K38" s="64"/>
      <c r="M38" s="5">
        <v>44</v>
      </c>
      <c r="N38" s="2">
        <f t="shared" si="5"/>
        <v>202.39999999999998</v>
      </c>
      <c r="O38" s="2">
        <f t="shared" si="6"/>
        <v>123.19999999999999</v>
      </c>
      <c r="P38" s="12">
        <f t="shared" si="7"/>
        <v>51.333333333333336</v>
      </c>
      <c r="Q38" s="12">
        <f t="shared" si="8"/>
        <v>195.06666666666666</v>
      </c>
      <c r="R38" s="7">
        <f t="shared" si="9"/>
        <v>123.2</v>
      </c>
    </row>
    <row r="39" spans="4:25" x14ac:dyDescent="0.25">
      <c r="M39" s="5">
        <v>45</v>
      </c>
      <c r="N39" s="2">
        <f t="shared" si="5"/>
        <v>206.99999999999997</v>
      </c>
      <c r="O39" s="2">
        <f t="shared" si="6"/>
        <v>125.99999999999999</v>
      </c>
      <c r="P39" s="2">
        <f t="shared" si="7"/>
        <v>52.5</v>
      </c>
      <c r="Q39" s="2">
        <f t="shared" si="8"/>
        <v>199.5</v>
      </c>
      <c r="R39" s="7">
        <f t="shared" si="9"/>
        <v>126</v>
      </c>
    </row>
    <row r="40" spans="4:25" x14ac:dyDescent="0.25">
      <c r="M40" s="5">
        <v>46</v>
      </c>
      <c r="N40" s="2">
        <f t="shared" si="5"/>
        <v>211.6</v>
      </c>
      <c r="O40" s="2">
        <f t="shared" si="6"/>
        <v>128.80000000000001</v>
      </c>
      <c r="P40" s="12">
        <f t="shared" si="7"/>
        <v>53.666666666666671</v>
      </c>
      <c r="Q40" s="12">
        <f t="shared" si="8"/>
        <v>203.93333333333334</v>
      </c>
      <c r="R40" s="7">
        <f t="shared" si="9"/>
        <v>128.80000000000001</v>
      </c>
    </row>
    <row r="41" spans="4:25" x14ac:dyDescent="0.25">
      <c r="M41" s="5">
        <v>47</v>
      </c>
      <c r="N41" s="2">
        <f t="shared" si="5"/>
        <v>216.2</v>
      </c>
      <c r="O41" s="2">
        <f t="shared" si="6"/>
        <v>131.6</v>
      </c>
      <c r="P41" s="12">
        <f t="shared" si="7"/>
        <v>54.833333333333336</v>
      </c>
      <c r="Q41" s="12">
        <f t="shared" si="8"/>
        <v>208.36666666666667</v>
      </c>
      <c r="R41" s="7">
        <f t="shared" si="9"/>
        <v>131.6</v>
      </c>
    </row>
    <row r="42" spans="4:25" x14ac:dyDescent="0.25">
      <c r="M42" s="5">
        <v>48</v>
      </c>
      <c r="N42" s="2">
        <f t="shared" si="5"/>
        <v>220.79999999999998</v>
      </c>
      <c r="O42" s="2">
        <f t="shared" si="6"/>
        <v>134.39999999999998</v>
      </c>
      <c r="P42" s="2">
        <f t="shared" si="7"/>
        <v>56</v>
      </c>
      <c r="Q42" s="2">
        <f t="shared" si="8"/>
        <v>212.79999999999998</v>
      </c>
      <c r="R42" s="7">
        <f t="shared" si="9"/>
        <v>134.39999999999998</v>
      </c>
    </row>
    <row r="43" spans="4:25" x14ac:dyDescent="0.25">
      <c r="M43" s="5">
        <v>49</v>
      </c>
      <c r="N43" s="2">
        <f t="shared" si="5"/>
        <v>225.39999999999998</v>
      </c>
      <c r="O43" s="2">
        <f t="shared" si="6"/>
        <v>137.19999999999999</v>
      </c>
      <c r="P43" s="12">
        <f t="shared" si="7"/>
        <v>57.166666666666671</v>
      </c>
      <c r="Q43" s="12">
        <f t="shared" si="8"/>
        <v>217.23333333333335</v>
      </c>
      <c r="R43" s="7">
        <f t="shared" si="9"/>
        <v>137.20000000000002</v>
      </c>
    </row>
    <row r="44" spans="4:25" x14ac:dyDescent="0.25">
      <c r="M44" s="5">
        <v>50</v>
      </c>
      <c r="N44" s="2">
        <f t="shared" si="5"/>
        <v>229.99999999999997</v>
      </c>
      <c r="O44" s="2">
        <f t="shared" si="6"/>
        <v>140</v>
      </c>
      <c r="P44" s="12">
        <f t="shared" si="7"/>
        <v>58.333333333333336</v>
      </c>
      <c r="Q44" s="12">
        <f t="shared" si="8"/>
        <v>221.66666666666666</v>
      </c>
      <c r="R44" s="7">
        <f t="shared" si="9"/>
        <v>140</v>
      </c>
    </row>
    <row r="45" spans="4:25" x14ac:dyDescent="0.25">
      <c r="M45" s="5">
        <v>51</v>
      </c>
      <c r="N45" s="2">
        <f t="shared" si="5"/>
        <v>234.6</v>
      </c>
      <c r="O45" s="2">
        <f t="shared" si="6"/>
        <v>142.80000000000001</v>
      </c>
      <c r="P45" s="2">
        <f t="shared" si="7"/>
        <v>59.500000000000007</v>
      </c>
      <c r="Q45" s="2">
        <f t="shared" si="8"/>
        <v>226.10000000000002</v>
      </c>
      <c r="R45" s="7">
        <f t="shared" si="9"/>
        <v>142.80000000000001</v>
      </c>
    </row>
    <row r="46" spans="4:25" x14ac:dyDescent="0.25">
      <c r="M46" s="5">
        <v>52</v>
      </c>
      <c r="N46" s="2">
        <f t="shared" si="5"/>
        <v>239.2</v>
      </c>
      <c r="O46" s="2">
        <f t="shared" si="6"/>
        <v>145.6</v>
      </c>
      <c r="P46" s="12">
        <f t="shared" si="7"/>
        <v>60.666666666666671</v>
      </c>
      <c r="Q46" s="12">
        <f t="shared" si="8"/>
        <v>230.53333333333333</v>
      </c>
      <c r="R46" s="7">
        <f t="shared" si="9"/>
        <v>145.6</v>
      </c>
    </row>
    <row r="47" spans="4:25" x14ac:dyDescent="0.25">
      <c r="M47" s="5">
        <v>53</v>
      </c>
      <c r="N47" s="2">
        <f t="shared" si="5"/>
        <v>243.79999999999998</v>
      </c>
      <c r="O47" s="2">
        <f t="shared" si="6"/>
        <v>148.39999999999998</v>
      </c>
      <c r="P47" s="12">
        <f t="shared" si="7"/>
        <v>61.833333333333336</v>
      </c>
      <c r="Q47" s="12">
        <f t="shared" si="8"/>
        <v>234.96666666666667</v>
      </c>
      <c r="R47" s="7">
        <f t="shared" si="9"/>
        <v>148.4</v>
      </c>
    </row>
    <row r="48" spans="4:25" x14ac:dyDescent="0.25">
      <c r="M48" s="5">
        <v>54</v>
      </c>
      <c r="N48" s="2">
        <f t="shared" si="5"/>
        <v>248.39999999999998</v>
      </c>
      <c r="O48" s="2">
        <f t="shared" si="6"/>
        <v>151.19999999999999</v>
      </c>
      <c r="P48" s="2">
        <f t="shared" si="7"/>
        <v>63.000000000000007</v>
      </c>
      <c r="Q48" s="2">
        <f t="shared" si="8"/>
        <v>239.4</v>
      </c>
      <c r="R48" s="7">
        <f t="shared" si="9"/>
        <v>151.20000000000002</v>
      </c>
    </row>
    <row r="49" spans="13:18" x14ac:dyDescent="0.25">
      <c r="M49" s="5">
        <v>55</v>
      </c>
      <c r="N49" s="2">
        <f t="shared" si="5"/>
        <v>252.99999999999997</v>
      </c>
      <c r="O49" s="2">
        <f t="shared" si="6"/>
        <v>154</v>
      </c>
      <c r="P49" s="12">
        <f t="shared" si="7"/>
        <v>64.166666666666671</v>
      </c>
      <c r="Q49" s="12">
        <f t="shared" si="8"/>
        <v>243.83333333333334</v>
      </c>
      <c r="R49" s="7">
        <f t="shared" si="9"/>
        <v>154</v>
      </c>
    </row>
    <row r="50" spans="13:18" x14ac:dyDescent="0.25">
      <c r="M50" s="5">
        <v>56</v>
      </c>
      <c r="N50" s="2">
        <f t="shared" si="5"/>
        <v>257.59999999999997</v>
      </c>
      <c r="O50" s="2">
        <f t="shared" si="6"/>
        <v>156.79999999999998</v>
      </c>
      <c r="P50" s="12">
        <f t="shared" si="7"/>
        <v>65.333333333333343</v>
      </c>
      <c r="Q50" s="12">
        <f t="shared" si="8"/>
        <v>248.26666666666668</v>
      </c>
      <c r="R50" s="7">
        <f t="shared" si="9"/>
        <v>156.80000000000001</v>
      </c>
    </row>
    <row r="51" spans="13:18" x14ac:dyDescent="0.25">
      <c r="M51" s="5">
        <v>57</v>
      </c>
      <c r="N51" s="2">
        <f t="shared" si="5"/>
        <v>262.2</v>
      </c>
      <c r="O51" s="2">
        <f t="shared" si="6"/>
        <v>159.6</v>
      </c>
      <c r="P51" s="2">
        <f t="shared" si="7"/>
        <v>66.5</v>
      </c>
      <c r="Q51" s="2">
        <f t="shared" si="8"/>
        <v>252.7</v>
      </c>
      <c r="R51" s="7">
        <f t="shared" si="9"/>
        <v>159.6</v>
      </c>
    </row>
    <row r="52" spans="13:18" x14ac:dyDescent="0.25">
      <c r="M52" s="5">
        <v>58</v>
      </c>
      <c r="N52" s="2">
        <f t="shared" si="5"/>
        <v>266.79999999999995</v>
      </c>
      <c r="O52" s="2">
        <f t="shared" si="6"/>
        <v>162.39999999999998</v>
      </c>
      <c r="P52" s="12">
        <f t="shared" si="7"/>
        <v>67.666666666666671</v>
      </c>
      <c r="Q52" s="12">
        <f t="shared" si="8"/>
        <v>257.13333333333333</v>
      </c>
      <c r="R52" s="7">
        <f t="shared" si="9"/>
        <v>162.4</v>
      </c>
    </row>
    <row r="53" spans="13:18" x14ac:dyDescent="0.25">
      <c r="M53" s="5">
        <v>59</v>
      </c>
      <c r="N53" s="2">
        <f t="shared" si="5"/>
        <v>271.39999999999998</v>
      </c>
      <c r="O53" s="2">
        <f t="shared" si="6"/>
        <v>165.2</v>
      </c>
      <c r="P53" s="12">
        <f t="shared" si="7"/>
        <v>68.833333333333343</v>
      </c>
      <c r="Q53" s="12">
        <f t="shared" si="8"/>
        <v>261.56666666666666</v>
      </c>
      <c r="R53" s="7">
        <f t="shared" si="9"/>
        <v>165.2</v>
      </c>
    </row>
    <row r="54" spans="13:18" x14ac:dyDescent="0.25">
      <c r="M54" s="5">
        <v>60</v>
      </c>
      <c r="N54" s="2">
        <f t="shared" si="5"/>
        <v>276</v>
      </c>
      <c r="O54" s="2">
        <f t="shared" si="6"/>
        <v>168</v>
      </c>
      <c r="P54" s="2">
        <f t="shared" si="7"/>
        <v>70</v>
      </c>
      <c r="Q54" s="2">
        <f t="shared" si="8"/>
        <v>266</v>
      </c>
      <c r="R54" s="7">
        <f t="shared" si="9"/>
        <v>168</v>
      </c>
    </row>
    <row r="55" spans="13:18" x14ac:dyDescent="0.25">
      <c r="M55" s="5">
        <v>61</v>
      </c>
      <c r="N55" s="2">
        <f t="shared" si="5"/>
        <v>280.59999999999997</v>
      </c>
      <c r="O55" s="2">
        <f t="shared" si="6"/>
        <v>170.79999999999998</v>
      </c>
      <c r="P55" s="12">
        <f t="shared" si="7"/>
        <v>71.166666666666671</v>
      </c>
      <c r="Q55" s="12">
        <f t="shared" si="8"/>
        <v>270.43333333333334</v>
      </c>
      <c r="R55" s="7">
        <f t="shared" si="9"/>
        <v>170.8</v>
      </c>
    </row>
    <row r="56" spans="13:18" x14ac:dyDescent="0.25">
      <c r="M56" s="5">
        <v>62</v>
      </c>
      <c r="N56" s="2">
        <f t="shared" si="5"/>
        <v>285.2</v>
      </c>
      <c r="O56" s="2">
        <f t="shared" si="6"/>
        <v>173.6</v>
      </c>
      <c r="P56" s="12">
        <f t="shared" si="7"/>
        <v>72.333333333333343</v>
      </c>
      <c r="Q56" s="12">
        <f t="shared" si="8"/>
        <v>274.86666666666667</v>
      </c>
      <c r="R56" s="7">
        <f t="shared" si="9"/>
        <v>173.60000000000002</v>
      </c>
    </row>
    <row r="57" spans="13:18" x14ac:dyDescent="0.25">
      <c r="M57" s="5">
        <v>63</v>
      </c>
      <c r="N57" s="2">
        <f t="shared" si="5"/>
        <v>289.79999999999995</v>
      </c>
      <c r="O57" s="2">
        <f t="shared" si="6"/>
        <v>176.39999999999998</v>
      </c>
      <c r="P57" s="2">
        <f t="shared" si="7"/>
        <v>73.5</v>
      </c>
      <c r="Q57" s="2">
        <f t="shared" si="8"/>
        <v>279.3</v>
      </c>
      <c r="R57" s="7">
        <f t="shared" si="9"/>
        <v>176.4</v>
      </c>
    </row>
    <row r="58" spans="13:18" x14ac:dyDescent="0.25">
      <c r="M58" s="5">
        <v>64</v>
      </c>
      <c r="N58" s="2">
        <f t="shared" si="5"/>
        <v>294.39999999999998</v>
      </c>
      <c r="O58" s="2">
        <f t="shared" si="6"/>
        <v>179.2</v>
      </c>
      <c r="P58" s="12">
        <f t="shared" si="7"/>
        <v>74.666666666666671</v>
      </c>
      <c r="Q58" s="12">
        <f t="shared" si="8"/>
        <v>283.73333333333335</v>
      </c>
      <c r="R58" s="7">
        <f t="shared" si="9"/>
        <v>179.20000000000002</v>
      </c>
    </row>
    <row r="59" spans="13:18" x14ac:dyDescent="0.25">
      <c r="M59" s="5">
        <v>65</v>
      </c>
      <c r="N59" s="2">
        <f t="shared" si="5"/>
        <v>299</v>
      </c>
      <c r="O59" s="2">
        <f t="shared" si="6"/>
        <v>182</v>
      </c>
      <c r="P59" s="12">
        <f t="shared" si="7"/>
        <v>75.833333333333343</v>
      </c>
      <c r="Q59" s="12">
        <f t="shared" si="8"/>
        <v>288.16666666666669</v>
      </c>
      <c r="R59" s="7">
        <f t="shared" si="9"/>
        <v>182</v>
      </c>
    </row>
    <row r="60" spans="13:18" x14ac:dyDescent="0.25">
      <c r="M60" s="5">
        <v>66</v>
      </c>
      <c r="N60" s="2">
        <f t="shared" si="5"/>
        <v>303.59999999999997</v>
      </c>
      <c r="O60" s="2">
        <f t="shared" si="6"/>
        <v>184.79999999999998</v>
      </c>
      <c r="P60" s="2">
        <f t="shared" si="7"/>
        <v>77</v>
      </c>
      <c r="Q60" s="2">
        <f t="shared" si="8"/>
        <v>292.59999999999997</v>
      </c>
      <c r="R60" s="7">
        <f t="shared" si="9"/>
        <v>184.79999999999998</v>
      </c>
    </row>
    <row r="61" spans="13:18" x14ac:dyDescent="0.25">
      <c r="M61" s="5">
        <v>67</v>
      </c>
      <c r="N61" s="2">
        <f t="shared" si="5"/>
        <v>308.2</v>
      </c>
      <c r="O61" s="2">
        <f t="shared" si="6"/>
        <v>187.6</v>
      </c>
      <c r="P61" s="12">
        <f t="shared" si="7"/>
        <v>78.166666666666671</v>
      </c>
      <c r="Q61" s="12">
        <f t="shared" si="8"/>
        <v>297.03333333333336</v>
      </c>
      <c r="R61" s="7">
        <f t="shared" si="9"/>
        <v>187.60000000000002</v>
      </c>
    </row>
    <row r="62" spans="13:18" x14ac:dyDescent="0.25">
      <c r="M62" s="5">
        <v>68</v>
      </c>
      <c r="N62" s="2">
        <f t="shared" si="5"/>
        <v>312.79999999999995</v>
      </c>
      <c r="O62" s="2">
        <f t="shared" si="6"/>
        <v>190.39999999999998</v>
      </c>
      <c r="P62" s="2">
        <f t="shared" si="7"/>
        <v>79.333333333333343</v>
      </c>
      <c r="Q62" s="2">
        <f t="shared" si="8"/>
        <v>301.4666666666667</v>
      </c>
      <c r="R62" s="7">
        <f t="shared" si="9"/>
        <v>190.40000000000003</v>
      </c>
    </row>
    <row r="63" spans="13:18" x14ac:dyDescent="0.25">
      <c r="M63" s="5">
        <v>69</v>
      </c>
      <c r="N63" s="2">
        <f t="shared" si="5"/>
        <v>317.39999999999998</v>
      </c>
      <c r="O63" s="2">
        <f t="shared" si="6"/>
        <v>193.2</v>
      </c>
      <c r="P63" s="12">
        <f t="shared" si="7"/>
        <v>80.5</v>
      </c>
      <c r="Q63" s="12">
        <f t="shared" si="8"/>
        <v>305.89999999999998</v>
      </c>
      <c r="R63" s="7">
        <f t="shared" si="9"/>
        <v>193.2</v>
      </c>
    </row>
    <row r="64" spans="13:18" x14ac:dyDescent="0.25">
      <c r="M64" s="26">
        <v>70</v>
      </c>
      <c r="N64" s="34">
        <f t="shared" si="5"/>
        <v>322</v>
      </c>
      <c r="O64" s="34">
        <f t="shared" si="6"/>
        <v>196</v>
      </c>
      <c r="P64" s="50">
        <f t="shared" si="7"/>
        <v>81.666666666666671</v>
      </c>
      <c r="Q64" s="50">
        <f t="shared" si="8"/>
        <v>310.33333333333331</v>
      </c>
      <c r="R64" s="27">
        <f t="shared" si="9"/>
        <v>196</v>
      </c>
    </row>
  </sheetData>
  <mergeCells count="38">
    <mergeCell ref="Q24:R24"/>
    <mergeCell ref="M28:R28"/>
    <mergeCell ref="D34:K34"/>
    <mergeCell ref="A22:B22"/>
    <mergeCell ref="O22:P22"/>
    <mergeCell ref="A23:B23"/>
    <mergeCell ref="O23:P23"/>
    <mergeCell ref="G37:G38"/>
    <mergeCell ref="H37:H38"/>
    <mergeCell ref="I37:I38"/>
    <mergeCell ref="J37:J38"/>
    <mergeCell ref="K37:K38"/>
    <mergeCell ref="M22:N22"/>
    <mergeCell ref="M23:N23"/>
    <mergeCell ref="M24:N24"/>
    <mergeCell ref="O24:P24"/>
    <mergeCell ref="AB26:AC26"/>
    <mergeCell ref="Y13:Z13"/>
    <mergeCell ref="AA13:AB13"/>
    <mergeCell ref="Y14:Z14"/>
    <mergeCell ref="AA14:AB14"/>
    <mergeCell ref="Y15:Z15"/>
    <mergeCell ref="AA15:AB15"/>
    <mergeCell ref="Y12:AB12"/>
    <mergeCell ref="D13:J13"/>
    <mergeCell ref="W20:AC20"/>
    <mergeCell ref="W21:AA21"/>
    <mergeCell ref="AB21:AC21"/>
    <mergeCell ref="W15:X15"/>
    <mergeCell ref="T14:U14"/>
    <mergeCell ref="M20:R20"/>
    <mergeCell ref="D21:K21"/>
    <mergeCell ref="M21:P21"/>
    <mergeCell ref="Q1:R1"/>
    <mergeCell ref="T1:U1"/>
    <mergeCell ref="A8:B8"/>
    <mergeCell ref="D8:J8"/>
    <mergeCell ref="W11:AB1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7"/>
  <sheetViews>
    <sheetView workbookViewId="0">
      <selection sqref="A1:B1"/>
    </sheetView>
  </sheetViews>
  <sheetFormatPr defaultColWidth="12.6640625" defaultRowHeight="15.75" customHeight="1" x14ac:dyDescent="0.25"/>
  <cols>
    <col min="1" max="1" width="16.88671875" customWidth="1"/>
    <col min="5" max="5" width="18.88671875" customWidth="1"/>
    <col min="6" max="6" width="16.88671875" customWidth="1"/>
    <col min="7" max="7" width="13.33203125" customWidth="1"/>
    <col min="11" max="11" width="22.77734375" customWidth="1"/>
    <col min="12" max="12" width="23.6640625" customWidth="1"/>
  </cols>
  <sheetData>
    <row r="1" spans="1:18" x14ac:dyDescent="0.25">
      <c r="A1" s="72" t="s">
        <v>224</v>
      </c>
      <c r="B1" s="60"/>
      <c r="D1" s="2" t="s">
        <v>164</v>
      </c>
      <c r="E1" s="2" t="s">
        <v>225</v>
      </c>
      <c r="F1" s="2" t="s">
        <v>226</v>
      </c>
      <c r="G1" s="2" t="s">
        <v>227</v>
      </c>
      <c r="H1" s="1"/>
      <c r="I1" s="2" t="s">
        <v>164</v>
      </c>
      <c r="J1" s="2" t="s">
        <v>165</v>
      </c>
      <c r="K1" s="2" t="s">
        <v>228</v>
      </c>
      <c r="L1" s="2" t="s">
        <v>229</v>
      </c>
    </row>
    <row r="2" spans="1:18" x14ac:dyDescent="0.25">
      <c r="A2" s="2" t="s">
        <v>230</v>
      </c>
      <c r="B2" s="12">
        <f>'3ª Entrega'!E22/1000</f>
        <v>20.287494198910487</v>
      </c>
      <c r="D2" s="2" t="s">
        <v>160</v>
      </c>
      <c r="E2" s="2">
        <v>4</v>
      </c>
      <c r="F2" s="12">
        <f>60000*$B$8/(PI()*1000*J2*K2)</f>
        <v>6.9127758011102394</v>
      </c>
      <c r="G2" s="12">
        <f t="shared" ref="G2:G5" si="0">F2*TAN(RADIANS(20))</f>
        <v>2.5160446277598285</v>
      </c>
      <c r="I2" s="2" t="s">
        <v>173</v>
      </c>
      <c r="J2" s="2">
        <v>27</v>
      </c>
      <c r="K2" s="2">
        <f>$B$9/4.6</f>
        <v>381.52173913043481</v>
      </c>
      <c r="L2" s="2">
        <f>$B$9/2.91</f>
        <v>603.09278350515456</v>
      </c>
    </row>
    <row r="3" spans="1:18" x14ac:dyDescent="0.25">
      <c r="A3" s="2" t="s">
        <v>231</v>
      </c>
      <c r="B3" s="12">
        <f>B2</f>
        <v>20.287494198910487</v>
      </c>
      <c r="D3" s="2" t="s">
        <v>161</v>
      </c>
      <c r="E3" s="2">
        <v>5</v>
      </c>
      <c r="F3" s="12">
        <f>60000*$B$8/(PI()*1000*J4*K4)</f>
        <v>14.931595730398119</v>
      </c>
      <c r="G3" s="12">
        <f t="shared" si="0"/>
        <v>5.4346563959612295</v>
      </c>
      <c r="I3" s="2" t="s">
        <v>177</v>
      </c>
      <c r="J3" s="2">
        <f>J2*4</f>
        <v>108</v>
      </c>
      <c r="K3" s="2">
        <f>$K$2/E2</f>
        <v>95.380434782608702</v>
      </c>
      <c r="L3" s="2">
        <f>$L$2/E2</f>
        <v>150.77319587628864</v>
      </c>
    </row>
    <row r="4" spans="1:18" x14ac:dyDescent="0.25">
      <c r="A4" s="2" t="s">
        <v>232</v>
      </c>
      <c r="B4" s="12">
        <f t="shared" ref="B4:B6" si="1">E2*B3</f>
        <v>81.149976795641948</v>
      </c>
      <c r="D4" s="2" t="s">
        <v>162</v>
      </c>
      <c r="E4" s="2">
        <v>4.5999999999999996</v>
      </c>
      <c r="F4" s="12">
        <f>60000*$B$8/(PI()*1000*J6*K6)</f>
        <v>46.661236657494122</v>
      </c>
      <c r="G4" s="12">
        <f t="shared" si="0"/>
        <v>16.983301237378843</v>
      </c>
      <c r="I4" s="2" t="s">
        <v>180</v>
      </c>
      <c r="J4" s="2">
        <v>50</v>
      </c>
      <c r="K4" s="2">
        <f t="shared" ref="K4:L4" si="2">K3</f>
        <v>95.380434782608702</v>
      </c>
      <c r="L4" s="2">
        <f t="shared" si="2"/>
        <v>150.77319587628864</v>
      </c>
    </row>
    <row r="5" spans="1:18" x14ac:dyDescent="0.25">
      <c r="A5" s="2" t="s">
        <v>233</v>
      </c>
      <c r="B5" s="12">
        <f t="shared" si="1"/>
        <v>405.74988397820971</v>
      </c>
      <c r="D5" s="2" t="s">
        <v>234</v>
      </c>
      <c r="E5" s="2">
        <v>3.8</v>
      </c>
      <c r="F5" s="12">
        <f>60000*$B$8/(PI()*1000*J9*K9)</f>
        <v>39.817588614394978</v>
      </c>
      <c r="G5" s="12">
        <f t="shared" si="0"/>
        <v>14.492417055896611</v>
      </c>
      <c r="I5" s="2" t="s">
        <v>185</v>
      </c>
      <c r="J5" s="2">
        <v>230</v>
      </c>
      <c r="K5" s="2">
        <f>K4/E3</f>
        <v>19.076086956521742</v>
      </c>
      <c r="L5" s="2">
        <f>L4/E3</f>
        <v>30.154639175257728</v>
      </c>
    </row>
    <row r="6" spans="1:18" x14ac:dyDescent="0.25">
      <c r="A6" s="2" t="s">
        <v>235</v>
      </c>
      <c r="B6" s="12">
        <f t="shared" si="1"/>
        <v>1866.4494662997645</v>
      </c>
      <c r="F6" s="12"/>
      <c r="G6" s="12"/>
      <c r="I6" s="2" t="s">
        <v>191</v>
      </c>
      <c r="J6" s="2">
        <v>80</v>
      </c>
      <c r="K6" s="2">
        <f t="shared" ref="K6:L6" si="3">K5</f>
        <v>19.076086956521742</v>
      </c>
      <c r="L6" s="2">
        <f t="shared" si="3"/>
        <v>30.154639175257728</v>
      </c>
    </row>
    <row r="7" spans="1:18" x14ac:dyDescent="0.25">
      <c r="E7" s="2" t="s">
        <v>236</v>
      </c>
      <c r="I7" s="2" t="s">
        <v>196</v>
      </c>
      <c r="J7" s="2">
        <f>J6*4.6</f>
        <v>368</v>
      </c>
      <c r="K7" s="51">
        <f>K6/E4</f>
        <v>4.1469754253308135</v>
      </c>
      <c r="L7" s="51">
        <f>L6/E4</f>
        <v>6.5553563424473325</v>
      </c>
    </row>
    <row r="8" spans="1:18" x14ac:dyDescent="0.25">
      <c r="A8" s="2" t="s">
        <v>237</v>
      </c>
      <c r="B8" s="2">
        <f>'3ª Entrega'!B19</f>
        <v>3728.5</v>
      </c>
      <c r="D8" s="2" t="s">
        <v>238</v>
      </c>
      <c r="E8" s="15">
        <f>60000*$B$9/(PI()*1000*(1755/4.6)*414)</f>
        <v>0.21220659078919379</v>
      </c>
      <c r="I8" s="2" t="s">
        <v>208</v>
      </c>
      <c r="J8" s="2">
        <v>93.75</v>
      </c>
      <c r="K8" s="2">
        <f t="shared" ref="K8:L8" si="4">K6</f>
        <v>19.076086956521742</v>
      </c>
      <c r="L8" s="2">
        <f t="shared" si="4"/>
        <v>30.154639175257728</v>
      </c>
    </row>
    <row r="9" spans="1:18" x14ac:dyDescent="0.25">
      <c r="A9" s="2" t="s">
        <v>239</v>
      </c>
      <c r="B9" s="2">
        <v>1755</v>
      </c>
      <c r="D9" s="2" t="s">
        <v>240</v>
      </c>
      <c r="E9" s="15">
        <f>60000*$B$9/(PI()*1000*(1755/4.6)*379)</f>
        <v>0.23180350550587395</v>
      </c>
      <c r="I9" s="2" t="s">
        <v>212</v>
      </c>
      <c r="J9" s="2">
        <f>J8*3.8</f>
        <v>356.25</v>
      </c>
      <c r="K9" s="51">
        <f>K8/E5</f>
        <v>5.0200228832951952</v>
      </c>
      <c r="L9" s="51">
        <f>L8/E5</f>
        <v>7.935431361909929</v>
      </c>
    </row>
    <row r="10" spans="1:18" x14ac:dyDescent="0.25">
      <c r="G10" s="15"/>
    </row>
    <row r="11" spans="1:18" x14ac:dyDescent="0.25">
      <c r="A11" s="72" t="s">
        <v>157</v>
      </c>
      <c r="B11" s="60"/>
      <c r="D11" s="72" t="s">
        <v>241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</row>
    <row r="12" spans="1:18" x14ac:dyDescent="0.25">
      <c r="A12" s="79" t="s">
        <v>242</v>
      </c>
      <c r="B12" s="60"/>
      <c r="D12" s="22" t="s">
        <v>243</v>
      </c>
      <c r="E12" s="22" t="s">
        <v>244</v>
      </c>
      <c r="F12" s="22" t="s">
        <v>245</v>
      </c>
      <c r="G12" s="22" t="s">
        <v>246</v>
      </c>
      <c r="H12" s="22" t="s">
        <v>247</v>
      </c>
      <c r="I12" s="22" t="s">
        <v>248</v>
      </c>
      <c r="J12" s="22" t="s">
        <v>249</v>
      </c>
      <c r="K12" s="22" t="s">
        <v>250</v>
      </c>
      <c r="L12" s="22" t="s">
        <v>251</v>
      </c>
      <c r="M12" s="22" t="s">
        <v>252</v>
      </c>
      <c r="N12" s="22" t="s">
        <v>22</v>
      </c>
      <c r="O12" s="22" t="s">
        <v>253</v>
      </c>
      <c r="P12" s="22" t="s">
        <v>254</v>
      </c>
      <c r="Q12" s="22" t="s">
        <v>255</v>
      </c>
      <c r="R12" s="22" t="s">
        <v>256</v>
      </c>
    </row>
    <row r="13" spans="1:18" x14ac:dyDescent="0.25">
      <c r="A13" s="2" t="s">
        <v>257</v>
      </c>
      <c r="B13" s="2">
        <v>690</v>
      </c>
      <c r="D13" s="22">
        <v>1</v>
      </c>
      <c r="E13" s="2">
        <v>5.83</v>
      </c>
      <c r="F13" s="2">
        <v>-2.0059999999999998</v>
      </c>
      <c r="G13" s="2">
        <v>1.3120000000000001</v>
      </c>
      <c r="H13" s="2">
        <v>-0.51500000000000001</v>
      </c>
      <c r="I13" s="2">
        <v>511.8</v>
      </c>
      <c r="J13" s="2">
        <v>200.57</v>
      </c>
      <c r="K13" s="2">
        <f t="shared" ref="K13:K16" si="5">SQRT(I13^2+J13^2)</f>
        <v>549.69770319694805</v>
      </c>
      <c r="L13" s="2">
        <v>5.6</v>
      </c>
      <c r="M13" s="2">
        <v>2.0059999999999998</v>
      </c>
      <c r="N13" s="21">
        <f t="shared" ref="N13:N16" si="6">(16*$B$16/PI()*((2*$B$17*J13/$B$15*10^6)+(SQRT(3*($B$17*B3)^2)/(B13*10^6))))^(1/4)/2</f>
        <v>29.234870021046547</v>
      </c>
      <c r="O13" s="51">
        <f>MROUND(N13,10)</f>
        <v>30</v>
      </c>
      <c r="P13" s="52">
        <f t="shared" ref="P13:P16" si="7">(32*K13)/(PI()*(O13/1000)^3)</f>
        <v>207376845.44013238</v>
      </c>
      <c r="Q13" s="52">
        <f t="shared" ref="Q13:Q15" si="8">(SQRT(3)*16*B3)/(PI()*(N13/1000)^3)</f>
        <v>7162351.7214817423</v>
      </c>
      <c r="R13" s="2">
        <f t="shared" ref="R13:R16" si="9">(P13/($B$15*10^6)+Q13/($B$13*10^6))^-1</f>
        <v>1.2479858314594021</v>
      </c>
    </row>
    <row r="14" spans="1:18" x14ac:dyDescent="0.25">
      <c r="A14" s="2" t="s">
        <v>258</v>
      </c>
      <c r="B14" s="2">
        <f>4.51*B13^-0.265</f>
        <v>0.79777703937812616</v>
      </c>
      <c r="D14" s="22">
        <v>2</v>
      </c>
      <c r="E14" s="2">
        <v>12.83</v>
      </c>
      <c r="F14" s="2">
        <v>-4.6500000000000004</v>
      </c>
      <c r="G14" s="2">
        <v>8.9700000000000006</v>
      </c>
      <c r="H14" s="2">
        <v>-3.2509999999999999</v>
      </c>
      <c r="I14" s="2">
        <v>2233.58</v>
      </c>
      <c r="J14" s="2">
        <v>809.45</v>
      </c>
      <c r="K14" s="2">
        <f t="shared" si="5"/>
        <v>2375.7291341607106</v>
      </c>
      <c r="L14" s="2">
        <v>12.897</v>
      </c>
      <c r="M14" s="2">
        <v>3.25</v>
      </c>
      <c r="N14" s="21">
        <f t="shared" si="6"/>
        <v>41.436415619522101</v>
      </c>
      <c r="O14" s="51">
        <v>50</v>
      </c>
      <c r="P14" s="52">
        <f t="shared" si="7"/>
        <v>193591825.99634206</v>
      </c>
      <c r="Q14" s="52">
        <f t="shared" si="8"/>
        <v>10061728.531172786</v>
      </c>
      <c r="R14" s="2">
        <f t="shared" si="9"/>
        <v>1.3281646498205173</v>
      </c>
    </row>
    <row r="15" spans="1:18" x14ac:dyDescent="0.25">
      <c r="A15" s="2" t="s">
        <v>259</v>
      </c>
      <c r="B15" s="2">
        <f>0.76*0.5*B13</f>
        <v>262.2</v>
      </c>
      <c r="D15" s="22">
        <v>3</v>
      </c>
      <c r="E15" s="2">
        <v>52.62</v>
      </c>
      <c r="F15" s="2">
        <v>-19.149999999999999</v>
      </c>
      <c r="G15" s="2">
        <v>48.78</v>
      </c>
      <c r="H15" s="2">
        <v>-17.75</v>
      </c>
      <c r="I15" s="2">
        <v>6693.3</v>
      </c>
      <c r="J15" s="2">
        <v>2434.1999999999998</v>
      </c>
      <c r="K15" s="2">
        <f t="shared" si="5"/>
        <v>7122.1902902126958</v>
      </c>
      <c r="L15" s="2">
        <v>52.62</v>
      </c>
      <c r="M15" s="2">
        <v>19.146999999999998</v>
      </c>
      <c r="N15" s="21">
        <f t="shared" si="6"/>
        <v>54.566203480274687</v>
      </c>
      <c r="O15" s="51">
        <v>70</v>
      </c>
      <c r="P15" s="52">
        <f t="shared" si="7"/>
        <v>211504473.99714535</v>
      </c>
      <c r="Q15" s="52">
        <f t="shared" si="8"/>
        <v>22030173.986411355</v>
      </c>
      <c r="R15" s="2">
        <f t="shared" si="9"/>
        <v>1.1924906375225179</v>
      </c>
    </row>
    <row r="16" spans="1:18" x14ac:dyDescent="0.25">
      <c r="A16" s="2" t="s">
        <v>260</v>
      </c>
      <c r="B16" s="2">
        <v>1.5</v>
      </c>
      <c r="D16" s="22">
        <v>4</v>
      </c>
      <c r="E16" s="2">
        <v>45.2</v>
      </c>
      <c r="F16" s="2">
        <v>-16.46</v>
      </c>
      <c r="G16" s="2">
        <v>41.29</v>
      </c>
      <c r="H16" s="2">
        <v>-15.04</v>
      </c>
      <c r="I16" s="2">
        <v>5039.92</v>
      </c>
      <c r="J16" s="2">
        <v>1834.96</v>
      </c>
      <c r="K16" s="2">
        <f t="shared" si="5"/>
        <v>5363.5689431571591</v>
      </c>
      <c r="L16" s="2">
        <v>45.2</v>
      </c>
      <c r="M16" s="2">
        <v>16.46</v>
      </c>
      <c r="N16" s="21">
        <f t="shared" si="6"/>
        <v>50.844188959072682</v>
      </c>
      <c r="O16" s="51">
        <v>65</v>
      </c>
      <c r="P16" s="52">
        <f t="shared" si="7"/>
        <v>198936238.99764633</v>
      </c>
      <c r="Q16" s="52">
        <f>(SQRT(3)*16*B6)/(PI()*(O16/1000)^3)</f>
        <v>59952445.559764326</v>
      </c>
      <c r="R16" s="2">
        <f t="shared" si="9"/>
        <v>1.1825823837448339</v>
      </c>
    </row>
    <row r="17" spans="1:2" x14ac:dyDescent="0.25">
      <c r="A17" s="2" t="s">
        <v>261</v>
      </c>
      <c r="B17" s="2">
        <v>1</v>
      </c>
    </row>
  </sheetData>
  <mergeCells count="4">
    <mergeCell ref="A1:B1"/>
    <mergeCell ref="A11:B11"/>
    <mergeCell ref="D11:R11"/>
    <mergeCell ref="A12:B1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9"/>
  <sheetViews>
    <sheetView tabSelected="1" workbookViewId="0"/>
  </sheetViews>
  <sheetFormatPr defaultColWidth="12.6640625" defaultRowHeight="15.75" customHeight="1" x14ac:dyDescent="0.25"/>
  <cols>
    <col min="5" max="5" width="16.109375" customWidth="1"/>
    <col min="6" max="6" width="13.109375" customWidth="1"/>
    <col min="7" max="7" width="16.109375" customWidth="1"/>
  </cols>
  <sheetData>
    <row r="1" spans="1:13" x14ac:dyDescent="0.25">
      <c r="E1" s="1" t="s">
        <v>243</v>
      </c>
      <c r="F1" s="1">
        <v>1</v>
      </c>
      <c r="G1" s="1">
        <v>2</v>
      </c>
      <c r="H1" s="1">
        <v>3</v>
      </c>
      <c r="I1" s="1">
        <v>4</v>
      </c>
      <c r="J1" s="23"/>
      <c r="K1" s="23"/>
      <c r="L1" s="23"/>
      <c r="M1" s="23"/>
    </row>
    <row r="2" spans="1:13" x14ac:dyDescent="0.25">
      <c r="E2" s="1" t="s">
        <v>262</v>
      </c>
      <c r="F2" s="2">
        <v>1</v>
      </c>
      <c r="G2" s="2">
        <v>4</v>
      </c>
      <c r="H2" s="2">
        <v>5</v>
      </c>
      <c r="I2" s="2">
        <v>3.8</v>
      </c>
      <c r="J2" s="12"/>
      <c r="M2" s="12"/>
    </row>
    <row r="3" spans="1:13" x14ac:dyDescent="0.25">
      <c r="E3" s="1" t="s">
        <v>263</v>
      </c>
      <c r="F3" s="2">
        <v>602</v>
      </c>
      <c r="G3" s="2">
        <f t="shared" ref="G3:I3" si="0">F3/G2</f>
        <v>150.5</v>
      </c>
      <c r="H3" s="2">
        <f t="shared" si="0"/>
        <v>30.1</v>
      </c>
      <c r="I3" s="21">
        <f t="shared" si="0"/>
        <v>7.9210526315789478</v>
      </c>
      <c r="J3" s="12"/>
      <c r="M3" s="12"/>
    </row>
    <row r="4" spans="1:13" x14ac:dyDescent="0.25">
      <c r="E4" s="53" t="s">
        <v>264</v>
      </c>
      <c r="F4" s="54">
        <f t="shared" ref="F4:I4" si="1">$B$13*F3*60</f>
        <v>108360000</v>
      </c>
      <c r="G4" s="54">
        <f t="shared" si="1"/>
        <v>27090000</v>
      </c>
      <c r="H4" s="54">
        <f t="shared" si="1"/>
        <v>5418000</v>
      </c>
      <c r="I4" s="54">
        <f t="shared" si="1"/>
        <v>1425789.4736842106</v>
      </c>
      <c r="J4" s="12"/>
      <c r="M4" s="12"/>
    </row>
    <row r="5" spans="1:13" x14ac:dyDescent="0.25">
      <c r="E5" s="1" t="s">
        <v>244</v>
      </c>
      <c r="F5" s="2">
        <v>5.83</v>
      </c>
      <c r="G5" s="2">
        <v>12.83</v>
      </c>
      <c r="H5" s="2">
        <v>52.62</v>
      </c>
      <c r="I5" s="2">
        <v>45.2</v>
      </c>
      <c r="J5" s="12"/>
      <c r="M5" s="12"/>
    </row>
    <row r="6" spans="1:13" x14ac:dyDescent="0.25">
      <c r="E6" s="1" t="s">
        <v>245</v>
      </c>
      <c r="F6" s="2">
        <v>-2.0059999999999998</v>
      </c>
      <c r="G6" s="2">
        <v>-4.6500000000000004</v>
      </c>
      <c r="H6" s="2">
        <v>-19.149999999999999</v>
      </c>
      <c r="I6" s="2">
        <v>-16.46</v>
      </c>
      <c r="J6" s="12"/>
      <c r="M6" s="12"/>
    </row>
    <row r="7" spans="1:13" x14ac:dyDescent="0.25">
      <c r="E7" s="53" t="s">
        <v>265</v>
      </c>
      <c r="F7" s="55">
        <f t="shared" ref="F7:I7" si="2">SQRT(F5^2+F6^2)</f>
        <v>6.1654631618395062</v>
      </c>
      <c r="G7" s="55">
        <f t="shared" si="2"/>
        <v>13.64666259566785</v>
      </c>
      <c r="H7" s="55">
        <f t="shared" si="2"/>
        <v>55.996311485668407</v>
      </c>
      <c r="I7" s="55">
        <f t="shared" si="2"/>
        <v>48.103758688900811</v>
      </c>
    </row>
    <row r="8" spans="1:13" x14ac:dyDescent="0.25">
      <c r="E8" s="1" t="s">
        <v>246</v>
      </c>
      <c r="F8" s="2">
        <v>1.3120000000000001</v>
      </c>
      <c r="G8" s="2">
        <v>8.9700000000000006</v>
      </c>
      <c r="H8" s="2">
        <v>48.78</v>
      </c>
      <c r="I8" s="2">
        <v>41.29</v>
      </c>
    </row>
    <row r="9" spans="1:13" x14ac:dyDescent="0.25">
      <c r="E9" s="1" t="s">
        <v>247</v>
      </c>
      <c r="F9" s="2">
        <v>-0.51500000000000001</v>
      </c>
      <c r="G9" s="2">
        <v>-3.2509999999999999</v>
      </c>
      <c r="H9" s="2">
        <v>-17.75</v>
      </c>
      <c r="I9" s="2">
        <v>-15.04</v>
      </c>
    </row>
    <row r="10" spans="1:13" x14ac:dyDescent="0.25">
      <c r="E10" s="53" t="s">
        <v>266</v>
      </c>
      <c r="F10" s="55">
        <f t="shared" ref="F10:I10" si="3">SQRT(F8^2+F9^2)</f>
        <v>1.4094569876374377</v>
      </c>
      <c r="G10" s="55">
        <f t="shared" si="3"/>
        <v>9.5409591236940123</v>
      </c>
      <c r="H10" s="55">
        <f t="shared" si="3"/>
        <v>51.909063755764272</v>
      </c>
      <c r="I10" s="55">
        <f t="shared" si="3"/>
        <v>43.94389263595113</v>
      </c>
    </row>
    <row r="11" spans="1:13" x14ac:dyDescent="0.25">
      <c r="E11" s="56" t="s">
        <v>267</v>
      </c>
      <c r="F11" s="57">
        <f t="shared" ref="F11:I11" si="4">MAX(F7,F10)*((F4/10^6)/($B$14+$B$15*(1-$B$19)^(1/$B$18)))^(1/$B$17)</f>
        <v>48.771212141479019</v>
      </c>
      <c r="G11" s="57">
        <f t="shared" si="4"/>
        <v>68.004496984181841</v>
      </c>
      <c r="H11" s="57">
        <f t="shared" si="4"/>
        <v>163.18513600039199</v>
      </c>
      <c r="I11" s="57">
        <f t="shared" si="4"/>
        <v>89.833638563741587</v>
      </c>
    </row>
    <row r="12" spans="1:13" x14ac:dyDescent="0.25">
      <c r="E12" s="1" t="s">
        <v>22</v>
      </c>
      <c r="F12" s="2">
        <v>30</v>
      </c>
      <c r="G12" s="2">
        <v>50</v>
      </c>
      <c r="H12" s="2">
        <v>70</v>
      </c>
      <c r="I12" s="2">
        <v>65</v>
      </c>
    </row>
    <row r="13" spans="1:13" x14ac:dyDescent="0.25">
      <c r="A13" s="2" t="s">
        <v>268</v>
      </c>
      <c r="B13" s="2">
        <v>3000</v>
      </c>
      <c r="E13" s="2"/>
    </row>
    <row r="14" spans="1:13" x14ac:dyDescent="0.25">
      <c r="A14" s="2" t="s">
        <v>269</v>
      </c>
      <c r="B14" s="58">
        <v>0.02</v>
      </c>
      <c r="E14" s="2"/>
    </row>
    <row r="15" spans="1:13" x14ac:dyDescent="0.25">
      <c r="A15" s="2" t="s">
        <v>270</v>
      </c>
      <c r="B15" s="2">
        <v>4.4390000000000001</v>
      </c>
      <c r="E15" s="2"/>
    </row>
    <row r="16" spans="1:13" x14ac:dyDescent="0.25">
      <c r="A16" s="2" t="s">
        <v>271</v>
      </c>
      <c r="B16" s="2">
        <f>B15+B14</f>
        <v>4.4589999999999996</v>
      </c>
      <c r="E16" s="2"/>
    </row>
    <row r="17" spans="1:2" x14ac:dyDescent="0.25">
      <c r="A17" s="2" t="s">
        <v>272</v>
      </c>
      <c r="B17" s="2">
        <v>3</v>
      </c>
    </row>
    <row r="18" spans="1:2" x14ac:dyDescent="0.25">
      <c r="A18" s="2" t="s">
        <v>273</v>
      </c>
      <c r="B18" s="2">
        <v>1.4830000000000001</v>
      </c>
    </row>
    <row r="19" spans="1:2" x14ac:dyDescent="0.25">
      <c r="A19" s="2" t="s">
        <v>274</v>
      </c>
      <c r="B19" s="2">
        <v>0.99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1ª Entrega</vt:lpstr>
      <vt:lpstr>2ª Entrega</vt:lpstr>
      <vt:lpstr>3ª Entrega</vt:lpstr>
      <vt:lpstr>4ª Entrega</vt:lpstr>
      <vt:lpstr>5ª Entrega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Avante Ribeiro</cp:lastModifiedBy>
  <dcterms:created xsi:type="dcterms:W3CDTF">2024-12-08T21:10:43Z</dcterms:created>
  <dcterms:modified xsi:type="dcterms:W3CDTF">2024-12-08T21:10:43Z</dcterms:modified>
</cp:coreProperties>
</file>