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785ab34f8e2715/Danilo_Back-up/Projetos_Pessoais/Canal_Youtube/Excel/"/>
    </mc:Choice>
  </mc:AlternateContent>
  <xr:revisionPtr revIDLastSave="952" documentId="8_{8D4886EC-8EA9-45A7-9B0B-1CC8685ADEA3}" xr6:coauthVersionLast="47" xr6:coauthVersionMax="47" xr10:uidLastSave="{D27463C5-5E4C-4AB5-A037-19BAC6DCA67A}"/>
  <bookViews>
    <workbookView xWindow="-120" yWindow="-120" windowWidth="29040" windowHeight="16440" tabRatio="732" activeTab="1" xr2:uid="{6DC84582-BB24-42E7-BD3B-C6CC936D8237}"/>
  </bookViews>
  <sheets>
    <sheet name="Cadastro" sheetId="2" r:id="rId1"/>
    <sheet name="Tabela_PRICE" sheetId="3" r:id="rId2"/>
    <sheet name="Tabela_SAC" sheetId="4" r:id="rId3"/>
    <sheet name="Racunho1" sheetId="1" r:id="rId4"/>
    <sheet name="Rascunho2" sheetId="5" r:id="rId5"/>
  </sheets>
  <definedNames>
    <definedName name="_xlchart.v1.0" hidden="1">Cadastro!$C$1</definedName>
    <definedName name="_xlchart.v1.1" hidden="1">Cadastro!$C$2:$C$145</definedName>
    <definedName name="_xlchart.v1.2" hidden="1">Cadastro!$F$1</definedName>
    <definedName name="_xlchart.v1.3" hidden="1">Cadastro!$F$2:$F$145</definedName>
    <definedName name="_xlchart.v1.4" hidden="1">Cadastro!$D$1</definedName>
    <definedName name="_xlchart.v1.5" hidden="1">Cadastro!$D$2:$D$145</definedName>
    <definedName name="_xlchart.v1.6" hidden="1">Cadastro!$B$1</definedName>
    <definedName name="_xlchart.v1.7" hidden="1">Cadastro!$B$2:$B$145</definedName>
    <definedName name="Cad_Contrato">Tabela_PRICE!$A$2</definedName>
    <definedName name="Cad_Data_Emissao">Tabela_PRICE!$F$2</definedName>
    <definedName name="Cad_i_am">Tabela_PRICE!$C$2</definedName>
    <definedName name="Cad_Modelo">Tabela_PRICE!$E$2</definedName>
    <definedName name="Cad_Parcelas">Tabela_PRICE!$D$2</definedName>
    <definedName name="Cad_Principal">Tabela_PRICE!$B$2</definedName>
    <definedName name="Contrato">Tabela_SAC!$A$2</definedName>
    <definedName name="Data_Emissao">Tabela_SAC!$F$2</definedName>
    <definedName name="i_ad">Tabela_PRICE!$G$2</definedName>
    <definedName name="i_am">Tabela_PRICE!$C$2</definedName>
    <definedName name="Parcelas">Tabela_SAC!$D$2</definedName>
    <definedName name="Principal">Tabela_SAC!$B$2</definedName>
    <definedName name="SAC">Tabela_SAC!$E$2</definedName>
    <definedName name="Taxa_ad">Tabela_SAC!$G$2</definedName>
    <definedName name="Taxa_am">Tabela_SAC!$C$2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D7" i="3"/>
  <c r="D8" i="3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6" i="3"/>
  <c r="E6" i="3"/>
  <c r="D5" i="3"/>
  <c r="E5" i="3"/>
  <c r="G2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F6" i="4"/>
  <c r="G6" i="4" s="1"/>
  <c r="F7" i="4"/>
  <c r="G7" i="4" s="1"/>
  <c r="F8" i="4"/>
  <c r="G8" i="4" s="1"/>
  <c r="F9" i="4"/>
  <c r="G9" i="4" s="1"/>
  <c r="F10" i="4"/>
  <c r="G10" i="4" s="1"/>
  <c r="F5" i="4"/>
  <c r="G5" i="4" s="1"/>
  <c r="C25" i="5"/>
  <c r="F2" i="5"/>
  <c r="D24" i="5" s="1"/>
  <c r="E2" i="5"/>
  <c r="D2" i="5"/>
  <c r="C2" i="5"/>
  <c r="B2" i="5"/>
  <c r="A2" i="5"/>
  <c r="B6" i="4"/>
  <c r="B7" i="4"/>
  <c r="B8" i="4"/>
  <c r="B9" i="4"/>
  <c r="B10" i="4"/>
  <c r="B5" i="4"/>
  <c r="C8" i="4"/>
  <c r="C5" i="4"/>
  <c r="E5" i="4" s="1"/>
  <c r="A2" i="3"/>
  <c r="B2" i="3"/>
  <c r="C2" i="3"/>
  <c r="D2" i="3"/>
  <c r="E2" i="3"/>
  <c r="F2" i="3"/>
  <c r="E2" i="2"/>
  <c r="B1" i="1" s="1"/>
  <c r="D2" i="2"/>
  <c r="B2" i="2"/>
  <c r="F5" i="3" l="1"/>
  <c r="G5" i="3" s="1"/>
  <c r="E8" i="4"/>
  <c r="C24" i="5"/>
  <c r="C17" i="5"/>
  <c r="C9" i="5"/>
  <c r="C8" i="5"/>
  <c r="C16" i="5"/>
  <c r="C23" i="5"/>
  <c r="C15" i="5"/>
  <c r="C7" i="5"/>
  <c r="C5" i="5"/>
  <c r="C21" i="5"/>
  <c r="C13" i="5"/>
  <c r="C28" i="5"/>
  <c r="C20" i="5"/>
  <c r="C12" i="5"/>
  <c r="C22" i="5"/>
  <c r="C14" i="5"/>
  <c r="C6" i="5"/>
  <c r="C27" i="5"/>
  <c r="C19" i="5"/>
  <c r="C11" i="5"/>
  <c r="C26" i="5"/>
  <c r="C18" i="5"/>
  <c r="C10" i="5"/>
  <c r="D5" i="5"/>
  <c r="G5" i="5" s="1"/>
  <c r="D13" i="5"/>
  <c r="D21" i="5"/>
  <c r="F5" i="5"/>
  <c r="D10" i="5"/>
  <c r="D18" i="5"/>
  <c r="D26" i="5"/>
  <c r="D7" i="5"/>
  <c r="D15" i="5"/>
  <c r="D23" i="5"/>
  <c r="D12" i="5"/>
  <c r="D20" i="5"/>
  <c r="D28" i="5"/>
  <c r="D9" i="5"/>
  <c r="D17" i="5"/>
  <c r="D25" i="5"/>
  <c r="D6" i="5"/>
  <c r="G6" i="5" s="1"/>
  <c r="D14" i="5"/>
  <c r="D22" i="5"/>
  <c r="D11" i="5"/>
  <c r="D19" i="5"/>
  <c r="D27" i="5"/>
  <c r="G2" i="5"/>
  <c r="D8" i="5"/>
  <c r="D16" i="5"/>
  <c r="C10" i="4"/>
  <c r="E10" i="4" s="1"/>
  <c r="D5" i="4"/>
  <c r="C7" i="4"/>
  <c r="E7" i="4" s="1"/>
  <c r="C9" i="4"/>
  <c r="E9" i="4" s="1"/>
  <c r="C6" i="4"/>
  <c r="E6" i="4" s="1"/>
  <c r="B2" i="1"/>
  <c r="C2" i="2"/>
  <c r="F6" i="5" l="1"/>
  <c r="H5" i="5"/>
  <c r="I5" i="5" s="1"/>
  <c r="F6" i="3"/>
  <c r="G6" i="3" s="1"/>
  <c r="E7" i="3" s="1"/>
  <c r="D6" i="4" l="1"/>
  <c r="F7" i="5"/>
  <c r="H6" i="5"/>
  <c r="I6" i="5" s="1"/>
  <c r="G7" i="5" s="1"/>
  <c r="F7" i="3"/>
  <c r="G7" i="3" s="1"/>
  <c r="E8" i="3" s="1"/>
  <c r="H7" i="5" l="1"/>
  <c r="I7" i="5" s="1"/>
  <c r="G8" i="5" s="1"/>
  <c r="F8" i="5"/>
  <c r="F8" i="3"/>
  <c r="G8" i="3" s="1"/>
  <c r="E9" i="3" s="1"/>
  <c r="H8" i="5" l="1"/>
  <c r="I8" i="5" s="1"/>
  <c r="G9" i="5" s="1"/>
  <c r="F9" i="5"/>
  <c r="D7" i="4"/>
  <c r="F9" i="3"/>
  <c r="G9" i="3" s="1"/>
  <c r="E10" i="3" s="1"/>
  <c r="H9" i="5" l="1"/>
  <c r="I9" i="5" s="1"/>
  <c r="G10" i="5" s="1"/>
  <c r="F10" i="5"/>
  <c r="D8" i="4"/>
  <c r="F10" i="3"/>
  <c r="G10" i="3" s="1"/>
  <c r="E11" i="3" s="1"/>
  <c r="H10" i="5" l="1"/>
  <c r="I10" i="5" s="1"/>
  <c r="G11" i="5" s="1"/>
  <c r="F11" i="5"/>
  <c r="D9" i="4"/>
  <c r="F11" i="3"/>
  <c r="G11" i="3" s="1"/>
  <c r="E12" i="3" s="1"/>
  <c r="H11" i="5" l="1"/>
  <c r="I11" i="5" s="1"/>
  <c r="G12" i="5" s="1"/>
  <c r="F12" i="5"/>
  <c r="D10" i="4"/>
  <c r="F12" i="3"/>
  <c r="G12" i="3" s="1"/>
  <c r="E13" i="3" s="1"/>
  <c r="H12" i="5" l="1"/>
  <c r="I12" i="5" s="1"/>
  <c r="G13" i="5" s="1"/>
  <c r="F13" i="5"/>
  <c r="F13" i="3"/>
  <c r="G13" i="3" s="1"/>
  <c r="E14" i="3" s="1"/>
  <c r="H13" i="5" l="1"/>
  <c r="I13" i="5" s="1"/>
  <c r="G14" i="5" s="1"/>
  <c r="F14" i="5"/>
  <c r="F14" i="3"/>
  <c r="G14" i="3" s="1"/>
  <c r="E15" i="3" s="1"/>
  <c r="H14" i="5" l="1"/>
  <c r="I14" i="5" s="1"/>
  <c r="G15" i="5" s="1"/>
  <c r="F15" i="5"/>
  <c r="F15" i="3"/>
  <c r="G15" i="3" s="1"/>
  <c r="E16" i="3" s="1"/>
  <c r="H15" i="5" l="1"/>
  <c r="I15" i="5" s="1"/>
  <c r="G16" i="5" s="1"/>
  <c r="F16" i="5"/>
  <c r="F16" i="3"/>
  <c r="G16" i="3" s="1"/>
  <c r="E17" i="3" s="1"/>
  <c r="H16" i="5" l="1"/>
  <c r="I16" i="5" s="1"/>
  <c r="G17" i="5" s="1"/>
  <c r="F17" i="5"/>
  <c r="F17" i="3"/>
  <c r="G17" i="3" s="1"/>
  <c r="E18" i="3" s="1"/>
  <c r="H17" i="5" l="1"/>
  <c r="I17" i="5" s="1"/>
  <c r="G18" i="5" s="1"/>
  <c r="F18" i="5"/>
  <c r="F18" i="3"/>
  <c r="G18" i="3" s="1"/>
  <c r="E19" i="3" s="1"/>
  <c r="H18" i="5" l="1"/>
  <c r="I18" i="5" s="1"/>
  <c r="G19" i="5" s="1"/>
  <c r="F19" i="5"/>
  <c r="F19" i="3"/>
  <c r="G19" i="3" s="1"/>
  <c r="E20" i="3" s="1"/>
  <c r="H19" i="5" l="1"/>
  <c r="I19" i="5" s="1"/>
  <c r="G20" i="5" s="1"/>
  <c r="F20" i="5"/>
  <c r="F20" i="3"/>
  <c r="G20" i="3" s="1"/>
  <c r="E21" i="3" s="1"/>
  <c r="H20" i="5" l="1"/>
  <c r="I20" i="5" s="1"/>
  <c r="G21" i="5" s="1"/>
  <c r="F21" i="5"/>
  <c r="F21" i="3"/>
  <c r="G21" i="3" s="1"/>
  <c r="E22" i="3" s="1"/>
  <c r="H21" i="5" l="1"/>
  <c r="I21" i="5" s="1"/>
  <c r="G22" i="5" s="1"/>
  <c r="F22" i="5"/>
  <c r="F22" i="3"/>
  <c r="G22" i="3" s="1"/>
  <c r="E23" i="3" s="1"/>
  <c r="H22" i="5" l="1"/>
  <c r="I22" i="5" s="1"/>
  <c r="G23" i="5" s="1"/>
  <c r="F23" i="5"/>
  <c r="F23" i="3"/>
  <c r="G23" i="3" s="1"/>
  <c r="E24" i="3" s="1"/>
  <c r="H23" i="5" l="1"/>
  <c r="I23" i="5" s="1"/>
  <c r="G24" i="5" s="1"/>
  <c r="F24" i="5"/>
  <c r="F24" i="3"/>
  <c r="G24" i="3" s="1"/>
  <c r="E25" i="3" s="1"/>
  <c r="H24" i="5" l="1"/>
  <c r="I24" i="5" s="1"/>
  <c r="G25" i="5" s="1"/>
  <c r="F25" i="5"/>
  <c r="F25" i="3"/>
  <c r="G25" i="3" s="1"/>
  <c r="E26" i="3" s="1"/>
  <c r="H25" i="5" l="1"/>
  <c r="I25" i="5" s="1"/>
  <c r="G26" i="5" s="1"/>
  <c r="F26" i="5"/>
  <c r="F26" i="3"/>
  <c r="G26" i="3" s="1"/>
  <c r="E27" i="3" s="1"/>
  <c r="H26" i="5" l="1"/>
  <c r="I26" i="5" s="1"/>
  <c r="G27" i="5" s="1"/>
  <c r="F27" i="5"/>
  <c r="F27" i="3"/>
  <c r="G27" i="3" s="1"/>
  <c r="E28" i="3" s="1"/>
  <c r="H27" i="5" l="1"/>
  <c r="I27" i="5" s="1"/>
  <c r="G28" i="5" s="1"/>
  <c r="F28" i="5"/>
  <c r="F28" i="3"/>
  <c r="G28" i="3" s="1"/>
  <c r="H28" i="5" l="1"/>
  <c r="I28" i="5" s="1"/>
</calcChain>
</file>

<file path=xl/sharedStrings.xml><?xml version="1.0" encoding="utf-8"?>
<sst xmlns="http://schemas.openxmlformats.org/spreadsheetml/2006/main" count="252" uniqueCount="17">
  <si>
    <t>Principal</t>
  </si>
  <si>
    <t>Parcelas</t>
  </si>
  <si>
    <t>Modelo</t>
  </si>
  <si>
    <t>Contrato</t>
  </si>
  <si>
    <t>PRICE</t>
  </si>
  <si>
    <t>SAC</t>
  </si>
  <si>
    <t>Taxa_am</t>
  </si>
  <si>
    <t>Data_Emissao</t>
  </si>
  <si>
    <t>Parcela</t>
  </si>
  <si>
    <t>Juros</t>
  </si>
  <si>
    <t>Data_Venc</t>
  </si>
  <si>
    <t>Taxa_ad</t>
  </si>
  <si>
    <t>PMT</t>
  </si>
  <si>
    <t>Amort</t>
  </si>
  <si>
    <t>PV_Atual</t>
  </si>
  <si>
    <t>PV_Ant</t>
  </si>
  <si>
    <t>Data_Venc_ant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</si>
</sst>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%"/>
    <numFmt numFmtId="166" formatCode="yyyy\-mm\-dd;@"/>
  </numFmts>
  <fonts count="6" x14ac:knownFonts="1">
    <font>
      <sz val="15"/>
      <color theme="1"/>
      <name val="Consolas"/>
      <family val="2"/>
    </font>
    <font>
      <sz val="15"/>
      <color theme="1"/>
      <name val="Consolas"/>
      <family val="2"/>
    </font>
    <font>
      <sz val="8"/>
      <name val="Consolas"/>
      <family val="2"/>
    </font>
    <font>
      <b/>
      <sz val="15"/>
      <color theme="1"/>
      <name val="Consolas"/>
      <family val="3"/>
    </font>
    <font>
      <b/>
      <sz val="17"/>
      <color theme="1"/>
      <name val="Consolas"/>
      <family val="3"/>
    </font>
    <font>
      <sz val="17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4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10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" fontId="0" fillId="3" borderId="0" xfId="0" applyNumberFormat="1" applyFill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/>
    <xf numFmtId="164" fontId="5" fillId="0" borderId="0" xfId="1" applyNumberFormat="1" applyFont="1"/>
    <xf numFmtId="0" fontId="5" fillId="0" borderId="0" xfId="0" applyFont="1"/>
    <xf numFmtId="14" fontId="5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4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Fill="1" applyAlignment="1"/>
    <xf numFmtId="0" fontId="3" fillId="0" borderId="0" xfId="0" applyFont="1" applyAlignment="1"/>
  </cellXfs>
  <cellStyles count="2">
    <cellStyle name="Normal" xfId="0" builtinId="0"/>
    <cellStyle name="Porcentagem" xfId="1" builtinId="5"/>
  </cellStyles>
  <dxfs count="16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6" formatCode="yyyy\-mm\-dd;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6" formatCode="yyyy\-mm\-dd;@"/>
      <alignment horizontal="center" vertical="bottom" textRotation="0" wrapText="0" indent="0" justifyLastLine="0" shrinkToFit="0" readingOrder="0"/>
    </dxf>
    <dxf>
      <numFmt numFmtId="166" formatCode="yyyy\-mm\-dd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pt-BR" sz="1800"/>
              <a:t>Modelo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569055036344756E-2"/>
          <c:y val="0.20764227642276423"/>
          <c:w val="0.90861889927310491"/>
          <c:h val="0.678902439024390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Racunho1!$A$1:$A$2</c:f>
              <c:strCache>
                <c:ptCount val="2"/>
                <c:pt idx="0">
                  <c:v>PRICE</c:v>
                </c:pt>
                <c:pt idx="1">
                  <c:v>SAC</c:v>
                </c:pt>
              </c:strCache>
            </c:strRef>
          </c:cat>
          <c:val>
            <c:numRef>
              <c:f>Racunho1!$B$1:$B$2</c:f>
              <c:numCache>
                <c:formatCode>General</c:formatCode>
                <c:ptCount val="2"/>
                <c:pt idx="0">
                  <c:v>134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3-43A4-AEC1-911543D2A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666128879"/>
        <c:axId val="666133871"/>
      </c:barChart>
      <c:catAx>
        <c:axId val="66612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pt-BR"/>
          </a:p>
        </c:txPr>
        <c:crossAx val="666133871"/>
        <c:crosses val="autoZero"/>
        <c:auto val="1"/>
        <c:lblAlgn val="ctr"/>
        <c:lblOffset val="100"/>
        <c:noMultiLvlLbl val="0"/>
      </c:catAx>
      <c:valAx>
        <c:axId val="6661338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612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Consolas" panose="020B0609020204030204" pitchFamily="49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Taxa_am</cx:v>
        </cx:txData>
      </cx:tx>
      <cx:txPr>
        <a:bodyPr vertOverflow="overflow" horzOverflow="overflow" wrap="square" lIns="0" tIns="0" rIns="0" bIns="0"/>
        <a:lstStyle/>
        <a:p>
          <a:pPr algn="ctr" rtl="0">
            <a:defRPr sz="1800" b="1" i="0">
              <a:solidFill>
                <a:sysClr val="windowText" lastClr="000000"/>
              </a:solidFill>
              <a:latin typeface="Consolas" panose="020B0609020204030204" pitchFamily="49" charset="0"/>
              <a:ea typeface="Consolas" panose="020B0609020204030204" pitchFamily="49" charset="0"/>
              <a:cs typeface="Consolas" panose="020B0609020204030204" pitchFamily="49" charset="0"/>
            </a:defRPr>
          </a:pPr>
          <a:r>
            <a:rPr lang="pt-BR" sz="1800" b="1">
              <a:solidFill>
                <a:sysClr val="windowText" lastClr="000000"/>
              </a:solidFill>
              <a:latin typeface="Consolas" panose="020B0609020204030204" pitchFamily="49" charset="0"/>
            </a:rPr>
            <a:t>Taxa_am</a:t>
          </a:r>
        </a:p>
      </cx:txPr>
    </cx:title>
    <cx:plotArea>
      <cx:plotAreaRegion>
        <cx:series layoutId="clusteredColumn" uniqueId="{88893EB9-5CA3-4629-B3FF-619CF60300A2}">
          <cx:tx>
            <cx:txData>
              <cx:f>_xlchart.v1.0</cx:f>
              <cx:v>Taxa_am</cx:v>
            </cx:txData>
          </cx:tx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300" b="1" i="0">
                <a:solidFill>
                  <a:sysClr val="windowText" lastClr="000000"/>
                </a:solidFill>
                <a:latin typeface="Consolas" panose="020B0609020204030204" pitchFamily="49" charset="0"/>
                <a:ea typeface="Consolas" panose="020B0609020204030204" pitchFamily="49" charset="0"/>
                <a:cs typeface="Consolas" panose="020B0609020204030204" pitchFamily="49" charset="0"/>
              </a:defRPr>
            </a:pPr>
            <a:endParaRPr lang="pt-BR" sz="1300" b="1">
              <a:solidFill>
                <a:sysClr val="windowText" lastClr="000000"/>
              </a:solidFill>
              <a:latin typeface="Consolas" panose="020B0609020204030204" pitchFamily="49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300" b="1" i="0">
                <a:solidFill>
                  <a:sysClr val="windowText" lastClr="000000"/>
                </a:solidFill>
                <a:latin typeface="Consolas" panose="020B0609020204030204" pitchFamily="49" charset="0"/>
                <a:ea typeface="Consolas" panose="020B0609020204030204" pitchFamily="49" charset="0"/>
                <a:cs typeface="Consolas" panose="020B0609020204030204" pitchFamily="49" charset="0"/>
              </a:defRPr>
            </a:pPr>
            <a:endParaRPr lang="pt-BR" sz="1300" b="1">
              <a:solidFill>
                <a:sysClr val="windowText" lastClr="000000"/>
              </a:solidFill>
              <a:latin typeface="Consolas" panose="020B0609020204030204" pitchFamily="49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Principal</cx:v>
        </cx:txData>
      </cx:tx>
      <cx:txPr>
        <a:bodyPr vertOverflow="overflow" horzOverflow="overflow" wrap="square" lIns="0" tIns="0" rIns="0" bIns="0"/>
        <a:lstStyle/>
        <a:p>
          <a:pPr algn="ctr" rtl="0">
            <a:defRPr sz="1800" b="1" i="0">
              <a:solidFill>
                <a:sysClr val="windowText" lastClr="000000"/>
              </a:solidFill>
              <a:latin typeface="Consolas" panose="020B0609020204030204" pitchFamily="49" charset="0"/>
              <a:ea typeface="Consolas" panose="020B0609020204030204" pitchFamily="49" charset="0"/>
              <a:cs typeface="Consolas" panose="020B0609020204030204" pitchFamily="49" charset="0"/>
            </a:defRPr>
          </a:pPr>
          <a:r>
            <a:rPr lang="pt-BR" sz="1800" b="1">
              <a:solidFill>
                <a:sysClr val="windowText" lastClr="000000"/>
              </a:solidFill>
              <a:latin typeface="Consolas" panose="020B0609020204030204" pitchFamily="49" charset="0"/>
            </a:rPr>
            <a:t>Principal</a:t>
          </a:r>
        </a:p>
      </cx:txPr>
    </cx:title>
    <cx:plotArea>
      <cx:plotAreaRegion>
        <cx:series layoutId="clusteredColumn" uniqueId="{1B8FB320-77E3-433E-94A5-B6056D2D3559}">
          <cx:tx>
            <cx:txData>
              <cx:f>_xlchart.v1.6</cx:f>
              <cx:v>Principal</cx:v>
            </cx:txData>
          </cx:tx>
          <cx:dataId val="0"/>
          <cx:layoutPr>
            <cx:binning intervalClosed="r">
              <cx:binCount val="11"/>
            </cx:binning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300" b="1" i="0">
                <a:solidFill>
                  <a:sysClr val="windowText" lastClr="000000"/>
                </a:solidFill>
                <a:latin typeface="Consolas" panose="020B0609020204030204" pitchFamily="49" charset="0"/>
                <a:ea typeface="Consolas" panose="020B0609020204030204" pitchFamily="49" charset="0"/>
                <a:cs typeface="Consolas" panose="020B0609020204030204" pitchFamily="49" charset="0"/>
              </a:defRPr>
            </a:pPr>
            <a:endParaRPr lang="pt-BR" sz="1300" b="1">
              <a:solidFill>
                <a:sysClr val="windowText" lastClr="000000"/>
              </a:solidFill>
              <a:latin typeface="Consolas" panose="020B0609020204030204" pitchFamily="49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300" b="1" i="0">
                <a:solidFill>
                  <a:sysClr val="windowText" lastClr="000000"/>
                </a:solidFill>
                <a:latin typeface="Consolas" panose="020B0609020204030204" pitchFamily="49" charset="0"/>
                <a:ea typeface="Consolas" panose="020B0609020204030204" pitchFamily="49" charset="0"/>
                <a:cs typeface="Consolas" panose="020B0609020204030204" pitchFamily="49" charset="0"/>
              </a:defRPr>
            </a:pPr>
            <a:endParaRPr lang="pt-BR" sz="1300" b="1">
              <a:solidFill>
                <a:sysClr val="windowText" lastClr="000000"/>
              </a:solidFill>
              <a:latin typeface="Consolas" panose="020B0609020204030204" pitchFamily="49" charset="0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Parcelas</cx:v>
        </cx:txData>
      </cx:tx>
      <cx:txPr>
        <a:bodyPr vertOverflow="overflow" horzOverflow="overflow" wrap="square" lIns="0" tIns="0" rIns="0" bIns="0"/>
        <a:lstStyle/>
        <a:p>
          <a:pPr algn="ctr" rtl="0">
            <a:defRPr sz="1800" b="1" i="0">
              <a:solidFill>
                <a:sysClr val="windowText" lastClr="000000"/>
              </a:solidFill>
              <a:latin typeface="Consolas" panose="020B0609020204030204" pitchFamily="49" charset="0"/>
              <a:ea typeface="Consolas" panose="020B0609020204030204" pitchFamily="49" charset="0"/>
              <a:cs typeface="Consolas" panose="020B0609020204030204" pitchFamily="49" charset="0"/>
            </a:defRPr>
          </a:pPr>
          <a:r>
            <a:rPr lang="pt-BR" sz="1800" b="1">
              <a:solidFill>
                <a:sysClr val="windowText" lastClr="000000"/>
              </a:solidFill>
              <a:latin typeface="Consolas" panose="020B0609020204030204" pitchFamily="49" charset="0"/>
            </a:rPr>
            <a:t>Parcelas</a:t>
          </a:r>
        </a:p>
      </cx:txPr>
    </cx:title>
    <cx:plotArea>
      <cx:plotAreaRegion>
        <cx:series layoutId="clusteredColumn" uniqueId="{8EE06B34-C83D-4530-9432-E99EEAB26D71}">
          <cx:tx>
            <cx:txData>
              <cx:f>_xlchart.v1.4</cx:f>
              <cx:v>Parcelas</cx:v>
            </cx:txData>
          </cx:tx>
          <cx:dataId val="0"/>
          <cx:layoutPr>
            <cx:binning intervalClosed="r">
              <cx:binSize val="6"/>
            </cx:binning>
          </cx:layoutPr>
        </cx:series>
      </cx:plotAreaRegion>
      <cx:axis id="0">
        <cx:catScaling gapWidth="0"/>
        <cx:tickLabels/>
        <cx:numFmt formatCode="#.##0" sourceLinked="0"/>
        <cx:txPr>
          <a:bodyPr vertOverflow="overflow" horzOverflow="overflow" wrap="square" lIns="0" tIns="0" rIns="0" bIns="0"/>
          <a:lstStyle/>
          <a:p>
            <a:pPr algn="ctr" rtl="0">
              <a:defRPr sz="1300" b="1" i="0">
                <a:solidFill>
                  <a:sysClr val="windowText" lastClr="000000"/>
                </a:solidFill>
                <a:latin typeface="Consolas" panose="020B0609020204030204" pitchFamily="49" charset="0"/>
                <a:ea typeface="Consolas" panose="020B0609020204030204" pitchFamily="49" charset="0"/>
                <a:cs typeface="Consolas" panose="020B0609020204030204" pitchFamily="49" charset="0"/>
              </a:defRPr>
            </a:pPr>
            <a:endParaRPr lang="pt-BR" sz="1300" b="1">
              <a:solidFill>
                <a:sysClr val="windowText" lastClr="000000"/>
              </a:solidFill>
              <a:latin typeface="Consolas" panose="020B0609020204030204" pitchFamily="49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300" b="1" i="0">
                <a:solidFill>
                  <a:sysClr val="windowText" lastClr="000000"/>
                </a:solidFill>
                <a:latin typeface="Consolas" panose="020B0609020204030204" pitchFamily="49" charset="0"/>
                <a:ea typeface="Consolas" panose="020B0609020204030204" pitchFamily="49" charset="0"/>
                <a:cs typeface="Consolas" panose="020B0609020204030204" pitchFamily="49" charset="0"/>
              </a:defRPr>
            </a:pPr>
            <a:endParaRPr lang="pt-BR" sz="1300" b="1">
              <a:solidFill>
                <a:sysClr val="windowText" lastClr="000000"/>
              </a:solidFill>
              <a:latin typeface="Consolas" panose="020B0609020204030204" pitchFamily="49" charset="0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Contratos por Mês</cx:v>
        </cx:txData>
      </cx:tx>
      <cx:txPr>
        <a:bodyPr vertOverflow="overflow" horzOverflow="overflow" wrap="square" lIns="0" tIns="0" rIns="0" bIns="0"/>
        <a:lstStyle/>
        <a:p>
          <a:pPr algn="ctr" rtl="0">
            <a:defRPr sz="1800" b="1" i="0">
              <a:solidFill>
                <a:sysClr val="windowText" lastClr="000000"/>
              </a:solidFill>
              <a:latin typeface="Consolas" panose="020B0609020204030204" pitchFamily="49" charset="0"/>
              <a:ea typeface="Consolas" panose="020B0609020204030204" pitchFamily="49" charset="0"/>
              <a:cs typeface="Consolas" panose="020B0609020204030204" pitchFamily="49" charset="0"/>
            </a:defRPr>
          </a:pPr>
          <a:r>
            <a:rPr lang="pt-BR" sz="1800" b="1">
              <a:solidFill>
                <a:sysClr val="windowText" lastClr="000000"/>
              </a:solidFill>
              <a:latin typeface="Consolas" panose="020B0609020204030204" pitchFamily="49" charset="0"/>
            </a:rPr>
            <a:t>Contratos por Mês</a:t>
          </a:r>
        </a:p>
      </cx:txPr>
    </cx:title>
    <cx:plotArea>
      <cx:plotAreaRegion>
        <cx:series layoutId="clusteredColumn" uniqueId="{30B9D4BC-94CD-4712-BC51-ED02E7650C01}">
          <cx:tx>
            <cx:txData>
              <cx:f>_xlchart.v1.2</cx:f>
              <cx:v>Data_Emissao</cx:v>
            </cx:txData>
          </cx:tx>
          <cx:dataId val="0"/>
          <cx:layoutPr>
            <cx:binning intervalClosed="r">
              <cx:binSize val="30.439999999999998"/>
            </cx:binning>
          </cx:layoutPr>
        </cx:series>
      </cx:plotAreaRegion>
      <cx:axis id="0">
        <cx:catScaling gapWidth="0"/>
        <cx:tickLabels/>
        <cx:numFmt formatCode="[$-pt-BR]mmm-aa;@" sourceLinked="0"/>
        <cx:txPr>
          <a:bodyPr vertOverflow="overflow" horzOverflow="overflow" wrap="square" lIns="0" tIns="0" rIns="0" bIns="0"/>
          <a:lstStyle/>
          <a:p>
            <a:pPr algn="ctr" rtl="0">
              <a:defRPr sz="1300" b="1" i="0">
                <a:solidFill>
                  <a:sysClr val="windowText" lastClr="000000"/>
                </a:solidFill>
                <a:latin typeface="Consolas" panose="020B0609020204030204" pitchFamily="49" charset="0"/>
                <a:ea typeface="Consolas" panose="020B0609020204030204" pitchFamily="49" charset="0"/>
                <a:cs typeface="Consolas" panose="020B0609020204030204" pitchFamily="49" charset="0"/>
              </a:defRPr>
            </a:pPr>
            <a:endParaRPr lang="pt-BR" sz="1300" b="1">
              <a:solidFill>
                <a:sysClr val="windowText" lastClr="000000"/>
              </a:solidFill>
              <a:latin typeface="Consolas" panose="020B0609020204030204" pitchFamily="49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300" b="1" i="0">
                <a:solidFill>
                  <a:sysClr val="windowText" lastClr="000000"/>
                </a:solidFill>
                <a:latin typeface="Consolas" panose="020B0609020204030204" pitchFamily="49" charset="0"/>
                <a:ea typeface="Consolas" panose="020B0609020204030204" pitchFamily="49" charset="0"/>
                <a:cs typeface="Consolas" panose="020B0609020204030204" pitchFamily="49" charset="0"/>
              </a:defRPr>
            </a:pPr>
            <a:endParaRPr lang="pt-BR" sz="1300" b="1">
              <a:solidFill>
                <a:sysClr val="windowText" lastClr="000000"/>
              </a:solidFill>
              <a:latin typeface="Consolas" panose="020B0609020204030204" pitchFamily="49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4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68273</xdr:colOff>
      <xdr:row>1</xdr:row>
      <xdr:rowOff>0</xdr:rowOff>
    </xdr:from>
    <xdr:to>
      <xdr:col>22</xdr:col>
      <xdr:colOff>392124</xdr:colOff>
      <xdr:row>17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05D2E43-5603-2125-BFC3-B04EB05CC5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69698" y="285750"/>
              <a:ext cx="10382251" cy="457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11</xdr:col>
      <xdr:colOff>58748</xdr:colOff>
      <xdr:row>19</xdr:row>
      <xdr:rowOff>200020</xdr:rowOff>
    </xdr:from>
    <xdr:to>
      <xdr:col>22</xdr:col>
      <xdr:colOff>382599</xdr:colOff>
      <xdr:row>45</xdr:row>
      <xdr:rowOff>216477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D22815B2-E645-4522-87C4-EFAC401529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60173" y="5629270"/>
              <a:ext cx="10382251" cy="74459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11</xdr:col>
      <xdr:colOff>58748</xdr:colOff>
      <xdr:row>49</xdr:row>
      <xdr:rowOff>12984</xdr:rowOff>
    </xdr:from>
    <xdr:to>
      <xdr:col>18</xdr:col>
      <xdr:colOff>838211</xdr:colOff>
      <xdr:row>61</xdr:row>
      <xdr:rowOff>159322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B8CB07EF-C0FE-4215-BCA7-068D21EB7C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60173" y="14014734"/>
              <a:ext cx="7180263" cy="35753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19</xdr:col>
      <xdr:colOff>420698</xdr:colOff>
      <xdr:row>49</xdr:row>
      <xdr:rowOff>12983</xdr:rowOff>
    </xdr:from>
    <xdr:to>
      <xdr:col>22</xdr:col>
      <xdr:colOff>373073</xdr:colOff>
      <xdr:row>61</xdr:row>
      <xdr:rowOff>168847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7666F32-AF19-4E01-8171-CA54FBE30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51602</xdr:colOff>
      <xdr:row>64</xdr:row>
      <xdr:rowOff>151522</xdr:rowOff>
    </xdr:from>
    <xdr:to>
      <xdr:col>22</xdr:col>
      <xdr:colOff>375453</xdr:colOff>
      <xdr:row>84</xdr:row>
      <xdr:rowOff>139212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57C57762-B892-48A6-BC2C-3D484F6074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53027" y="18439522"/>
              <a:ext cx="10382251" cy="57026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571501</xdr:colOff>
      <xdr:row>3</xdr:row>
      <xdr:rowOff>81641</xdr:rowOff>
    </xdr:from>
    <xdr:to>
      <xdr:col>11</xdr:col>
      <xdr:colOff>694364</xdr:colOff>
      <xdr:row>5</xdr:row>
      <xdr:rowOff>153837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E12BE6F-3EC3-4B57-9BCC-140F5ED6E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4" y="816427"/>
          <a:ext cx="2857899" cy="562053"/>
        </a:xfrm>
        <a:prstGeom prst="rect">
          <a:avLst/>
        </a:prstGeom>
      </xdr:spPr>
    </xdr:pic>
    <xdr:clientData/>
  </xdr:twoCellAnchor>
  <xdr:twoCellAnchor editAs="oneCell">
    <xdr:from>
      <xdr:col>7</xdr:col>
      <xdr:colOff>374196</xdr:colOff>
      <xdr:row>11</xdr:row>
      <xdr:rowOff>239807</xdr:rowOff>
    </xdr:from>
    <xdr:to>
      <xdr:col>11</xdr:col>
      <xdr:colOff>52170</xdr:colOff>
      <xdr:row>16</xdr:row>
      <xdr:rowOff>110692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FD7A821-EF60-4114-9A1A-410DFA3BF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1910" y="2934021"/>
          <a:ext cx="3324689" cy="109552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6</xdr:row>
      <xdr:rowOff>34018</xdr:rowOff>
    </xdr:from>
    <xdr:to>
      <xdr:col>12</xdr:col>
      <xdr:colOff>14192</xdr:colOff>
      <xdr:row>10</xdr:row>
      <xdr:rowOff>197463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9E68E68-4978-4ECB-BE57-022F458E6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8714" y="1503589"/>
          <a:ext cx="4191585" cy="11431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19050</xdr:rowOff>
    </xdr:from>
    <xdr:to>
      <xdr:col>1</xdr:col>
      <xdr:colOff>647975</xdr:colOff>
      <xdr:row>21</xdr:row>
      <xdr:rowOff>114452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8608D5F-1047-D1D1-149E-1E31867BE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29100"/>
          <a:ext cx="1971950" cy="10860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197625</xdr:rowOff>
    </xdr:from>
    <xdr:to>
      <xdr:col>4</xdr:col>
      <xdr:colOff>124410</xdr:colOff>
      <xdr:row>16</xdr:row>
      <xdr:rowOff>102535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96FD738-A440-9DF8-AECF-A280D2B1A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21775"/>
          <a:ext cx="4191585" cy="1143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214275</xdr:rowOff>
    </xdr:from>
    <xdr:to>
      <xdr:col>2</xdr:col>
      <xdr:colOff>619524</xdr:colOff>
      <xdr:row>6</xdr:row>
      <xdr:rowOff>33378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56915ACE-7585-82B2-888E-E2BEE883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7225"/>
          <a:ext cx="2857899" cy="5620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164250</xdr:rowOff>
    </xdr:from>
    <xdr:to>
      <xdr:col>3</xdr:col>
      <xdr:colOff>171914</xdr:colOff>
      <xdr:row>27</xdr:row>
      <xdr:rowOff>21528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4C9405D1-93A9-07A3-57E6-63A07F65F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2550"/>
          <a:ext cx="3324689" cy="1095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171375</xdr:rowOff>
    </xdr:from>
    <xdr:to>
      <xdr:col>1</xdr:col>
      <xdr:colOff>905186</xdr:colOff>
      <xdr:row>10</xdr:row>
      <xdr:rowOff>181040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FA42347-C5F4-4C41-721C-6A3111AD4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7275"/>
          <a:ext cx="2229161" cy="100026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5E2B68-1276-4AB3-A62A-AB9355786F68}" name="Tabela_PRICE" displayName="Tabela_PRICE" ref="A4:G28" totalsRowShown="0" headerRowDxfId="14">
  <autoFilter ref="A4:G28" xr:uid="{BF5E2B68-1276-4AB3-A62A-AB9355786F68}"/>
  <tableColumns count="7">
    <tableColumn id="1" xr3:uid="{C1629420-0500-495D-8BBA-7427941B89BC}" name="Contrato" dataDxfId="5">
      <calculatedColumnFormula>Cad_Contrato</calculatedColumnFormula>
    </tableColumn>
    <tableColumn id="2" xr3:uid="{8A151B98-0486-477D-A121-90E3EC99F24C}" name="Parcela" dataDxfId="15"/>
    <tableColumn id="3" xr3:uid="{6AA78561-3D17-46B5-BB9B-EB9E2E0D19C3}" name="Data_Venc" dataDxfId="4">
      <calculatedColumnFormula>IF(
     WEEKDAY( EOMONTH(Cad_Data_Emissao, B5 -1) + DAY(Cad_Data_Emissao)) = 7,
     EOMONTH(Cad_Data_Emissao, B5 -1) + DAY(Cad_Data_Emissao) +2,
     IF(
         WEEKDAY( EOMONTH(Cad_Data_Emissao, B5 -1) + DAY(Cad_Data_Emissao)) = 1,
         EOMONTH(Cad_Data_Emissao, B5 -1) + DAY(Cad_Data_Emissao) +1,
         EOMONTH(Cad_Data_Emissao, B5 -1) + DAY(Cad_Data_Emissao)
     )
 )</calculatedColumnFormula>
    </tableColumn>
    <tableColumn id="4" xr3:uid="{F3CB9154-DDB5-4535-8499-09097742C419}" name="PMT" dataDxfId="0">
      <calculatedColumnFormula>ROUND(
     Cad_Principal * Cad_i_am / (1 - (1 + Cad_i_am)^(Cad_Data_Emissao - Tabela_PRICE[[#This Row],[Data_Venc]])),
     2
 )</calculatedColumnFormula>
    </tableColumn>
    <tableColumn id="5" xr3:uid="{21A55918-DA97-41F4-BE60-DDD488B1D71E}" name="Juros" dataDxfId="3">
      <calculatedColumnFormula>FV(
     RATE(365.25/12, , -1, 1 + $C$2),
     C5 - C4,
     ,
     -G4
 ) -G4</calculatedColumnFormula>
    </tableColumn>
    <tableColumn id="6" xr3:uid="{B1F74E11-B502-47C6-B238-B1392DC92033}" name="Amort" dataDxfId="2">
      <calculatedColumnFormula>Tabela_PRICE[[#This Row],[PMT]] - Tabela_PRICE[[#This Row],[Juros]]</calculatedColumnFormula>
    </tableColumn>
    <tableColumn id="7" xr3:uid="{15D52F1F-F9C2-4BE2-B2A7-D0AB82012982}" name="PV_Atual" dataDxfId="1">
      <calculatedColumnFormula>Cad_Principal - Tabela_PRICE[[#This Row],[Amort]]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598484-CAFA-4E04-99F7-757303FD719A}" name="Tabela_SAC" displayName="Tabela_SAC" ref="A4:G10" totalsRowShown="0" headerRowDxfId="6">
  <autoFilter ref="A4:G10" xr:uid="{71598484-CAFA-4E04-99F7-757303FD719A}"/>
  <tableColumns count="7">
    <tableColumn id="1" xr3:uid="{844A8851-7465-46B8-83F6-B72F9CC6ABDA}" name="Parcela" dataDxfId="13"/>
    <tableColumn id="2" xr3:uid="{8D59BBB0-5AC6-4E2E-8CC7-F388DFC75645}" name="Data_Venc_ant" dataDxfId="12">
      <calculatedColumnFormula>IF(
     WEEKDAY( EOMONTH($F$2, A5 -2) + DAY($F$2)) = 7,
     EOMONTH($F$2, A5 -2) + DAY($F$2) +2,
     IF(
         WEEKDAY( EOMONTH($F$2, A5 -2) + DAY($F$2)) = 1,
         EOMONTH($F$2, A5 -2) + DAY($F$2) +1,
         EOMONTH($F$2, A5 -2) + DAY($F$2)
     )
 )</calculatedColumnFormula>
    </tableColumn>
    <tableColumn id="3" xr3:uid="{735257E5-5695-4038-93B8-53E2131A14A1}" name="Data_Venc" dataDxfId="11">
      <calculatedColumnFormula>IF(
     WEEKDAY( EOMONTH($F$2, A5 -1) + DAY($F$2)) = 7,
     EOMONTH($F$2, A5 -1) + DAY($F$2) +2,
     IF(
         WEEKDAY( EOMONTH($F$2, A5 -1) + DAY($F$2)) = 1,
         EOMONTH($F$2, A5 -1) + DAY($F$2) +1,
         EOMONTH($F$2, A5 -1) + DAY($F$2)
     )
 )</calculatedColumnFormula>
    </tableColumn>
    <tableColumn id="4" xr3:uid="{18CEAD6B-C79B-462A-B775-7F29D3D3E8F3}" name="PMT" dataDxfId="10">
      <calculatedColumnFormula>F5+E5</calculatedColumnFormula>
    </tableColumn>
    <tableColumn id="5" xr3:uid="{7A8FAAAB-D00F-49EB-82B2-187293993192}" name="Juros" dataDxfId="9">
      <calculatedColumnFormula>FV(
     RATE(365.25/12, , -1, 1 + Taxa_am),
     C5-B5,
     ,
     -Principal + Principal / Parcelas * (A5 -1)
 ) -Principal + Principal / Parcelas * (A5 -1)</calculatedColumnFormula>
    </tableColumn>
    <tableColumn id="6" xr3:uid="{EF2FD68E-3635-45B3-8187-BCB1361A630B}" name="Amort" dataDxfId="8">
      <calculatedColumnFormula>Principal / Parcelas</calculatedColumnFormula>
    </tableColumn>
    <tableColumn id="7" xr3:uid="{8DD09FCD-3DBE-4952-9AC9-FD1865874452}" name="PV_Atual" dataDxfId="7">
      <calculatedColumnFormula>Principal - (F5 * A5)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8CCA-A14A-4D44-833E-8CDCA5A78349}">
  <dimension ref="A1:F202"/>
  <sheetViews>
    <sheetView showGridLines="0" zoomScale="120" zoomScaleNormal="120" workbookViewId="0"/>
  </sheetViews>
  <sheetFormatPr defaultRowHeight="22.5" x14ac:dyDescent="0.35"/>
  <cols>
    <col min="1" max="1" width="10.453125" style="13" bestFit="1" customWidth="1"/>
    <col min="2" max="2" width="11.6328125" style="16" bestFit="1" customWidth="1"/>
    <col min="3" max="3" width="9.26953125" style="16" bestFit="1" customWidth="1"/>
    <col min="4" max="4" width="10.453125" style="13" bestFit="1" customWidth="1"/>
    <col min="5" max="5" width="8.08984375" style="16" bestFit="1" customWidth="1"/>
    <col min="6" max="6" width="15.26953125" style="13" bestFit="1" customWidth="1"/>
    <col min="7" max="16384" width="8.7265625" style="16"/>
  </cols>
  <sheetData>
    <row r="1" spans="1:6" s="12" customFormat="1" x14ac:dyDescent="0.35">
      <c r="A1" s="11" t="s">
        <v>3</v>
      </c>
      <c r="B1" s="11" t="s">
        <v>0</v>
      </c>
      <c r="C1" s="11" t="s">
        <v>6</v>
      </c>
      <c r="D1" s="11" t="s">
        <v>1</v>
      </c>
      <c r="E1" s="11" t="s">
        <v>2</v>
      </c>
      <c r="F1" s="11" t="s">
        <v>7</v>
      </c>
    </row>
    <row r="2" spans="1:6" x14ac:dyDescent="0.35">
      <c r="A2" s="13">
        <v>1</v>
      </c>
      <c r="B2" s="14">
        <f ca="1">RANDBETWEEN(1, 200) * 10000</f>
        <v>1140000</v>
      </c>
      <c r="C2" s="15">
        <f ca="1">_xlfn.LET(
     _xlpm._Principal_,(B2 - MIN($B$2:$B$145)) / (MAX($B$2:$B$145) - MIN($B$2:$B$145)),
     _xlpm._Parcelas_, (D2 - MIN($D$2:$D$145)) / (MAX($D$2:$D$145) - MIN($D$2:$D$145)),
     (1 - ((_xlpm._Principal_ + _xlpm._Parcelas_) / 2)) / 100 + 1%
 )</f>
        <v>1.4303661162957646E-2</v>
      </c>
      <c r="D2" s="13">
        <f ca="1">RANDBETWEEN(1, 10) * 6</f>
        <v>30</v>
      </c>
      <c r="E2" s="16" t="str">
        <f ca="1">IF( RANDBETWEEN(1, 3) &gt; 2, "SAC", "PRICE" )</f>
        <v>PRICE</v>
      </c>
      <c r="F2" s="17">
        <v>43864</v>
      </c>
    </row>
    <row r="3" spans="1:6" x14ac:dyDescent="0.35">
      <c r="A3" s="13">
        <v>2</v>
      </c>
      <c r="B3" s="14">
        <v>1170000</v>
      </c>
      <c r="C3" s="15">
        <v>1.2085427135678393E-2</v>
      </c>
      <c r="D3" s="13">
        <v>48</v>
      </c>
      <c r="E3" s="16" t="s">
        <v>5</v>
      </c>
      <c r="F3" s="17">
        <v>43872</v>
      </c>
    </row>
    <row r="4" spans="1:6" x14ac:dyDescent="0.35">
      <c r="A4" s="13">
        <v>3</v>
      </c>
      <c r="B4" s="14">
        <v>110000</v>
      </c>
      <c r="C4" s="15">
        <v>1.7605886575735821E-2</v>
      </c>
      <c r="D4" s="13">
        <v>24</v>
      </c>
      <c r="E4" s="16" t="s">
        <v>4</v>
      </c>
      <c r="F4" s="17">
        <v>43873</v>
      </c>
    </row>
    <row r="5" spans="1:6" x14ac:dyDescent="0.35">
      <c r="A5" s="13">
        <v>4</v>
      </c>
      <c r="B5" s="14">
        <v>560000</v>
      </c>
      <c r="C5" s="15">
        <v>1.8618090452261309E-2</v>
      </c>
      <c r="D5" s="13">
        <v>6</v>
      </c>
      <c r="E5" s="16" t="s">
        <v>5</v>
      </c>
      <c r="F5" s="17">
        <v>43874</v>
      </c>
    </row>
    <row r="6" spans="1:6" x14ac:dyDescent="0.35">
      <c r="A6" s="13">
        <v>5</v>
      </c>
      <c r="B6" s="14">
        <v>1410000</v>
      </c>
      <c r="C6" s="15">
        <v>1.6482412060301509E-2</v>
      </c>
      <c r="D6" s="13">
        <v>6</v>
      </c>
      <c r="E6" s="16" t="s">
        <v>5</v>
      </c>
      <c r="F6" s="17">
        <v>43874</v>
      </c>
    </row>
    <row r="7" spans="1:6" x14ac:dyDescent="0.35">
      <c r="A7" s="13">
        <v>6</v>
      </c>
      <c r="B7" s="14">
        <v>1340000</v>
      </c>
      <c r="C7" s="15">
        <v>1.2372577171572146E-2</v>
      </c>
      <c r="D7" s="13">
        <v>42</v>
      </c>
      <c r="E7" s="16" t="s">
        <v>4</v>
      </c>
      <c r="F7" s="17">
        <v>43888</v>
      </c>
    </row>
    <row r="8" spans="1:6" x14ac:dyDescent="0.35">
      <c r="A8" s="13">
        <v>7</v>
      </c>
      <c r="B8" s="14">
        <v>580000</v>
      </c>
      <c r="C8" s="15">
        <v>1.4282124910265615E-2</v>
      </c>
      <c r="D8" s="13">
        <v>42</v>
      </c>
      <c r="E8" s="16" t="s">
        <v>4</v>
      </c>
      <c r="F8" s="17">
        <v>43888</v>
      </c>
    </row>
    <row r="9" spans="1:6" x14ac:dyDescent="0.35">
      <c r="A9" s="13">
        <v>8</v>
      </c>
      <c r="B9" s="14">
        <v>1690000</v>
      </c>
      <c r="C9" s="15">
        <v>1.4350323043790381E-2</v>
      </c>
      <c r="D9" s="13">
        <v>18</v>
      </c>
      <c r="E9" s="16" t="s">
        <v>4</v>
      </c>
      <c r="F9" s="17">
        <v>43900</v>
      </c>
    </row>
    <row r="10" spans="1:6" x14ac:dyDescent="0.35">
      <c r="A10" s="13">
        <v>9</v>
      </c>
      <c r="B10" s="14">
        <v>80000</v>
      </c>
      <c r="C10" s="15">
        <v>1.6252692031586503E-2</v>
      </c>
      <c r="D10" s="13">
        <v>36</v>
      </c>
      <c r="E10" s="16" t="s">
        <v>4</v>
      </c>
      <c r="F10" s="17">
        <v>43906</v>
      </c>
    </row>
    <row r="11" spans="1:6" x14ac:dyDescent="0.35">
      <c r="A11" s="13">
        <v>10</v>
      </c>
      <c r="B11" s="14">
        <v>900000</v>
      </c>
      <c r="C11" s="15">
        <v>1.6335247666905958E-2</v>
      </c>
      <c r="D11" s="13">
        <v>18</v>
      </c>
      <c r="E11" s="16" t="s">
        <v>4</v>
      </c>
      <c r="F11" s="17">
        <v>43910</v>
      </c>
    </row>
    <row r="12" spans="1:6" x14ac:dyDescent="0.35">
      <c r="A12" s="13">
        <v>11</v>
      </c>
      <c r="B12" s="14">
        <v>1170000</v>
      </c>
      <c r="C12" s="15">
        <v>1.494256999282125E-2</v>
      </c>
      <c r="D12" s="13">
        <v>24</v>
      </c>
      <c r="E12" s="16" t="s">
        <v>5</v>
      </c>
      <c r="F12" s="17">
        <v>43913</v>
      </c>
    </row>
    <row r="13" spans="1:6" x14ac:dyDescent="0.35">
      <c r="A13" s="13">
        <v>12</v>
      </c>
      <c r="B13" s="14">
        <v>140000</v>
      </c>
      <c r="C13" s="15">
        <v>1.8959081119885139E-2</v>
      </c>
      <c r="D13" s="13">
        <v>12</v>
      </c>
      <c r="E13" s="16" t="s">
        <v>4</v>
      </c>
      <c r="F13" s="17">
        <v>43914</v>
      </c>
    </row>
    <row r="14" spans="1:6" x14ac:dyDescent="0.35">
      <c r="A14" s="13">
        <v>13</v>
      </c>
      <c r="B14" s="14">
        <v>540000</v>
      </c>
      <c r="C14" s="15">
        <v>1.8668341708542716E-2</v>
      </c>
      <c r="D14" s="13">
        <v>6</v>
      </c>
      <c r="E14" s="16" t="s">
        <v>4</v>
      </c>
      <c r="F14" s="17">
        <v>43917</v>
      </c>
    </row>
    <row r="15" spans="1:6" x14ac:dyDescent="0.35">
      <c r="A15" s="13">
        <v>14</v>
      </c>
      <c r="B15" s="14">
        <v>1040000</v>
      </c>
      <c r="C15" s="15">
        <v>1.2412060301507537E-2</v>
      </c>
      <c r="D15" s="13">
        <v>48</v>
      </c>
      <c r="E15" s="16" t="s">
        <v>4</v>
      </c>
      <c r="F15" s="17">
        <v>43920</v>
      </c>
    </row>
    <row r="16" spans="1:6" x14ac:dyDescent="0.35">
      <c r="A16" s="13">
        <v>15</v>
      </c>
      <c r="B16" s="14">
        <v>1160000</v>
      </c>
      <c r="C16" s="15">
        <v>1.6396267049533383E-2</v>
      </c>
      <c r="D16" s="13">
        <v>12</v>
      </c>
      <c r="E16" s="16" t="s">
        <v>4</v>
      </c>
      <c r="F16" s="17">
        <v>43922</v>
      </c>
    </row>
    <row r="17" spans="1:6" x14ac:dyDescent="0.35">
      <c r="A17" s="13">
        <v>16</v>
      </c>
      <c r="B17" s="14">
        <v>1250000</v>
      </c>
      <c r="C17" s="15">
        <v>1.474156496769562E-2</v>
      </c>
      <c r="D17" s="13">
        <v>24</v>
      </c>
      <c r="E17" s="16" t="s">
        <v>4</v>
      </c>
      <c r="F17" s="17">
        <v>43927</v>
      </c>
    </row>
    <row r="18" spans="1:6" x14ac:dyDescent="0.35">
      <c r="A18" s="13">
        <v>17</v>
      </c>
      <c r="B18" s="14">
        <v>230000</v>
      </c>
      <c r="C18" s="15">
        <v>1.8018664752333095E-2</v>
      </c>
      <c r="D18" s="13">
        <v>18</v>
      </c>
      <c r="E18" s="16" t="s">
        <v>4</v>
      </c>
      <c r="F18" s="17">
        <v>43928</v>
      </c>
    </row>
    <row r="19" spans="1:6" x14ac:dyDescent="0.35">
      <c r="A19" s="13">
        <v>18</v>
      </c>
      <c r="B19" s="14">
        <v>730000</v>
      </c>
      <c r="C19" s="15">
        <v>1.6762383345297917E-2</v>
      </c>
      <c r="D19" s="13">
        <v>18</v>
      </c>
      <c r="E19" s="16" t="s">
        <v>4</v>
      </c>
      <c r="F19" s="17">
        <v>43929</v>
      </c>
    </row>
    <row r="20" spans="1:6" x14ac:dyDescent="0.35">
      <c r="A20" s="13">
        <v>19</v>
      </c>
      <c r="B20" s="14">
        <v>420000</v>
      </c>
      <c r="C20" s="15">
        <v>1.5398420674802585E-2</v>
      </c>
      <c r="D20" s="13">
        <v>36</v>
      </c>
      <c r="E20" s="16" t="s">
        <v>4</v>
      </c>
      <c r="F20" s="17">
        <v>43934</v>
      </c>
    </row>
    <row r="21" spans="1:6" x14ac:dyDescent="0.35">
      <c r="A21" s="13">
        <v>20</v>
      </c>
      <c r="B21" s="14">
        <v>1890000</v>
      </c>
      <c r="C21" s="15">
        <v>1.3847810480976309E-2</v>
      </c>
      <c r="D21" s="13">
        <v>18</v>
      </c>
      <c r="E21" s="16" t="s">
        <v>4</v>
      </c>
      <c r="F21" s="17">
        <v>43936</v>
      </c>
    </row>
    <row r="22" spans="1:6" x14ac:dyDescent="0.35">
      <c r="A22" s="13">
        <v>21</v>
      </c>
      <c r="B22" s="14">
        <v>1150000</v>
      </c>
      <c r="C22" s="15">
        <v>1.4278535534816943E-2</v>
      </c>
      <c r="D22" s="13">
        <v>30</v>
      </c>
      <c r="E22" s="16" t="s">
        <v>4</v>
      </c>
      <c r="F22" s="17">
        <v>43942</v>
      </c>
    </row>
    <row r="23" spans="1:6" x14ac:dyDescent="0.35">
      <c r="A23" s="13">
        <v>22</v>
      </c>
      <c r="B23" s="14">
        <v>1930000</v>
      </c>
      <c r="C23" s="15">
        <v>1.4461593682699211E-2</v>
      </c>
      <c r="D23" s="13">
        <v>12</v>
      </c>
      <c r="E23" s="16" t="s">
        <v>4</v>
      </c>
      <c r="F23" s="17">
        <v>43948</v>
      </c>
    </row>
    <row r="24" spans="1:6" x14ac:dyDescent="0.35">
      <c r="A24" s="13">
        <v>23</v>
      </c>
      <c r="B24" s="14">
        <v>840000</v>
      </c>
      <c r="C24" s="15">
        <v>1.5771715721464467E-2</v>
      </c>
      <c r="D24" s="13">
        <v>24</v>
      </c>
      <c r="E24" s="16" t="s">
        <v>5</v>
      </c>
      <c r="F24" s="17">
        <v>43948</v>
      </c>
    </row>
    <row r="25" spans="1:6" x14ac:dyDescent="0.35">
      <c r="A25" s="13">
        <v>24</v>
      </c>
      <c r="B25" s="14">
        <v>390000</v>
      </c>
      <c r="C25" s="15">
        <v>1.761665470208184E-2</v>
      </c>
      <c r="D25" s="13">
        <v>18</v>
      </c>
      <c r="E25" s="16" t="s">
        <v>4</v>
      </c>
      <c r="F25" s="17">
        <v>43955</v>
      </c>
    </row>
    <row r="26" spans="1:6" x14ac:dyDescent="0.35">
      <c r="A26" s="13">
        <v>25</v>
      </c>
      <c r="B26" s="14">
        <v>260000</v>
      </c>
      <c r="C26" s="15">
        <v>1.4371859296482412E-2</v>
      </c>
      <c r="D26" s="13">
        <v>48</v>
      </c>
      <c r="E26" s="16" t="s">
        <v>4</v>
      </c>
      <c r="F26" s="17">
        <v>43962</v>
      </c>
    </row>
    <row r="27" spans="1:6" x14ac:dyDescent="0.35">
      <c r="A27" s="13">
        <v>26</v>
      </c>
      <c r="B27" s="14">
        <v>980000</v>
      </c>
      <c r="C27" s="15">
        <v>1.4705671213208902E-2</v>
      </c>
      <c r="D27" s="13">
        <v>30</v>
      </c>
      <c r="E27" s="16" t="s">
        <v>4</v>
      </c>
      <c r="F27" s="17">
        <v>43964</v>
      </c>
    </row>
    <row r="28" spans="1:6" x14ac:dyDescent="0.35">
      <c r="A28" s="13">
        <v>27</v>
      </c>
      <c r="B28" s="14">
        <v>780000</v>
      </c>
      <c r="C28" s="15">
        <v>1.5208183776022972E-2</v>
      </c>
      <c r="D28" s="13">
        <v>30</v>
      </c>
      <c r="E28" s="16" t="s">
        <v>4</v>
      </c>
      <c r="F28" s="17">
        <v>43977</v>
      </c>
    </row>
    <row r="29" spans="1:6" x14ac:dyDescent="0.35">
      <c r="A29" s="13">
        <v>28</v>
      </c>
      <c r="B29" s="14">
        <v>1380000</v>
      </c>
      <c r="C29" s="15">
        <v>1.5129217516152189E-2</v>
      </c>
      <c r="D29" s="13">
        <v>18</v>
      </c>
      <c r="E29" s="16" t="s">
        <v>5</v>
      </c>
      <c r="F29" s="17">
        <v>43978</v>
      </c>
    </row>
    <row r="30" spans="1:6" x14ac:dyDescent="0.35">
      <c r="A30" s="13">
        <v>29</v>
      </c>
      <c r="B30" s="14">
        <v>760000</v>
      </c>
      <c r="C30" s="15">
        <v>1.8115577889447239E-2</v>
      </c>
      <c r="D30" s="13">
        <v>6</v>
      </c>
      <c r="E30" s="16" t="s">
        <v>5</v>
      </c>
      <c r="F30" s="17">
        <v>43979</v>
      </c>
    </row>
    <row r="31" spans="1:6" x14ac:dyDescent="0.35">
      <c r="A31" s="13">
        <v>30</v>
      </c>
      <c r="B31" s="14">
        <v>1460000</v>
      </c>
      <c r="C31" s="15">
        <v>1.5642498205312275E-2</v>
      </c>
      <c r="D31" s="13">
        <v>12</v>
      </c>
      <c r="E31" s="16" t="s">
        <v>4</v>
      </c>
      <c r="F31" s="17">
        <v>43991</v>
      </c>
    </row>
    <row r="32" spans="1:6" x14ac:dyDescent="0.35">
      <c r="A32" s="13">
        <v>31</v>
      </c>
      <c r="B32" s="14">
        <v>1750000</v>
      </c>
      <c r="C32" s="15">
        <v>1.419956927494616E-2</v>
      </c>
      <c r="D32" s="13">
        <v>18</v>
      </c>
      <c r="E32" s="16" t="s">
        <v>5</v>
      </c>
      <c r="F32" s="17">
        <v>43997</v>
      </c>
    </row>
    <row r="33" spans="1:6" x14ac:dyDescent="0.35">
      <c r="A33" s="13">
        <v>32</v>
      </c>
      <c r="B33" s="14">
        <v>220000</v>
      </c>
      <c r="C33" s="15">
        <v>1.9472361809045227E-2</v>
      </c>
      <c r="D33" s="13">
        <v>6</v>
      </c>
      <c r="E33" s="16" t="s">
        <v>4</v>
      </c>
      <c r="F33" s="17">
        <v>44008</v>
      </c>
    </row>
    <row r="34" spans="1:6" x14ac:dyDescent="0.35">
      <c r="A34" s="13">
        <v>33</v>
      </c>
      <c r="B34" s="14">
        <v>1150000</v>
      </c>
      <c r="C34" s="15">
        <v>1.2135678391959798E-2</v>
      </c>
      <c r="D34" s="13">
        <v>48</v>
      </c>
      <c r="E34" s="16" t="s">
        <v>5</v>
      </c>
      <c r="F34" s="17">
        <v>44011</v>
      </c>
    </row>
    <row r="35" spans="1:6" x14ac:dyDescent="0.35">
      <c r="A35" s="13">
        <v>34</v>
      </c>
      <c r="B35" s="14">
        <v>1490000</v>
      </c>
      <c r="C35" s="15">
        <v>1.6281407035175881E-2</v>
      </c>
      <c r="D35" s="13">
        <v>6</v>
      </c>
      <c r="E35" s="16" t="s">
        <v>5</v>
      </c>
      <c r="F35" s="17">
        <v>44011</v>
      </c>
    </row>
    <row r="36" spans="1:6" x14ac:dyDescent="0.35">
      <c r="A36" s="13">
        <v>35</v>
      </c>
      <c r="B36" s="14">
        <v>110000</v>
      </c>
      <c r="C36" s="15">
        <v>1.6177315147164393E-2</v>
      </c>
      <c r="D36" s="13">
        <v>36</v>
      </c>
      <c r="E36" s="16" t="s">
        <v>5</v>
      </c>
      <c r="F36" s="17">
        <v>44028</v>
      </c>
    </row>
    <row r="37" spans="1:6" x14ac:dyDescent="0.35">
      <c r="A37" s="13">
        <v>36</v>
      </c>
      <c r="B37" s="14">
        <v>130000</v>
      </c>
      <c r="C37" s="15">
        <v>1.6127063890882986E-2</v>
      </c>
      <c r="D37" s="13">
        <v>36</v>
      </c>
      <c r="E37" s="16" t="s">
        <v>4</v>
      </c>
      <c r="F37" s="17">
        <v>44036</v>
      </c>
    </row>
    <row r="38" spans="1:6" x14ac:dyDescent="0.35">
      <c r="A38" s="13">
        <v>37</v>
      </c>
      <c r="B38" s="14">
        <v>1620000</v>
      </c>
      <c r="C38" s="15">
        <v>1.5954773869346735E-2</v>
      </c>
      <c r="D38" s="13">
        <v>6</v>
      </c>
      <c r="E38" s="16" t="s">
        <v>5</v>
      </c>
      <c r="F38" s="17">
        <v>44041</v>
      </c>
    </row>
    <row r="39" spans="1:6" x14ac:dyDescent="0.35">
      <c r="A39" s="13">
        <v>38</v>
      </c>
      <c r="B39" s="14">
        <v>430000</v>
      </c>
      <c r="C39" s="15">
        <v>1.5373295046661881E-2</v>
      </c>
      <c r="D39" s="13">
        <v>36</v>
      </c>
      <c r="E39" s="16" t="s">
        <v>4</v>
      </c>
      <c r="F39" s="17">
        <v>44043</v>
      </c>
    </row>
    <row r="40" spans="1:6" x14ac:dyDescent="0.35">
      <c r="A40" s="13">
        <v>39</v>
      </c>
      <c r="B40" s="14">
        <v>770000</v>
      </c>
      <c r="C40" s="15">
        <v>1.5947595118449391E-2</v>
      </c>
      <c r="D40" s="13">
        <v>24</v>
      </c>
      <c r="E40" s="16" t="s">
        <v>4</v>
      </c>
      <c r="F40" s="17">
        <v>44043</v>
      </c>
    </row>
    <row r="41" spans="1:6" x14ac:dyDescent="0.35">
      <c r="A41" s="13">
        <v>40</v>
      </c>
      <c r="B41" s="14">
        <v>1730000</v>
      </c>
      <c r="C41" s="15">
        <v>1.4249820531227565E-2</v>
      </c>
      <c r="D41" s="13">
        <v>18</v>
      </c>
      <c r="E41" s="16" t="s">
        <v>4</v>
      </c>
      <c r="F41" s="17">
        <v>44060</v>
      </c>
    </row>
    <row r="42" spans="1:6" x14ac:dyDescent="0.35">
      <c r="A42" s="13">
        <v>41</v>
      </c>
      <c r="B42" s="14">
        <v>1350000</v>
      </c>
      <c r="C42" s="15">
        <v>1.5918880114860014E-2</v>
      </c>
      <c r="D42" s="13">
        <v>12</v>
      </c>
      <c r="E42" s="16" t="s">
        <v>5</v>
      </c>
      <c r="F42" s="17">
        <v>44067</v>
      </c>
    </row>
    <row r="43" spans="1:6" x14ac:dyDescent="0.35">
      <c r="A43" s="13">
        <v>42</v>
      </c>
      <c r="B43" s="14">
        <v>100000</v>
      </c>
      <c r="C43" s="15">
        <v>1.7631012203876528E-2</v>
      </c>
      <c r="D43" s="13">
        <v>24</v>
      </c>
      <c r="E43" s="16" t="s">
        <v>4</v>
      </c>
      <c r="F43" s="17">
        <v>44069</v>
      </c>
    </row>
    <row r="44" spans="1:6" x14ac:dyDescent="0.35">
      <c r="A44" s="13">
        <v>43</v>
      </c>
      <c r="B44" s="14">
        <v>920000</v>
      </c>
      <c r="C44" s="15">
        <v>1.271356783919598E-2</v>
      </c>
      <c r="D44" s="13">
        <v>48</v>
      </c>
      <c r="E44" s="16" t="s">
        <v>5</v>
      </c>
      <c r="F44" s="17">
        <v>44074</v>
      </c>
    </row>
    <row r="45" spans="1:6" x14ac:dyDescent="0.35">
      <c r="A45" s="13">
        <v>44</v>
      </c>
      <c r="B45" s="14">
        <v>1810000</v>
      </c>
      <c r="C45" s="15">
        <v>1.4763101220387653E-2</v>
      </c>
      <c r="D45" s="13">
        <v>12</v>
      </c>
      <c r="E45" s="16" t="s">
        <v>4</v>
      </c>
      <c r="F45" s="17">
        <v>44076</v>
      </c>
    </row>
    <row r="46" spans="1:6" x14ac:dyDescent="0.35">
      <c r="A46" s="13">
        <v>45</v>
      </c>
      <c r="B46" s="14">
        <v>460000</v>
      </c>
      <c r="C46" s="15">
        <v>1.4583632447954055E-2</v>
      </c>
      <c r="D46" s="13">
        <v>42</v>
      </c>
      <c r="E46" s="16" t="s">
        <v>4</v>
      </c>
      <c r="F46" s="17">
        <v>44090</v>
      </c>
    </row>
    <row r="47" spans="1:6" x14ac:dyDescent="0.35">
      <c r="A47" s="13">
        <v>46</v>
      </c>
      <c r="B47" s="14">
        <v>110000</v>
      </c>
      <c r="C47" s="15">
        <v>1.8320172290021537E-2</v>
      </c>
      <c r="D47" s="13">
        <v>18</v>
      </c>
      <c r="E47" s="16" t="s">
        <v>5</v>
      </c>
      <c r="F47" s="17">
        <v>44091</v>
      </c>
    </row>
    <row r="48" spans="1:6" x14ac:dyDescent="0.35">
      <c r="A48" s="13">
        <v>47</v>
      </c>
      <c r="B48" s="14">
        <v>1360000</v>
      </c>
      <c r="C48" s="15">
        <v>1.5179468772433598E-2</v>
      </c>
      <c r="D48" s="13">
        <v>18</v>
      </c>
      <c r="E48" s="16" t="s">
        <v>4</v>
      </c>
      <c r="F48" s="17">
        <v>44095</v>
      </c>
    </row>
    <row r="49" spans="1:6" x14ac:dyDescent="0.35">
      <c r="A49" s="13">
        <v>48</v>
      </c>
      <c r="B49" s="14">
        <v>940000</v>
      </c>
      <c r="C49" s="15">
        <v>1.4806173725771716E-2</v>
      </c>
      <c r="D49" s="13">
        <v>30</v>
      </c>
      <c r="E49" s="16" t="s">
        <v>4</v>
      </c>
      <c r="F49" s="17">
        <v>44097</v>
      </c>
    </row>
    <row r="50" spans="1:6" x14ac:dyDescent="0.35">
      <c r="A50" s="13">
        <v>49</v>
      </c>
      <c r="B50" s="14">
        <v>1840000</v>
      </c>
      <c r="C50" s="15">
        <v>1.5402010050251255E-2</v>
      </c>
      <c r="D50" s="13">
        <v>6</v>
      </c>
      <c r="E50" s="16" t="s">
        <v>4</v>
      </c>
      <c r="F50" s="17">
        <v>44099</v>
      </c>
    </row>
    <row r="51" spans="1:6" x14ac:dyDescent="0.35">
      <c r="A51" s="13">
        <v>50</v>
      </c>
      <c r="B51" s="14">
        <v>330000</v>
      </c>
      <c r="C51" s="15">
        <v>1.6338837042354629E-2</v>
      </c>
      <c r="D51" s="13">
        <v>30</v>
      </c>
      <c r="E51" s="16" t="s">
        <v>4</v>
      </c>
      <c r="F51" s="17">
        <v>44102</v>
      </c>
    </row>
    <row r="52" spans="1:6" x14ac:dyDescent="0.35">
      <c r="A52" s="13">
        <v>51</v>
      </c>
      <c r="B52" s="14">
        <v>290000</v>
      </c>
      <c r="C52" s="15">
        <v>1.9296482412060303E-2</v>
      </c>
      <c r="D52" s="13">
        <v>6</v>
      </c>
      <c r="E52" s="16" t="s">
        <v>4</v>
      </c>
      <c r="F52" s="17">
        <v>44106</v>
      </c>
    </row>
    <row r="53" spans="1:6" x14ac:dyDescent="0.35">
      <c r="A53" s="13">
        <v>52</v>
      </c>
      <c r="B53" s="14">
        <v>780000</v>
      </c>
      <c r="C53" s="15">
        <v>1.8065326633165832E-2</v>
      </c>
      <c r="D53" s="13">
        <v>6</v>
      </c>
      <c r="E53" s="16" t="s">
        <v>4</v>
      </c>
      <c r="F53" s="17">
        <v>44109</v>
      </c>
    </row>
    <row r="54" spans="1:6" x14ac:dyDescent="0.35">
      <c r="A54" s="13">
        <v>53</v>
      </c>
      <c r="B54" s="14">
        <v>620000</v>
      </c>
      <c r="C54" s="15">
        <v>1.4181622397702799E-2</v>
      </c>
      <c r="D54" s="13">
        <v>42</v>
      </c>
      <c r="E54" s="16" t="s">
        <v>4</v>
      </c>
      <c r="F54" s="17">
        <v>44109</v>
      </c>
    </row>
    <row r="55" spans="1:6" x14ac:dyDescent="0.35">
      <c r="A55" s="13">
        <v>54</v>
      </c>
      <c r="B55" s="14">
        <v>1230000</v>
      </c>
      <c r="C55" s="15">
        <v>1.5506101938262743E-2</v>
      </c>
      <c r="D55" s="13">
        <v>18</v>
      </c>
      <c r="E55" s="16" t="s">
        <v>4</v>
      </c>
      <c r="F55" s="17">
        <v>44124</v>
      </c>
    </row>
    <row r="56" spans="1:6" x14ac:dyDescent="0.35">
      <c r="A56" s="13">
        <v>55</v>
      </c>
      <c r="B56" s="14">
        <v>1230000</v>
      </c>
      <c r="C56" s="15">
        <v>1.6934673366834171E-2</v>
      </c>
      <c r="D56" s="13">
        <v>6</v>
      </c>
      <c r="E56" s="16" t="s">
        <v>4</v>
      </c>
      <c r="F56" s="17">
        <v>44127</v>
      </c>
    </row>
    <row r="57" spans="1:6" x14ac:dyDescent="0.35">
      <c r="A57" s="13">
        <v>56</v>
      </c>
      <c r="B57" s="14">
        <v>640000</v>
      </c>
      <c r="C57" s="15">
        <v>1.5559942569992822E-2</v>
      </c>
      <c r="D57" s="13">
        <v>30</v>
      </c>
      <c r="E57" s="16" t="s">
        <v>5</v>
      </c>
      <c r="F57" s="17">
        <v>44131</v>
      </c>
    </row>
    <row r="58" spans="1:6" x14ac:dyDescent="0.35">
      <c r="A58" s="13">
        <v>57</v>
      </c>
      <c r="B58" s="14">
        <v>530000</v>
      </c>
      <c r="C58" s="15">
        <v>1.5836324479540559E-2</v>
      </c>
      <c r="D58" s="13">
        <v>30</v>
      </c>
      <c r="E58" s="16" t="s">
        <v>5</v>
      </c>
      <c r="F58" s="17">
        <v>44141</v>
      </c>
    </row>
    <row r="59" spans="1:6" x14ac:dyDescent="0.35">
      <c r="A59" s="13">
        <v>58</v>
      </c>
      <c r="B59" s="14">
        <v>1450000</v>
      </c>
      <c r="C59" s="15">
        <v>1.4953338119167266E-2</v>
      </c>
      <c r="D59" s="13">
        <v>18</v>
      </c>
      <c r="E59" s="16" t="s">
        <v>4</v>
      </c>
      <c r="F59" s="17">
        <v>44144</v>
      </c>
    </row>
    <row r="60" spans="1:6" x14ac:dyDescent="0.35">
      <c r="A60" s="13">
        <v>59</v>
      </c>
      <c r="B60" s="14">
        <v>1340000</v>
      </c>
      <c r="C60" s="15">
        <v>1.5229720028715005E-2</v>
      </c>
      <c r="D60" s="13">
        <v>18</v>
      </c>
      <c r="E60" s="16" t="s">
        <v>4</v>
      </c>
      <c r="F60" s="17">
        <v>44158</v>
      </c>
    </row>
    <row r="61" spans="1:6" x14ac:dyDescent="0.35">
      <c r="A61" s="13">
        <v>60</v>
      </c>
      <c r="B61" s="14">
        <v>660000</v>
      </c>
      <c r="C61" s="15">
        <v>1.5509691313711414E-2</v>
      </c>
      <c r="D61" s="13">
        <v>30</v>
      </c>
      <c r="E61" s="16" t="s">
        <v>5</v>
      </c>
      <c r="F61" s="17">
        <v>44158</v>
      </c>
    </row>
    <row r="62" spans="1:6" x14ac:dyDescent="0.35">
      <c r="A62" s="13">
        <v>61</v>
      </c>
      <c r="B62" s="14">
        <v>1330000</v>
      </c>
      <c r="C62" s="15">
        <v>1.3111988513998564E-2</v>
      </c>
      <c r="D62" s="13">
        <v>36</v>
      </c>
      <c r="E62" s="16" t="s">
        <v>5</v>
      </c>
      <c r="F62" s="17">
        <v>44160</v>
      </c>
    </row>
    <row r="63" spans="1:6" x14ac:dyDescent="0.35">
      <c r="A63" s="13">
        <v>62</v>
      </c>
      <c r="B63" s="14">
        <v>510000</v>
      </c>
      <c r="C63" s="15">
        <v>1.3743718592964825E-2</v>
      </c>
      <c r="D63" s="13">
        <v>48</v>
      </c>
      <c r="E63" s="16" t="s">
        <v>4</v>
      </c>
      <c r="F63" s="17">
        <v>44167</v>
      </c>
    </row>
    <row r="64" spans="1:6" x14ac:dyDescent="0.35">
      <c r="A64" s="13">
        <v>63</v>
      </c>
      <c r="B64" s="14">
        <v>960000</v>
      </c>
      <c r="C64" s="15">
        <v>1.3327351040918881E-2</v>
      </c>
      <c r="D64" s="13">
        <v>42</v>
      </c>
      <c r="E64" s="16" t="s">
        <v>4</v>
      </c>
      <c r="F64" s="17">
        <v>44172</v>
      </c>
    </row>
    <row r="65" spans="1:6" x14ac:dyDescent="0.35">
      <c r="A65" s="13">
        <v>64</v>
      </c>
      <c r="B65" s="14">
        <v>660000</v>
      </c>
      <c r="C65" s="15">
        <v>1.6938262742282842E-2</v>
      </c>
      <c r="D65" s="13">
        <v>18</v>
      </c>
      <c r="E65" s="16" t="s">
        <v>4</v>
      </c>
      <c r="F65" s="17">
        <v>44175</v>
      </c>
    </row>
    <row r="66" spans="1:6" x14ac:dyDescent="0.35">
      <c r="A66" s="13">
        <v>65</v>
      </c>
      <c r="B66" s="14">
        <v>1130000</v>
      </c>
      <c r="C66" s="15">
        <v>1.3614501076812635E-2</v>
      </c>
      <c r="D66" s="13">
        <v>36</v>
      </c>
      <c r="E66" s="16" t="s">
        <v>4</v>
      </c>
      <c r="F66" s="17">
        <v>44179</v>
      </c>
    </row>
    <row r="67" spans="1:6" x14ac:dyDescent="0.35">
      <c r="A67" s="13">
        <v>66</v>
      </c>
      <c r="B67" s="14">
        <v>1690000</v>
      </c>
      <c r="C67" s="15">
        <v>1.2921751615218953E-2</v>
      </c>
      <c r="D67" s="13">
        <v>30</v>
      </c>
      <c r="E67" s="16" t="s">
        <v>4</v>
      </c>
      <c r="F67" s="17">
        <v>44186</v>
      </c>
    </row>
    <row r="68" spans="1:6" x14ac:dyDescent="0.35">
      <c r="A68" s="13">
        <v>67</v>
      </c>
      <c r="B68" s="14">
        <v>560000</v>
      </c>
      <c r="C68" s="15">
        <v>1.8618090452261309E-2</v>
      </c>
      <c r="D68" s="13">
        <v>6</v>
      </c>
      <c r="E68" s="16" t="s">
        <v>4</v>
      </c>
      <c r="F68" s="17">
        <v>44187</v>
      </c>
    </row>
    <row r="69" spans="1:6" x14ac:dyDescent="0.35">
      <c r="A69" s="13">
        <v>68</v>
      </c>
      <c r="B69" s="14">
        <v>1250000</v>
      </c>
      <c r="C69" s="15">
        <v>1.2598707824838478E-2</v>
      </c>
      <c r="D69" s="13">
        <v>42</v>
      </c>
      <c r="E69" s="16" t="s">
        <v>5</v>
      </c>
      <c r="F69" s="17">
        <v>44188</v>
      </c>
    </row>
    <row r="70" spans="1:6" x14ac:dyDescent="0.35">
      <c r="A70" s="13">
        <v>69</v>
      </c>
      <c r="B70" s="14">
        <v>1390000</v>
      </c>
      <c r="C70" s="15">
        <v>1.1532663316582915E-2</v>
      </c>
      <c r="D70" s="13">
        <v>48</v>
      </c>
      <c r="E70" s="16" t="s">
        <v>5</v>
      </c>
      <c r="F70" s="17">
        <v>44193</v>
      </c>
    </row>
    <row r="71" spans="1:6" x14ac:dyDescent="0.35">
      <c r="A71" s="13">
        <v>70</v>
      </c>
      <c r="B71" s="14">
        <v>70000</v>
      </c>
      <c r="C71" s="15">
        <v>1.6992103374012919E-2</v>
      </c>
      <c r="D71" s="13">
        <v>30</v>
      </c>
      <c r="E71" s="16" t="s">
        <v>4</v>
      </c>
      <c r="F71" s="17">
        <v>44193</v>
      </c>
    </row>
    <row r="72" spans="1:6" x14ac:dyDescent="0.35">
      <c r="A72" s="13">
        <v>71</v>
      </c>
      <c r="B72" s="14">
        <v>1360000</v>
      </c>
      <c r="C72" s="15">
        <v>1.5179468772433598E-2</v>
      </c>
      <c r="D72" s="13">
        <v>18</v>
      </c>
      <c r="E72" s="16" t="s">
        <v>4</v>
      </c>
      <c r="F72" s="17">
        <v>44200</v>
      </c>
    </row>
    <row r="73" spans="1:6" x14ac:dyDescent="0.35">
      <c r="A73" s="13">
        <v>72</v>
      </c>
      <c r="B73" s="14">
        <v>1020000</v>
      </c>
      <c r="C73" s="15">
        <v>1.6033740129217516E-2</v>
      </c>
      <c r="D73" s="13">
        <v>18</v>
      </c>
      <c r="E73" s="16" t="s">
        <v>4</v>
      </c>
      <c r="F73" s="17">
        <v>44200</v>
      </c>
    </row>
    <row r="74" spans="1:6" x14ac:dyDescent="0.35">
      <c r="A74" s="13">
        <v>73</v>
      </c>
      <c r="B74" s="14">
        <v>1760000</v>
      </c>
      <c r="C74" s="15">
        <v>1.3460157932519742E-2</v>
      </c>
      <c r="D74" s="13">
        <v>24</v>
      </c>
      <c r="E74" s="16" t="s">
        <v>4</v>
      </c>
      <c r="F74" s="17">
        <v>44207</v>
      </c>
    </row>
    <row r="75" spans="1:6" x14ac:dyDescent="0.35">
      <c r="A75" s="13">
        <v>74</v>
      </c>
      <c r="B75" s="14">
        <v>120000</v>
      </c>
      <c r="C75" s="15">
        <v>1.7580760947595118E-2</v>
      </c>
      <c r="D75" s="13">
        <v>24</v>
      </c>
      <c r="E75" s="16" t="s">
        <v>4</v>
      </c>
      <c r="F75" s="17">
        <v>44207</v>
      </c>
    </row>
    <row r="76" spans="1:6" x14ac:dyDescent="0.35">
      <c r="A76" s="13">
        <v>75</v>
      </c>
      <c r="B76" s="14">
        <v>450000</v>
      </c>
      <c r="C76" s="15">
        <v>1.6037329504666187E-2</v>
      </c>
      <c r="D76" s="13">
        <v>30</v>
      </c>
      <c r="E76" s="16" t="s">
        <v>4</v>
      </c>
      <c r="F76" s="17">
        <v>44214</v>
      </c>
    </row>
    <row r="77" spans="1:6" x14ac:dyDescent="0.35">
      <c r="A77" s="13">
        <v>76</v>
      </c>
      <c r="B77" s="14">
        <v>270000</v>
      </c>
      <c r="C77" s="15">
        <v>1.4346733668341709E-2</v>
      </c>
      <c r="D77" s="13">
        <v>48</v>
      </c>
      <c r="E77" s="16" t="s">
        <v>4</v>
      </c>
      <c r="F77" s="17">
        <v>44235</v>
      </c>
    </row>
    <row r="78" spans="1:6" x14ac:dyDescent="0.35">
      <c r="A78" s="13">
        <v>77</v>
      </c>
      <c r="B78" s="14">
        <v>1040000</v>
      </c>
      <c r="C78" s="15">
        <v>1.4554917444364681E-2</v>
      </c>
      <c r="D78" s="13">
        <v>30</v>
      </c>
      <c r="E78" s="16" t="s">
        <v>5</v>
      </c>
      <c r="F78" s="17">
        <v>44242</v>
      </c>
    </row>
    <row r="79" spans="1:6" x14ac:dyDescent="0.35">
      <c r="A79" s="13">
        <v>78</v>
      </c>
      <c r="B79" s="14">
        <v>300000</v>
      </c>
      <c r="C79" s="15">
        <v>1.9271356783919599E-2</v>
      </c>
      <c r="D79" s="13">
        <v>6</v>
      </c>
      <c r="E79" s="16" t="s">
        <v>4</v>
      </c>
      <c r="F79" s="17">
        <v>44245</v>
      </c>
    </row>
    <row r="80" spans="1:6" x14ac:dyDescent="0.35">
      <c r="A80" s="13">
        <v>79</v>
      </c>
      <c r="B80" s="14">
        <v>1180000</v>
      </c>
      <c r="C80" s="15">
        <v>1.6346015793251976E-2</v>
      </c>
      <c r="D80" s="13">
        <v>12</v>
      </c>
      <c r="E80" s="16" t="s">
        <v>5</v>
      </c>
      <c r="F80" s="17">
        <v>44245</v>
      </c>
    </row>
    <row r="81" spans="1:6" x14ac:dyDescent="0.35">
      <c r="A81" s="13">
        <v>80</v>
      </c>
      <c r="B81" s="14">
        <v>380000</v>
      </c>
      <c r="C81" s="15">
        <v>1.4784637473079685E-2</v>
      </c>
      <c r="D81" s="13">
        <v>42</v>
      </c>
      <c r="E81" s="16" t="s">
        <v>4</v>
      </c>
      <c r="F81" s="17">
        <v>44249</v>
      </c>
    </row>
    <row r="82" spans="1:6" x14ac:dyDescent="0.35">
      <c r="A82" s="13">
        <v>81</v>
      </c>
      <c r="B82" s="14">
        <v>1340000</v>
      </c>
      <c r="C82" s="15">
        <v>1.4515434314429289E-2</v>
      </c>
      <c r="D82" s="13">
        <v>24</v>
      </c>
      <c r="E82" s="16" t="s">
        <v>4</v>
      </c>
      <c r="F82" s="17">
        <v>44251</v>
      </c>
    </row>
    <row r="83" spans="1:6" x14ac:dyDescent="0.35">
      <c r="A83" s="13">
        <v>82</v>
      </c>
      <c r="B83" s="14">
        <v>1820000</v>
      </c>
      <c r="C83" s="15">
        <v>1.0452261306532663E-2</v>
      </c>
      <c r="D83" s="13">
        <v>48</v>
      </c>
      <c r="E83" s="16" t="s">
        <v>5</v>
      </c>
      <c r="F83" s="17">
        <v>44256</v>
      </c>
    </row>
    <row r="84" spans="1:6" x14ac:dyDescent="0.35">
      <c r="A84" s="13">
        <v>83</v>
      </c>
      <c r="B84" s="14">
        <v>1490000</v>
      </c>
      <c r="C84" s="15">
        <v>1.1995692749461594E-2</v>
      </c>
      <c r="D84" s="13">
        <v>42</v>
      </c>
      <c r="E84" s="16" t="s">
        <v>5</v>
      </c>
      <c r="F84" s="17">
        <v>44264</v>
      </c>
    </row>
    <row r="85" spans="1:6" x14ac:dyDescent="0.35">
      <c r="A85" s="13">
        <v>84</v>
      </c>
      <c r="B85" s="14">
        <v>870000</v>
      </c>
      <c r="C85" s="15">
        <v>1.3553481694185212E-2</v>
      </c>
      <c r="D85" s="13">
        <v>42</v>
      </c>
      <c r="E85" s="16" t="s">
        <v>4</v>
      </c>
      <c r="F85" s="17">
        <v>44267</v>
      </c>
    </row>
    <row r="86" spans="1:6" x14ac:dyDescent="0.35">
      <c r="A86" s="13">
        <v>85</v>
      </c>
      <c r="B86" s="14">
        <v>1280000</v>
      </c>
      <c r="C86" s="15">
        <v>1.2523330940416369E-2</v>
      </c>
      <c r="D86" s="13">
        <v>42</v>
      </c>
      <c r="E86" s="16" t="s">
        <v>4</v>
      </c>
      <c r="F86" s="17">
        <v>44284</v>
      </c>
    </row>
    <row r="87" spans="1:6" x14ac:dyDescent="0.35">
      <c r="A87" s="13">
        <v>86</v>
      </c>
      <c r="B87" s="14">
        <v>1020000</v>
      </c>
      <c r="C87" s="15">
        <v>1.317659727207466E-2</v>
      </c>
      <c r="D87" s="13">
        <v>42</v>
      </c>
      <c r="E87" s="16" t="s">
        <v>5</v>
      </c>
      <c r="F87" s="17">
        <v>44291</v>
      </c>
    </row>
    <row r="88" spans="1:6" x14ac:dyDescent="0.35">
      <c r="A88" s="13">
        <v>87</v>
      </c>
      <c r="B88" s="14">
        <v>530000</v>
      </c>
      <c r="C88" s="15">
        <v>1.6550610193826275E-2</v>
      </c>
      <c r="D88" s="13">
        <v>24</v>
      </c>
      <c r="E88" s="16" t="s">
        <v>4</v>
      </c>
      <c r="F88" s="17">
        <v>44293</v>
      </c>
    </row>
    <row r="89" spans="1:6" x14ac:dyDescent="0.35">
      <c r="A89" s="13">
        <v>88</v>
      </c>
      <c r="B89" s="14">
        <v>200000</v>
      </c>
      <c r="C89" s="15">
        <v>1.4522613065326633E-2</v>
      </c>
      <c r="D89" s="13">
        <v>48</v>
      </c>
      <c r="E89" s="16" t="s">
        <v>4</v>
      </c>
      <c r="F89" s="17">
        <v>44299</v>
      </c>
    </row>
    <row r="90" spans="1:6" x14ac:dyDescent="0.35">
      <c r="A90" s="13">
        <v>89</v>
      </c>
      <c r="B90" s="14">
        <v>810000</v>
      </c>
      <c r="C90" s="15">
        <v>1.7275664034458005E-2</v>
      </c>
      <c r="D90" s="13">
        <v>12</v>
      </c>
      <c r="E90" s="16" t="s">
        <v>4</v>
      </c>
      <c r="F90" s="17">
        <v>44305</v>
      </c>
    </row>
    <row r="91" spans="1:6" x14ac:dyDescent="0.35">
      <c r="A91" s="13">
        <v>90</v>
      </c>
      <c r="B91" s="14">
        <v>870000</v>
      </c>
      <c r="C91" s="15">
        <v>1.6410624551328069E-2</v>
      </c>
      <c r="D91" s="13">
        <v>18</v>
      </c>
      <c r="E91" s="16" t="s">
        <v>4</v>
      </c>
      <c r="F91" s="17">
        <v>44306</v>
      </c>
    </row>
    <row r="92" spans="1:6" x14ac:dyDescent="0.35">
      <c r="A92" s="13">
        <v>91</v>
      </c>
      <c r="B92" s="14">
        <v>390000</v>
      </c>
      <c r="C92" s="15">
        <v>1.6902368987796124E-2</v>
      </c>
      <c r="D92" s="13">
        <v>24</v>
      </c>
      <c r="E92" s="16" t="s">
        <v>5</v>
      </c>
      <c r="F92" s="17">
        <v>44320</v>
      </c>
    </row>
    <row r="93" spans="1:6" x14ac:dyDescent="0.35">
      <c r="A93" s="13">
        <v>92</v>
      </c>
      <c r="B93" s="14">
        <v>1690000</v>
      </c>
      <c r="C93" s="15">
        <v>1.0778894472361808E-2</v>
      </c>
      <c r="D93" s="13">
        <v>48</v>
      </c>
      <c r="E93" s="16" t="s">
        <v>4</v>
      </c>
      <c r="F93" s="17">
        <v>44322</v>
      </c>
    </row>
    <row r="94" spans="1:6" x14ac:dyDescent="0.35">
      <c r="A94" s="13">
        <v>93</v>
      </c>
      <c r="B94" s="14">
        <v>1710000</v>
      </c>
      <c r="C94" s="15">
        <v>1.2871500358937544E-2</v>
      </c>
      <c r="D94" s="13">
        <v>30</v>
      </c>
      <c r="E94" s="16" t="s">
        <v>5</v>
      </c>
      <c r="F94" s="17">
        <v>44323</v>
      </c>
    </row>
    <row r="95" spans="1:6" x14ac:dyDescent="0.35">
      <c r="A95" s="13">
        <v>94</v>
      </c>
      <c r="B95" s="14">
        <v>820000</v>
      </c>
      <c r="C95" s="15">
        <v>1.6536252692031586E-2</v>
      </c>
      <c r="D95" s="13">
        <v>18</v>
      </c>
      <c r="E95" s="16" t="s">
        <v>5</v>
      </c>
      <c r="F95" s="17">
        <v>44326</v>
      </c>
    </row>
    <row r="96" spans="1:6" x14ac:dyDescent="0.35">
      <c r="A96" s="13">
        <v>95</v>
      </c>
      <c r="B96" s="14">
        <v>1500000</v>
      </c>
      <c r="C96" s="15">
        <v>1.4827709978463749E-2</v>
      </c>
      <c r="D96" s="13">
        <v>18</v>
      </c>
      <c r="E96" s="16" t="s">
        <v>5</v>
      </c>
      <c r="F96" s="17">
        <v>44326</v>
      </c>
    </row>
    <row r="97" spans="1:6" x14ac:dyDescent="0.35">
      <c r="A97" s="13">
        <v>96</v>
      </c>
      <c r="B97" s="14">
        <v>1670000</v>
      </c>
      <c r="C97" s="15">
        <v>1.297200287150036E-2</v>
      </c>
      <c r="D97" s="13">
        <v>30</v>
      </c>
      <c r="E97" s="16" t="s">
        <v>4</v>
      </c>
      <c r="F97" s="17">
        <v>44326</v>
      </c>
    </row>
    <row r="98" spans="1:6" x14ac:dyDescent="0.35">
      <c r="A98" s="13">
        <v>97</v>
      </c>
      <c r="B98" s="14">
        <v>1940000</v>
      </c>
      <c r="C98" s="15">
        <v>1.1579325197415649E-2</v>
      </c>
      <c r="D98" s="13">
        <v>36</v>
      </c>
      <c r="E98" s="16" t="s">
        <v>5</v>
      </c>
      <c r="F98" s="17">
        <v>44328</v>
      </c>
    </row>
    <row r="99" spans="1:6" x14ac:dyDescent="0.35">
      <c r="A99" s="13">
        <v>98</v>
      </c>
      <c r="B99" s="14">
        <v>1620000</v>
      </c>
      <c r="C99" s="15">
        <v>1.3811916726489591E-2</v>
      </c>
      <c r="D99" s="13">
        <v>24</v>
      </c>
      <c r="E99" s="16" t="s">
        <v>5</v>
      </c>
      <c r="F99" s="17">
        <v>44356</v>
      </c>
    </row>
    <row r="100" spans="1:6" x14ac:dyDescent="0.35">
      <c r="A100" s="13">
        <v>99</v>
      </c>
      <c r="B100" s="14">
        <v>230000</v>
      </c>
      <c r="C100" s="15">
        <v>1.5161521895190239E-2</v>
      </c>
      <c r="D100" s="13">
        <v>42</v>
      </c>
      <c r="E100" s="16" t="s">
        <v>4</v>
      </c>
      <c r="F100" s="17">
        <v>44375</v>
      </c>
    </row>
    <row r="101" spans="1:6" x14ac:dyDescent="0.35">
      <c r="A101" s="13">
        <v>100</v>
      </c>
      <c r="B101" s="14">
        <v>2000000</v>
      </c>
      <c r="C101" s="15">
        <v>1.1428571428571429E-2</v>
      </c>
      <c r="D101" s="13">
        <v>36</v>
      </c>
      <c r="E101" s="16" t="s">
        <v>5</v>
      </c>
      <c r="F101" s="17">
        <v>44375</v>
      </c>
    </row>
    <row r="102" spans="1:6" x14ac:dyDescent="0.35">
      <c r="A102" s="13">
        <v>101</v>
      </c>
      <c r="B102" s="14">
        <v>1640000</v>
      </c>
      <c r="C102" s="15">
        <v>1.0904522613065326E-2</v>
      </c>
      <c r="D102" s="13">
        <v>48</v>
      </c>
      <c r="E102" s="16" t="s">
        <v>4</v>
      </c>
      <c r="F102" s="17">
        <v>44375</v>
      </c>
    </row>
    <row r="103" spans="1:6" x14ac:dyDescent="0.35">
      <c r="A103" s="13">
        <v>102</v>
      </c>
      <c r="B103" s="14">
        <v>810000</v>
      </c>
      <c r="C103" s="15">
        <v>1.3704235463029433E-2</v>
      </c>
      <c r="D103" s="13">
        <v>42</v>
      </c>
      <c r="E103" s="16" t="s">
        <v>5</v>
      </c>
      <c r="F103" s="17">
        <v>44376</v>
      </c>
    </row>
    <row r="104" spans="1:6" x14ac:dyDescent="0.35">
      <c r="A104" s="13">
        <v>103</v>
      </c>
      <c r="B104" s="14">
        <v>340000</v>
      </c>
      <c r="C104" s="15">
        <v>1.4170854271356784E-2</v>
      </c>
      <c r="D104" s="13">
        <v>48</v>
      </c>
      <c r="E104" s="16" t="s">
        <v>4</v>
      </c>
      <c r="F104" s="17">
        <v>44378</v>
      </c>
    </row>
    <row r="105" spans="1:6" x14ac:dyDescent="0.35">
      <c r="A105" s="13">
        <v>104</v>
      </c>
      <c r="B105" s="14">
        <v>840000</v>
      </c>
      <c r="C105" s="15">
        <v>1.5057430007178751E-2</v>
      </c>
      <c r="D105" s="13">
        <v>30</v>
      </c>
      <c r="E105" s="16" t="s">
        <v>5</v>
      </c>
      <c r="F105" s="17">
        <v>44379</v>
      </c>
    </row>
    <row r="106" spans="1:6" x14ac:dyDescent="0.35">
      <c r="A106" s="13">
        <v>105</v>
      </c>
      <c r="B106" s="14">
        <v>410000</v>
      </c>
      <c r="C106" s="15">
        <v>1.5423546302943288E-2</v>
      </c>
      <c r="D106" s="13">
        <v>36</v>
      </c>
      <c r="E106" s="16" t="s">
        <v>4</v>
      </c>
      <c r="F106" s="17">
        <v>44383</v>
      </c>
    </row>
    <row r="107" spans="1:6" x14ac:dyDescent="0.35">
      <c r="A107" s="13">
        <v>106</v>
      </c>
      <c r="B107" s="14">
        <v>1910000</v>
      </c>
      <c r="C107" s="15">
        <v>1.4511844938980618E-2</v>
      </c>
      <c r="D107" s="13">
        <v>12</v>
      </c>
      <c r="E107" s="16" t="s">
        <v>4</v>
      </c>
      <c r="F107" s="17">
        <v>44385</v>
      </c>
    </row>
    <row r="108" spans="1:6" x14ac:dyDescent="0.35">
      <c r="A108" s="13">
        <v>107</v>
      </c>
      <c r="B108" s="14">
        <v>1590000</v>
      </c>
      <c r="C108" s="15">
        <v>1.1744436468054559E-2</v>
      </c>
      <c r="D108" s="13">
        <v>42</v>
      </c>
      <c r="E108" s="16" t="s">
        <v>5</v>
      </c>
      <c r="F108" s="17">
        <v>44390</v>
      </c>
    </row>
    <row r="109" spans="1:6" x14ac:dyDescent="0.35">
      <c r="A109" s="13">
        <v>108</v>
      </c>
      <c r="B109" s="14">
        <v>1410000</v>
      </c>
      <c r="C109" s="15">
        <v>1.5053840631730079E-2</v>
      </c>
      <c r="D109" s="13">
        <v>18</v>
      </c>
      <c r="E109" s="16" t="s">
        <v>4</v>
      </c>
      <c r="F109" s="17">
        <v>44390</v>
      </c>
    </row>
    <row r="110" spans="1:6" x14ac:dyDescent="0.35">
      <c r="A110" s="13">
        <v>109</v>
      </c>
      <c r="B110" s="14">
        <v>1170000</v>
      </c>
      <c r="C110" s="15">
        <v>1.4228284278535536E-2</v>
      </c>
      <c r="D110" s="13">
        <v>30</v>
      </c>
      <c r="E110" s="16" t="s">
        <v>4</v>
      </c>
      <c r="F110" s="17">
        <v>44396</v>
      </c>
    </row>
    <row r="111" spans="1:6" x14ac:dyDescent="0.35">
      <c r="A111" s="13">
        <v>110</v>
      </c>
      <c r="B111" s="14">
        <v>140000</v>
      </c>
      <c r="C111" s="15">
        <v>1.6101938262742282E-2</v>
      </c>
      <c r="D111" s="13">
        <v>36</v>
      </c>
      <c r="E111" s="16" t="s">
        <v>5</v>
      </c>
      <c r="F111" s="17">
        <v>44396</v>
      </c>
    </row>
    <row r="112" spans="1:6" x14ac:dyDescent="0.35">
      <c r="A112" s="13">
        <v>111</v>
      </c>
      <c r="B112" s="14">
        <v>320000</v>
      </c>
      <c r="C112" s="15">
        <v>1.4935391241923906E-2</v>
      </c>
      <c r="D112" s="13">
        <v>42</v>
      </c>
      <c r="E112" s="16" t="s">
        <v>4</v>
      </c>
      <c r="F112" s="17">
        <v>44417</v>
      </c>
    </row>
    <row r="113" spans="1:6" x14ac:dyDescent="0.35">
      <c r="A113" s="13">
        <v>112</v>
      </c>
      <c r="B113" s="14">
        <v>1050000</v>
      </c>
      <c r="C113" s="15">
        <v>1.4529791816223978E-2</v>
      </c>
      <c r="D113" s="13">
        <v>30</v>
      </c>
      <c r="E113" s="16" t="s">
        <v>4</v>
      </c>
      <c r="F113" s="17">
        <v>44428</v>
      </c>
    </row>
    <row r="114" spans="1:6" x14ac:dyDescent="0.35">
      <c r="A114" s="13">
        <v>113</v>
      </c>
      <c r="B114" s="14">
        <v>1800000</v>
      </c>
      <c r="C114" s="15">
        <v>1.1216798277099784E-2</v>
      </c>
      <c r="D114" s="13">
        <v>42</v>
      </c>
      <c r="E114" s="16" t="s">
        <v>4</v>
      </c>
      <c r="F114" s="17">
        <v>44433</v>
      </c>
    </row>
    <row r="115" spans="1:6" x14ac:dyDescent="0.35">
      <c r="A115" s="13">
        <v>114</v>
      </c>
      <c r="B115" s="14">
        <v>10000</v>
      </c>
      <c r="C115" s="15">
        <v>1.6428571428571428E-2</v>
      </c>
      <c r="D115" s="13">
        <v>36</v>
      </c>
      <c r="E115" s="16" t="s">
        <v>5</v>
      </c>
      <c r="F115" s="17">
        <v>44438</v>
      </c>
    </row>
    <row r="116" spans="1:6" x14ac:dyDescent="0.35">
      <c r="A116" s="13">
        <v>115</v>
      </c>
      <c r="B116" s="14">
        <v>1560000</v>
      </c>
      <c r="C116" s="15">
        <v>1.4676956209619526E-2</v>
      </c>
      <c r="D116" s="13">
        <v>18</v>
      </c>
      <c r="E116" s="16" t="s">
        <v>5</v>
      </c>
      <c r="F116" s="17">
        <v>44440</v>
      </c>
    </row>
    <row r="117" spans="1:6" x14ac:dyDescent="0.35">
      <c r="A117" s="13">
        <v>116</v>
      </c>
      <c r="B117" s="14">
        <v>360000</v>
      </c>
      <c r="C117" s="15">
        <v>1.6263460157932522E-2</v>
      </c>
      <c r="D117" s="13">
        <v>30</v>
      </c>
      <c r="E117" s="16" t="s">
        <v>5</v>
      </c>
      <c r="F117" s="17">
        <v>44441</v>
      </c>
    </row>
    <row r="118" spans="1:6" x14ac:dyDescent="0.35">
      <c r="A118" s="13">
        <v>117</v>
      </c>
      <c r="B118" s="14">
        <v>1350000</v>
      </c>
      <c r="C118" s="15">
        <v>1.3061737257717157E-2</v>
      </c>
      <c r="D118" s="13">
        <v>36</v>
      </c>
      <c r="E118" s="16" t="s">
        <v>5</v>
      </c>
      <c r="F118" s="17">
        <v>44453</v>
      </c>
    </row>
    <row r="119" spans="1:6" x14ac:dyDescent="0.35">
      <c r="A119" s="13">
        <v>118</v>
      </c>
      <c r="B119" s="14">
        <v>1660000</v>
      </c>
      <c r="C119" s="15">
        <v>1.4425699928212491E-2</v>
      </c>
      <c r="D119" s="13">
        <v>18</v>
      </c>
      <c r="E119" s="16" t="s">
        <v>5</v>
      </c>
      <c r="F119" s="17">
        <v>44459</v>
      </c>
    </row>
    <row r="120" spans="1:6" x14ac:dyDescent="0.35">
      <c r="A120" s="13">
        <v>119</v>
      </c>
      <c r="B120" s="14">
        <v>1620000</v>
      </c>
      <c r="C120" s="15">
        <v>1.5954773869346735E-2</v>
      </c>
      <c r="D120" s="13">
        <v>6</v>
      </c>
      <c r="E120" s="16" t="s">
        <v>4</v>
      </c>
      <c r="F120" s="17">
        <v>44466</v>
      </c>
    </row>
    <row r="121" spans="1:6" x14ac:dyDescent="0.35">
      <c r="A121" s="13">
        <v>120</v>
      </c>
      <c r="B121" s="14">
        <v>470000</v>
      </c>
      <c r="C121" s="15">
        <v>1.8844221105527637E-2</v>
      </c>
      <c r="D121" s="13">
        <v>6</v>
      </c>
      <c r="E121" s="16" t="s">
        <v>4</v>
      </c>
      <c r="F121" s="17">
        <v>44473</v>
      </c>
    </row>
    <row r="122" spans="1:6" x14ac:dyDescent="0.35">
      <c r="A122" s="13">
        <v>121</v>
      </c>
      <c r="B122" s="14">
        <v>1610000</v>
      </c>
      <c r="C122" s="15">
        <v>1.3122756640344579E-2</v>
      </c>
      <c r="D122" s="13">
        <v>30</v>
      </c>
      <c r="E122" s="16" t="s">
        <v>4</v>
      </c>
      <c r="F122" s="17">
        <v>44477</v>
      </c>
    </row>
    <row r="123" spans="1:6" x14ac:dyDescent="0.35">
      <c r="A123" s="13">
        <v>122</v>
      </c>
      <c r="B123" s="14">
        <v>1740000</v>
      </c>
      <c r="C123" s="15">
        <v>1.3510409188801149E-2</v>
      </c>
      <c r="D123" s="13">
        <v>24</v>
      </c>
      <c r="E123" s="16" t="s">
        <v>4</v>
      </c>
      <c r="F123" s="17">
        <v>44484</v>
      </c>
    </row>
    <row r="124" spans="1:6" x14ac:dyDescent="0.35">
      <c r="A124" s="13">
        <v>123</v>
      </c>
      <c r="B124" s="14">
        <v>240000</v>
      </c>
      <c r="C124" s="15">
        <v>1.942211055276382E-2</v>
      </c>
      <c r="D124" s="13">
        <v>6</v>
      </c>
      <c r="E124" s="16" t="s">
        <v>4</v>
      </c>
      <c r="F124" s="17">
        <v>44487</v>
      </c>
    </row>
    <row r="125" spans="1:6" x14ac:dyDescent="0.35">
      <c r="A125" s="13">
        <v>124</v>
      </c>
      <c r="B125" s="14">
        <v>1640000</v>
      </c>
      <c r="C125" s="15">
        <v>1.2333094041636756E-2</v>
      </c>
      <c r="D125" s="13">
        <v>36</v>
      </c>
      <c r="E125" s="16" t="s">
        <v>4</v>
      </c>
      <c r="F125" s="17">
        <v>44490</v>
      </c>
    </row>
    <row r="126" spans="1:6" x14ac:dyDescent="0.35">
      <c r="A126" s="13">
        <v>125</v>
      </c>
      <c r="B126" s="14">
        <v>770000</v>
      </c>
      <c r="C126" s="15">
        <v>1.4519023689877961E-2</v>
      </c>
      <c r="D126" s="13">
        <v>36</v>
      </c>
      <c r="E126" s="16" t="s">
        <v>4</v>
      </c>
      <c r="F126" s="17">
        <v>44494</v>
      </c>
    </row>
    <row r="127" spans="1:6" x14ac:dyDescent="0.35">
      <c r="A127" s="13">
        <v>126</v>
      </c>
      <c r="B127" s="14">
        <v>2000000</v>
      </c>
      <c r="C127" s="15">
        <v>1.1428571428571429E-2</v>
      </c>
      <c r="D127" s="13">
        <v>36</v>
      </c>
      <c r="E127" s="16" t="s">
        <v>4</v>
      </c>
      <c r="F127" s="17">
        <v>44494</v>
      </c>
    </row>
    <row r="128" spans="1:6" x14ac:dyDescent="0.35">
      <c r="A128" s="13">
        <v>127</v>
      </c>
      <c r="B128" s="14">
        <v>1700000</v>
      </c>
      <c r="C128" s="15">
        <v>1.2182340272792533E-2</v>
      </c>
      <c r="D128" s="13">
        <v>36</v>
      </c>
      <c r="E128" s="16" t="s">
        <v>4</v>
      </c>
      <c r="F128" s="17">
        <v>44495</v>
      </c>
    </row>
    <row r="129" spans="1:6" x14ac:dyDescent="0.35">
      <c r="A129" s="13">
        <v>128</v>
      </c>
      <c r="B129" s="14">
        <v>1880000</v>
      </c>
      <c r="C129" s="15">
        <v>1.4587221823402729E-2</v>
      </c>
      <c r="D129" s="13">
        <v>12</v>
      </c>
      <c r="E129" s="16" t="s">
        <v>4</v>
      </c>
      <c r="F129" s="17">
        <v>44497</v>
      </c>
    </row>
    <row r="130" spans="1:6" x14ac:dyDescent="0.35">
      <c r="A130" s="13">
        <v>129</v>
      </c>
      <c r="B130" s="14">
        <v>140000</v>
      </c>
      <c r="C130" s="15">
        <v>1.8959081119885139E-2</v>
      </c>
      <c r="D130" s="13">
        <v>12</v>
      </c>
      <c r="E130" s="16" t="s">
        <v>4</v>
      </c>
      <c r="F130" s="17">
        <v>44498</v>
      </c>
    </row>
    <row r="131" spans="1:6" x14ac:dyDescent="0.35">
      <c r="A131" s="13">
        <v>130</v>
      </c>
      <c r="B131" s="14">
        <v>590000</v>
      </c>
      <c r="C131" s="15">
        <v>1.3542713567839197E-2</v>
      </c>
      <c r="D131" s="13">
        <v>48</v>
      </c>
      <c r="E131" s="16" t="s">
        <v>4</v>
      </c>
      <c r="F131" s="17">
        <v>44512</v>
      </c>
    </row>
    <row r="132" spans="1:6" x14ac:dyDescent="0.35">
      <c r="A132" s="13">
        <v>131</v>
      </c>
      <c r="B132" s="14">
        <v>1360000</v>
      </c>
      <c r="C132" s="15">
        <v>1.589375448671931E-2</v>
      </c>
      <c r="D132" s="13">
        <v>12</v>
      </c>
      <c r="E132" s="16" t="s">
        <v>4</v>
      </c>
      <c r="F132" s="17">
        <v>44518</v>
      </c>
    </row>
    <row r="133" spans="1:6" x14ac:dyDescent="0.35">
      <c r="A133" s="13">
        <v>132</v>
      </c>
      <c r="B133" s="14">
        <v>1100000</v>
      </c>
      <c r="C133" s="15">
        <v>1.7261306532663317E-2</v>
      </c>
      <c r="D133" s="13">
        <v>6</v>
      </c>
      <c r="E133" s="16" t="s">
        <v>4</v>
      </c>
      <c r="F133" s="17">
        <v>44536</v>
      </c>
    </row>
    <row r="134" spans="1:6" x14ac:dyDescent="0.35">
      <c r="A134" s="13">
        <v>133</v>
      </c>
      <c r="B134" s="14">
        <v>1960000</v>
      </c>
      <c r="C134" s="15">
        <v>1.2243359655419957E-2</v>
      </c>
      <c r="D134" s="13">
        <v>30</v>
      </c>
      <c r="E134" s="16" t="s">
        <v>4</v>
      </c>
      <c r="F134" s="17">
        <v>44537</v>
      </c>
    </row>
    <row r="135" spans="1:6" x14ac:dyDescent="0.35">
      <c r="A135" s="13">
        <v>134</v>
      </c>
      <c r="B135" s="14">
        <v>1040000</v>
      </c>
      <c r="C135" s="15">
        <v>1.3840631730078967E-2</v>
      </c>
      <c r="D135" s="13">
        <v>36</v>
      </c>
      <c r="E135" s="16" t="s">
        <v>5</v>
      </c>
      <c r="F135" s="17">
        <v>44538</v>
      </c>
    </row>
    <row r="136" spans="1:6" x14ac:dyDescent="0.35">
      <c r="A136" s="13">
        <v>135</v>
      </c>
      <c r="B136" s="14">
        <v>1670000</v>
      </c>
      <c r="C136" s="15">
        <v>1.4400574300071788E-2</v>
      </c>
      <c r="D136" s="13">
        <v>18</v>
      </c>
      <c r="E136" s="16" t="s">
        <v>4</v>
      </c>
      <c r="F136" s="17">
        <v>44543</v>
      </c>
    </row>
    <row r="137" spans="1:6" x14ac:dyDescent="0.35">
      <c r="A137" s="13">
        <v>136</v>
      </c>
      <c r="B137" s="14">
        <v>1150000</v>
      </c>
      <c r="C137" s="15">
        <v>1.2135678391959798E-2</v>
      </c>
      <c r="D137" s="13">
        <v>48</v>
      </c>
      <c r="E137" s="16" t="s">
        <v>5</v>
      </c>
      <c r="F137" s="17">
        <v>44545</v>
      </c>
    </row>
    <row r="138" spans="1:6" x14ac:dyDescent="0.35">
      <c r="A138" s="13">
        <v>137</v>
      </c>
      <c r="B138" s="14">
        <v>820000</v>
      </c>
      <c r="C138" s="15">
        <v>1.7250538406317302E-2</v>
      </c>
      <c r="D138" s="13">
        <v>12</v>
      </c>
      <c r="E138" s="16" t="s">
        <v>4</v>
      </c>
      <c r="F138" s="17">
        <v>44550</v>
      </c>
    </row>
    <row r="139" spans="1:6" x14ac:dyDescent="0.35">
      <c r="A139" s="13">
        <v>138</v>
      </c>
      <c r="B139" s="14">
        <v>80000</v>
      </c>
      <c r="C139" s="15">
        <v>1.6252692031586503E-2</v>
      </c>
      <c r="D139" s="13">
        <v>36</v>
      </c>
      <c r="E139" s="16" t="s">
        <v>5</v>
      </c>
      <c r="F139" s="17">
        <v>44550</v>
      </c>
    </row>
    <row r="140" spans="1:6" x14ac:dyDescent="0.35">
      <c r="A140" s="13">
        <v>139</v>
      </c>
      <c r="B140" s="14">
        <v>1000000</v>
      </c>
      <c r="C140" s="15">
        <v>1.6083991385498923E-2</v>
      </c>
      <c r="D140" s="13">
        <v>18</v>
      </c>
      <c r="E140" s="16" t="s">
        <v>4</v>
      </c>
      <c r="F140" s="17">
        <v>44552</v>
      </c>
    </row>
    <row r="141" spans="1:6" x14ac:dyDescent="0.35">
      <c r="A141" s="13">
        <v>140</v>
      </c>
      <c r="B141" s="14">
        <v>1530000</v>
      </c>
      <c r="C141" s="15">
        <v>1.3323761665470208E-2</v>
      </c>
      <c r="D141" s="13">
        <v>30</v>
      </c>
      <c r="E141" s="16" t="s">
        <v>5</v>
      </c>
      <c r="F141" s="17">
        <v>44557</v>
      </c>
    </row>
    <row r="142" spans="1:6" x14ac:dyDescent="0.35">
      <c r="A142" s="13">
        <v>141</v>
      </c>
      <c r="B142" s="14">
        <v>1380000</v>
      </c>
      <c r="C142" s="15">
        <v>1.1557788944723618E-2</v>
      </c>
      <c r="D142" s="13">
        <v>48</v>
      </c>
      <c r="E142" s="16" t="s">
        <v>4</v>
      </c>
      <c r="F142" s="17">
        <v>44559</v>
      </c>
    </row>
    <row r="143" spans="1:6" x14ac:dyDescent="0.35">
      <c r="A143" s="13">
        <v>142</v>
      </c>
      <c r="B143" s="14">
        <v>750000</v>
      </c>
      <c r="C143" s="15">
        <v>1.7426417803302226E-2</v>
      </c>
      <c r="D143" s="13">
        <v>12</v>
      </c>
      <c r="E143" s="16" t="s">
        <v>5</v>
      </c>
      <c r="F143" s="17">
        <v>44564</v>
      </c>
    </row>
    <row r="144" spans="1:6" x14ac:dyDescent="0.35">
      <c r="A144" s="13">
        <v>143</v>
      </c>
      <c r="B144" s="14">
        <v>470000</v>
      </c>
      <c r="C144" s="15">
        <v>1.598707824838478E-2</v>
      </c>
      <c r="D144" s="13">
        <v>30</v>
      </c>
      <c r="E144" s="16" t="s">
        <v>4</v>
      </c>
      <c r="F144" s="17">
        <v>44564</v>
      </c>
    </row>
    <row r="145" spans="1:6" x14ac:dyDescent="0.35">
      <c r="A145" s="13">
        <v>144</v>
      </c>
      <c r="B145" s="14">
        <v>300000</v>
      </c>
      <c r="C145" s="15">
        <v>1.7842785355348167E-2</v>
      </c>
      <c r="D145" s="13">
        <v>18</v>
      </c>
      <c r="E145" s="16" t="s">
        <v>5</v>
      </c>
      <c r="F145" s="17">
        <v>44565</v>
      </c>
    </row>
    <row r="146" spans="1:6" x14ac:dyDescent="0.35">
      <c r="A146" s="13">
        <v>145</v>
      </c>
      <c r="B146" s="14">
        <v>930000</v>
      </c>
      <c r="C146" s="15">
        <v>1.6259870782483848E-2</v>
      </c>
      <c r="D146" s="13">
        <v>18</v>
      </c>
      <c r="E146" s="16" t="s">
        <v>4</v>
      </c>
      <c r="F146" s="17">
        <v>44566</v>
      </c>
    </row>
    <row r="147" spans="1:6" x14ac:dyDescent="0.35">
      <c r="A147" s="13">
        <v>146</v>
      </c>
      <c r="B147" s="14">
        <v>1980000</v>
      </c>
      <c r="C147" s="15">
        <v>1.1478822684852837E-2</v>
      </c>
      <c r="D147" s="13">
        <v>36</v>
      </c>
      <c r="E147" s="16" t="s">
        <v>4</v>
      </c>
      <c r="F147" s="17">
        <v>44571</v>
      </c>
    </row>
    <row r="148" spans="1:6" x14ac:dyDescent="0.35">
      <c r="A148" s="13">
        <v>147</v>
      </c>
      <c r="B148" s="14">
        <v>290000</v>
      </c>
      <c r="C148" s="15">
        <v>1.8582196697774587E-2</v>
      </c>
      <c r="D148" s="13">
        <v>12</v>
      </c>
      <c r="E148" s="16" t="s">
        <v>4</v>
      </c>
      <c r="F148" s="17">
        <v>44571</v>
      </c>
    </row>
    <row r="149" spans="1:6" x14ac:dyDescent="0.35">
      <c r="A149" s="13">
        <v>148</v>
      </c>
      <c r="B149" s="14">
        <v>1660000</v>
      </c>
      <c r="C149" s="15">
        <v>1.3711414213926777E-2</v>
      </c>
      <c r="D149" s="13">
        <v>24</v>
      </c>
      <c r="E149" s="16" t="s">
        <v>4</v>
      </c>
      <c r="F149" s="17">
        <v>44575</v>
      </c>
    </row>
    <row r="150" spans="1:6" x14ac:dyDescent="0.35">
      <c r="A150" s="13">
        <v>149</v>
      </c>
      <c r="B150" s="14">
        <v>1420000</v>
      </c>
      <c r="C150" s="15">
        <v>1.4314429289303661E-2</v>
      </c>
      <c r="D150" s="13">
        <v>24</v>
      </c>
      <c r="E150" s="16" t="s">
        <v>5</v>
      </c>
      <c r="F150" s="17">
        <v>44581</v>
      </c>
    </row>
    <row r="151" spans="1:6" x14ac:dyDescent="0.35">
      <c r="A151" s="13">
        <v>150</v>
      </c>
      <c r="B151" s="14">
        <v>950000</v>
      </c>
      <c r="C151" s="15">
        <v>1.4066762383345298E-2</v>
      </c>
      <c r="D151" s="13">
        <v>36</v>
      </c>
      <c r="E151" s="16" t="s">
        <v>5</v>
      </c>
      <c r="F151" s="17">
        <v>44585</v>
      </c>
    </row>
    <row r="152" spans="1:6" x14ac:dyDescent="0.35">
      <c r="A152" s="13">
        <v>151</v>
      </c>
      <c r="B152" s="14">
        <v>870000</v>
      </c>
      <c r="C152" s="15">
        <v>1.2839195979899498E-2</v>
      </c>
      <c r="D152" s="13">
        <v>48</v>
      </c>
      <c r="E152" s="16" t="s">
        <v>4</v>
      </c>
      <c r="F152" s="17">
        <v>44585</v>
      </c>
    </row>
    <row r="153" spans="1:6" x14ac:dyDescent="0.35">
      <c r="A153" s="13">
        <v>152</v>
      </c>
      <c r="B153" s="14">
        <v>90000</v>
      </c>
      <c r="C153" s="15">
        <v>1.9798994974874373E-2</v>
      </c>
      <c r="D153" s="13">
        <v>6</v>
      </c>
      <c r="E153" s="16" t="s">
        <v>4</v>
      </c>
      <c r="F153" s="17">
        <v>44594</v>
      </c>
    </row>
    <row r="154" spans="1:6" x14ac:dyDescent="0.35">
      <c r="A154" s="13">
        <v>153</v>
      </c>
      <c r="B154" s="14">
        <v>470000</v>
      </c>
      <c r="C154" s="15">
        <v>1.7415649676956212E-2</v>
      </c>
      <c r="D154" s="13">
        <v>18</v>
      </c>
      <c r="E154" s="16" t="s">
        <v>4</v>
      </c>
      <c r="F154" s="17">
        <v>44595</v>
      </c>
    </row>
    <row r="155" spans="1:6" x14ac:dyDescent="0.35">
      <c r="A155" s="13">
        <v>154</v>
      </c>
      <c r="B155" s="14">
        <v>1340000</v>
      </c>
      <c r="C155" s="15">
        <v>1.1658291457286432E-2</v>
      </c>
      <c r="D155" s="13">
        <v>48</v>
      </c>
      <c r="E155" s="16" t="s">
        <v>4</v>
      </c>
      <c r="F155" s="17">
        <v>44700</v>
      </c>
    </row>
    <row r="156" spans="1:6" x14ac:dyDescent="0.35">
      <c r="A156" s="13">
        <v>155</v>
      </c>
      <c r="B156" s="14">
        <v>100000</v>
      </c>
      <c r="C156" s="15">
        <v>1.4773869346733668E-2</v>
      </c>
      <c r="D156" s="13">
        <v>48</v>
      </c>
      <c r="E156" s="16" t="s">
        <v>4</v>
      </c>
      <c r="F156" s="17">
        <v>44607</v>
      </c>
    </row>
    <row r="157" spans="1:6" x14ac:dyDescent="0.35">
      <c r="A157" s="13">
        <v>156</v>
      </c>
      <c r="B157" s="14">
        <v>1580000</v>
      </c>
      <c r="C157" s="15">
        <v>1.6055276381909546E-2</v>
      </c>
      <c r="D157" s="13">
        <v>6</v>
      </c>
      <c r="E157" s="16" t="s">
        <v>4</v>
      </c>
      <c r="F157" s="17">
        <v>44609</v>
      </c>
    </row>
    <row r="158" spans="1:6" x14ac:dyDescent="0.35">
      <c r="A158" s="13">
        <v>157</v>
      </c>
      <c r="B158" s="14">
        <v>1240000</v>
      </c>
      <c r="C158" s="15">
        <v>1.6909547738693468E-2</v>
      </c>
      <c r="D158" s="13">
        <v>6</v>
      </c>
      <c r="E158" s="16" t="s">
        <v>5</v>
      </c>
      <c r="F158" s="17">
        <v>44609</v>
      </c>
    </row>
    <row r="159" spans="1:6" x14ac:dyDescent="0.35">
      <c r="A159" s="13">
        <v>158</v>
      </c>
      <c r="B159" s="14">
        <v>990000</v>
      </c>
      <c r="C159" s="15">
        <v>1.6823402727925339E-2</v>
      </c>
      <c r="D159" s="13">
        <v>12</v>
      </c>
      <c r="E159" s="16" t="s">
        <v>4</v>
      </c>
      <c r="F159" s="17">
        <v>44613</v>
      </c>
    </row>
    <row r="160" spans="1:6" x14ac:dyDescent="0.35">
      <c r="A160" s="13">
        <v>159</v>
      </c>
      <c r="B160" s="14">
        <v>1660000</v>
      </c>
      <c r="C160" s="15">
        <v>1.2997128499641061E-2</v>
      </c>
      <c r="D160" s="13">
        <v>30</v>
      </c>
      <c r="E160" s="16" t="s">
        <v>4</v>
      </c>
      <c r="F160" s="17">
        <v>44613</v>
      </c>
    </row>
    <row r="161" spans="1:6" x14ac:dyDescent="0.35">
      <c r="A161" s="13">
        <v>160</v>
      </c>
      <c r="B161" s="14">
        <v>1010000</v>
      </c>
      <c r="C161" s="15">
        <v>1.4630294328786791E-2</v>
      </c>
      <c r="D161" s="13">
        <v>30</v>
      </c>
      <c r="E161" s="16" t="s">
        <v>4</v>
      </c>
      <c r="F161" s="17">
        <v>44620</v>
      </c>
    </row>
    <row r="162" spans="1:6" x14ac:dyDescent="0.35">
      <c r="A162" s="13">
        <v>161</v>
      </c>
      <c r="B162" s="14">
        <v>1720000</v>
      </c>
      <c r="C162" s="15">
        <v>1.284637473079684E-2</v>
      </c>
      <c r="D162" s="13">
        <v>30</v>
      </c>
      <c r="E162" s="16" t="s">
        <v>4</v>
      </c>
      <c r="F162" s="17">
        <v>44620</v>
      </c>
    </row>
    <row r="163" spans="1:6" x14ac:dyDescent="0.35">
      <c r="A163" s="13">
        <v>162</v>
      </c>
      <c r="B163" s="14">
        <v>1990000</v>
      </c>
      <c r="C163" s="15">
        <v>1.0739411342426418E-2</v>
      </c>
      <c r="D163" s="13">
        <v>42</v>
      </c>
      <c r="E163" s="16" t="s">
        <v>5</v>
      </c>
      <c r="F163" s="17">
        <v>44622</v>
      </c>
    </row>
    <row r="164" spans="1:6" x14ac:dyDescent="0.35">
      <c r="A164" s="13">
        <v>163</v>
      </c>
      <c r="B164" s="14">
        <v>710000</v>
      </c>
      <c r="C164" s="15">
        <v>1.4669777458722182E-2</v>
      </c>
      <c r="D164" s="13">
        <v>36</v>
      </c>
      <c r="E164" s="16" t="s">
        <v>5</v>
      </c>
      <c r="F164" s="17">
        <v>44634</v>
      </c>
    </row>
    <row r="165" spans="1:6" x14ac:dyDescent="0.35">
      <c r="A165" s="13">
        <v>164</v>
      </c>
      <c r="B165" s="14">
        <v>530000</v>
      </c>
      <c r="C165" s="15">
        <v>1.5836324479540559E-2</v>
      </c>
      <c r="D165" s="13">
        <v>30</v>
      </c>
      <c r="E165" s="16" t="s">
        <v>4</v>
      </c>
      <c r="F165" s="17">
        <v>44641</v>
      </c>
    </row>
    <row r="166" spans="1:6" x14ac:dyDescent="0.35">
      <c r="A166" s="13">
        <v>165</v>
      </c>
      <c r="B166" s="14">
        <v>1240000</v>
      </c>
      <c r="C166" s="15">
        <v>1.548097631012204E-2</v>
      </c>
      <c r="D166" s="13">
        <v>18</v>
      </c>
      <c r="E166" s="16" t="s">
        <v>4</v>
      </c>
      <c r="F166" s="17">
        <v>44641</v>
      </c>
    </row>
    <row r="167" spans="1:6" x14ac:dyDescent="0.35">
      <c r="A167" s="13">
        <v>166</v>
      </c>
      <c r="B167" s="14">
        <v>1220000</v>
      </c>
      <c r="C167" s="15">
        <v>1.267408470926059E-2</v>
      </c>
      <c r="D167" s="13">
        <v>42</v>
      </c>
      <c r="E167" s="16" t="s">
        <v>5</v>
      </c>
      <c r="F167" s="17">
        <v>44643</v>
      </c>
    </row>
    <row r="168" spans="1:6" x14ac:dyDescent="0.35">
      <c r="A168" s="13">
        <v>167</v>
      </c>
      <c r="B168" s="14">
        <v>1040000</v>
      </c>
      <c r="C168" s="15">
        <v>1.4554917444364681E-2</v>
      </c>
      <c r="D168" s="13">
        <v>30</v>
      </c>
      <c r="E168" s="16" t="s">
        <v>4</v>
      </c>
      <c r="F168" s="17">
        <v>44658</v>
      </c>
    </row>
    <row r="169" spans="1:6" x14ac:dyDescent="0.35">
      <c r="A169" s="13">
        <v>168</v>
      </c>
      <c r="B169" s="14">
        <v>750000</v>
      </c>
      <c r="C169" s="15">
        <v>1.314070351758794E-2</v>
      </c>
      <c r="D169" s="13">
        <v>48</v>
      </c>
      <c r="E169" s="16" t="s">
        <v>4</v>
      </c>
      <c r="F169" s="17">
        <v>44669</v>
      </c>
    </row>
    <row r="170" spans="1:6" x14ac:dyDescent="0.35">
      <c r="A170" s="13">
        <v>169</v>
      </c>
      <c r="B170" s="14">
        <v>1540000</v>
      </c>
      <c r="C170" s="15">
        <v>1.615577889447236E-2</v>
      </c>
      <c r="D170" s="13">
        <v>6</v>
      </c>
      <c r="E170" s="16" t="s">
        <v>5</v>
      </c>
      <c r="F170" s="17">
        <v>44676</v>
      </c>
    </row>
    <row r="171" spans="1:6" x14ac:dyDescent="0.35">
      <c r="A171" s="13">
        <v>170</v>
      </c>
      <c r="B171" s="14">
        <v>440000</v>
      </c>
      <c r="C171" s="15">
        <v>1.6776740847092606E-2</v>
      </c>
      <c r="D171" s="13">
        <v>24</v>
      </c>
      <c r="E171" s="16" t="s">
        <v>4</v>
      </c>
      <c r="F171" s="17">
        <v>44692</v>
      </c>
    </row>
    <row r="172" spans="1:6" x14ac:dyDescent="0.35">
      <c r="A172" s="13">
        <v>171</v>
      </c>
      <c r="B172" s="14">
        <v>730000</v>
      </c>
      <c r="C172" s="15">
        <v>1.4619526202440777E-2</v>
      </c>
      <c r="D172" s="13">
        <v>36</v>
      </c>
      <c r="E172" s="16" t="s">
        <v>4</v>
      </c>
      <c r="F172" s="17">
        <v>44704</v>
      </c>
    </row>
    <row r="173" spans="1:6" x14ac:dyDescent="0.35">
      <c r="A173" s="13">
        <v>172</v>
      </c>
      <c r="B173" s="14">
        <v>1270000</v>
      </c>
      <c r="C173" s="15">
        <v>1.4691313711414215E-2</v>
      </c>
      <c r="D173" s="13">
        <v>24</v>
      </c>
      <c r="E173" s="16" t="s">
        <v>4</v>
      </c>
      <c r="F173" s="17">
        <v>44711</v>
      </c>
    </row>
    <row r="174" spans="1:6" x14ac:dyDescent="0.35">
      <c r="A174" s="13">
        <v>173</v>
      </c>
      <c r="B174" s="14">
        <v>1010000</v>
      </c>
      <c r="C174" s="15">
        <v>1.605886575735822E-2</v>
      </c>
      <c r="D174" s="13">
        <v>18</v>
      </c>
      <c r="E174" s="16" t="s">
        <v>4</v>
      </c>
      <c r="F174" s="17">
        <v>44712</v>
      </c>
    </row>
    <row r="175" spans="1:6" x14ac:dyDescent="0.35">
      <c r="A175" s="13">
        <v>174</v>
      </c>
      <c r="B175" s="14">
        <v>670000</v>
      </c>
      <c r="C175" s="15">
        <v>1.3341708542713569E-2</v>
      </c>
      <c r="D175" s="13">
        <v>48</v>
      </c>
      <c r="E175" s="16" t="s">
        <v>4</v>
      </c>
      <c r="F175" s="17">
        <v>44729</v>
      </c>
    </row>
    <row r="176" spans="1:6" x14ac:dyDescent="0.35">
      <c r="A176" s="13">
        <v>175</v>
      </c>
      <c r="B176" s="14">
        <v>1320000</v>
      </c>
      <c r="C176" s="15">
        <v>1.670854271356784E-2</v>
      </c>
      <c r="D176" s="13">
        <v>6</v>
      </c>
      <c r="E176" s="16" t="s">
        <v>4</v>
      </c>
      <c r="F176" s="17">
        <v>44746</v>
      </c>
    </row>
    <row r="177" spans="1:6" x14ac:dyDescent="0.35">
      <c r="A177" s="13">
        <v>176</v>
      </c>
      <c r="B177" s="14">
        <v>110000</v>
      </c>
      <c r="C177" s="15">
        <v>1.9034458004307253E-2</v>
      </c>
      <c r="D177" s="13">
        <v>12</v>
      </c>
      <c r="E177" s="16" t="s">
        <v>5</v>
      </c>
      <c r="F177" s="17">
        <v>44755</v>
      </c>
    </row>
    <row r="178" spans="1:6" x14ac:dyDescent="0.35">
      <c r="A178" s="13">
        <v>177</v>
      </c>
      <c r="B178" s="14">
        <v>1020000</v>
      </c>
      <c r="C178" s="15">
        <v>1.6033740129217516E-2</v>
      </c>
      <c r="D178" s="13">
        <v>18</v>
      </c>
      <c r="E178" s="16" t="s">
        <v>5</v>
      </c>
      <c r="F178" s="17">
        <v>44756</v>
      </c>
    </row>
    <row r="179" spans="1:6" x14ac:dyDescent="0.35">
      <c r="A179" s="13">
        <v>178</v>
      </c>
      <c r="B179" s="14">
        <v>850000</v>
      </c>
      <c r="C179" s="15">
        <v>1.3603732950466619E-2</v>
      </c>
      <c r="D179" s="13">
        <v>42</v>
      </c>
      <c r="E179" s="16" t="s">
        <v>5</v>
      </c>
      <c r="F179" s="17">
        <v>44760</v>
      </c>
    </row>
    <row r="180" spans="1:6" x14ac:dyDescent="0.35">
      <c r="A180" s="13">
        <v>179</v>
      </c>
      <c r="B180" s="14">
        <v>1440000</v>
      </c>
      <c r="C180" s="15">
        <v>1.3549892318736542E-2</v>
      </c>
      <c r="D180" s="13">
        <v>30</v>
      </c>
      <c r="E180" s="16" t="s">
        <v>4</v>
      </c>
      <c r="F180" s="17">
        <v>44767</v>
      </c>
    </row>
    <row r="181" spans="1:6" x14ac:dyDescent="0.35">
      <c r="A181" s="13">
        <v>180</v>
      </c>
      <c r="B181" s="14">
        <v>1290000</v>
      </c>
      <c r="C181" s="15">
        <v>1.4641062455132806E-2</v>
      </c>
      <c r="D181" s="13">
        <v>24</v>
      </c>
      <c r="E181" s="16" t="s">
        <v>4</v>
      </c>
      <c r="F181" s="17">
        <v>44774</v>
      </c>
    </row>
    <row r="182" spans="1:6" x14ac:dyDescent="0.35">
      <c r="A182" s="13">
        <v>181</v>
      </c>
      <c r="B182" s="14">
        <v>570000</v>
      </c>
      <c r="C182" s="15">
        <v>1.3592964824120604E-2</v>
      </c>
      <c r="D182" s="13">
        <v>48</v>
      </c>
      <c r="E182" s="16" t="s">
        <v>5</v>
      </c>
      <c r="F182" s="17">
        <v>44776</v>
      </c>
    </row>
    <row r="183" spans="1:6" x14ac:dyDescent="0.35">
      <c r="A183" s="13">
        <v>182</v>
      </c>
      <c r="B183" s="14">
        <v>1900000</v>
      </c>
      <c r="C183" s="15">
        <v>1.4536970567121322E-2</v>
      </c>
      <c r="D183" s="13">
        <v>12</v>
      </c>
      <c r="E183" s="16" t="s">
        <v>4</v>
      </c>
      <c r="F183" s="17">
        <v>44777</v>
      </c>
    </row>
    <row r="184" spans="1:6" x14ac:dyDescent="0.35">
      <c r="A184" s="13">
        <v>183</v>
      </c>
      <c r="B184" s="14">
        <v>1880000</v>
      </c>
      <c r="C184" s="15">
        <v>1.0301507537688442E-2</v>
      </c>
      <c r="D184" s="13">
        <v>48</v>
      </c>
      <c r="E184" s="16" t="s">
        <v>5</v>
      </c>
      <c r="F184" s="17">
        <v>44809</v>
      </c>
    </row>
    <row r="185" spans="1:6" x14ac:dyDescent="0.35">
      <c r="A185" s="13">
        <v>184</v>
      </c>
      <c r="B185" s="14">
        <v>1500000</v>
      </c>
      <c r="C185" s="15">
        <v>1.5541995692749461E-2</v>
      </c>
      <c r="D185" s="13">
        <v>12</v>
      </c>
      <c r="E185" s="16" t="s">
        <v>5</v>
      </c>
      <c r="F185" s="17">
        <v>44811</v>
      </c>
    </row>
    <row r="186" spans="1:6" x14ac:dyDescent="0.35">
      <c r="A186" s="13">
        <v>185</v>
      </c>
      <c r="B186" s="14">
        <v>690000</v>
      </c>
      <c r="C186" s="15">
        <v>1.7577171572146447E-2</v>
      </c>
      <c r="D186" s="13">
        <v>12</v>
      </c>
      <c r="E186" s="16" t="s">
        <v>4</v>
      </c>
      <c r="F186" s="17">
        <v>44812</v>
      </c>
    </row>
    <row r="187" spans="1:6" x14ac:dyDescent="0.35">
      <c r="A187" s="13">
        <v>186</v>
      </c>
      <c r="B187" s="14">
        <v>1550000</v>
      </c>
      <c r="C187" s="15">
        <v>1.1844938980617373E-2</v>
      </c>
      <c r="D187" s="13">
        <v>42</v>
      </c>
      <c r="E187" s="16" t="s">
        <v>4</v>
      </c>
      <c r="F187" s="17">
        <v>44813</v>
      </c>
    </row>
    <row r="188" spans="1:6" x14ac:dyDescent="0.35">
      <c r="A188" s="13">
        <v>187</v>
      </c>
      <c r="B188" s="14">
        <v>160000</v>
      </c>
      <c r="C188" s="15">
        <v>1.7480258435032304E-2</v>
      </c>
      <c r="D188" s="13">
        <v>24</v>
      </c>
      <c r="E188" s="16" t="s">
        <v>5</v>
      </c>
      <c r="F188" s="17">
        <v>44817</v>
      </c>
    </row>
    <row r="189" spans="1:6" x14ac:dyDescent="0.35">
      <c r="A189" s="13">
        <v>188</v>
      </c>
      <c r="B189" s="14">
        <v>1530000</v>
      </c>
      <c r="C189" s="15">
        <v>1.4752333094041637E-2</v>
      </c>
      <c r="D189" s="13">
        <v>18</v>
      </c>
      <c r="E189" s="16" t="s">
        <v>5</v>
      </c>
      <c r="F189" s="17">
        <v>44827</v>
      </c>
    </row>
    <row r="190" spans="1:6" x14ac:dyDescent="0.35">
      <c r="A190" s="13">
        <v>189</v>
      </c>
      <c r="B190" s="14">
        <v>120000</v>
      </c>
      <c r="C190" s="15">
        <v>1.7580760947595118E-2</v>
      </c>
      <c r="D190" s="13">
        <v>24</v>
      </c>
      <c r="E190" s="16" t="s">
        <v>4</v>
      </c>
      <c r="F190" s="17">
        <v>44837</v>
      </c>
    </row>
    <row r="191" spans="1:6" x14ac:dyDescent="0.35">
      <c r="A191" s="13">
        <v>190</v>
      </c>
      <c r="B191" s="14">
        <v>70000</v>
      </c>
      <c r="C191" s="15">
        <v>1.6992103374012919E-2</v>
      </c>
      <c r="D191" s="13">
        <v>30</v>
      </c>
      <c r="E191" s="16" t="s">
        <v>4</v>
      </c>
      <c r="F191" s="17">
        <v>44841</v>
      </c>
    </row>
    <row r="192" spans="1:6" x14ac:dyDescent="0.35">
      <c r="A192" s="13">
        <v>191</v>
      </c>
      <c r="B192" s="14">
        <v>370000</v>
      </c>
      <c r="C192" s="15">
        <v>1.6238334529791815E-2</v>
      </c>
      <c r="D192" s="13">
        <v>30</v>
      </c>
      <c r="E192" s="16" t="s">
        <v>4</v>
      </c>
      <c r="F192" s="17">
        <v>44846</v>
      </c>
    </row>
    <row r="193" spans="1:6" x14ac:dyDescent="0.35">
      <c r="A193" s="13">
        <v>192</v>
      </c>
      <c r="B193" s="14">
        <v>1440000</v>
      </c>
      <c r="C193" s="15">
        <v>1.6407035175879395E-2</v>
      </c>
      <c r="D193" s="13">
        <v>6</v>
      </c>
      <c r="E193" s="16" t="s">
        <v>4</v>
      </c>
      <c r="F193" s="17">
        <v>44847</v>
      </c>
    </row>
    <row r="194" spans="1:6" x14ac:dyDescent="0.35">
      <c r="A194" s="13">
        <v>193</v>
      </c>
      <c r="B194" s="14">
        <v>700000</v>
      </c>
      <c r="C194" s="15">
        <v>1.3266331658291457E-2</v>
      </c>
      <c r="D194" s="13">
        <v>48</v>
      </c>
      <c r="E194" s="16" t="s">
        <v>4</v>
      </c>
      <c r="F194" s="17">
        <v>44851</v>
      </c>
    </row>
    <row r="195" spans="1:6" x14ac:dyDescent="0.35">
      <c r="A195" s="13">
        <v>194</v>
      </c>
      <c r="B195" s="14">
        <v>1640000</v>
      </c>
      <c r="C195" s="15">
        <v>1.3761665470208184E-2</v>
      </c>
      <c r="D195" s="13">
        <v>24</v>
      </c>
      <c r="E195" s="16" t="s">
        <v>4</v>
      </c>
      <c r="F195" s="17">
        <v>44852</v>
      </c>
    </row>
    <row r="196" spans="1:6" x14ac:dyDescent="0.35">
      <c r="A196" s="13">
        <v>195</v>
      </c>
      <c r="B196" s="14">
        <v>820000</v>
      </c>
      <c r="C196" s="15">
        <v>1.6536252692031586E-2</v>
      </c>
      <c r="D196" s="13">
        <v>18</v>
      </c>
      <c r="E196" s="16" t="s">
        <v>4</v>
      </c>
      <c r="F196" s="17">
        <v>44854</v>
      </c>
    </row>
    <row r="197" spans="1:6" x14ac:dyDescent="0.35">
      <c r="A197" s="13">
        <v>196</v>
      </c>
      <c r="B197" s="14">
        <v>1700000</v>
      </c>
      <c r="C197" s="15">
        <v>1.3610911701363963E-2</v>
      </c>
      <c r="D197" s="13">
        <v>24</v>
      </c>
      <c r="E197" s="16" t="s">
        <v>4</v>
      </c>
      <c r="F197" s="17">
        <v>44869</v>
      </c>
    </row>
    <row r="198" spans="1:6" x14ac:dyDescent="0.35">
      <c r="A198" s="13">
        <v>197</v>
      </c>
      <c r="B198" s="14">
        <v>1930000</v>
      </c>
      <c r="C198" s="15">
        <v>1.2318736539842067E-2</v>
      </c>
      <c r="D198" s="13">
        <v>30</v>
      </c>
      <c r="E198" s="16" t="s">
        <v>4</v>
      </c>
      <c r="F198" s="17">
        <v>44872</v>
      </c>
    </row>
    <row r="199" spans="1:6" x14ac:dyDescent="0.35">
      <c r="A199" s="13">
        <v>198</v>
      </c>
      <c r="B199" s="14">
        <v>1130000</v>
      </c>
      <c r="C199" s="15">
        <v>1.2900215362526921E-2</v>
      </c>
      <c r="D199" s="13">
        <v>42</v>
      </c>
      <c r="E199" s="16" t="s">
        <v>5</v>
      </c>
      <c r="F199" s="17">
        <v>44887</v>
      </c>
    </row>
    <row r="200" spans="1:6" x14ac:dyDescent="0.35">
      <c r="A200" s="13">
        <v>199</v>
      </c>
      <c r="B200" s="14">
        <v>570000</v>
      </c>
      <c r="C200" s="15">
        <v>1.7878679109834889E-2</v>
      </c>
      <c r="D200" s="13">
        <v>12</v>
      </c>
      <c r="E200" s="16" t="s">
        <v>5</v>
      </c>
      <c r="F200" s="17">
        <v>44888</v>
      </c>
    </row>
    <row r="201" spans="1:6" x14ac:dyDescent="0.35">
      <c r="A201" s="13">
        <v>200</v>
      </c>
      <c r="B201" s="14">
        <v>1440000</v>
      </c>
      <c r="C201" s="15">
        <v>1.1407035175879397E-2</v>
      </c>
      <c r="D201" s="13">
        <v>48</v>
      </c>
      <c r="E201" s="16" t="s">
        <v>5</v>
      </c>
      <c r="F201" s="17">
        <v>44893</v>
      </c>
    </row>
    <row r="202" spans="1:6" x14ac:dyDescent="0.35">
      <c r="F202" s="17"/>
    </row>
  </sheetData>
  <sortState xmlns:xlrd2="http://schemas.microsoft.com/office/spreadsheetml/2017/richdata2" ref="A2:F201">
    <sortCondition ref="F201"/>
  </sortState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C0227-3750-4E87-AB89-559F49EAC46B}">
  <dimension ref="A1:G28"/>
  <sheetViews>
    <sheetView showGridLines="0" tabSelected="1" zoomScale="140" zoomScaleNormal="140" workbookViewId="0">
      <selection activeCell="D10" sqref="D10"/>
    </sheetView>
  </sheetViews>
  <sheetFormatPr defaultRowHeight="19.5" x14ac:dyDescent="0.3"/>
  <cols>
    <col min="1" max="1" width="9.453125" customWidth="1"/>
    <col min="2" max="2" width="10.1796875" customWidth="1"/>
    <col min="3" max="3" width="11.08984375" customWidth="1"/>
    <col min="4" max="4" width="10.54296875" customWidth="1"/>
    <col min="5" max="5" width="10.08984375" customWidth="1"/>
    <col min="6" max="6" width="12.90625" bestFit="1" customWidth="1"/>
    <col min="7" max="7" width="11" customWidth="1"/>
  </cols>
  <sheetData>
    <row r="1" spans="1:7" x14ac:dyDescent="0.3">
      <c r="A1" s="23" t="s">
        <v>3</v>
      </c>
      <c r="B1" s="23" t="s">
        <v>0</v>
      </c>
      <c r="C1" s="23" t="s">
        <v>6</v>
      </c>
      <c r="D1" s="23" t="s">
        <v>1</v>
      </c>
      <c r="E1" s="23" t="s">
        <v>2</v>
      </c>
      <c r="F1" s="23" t="s">
        <v>7</v>
      </c>
      <c r="G1" s="24" t="s">
        <v>11</v>
      </c>
    </row>
    <row r="2" spans="1:7" x14ac:dyDescent="0.3">
      <c r="A2" s="25">
        <f>Cadastro!A4</f>
        <v>3</v>
      </c>
      <c r="B2" s="26">
        <f>Cadastro!B4</f>
        <v>110000</v>
      </c>
      <c r="C2" s="27">
        <f>Cadastro!C4</f>
        <v>1.7605886575735821E-2</v>
      </c>
      <c r="D2" s="25">
        <f>Cadastro!D4</f>
        <v>24</v>
      </c>
      <c r="E2" s="25" t="str">
        <f>Cadastro!E4</f>
        <v>PRICE</v>
      </c>
      <c r="F2" s="28">
        <f>Cadastro!F4</f>
        <v>43873</v>
      </c>
      <c r="G2" s="29">
        <f>((1 + Cad_i_am) / 1)^(1 / (365.25/12)) -1</f>
        <v>5.7355902912292756E-4</v>
      </c>
    </row>
    <row r="3" spans="1:7" x14ac:dyDescent="0.3">
      <c r="A3" s="1"/>
      <c r="B3" s="1"/>
      <c r="C3" s="1"/>
      <c r="D3" s="1"/>
      <c r="E3" s="1"/>
      <c r="F3" s="1"/>
    </row>
    <row r="4" spans="1:7" x14ac:dyDescent="0.3">
      <c r="A4" s="32" t="s">
        <v>3</v>
      </c>
      <c r="B4" s="3" t="s">
        <v>8</v>
      </c>
      <c r="C4" s="3" t="s">
        <v>10</v>
      </c>
      <c r="D4" s="3" t="s">
        <v>12</v>
      </c>
      <c r="E4" s="3" t="s">
        <v>9</v>
      </c>
      <c r="F4" s="3" t="s">
        <v>13</v>
      </c>
      <c r="G4" s="3" t="s">
        <v>14</v>
      </c>
    </row>
    <row r="5" spans="1:7" x14ac:dyDescent="0.3">
      <c r="A5" s="9">
        <f>Cad_Contrato</f>
        <v>3</v>
      </c>
      <c r="B5" s="9">
        <v>1</v>
      </c>
      <c r="C5" s="21">
        <f>IF(
     WEEKDAY( EOMONTH(Cad_Data_Emissao, B5 -1) + DAY(Cad_Data_Emissao)) = 7,
     EOMONTH(Cad_Data_Emissao, B5 -1) + DAY(Cad_Data_Emissao) +2,
     IF(
         WEEKDAY( EOMONTH(Cad_Data_Emissao, B5 -1) + DAY(Cad_Data_Emissao)) = 1,
         EOMONTH(Cad_Data_Emissao, B5 -1) + DAY(Cad_Data_Emissao) +1,
         EOMONTH(Cad_Data_Emissao, B5 -1) + DAY(Cad_Data_Emissao)
     )
 )</f>
        <v>43902</v>
      </c>
      <c r="D5" s="10">
        <f>ROUND(
     Cad_Principal * i_ad / (1 - (1 + i_ad)^(Cad_Data_Emissao - Tabela_PRICE[[#This Row],[Data_Venc]])),
     2
 )</f>
        <v>3825.82</v>
      </c>
      <c r="E5" s="10">
        <f>-Cad_Principal * (1 + i_ad)^(Cad_Data_Emissao - Tabela_PRICE[[#This Row],[Data_Venc]])
 +Cad_Principal</f>
        <v>1814.0049585078814</v>
      </c>
      <c r="F5" s="10">
        <f>Tabela_PRICE[[#This Row],[PMT]] - Tabela_PRICE[[#This Row],[Juros]]</f>
        <v>2011.8150414921188</v>
      </c>
      <c r="G5" s="10">
        <f>Cad_Principal - Tabela_PRICE[[#This Row],[Amort]]</f>
        <v>107988.18495850787</v>
      </c>
    </row>
    <row r="6" spans="1:7" x14ac:dyDescent="0.3">
      <c r="A6" s="4">
        <f>Cad_Contrato</f>
        <v>3</v>
      </c>
      <c r="B6" s="4">
        <v>2</v>
      </c>
      <c r="C6" s="22">
        <f>IF(
     WEEKDAY( EOMONTH(Cad_Data_Emissao, B6 -1) + DAY(Cad_Data_Emissao)) = 7,
     EOMONTH(Cad_Data_Emissao, B6 -1) + DAY(Cad_Data_Emissao) +2,
     IF(
         WEEKDAY( EOMONTH(Cad_Data_Emissao, B6 -1) + DAY(Cad_Data_Emissao)) = 1,
         EOMONTH(Cad_Data_Emissao, B6 -1) + DAY(Cad_Data_Emissao) +1,
         EOMONTH(Cad_Data_Emissao, B6 -1) + DAY(Cad_Data_Emissao)
     )
 )</f>
        <v>43934</v>
      </c>
      <c r="D6" s="2">
        <f>D5</f>
        <v>3825.82</v>
      </c>
      <c r="E6" s="2">
        <f>-G5 * (1 + i_ad)^(C5 - Tabela_PRICE[[#This Row],[Data_Venc]])
 +G5</f>
        <v>1963.3673401771084</v>
      </c>
      <c r="F6" s="2">
        <f>Tabela_PRICE[[#This Row],[PMT]] - Tabela_PRICE[[#This Row],[Juros]]</f>
        <v>1862.4526598228917</v>
      </c>
      <c r="G6" s="2">
        <f>G5 - Tabela_PRICE[[#This Row],[Amort]]</f>
        <v>106125.73229868498</v>
      </c>
    </row>
    <row r="7" spans="1:7" x14ac:dyDescent="0.3">
      <c r="A7" s="4">
        <f>Cad_Contrato</f>
        <v>3</v>
      </c>
      <c r="B7" s="4">
        <v>3</v>
      </c>
      <c r="C7" s="22">
        <f>IF(
     WEEKDAY( EOMONTH(Cad_Data_Emissao, B7 -1) + DAY(Cad_Data_Emissao)) = 7,
     EOMONTH(Cad_Data_Emissao, B7 -1) + DAY(Cad_Data_Emissao) +2,
     IF(
         WEEKDAY( EOMONTH(Cad_Data_Emissao, B7 -1) + DAY(Cad_Data_Emissao)) = 1,
         EOMONTH(Cad_Data_Emissao, B7 -1) + DAY(Cad_Data_Emissao) +1,
         EOMONTH(Cad_Data_Emissao, B7 -1) + DAY(Cad_Data_Emissao)
     )
 )</f>
        <v>43963</v>
      </c>
      <c r="D7" s="2">
        <f t="shared" ref="D7:D28" si="0">D6</f>
        <v>3825.82</v>
      </c>
      <c r="E7" s="2">
        <f>-G6 * (1 + i_ad)^(C6 - Tabela_PRICE[[#This Row],[Data_Venc]])
 +G6</f>
        <v>1750.1145874099457</v>
      </c>
      <c r="F7" s="2">
        <f>Tabela_PRICE[[#This Row],[PMT]] - Tabela_PRICE[[#This Row],[Juros]]</f>
        <v>2075.7054125900545</v>
      </c>
      <c r="G7" s="2">
        <f>G6 - Tabela_PRICE[[#This Row],[Amort]]</f>
        <v>104050.02688609491</v>
      </c>
    </row>
    <row r="8" spans="1:7" x14ac:dyDescent="0.3">
      <c r="A8" s="4">
        <f>Cad_Contrato</f>
        <v>3</v>
      </c>
      <c r="B8" s="4">
        <v>4</v>
      </c>
      <c r="C8" s="22">
        <f>IF(
     WEEKDAY( EOMONTH(Cad_Data_Emissao, B8 -1) + DAY(Cad_Data_Emissao)) = 7,
     EOMONTH(Cad_Data_Emissao, B8 -1) + DAY(Cad_Data_Emissao) +2,
     IF(
         WEEKDAY( EOMONTH(Cad_Data_Emissao, B8 -1) + DAY(Cad_Data_Emissao)) = 1,
         EOMONTH(Cad_Data_Emissao, B8 -1) + DAY(Cad_Data_Emissao) +1,
         EOMONTH(Cad_Data_Emissao, B8 -1) + DAY(Cad_Data_Emissao)
     )
 )</f>
        <v>43994</v>
      </c>
      <c r="D8" s="2">
        <f t="shared" si="0"/>
        <v>3825.82</v>
      </c>
      <c r="E8" s="2">
        <f>-G7 * (1 + i_ad)^(C7 - Tabela_PRICE[[#This Row],[Data_Venc]])
 +G7</f>
        <v>1833.1726502096426</v>
      </c>
      <c r="F8" s="2">
        <f>Tabela_PRICE[[#This Row],[PMT]] - Tabela_PRICE[[#This Row],[Juros]]</f>
        <v>1992.6473497903576</v>
      </c>
      <c r="G8" s="2">
        <f>G7 - Tabela_PRICE[[#This Row],[Amort]]</f>
        <v>102057.37953630455</v>
      </c>
    </row>
    <row r="9" spans="1:7" x14ac:dyDescent="0.3">
      <c r="A9" s="4">
        <f>Cad_Contrato</f>
        <v>3</v>
      </c>
      <c r="B9" s="4">
        <v>5</v>
      </c>
      <c r="C9" s="22">
        <f>IF(
     WEEKDAY( EOMONTH(Cad_Data_Emissao, B9 -1) + DAY(Cad_Data_Emissao)) = 7,
     EOMONTH(Cad_Data_Emissao, B9 -1) + DAY(Cad_Data_Emissao) +2,
     IF(
         WEEKDAY( EOMONTH(Cad_Data_Emissao, B9 -1) + DAY(Cad_Data_Emissao)) = 1,
         EOMONTH(Cad_Data_Emissao, B9 -1) + DAY(Cad_Data_Emissao) +1,
         EOMONTH(Cad_Data_Emissao, B9 -1) + DAY(Cad_Data_Emissao)
     )
 )</f>
        <v>44025</v>
      </c>
      <c r="D9" s="2">
        <f t="shared" si="0"/>
        <v>3825.82</v>
      </c>
      <c r="E9" s="2">
        <f>-G8 * (1 + i_ad)^(C8 - Tabela_PRICE[[#This Row],[Data_Venc]])
 +G8</f>
        <v>1798.0658200389153</v>
      </c>
      <c r="F9" s="2">
        <f>Tabela_PRICE[[#This Row],[PMT]] - Tabela_PRICE[[#This Row],[Juros]]</f>
        <v>2027.7541799610849</v>
      </c>
      <c r="G9" s="2">
        <f>G8 - Tabela_PRICE[[#This Row],[Amort]]</f>
        <v>100029.62535634346</v>
      </c>
    </row>
    <row r="10" spans="1:7" x14ac:dyDescent="0.3">
      <c r="A10" s="4">
        <f>Cad_Contrato</f>
        <v>3</v>
      </c>
      <c r="B10" s="4">
        <v>6</v>
      </c>
      <c r="C10" s="22">
        <f>IF(
     WEEKDAY( EOMONTH(Cad_Data_Emissao, B10 -1) + DAY(Cad_Data_Emissao)) = 7,
     EOMONTH(Cad_Data_Emissao, B10 -1) + DAY(Cad_Data_Emissao) +2,
     IF(
         WEEKDAY( EOMONTH(Cad_Data_Emissao, B10 -1) + DAY(Cad_Data_Emissao)) = 1,
         EOMONTH(Cad_Data_Emissao, B10 -1) + DAY(Cad_Data_Emissao) +1,
         EOMONTH(Cad_Data_Emissao, B10 -1) + DAY(Cad_Data_Emissao)
     )
 )</f>
        <v>44055</v>
      </c>
      <c r="D10" s="2">
        <f t="shared" si="0"/>
        <v>3825.82</v>
      </c>
      <c r="E10" s="2">
        <f>-G9 * (1 + i_ad)^(C9 - Tabela_PRICE[[#This Row],[Data_Venc]])
 +G9</f>
        <v>1705.9783827170322</v>
      </c>
      <c r="F10" s="2">
        <f>Tabela_PRICE[[#This Row],[PMT]] - Tabela_PRICE[[#This Row],[Juros]]</f>
        <v>2119.8416172829679</v>
      </c>
      <c r="G10" s="2">
        <f>G9 - Tabela_PRICE[[#This Row],[Amort]]</f>
        <v>97909.783739060484</v>
      </c>
    </row>
    <row r="11" spans="1:7" x14ac:dyDescent="0.3">
      <c r="A11" s="4">
        <f>Cad_Contrato</f>
        <v>3</v>
      </c>
      <c r="B11" s="4">
        <v>7</v>
      </c>
      <c r="C11" s="22">
        <f>IF(
     WEEKDAY( EOMONTH(Cad_Data_Emissao, B11 -1) + DAY(Cad_Data_Emissao)) = 7,
     EOMONTH(Cad_Data_Emissao, B11 -1) + DAY(Cad_Data_Emissao) +2,
     IF(
         WEEKDAY( EOMONTH(Cad_Data_Emissao, B11 -1) + DAY(Cad_Data_Emissao)) = 1,
         EOMONTH(Cad_Data_Emissao, B11 -1) + DAY(Cad_Data_Emissao) +1,
         EOMONTH(Cad_Data_Emissao, B11 -1) + DAY(Cad_Data_Emissao)
     )
 )</f>
        <v>44088</v>
      </c>
      <c r="D11" s="2">
        <f t="shared" si="0"/>
        <v>3825.82</v>
      </c>
      <c r="E11" s="2">
        <f>-G10 * (1 + i_ad)^(C10 - Tabela_PRICE[[#This Row],[Data_Venc]])
 +G10</f>
        <v>1835.233166431397</v>
      </c>
      <c r="F11" s="2">
        <f>Tabela_PRICE[[#This Row],[PMT]] - Tabela_PRICE[[#This Row],[Juros]]</f>
        <v>1990.5868335686032</v>
      </c>
      <c r="G11" s="2">
        <f>G10 - Tabela_PRICE[[#This Row],[Amort]]</f>
        <v>95919.196905491874</v>
      </c>
    </row>
    <row r="12" spans="1:7" x14ac:dyDescent="0.3">
      <c r="A12" s="4">
        <f>Cad_Contrato</f>
        <v>3</v>
      </c>
      <c r="B12" s="4">
        <v>8</v>
      </c>
      <c r="C12" s="22">
        <f>IF(
     WEEKDAY( EOMONTH(Cad_Data_Emissao, B12 -1) + DAY(Cad_Data_Emissao)) = 7,
     EOMONTH(Cad_Data_Emissao, B12 -1) + DAY(Cad_Data_Emissao) +2,
     IF(
         WEEKDAY( EOMONTH(Cad_Data_Emissao, B12 -1) + DAY(Cad_Data_Emissao)) = 1,
         EOMONTH(Cad_Data_Emissao, B12 -1) + DAY(Cad_Data_Emissao) +1,
         EOMONTH(Cad_Data_Emissao, B12 -1) + DAY(Cad_Data_Emissao)
     )
 )</f>
        <v>44116</v>
      </c>
      <c r="D12" s="2">
        <f t="shared" si="0"/>
        <v>3825.82</v>
      </c>
      <c r="E12" s="2">
        <f>-G11 * (1 + i_ad)^(C11 - Tabela_PRICE[[#This Row],[Data_Venc]])
 +G11</f>
        <v>1527.6910137173836</v>
      </c>
      <c r="F12" s="2">
        <f>Tabela_PRICE[[#This Row],[PMT]] - Tabela_PRICE[[#This Row],[Juros]]</f>
        <v>2298.1289862826166</v>
      </c>
      <c r="G12" s="2">
        <f>G11 - Tabela_PRICE[[#This Row],[Amort]]</f>
        <v>93621.06791920925</v>
      </c>
    </row>
    <row r="13" spans="1:7" x14ac:dyDescent="0.3">
      <c r="A13" s="4">
        <f>Cad_Contrato</f>
        <v>3</v>
      </c>
      <c r="B13" s="4">
        <v>9</v>
      </c>
      <c r="C13" s="22">
        <f>IF(
     WEEKDAY( EOMONTH(Cad_Data_Emissao, B13 -1) + DAY(Cad_Data_Emissao)) = 7,
     EOMONTH(Cad_Data_Emissao, B13 -1) + DAY(Cad_Data_Emissao) +2,
     IF(
         WEEKDAY( EOMONTH(Cad_Data_Emissao, B13 -1) + DAY(Cad_Data_Emissao)) = 1,
         EOMONTH(Cad_Data_Emissao, B13 -1) + DAY(Cad_Data_Emissao) +1,
         EOMONTH(Cad_Data_Emissao, B13 -1) + DAY(Cad_Data_Emissao)
     )
 )</f>
        <v>44147</v>
      </c>
      <c r="D13" s="2">
        <f t="shared" si="0"/>
        <v>3825.82</v>
      </c>
      <c r="E13" s="2">
        <f>-G12 * (1 + i_ad)^(C12 - Tabela_PRICE[[#This Row],[Data_Venc]])
 +G12</f>
        <v>1649.4333190398174</v>
      </c>
      <c r="F13" s="2">
        <f>Tabela_PRICE[[#This Row],[PMT]] - Tabela_PRICE[[#This Row],[Juros]]</f>
        <v>2176.3866809601827</v>
      </c>
      <c r="G13" s="2">
        <f>G12 - Tabela_PRICE[[#This Row],[Amort]]</f>
        <v>91444.681238249061</v>
      </c>
    </row>
    <row r="14" spans="1:7" x14ac:dyDescent="0.3">
      <c r="A14" s="4">
        <f>Cad_Contrato</f>
        <v>3</v>
      </c>
      <c r="B14" s="4">
        <v>10</v>
      </c>
      <c r="C14" s="22">
        <f>IF(
     WEEKDAY( EOMONTH(Cad_Data_Emissao, B14 -1) + DAY(Cad_Data_Emissao)) = 7,
     EOMONTH(Cad_Data_Emissao, B14 -1) + DAY(Cad_Data_Emissao) +2,
     IF(
         WEEKDAY( EOMONTH(Cad_Data_Emissao, B14 -1) + DAY(Cad_Data_Emissao)) = 1,
         EOMONTH(Cad_Data_Emissao, B14 -1) + DAY(Cad_Data_Emissao) +1,
         EOMONTH(Cad_Data_Emissao, B14 -1) + DAY(Cad_Data_Emissao)
     )
 )</f>
        <v>44179</v>
      </c>
      <c r="D14" s="2">
        <f t="shared" si="0"/>
        <v>3825.82</v>
      </c>
      <c r="E14" s="2">
        <f>-G13 * (1 + i_ad)^(C13 - Tabela_PRICE[[#This Row],[Data_Venc]])
 +G13</f>
        <v>1662.584667434392</v>
      </c>
      <c r="F14" s="2">
        <f>Tabela_PRICE[[#This Row],[PMT]] - Tabela_PRICE[[#This Row],[Juros]]</f>
        <v>2163.2353325656081</v>
      </c>
      <c r="G14" s="2">
        <f>G13 - Tabela_PRICE[[#This Row],[Amort]]</f>
        <v>89281.445905683446</v>
      </c>
    </row>
    <row r="15" spans="1:7" x14ac:dyDescent="0.3">
      <c r="A15" s="4">
        <f>Cad_Contrato</f>
        <v>3</v>
      </c>
      <c r="B15" s="4">
        <v>11</v>
      </c>
      <c r="C15" s="22">
        <f>IF(
     WEEKDAY( EOMONTH(Cad_Data_Emissao, B15 -1) + DAY(Cad_Data_Emissao)) = 7,
     EOMONTH(Cad_Data_Emissao, B15 -1) + DAY(Cad_Data_Emissao) +2,
     IF(
         WEEKDAY( EOMONTH(Cad_Data_Emissao, B15 -1) + DAY(Cad_Data_Emissao)) = 1,
         EOMONTH(Cad_Data_Emissao, B15 -1) + DAY(Cad_Data_Emissao) +1,
         EOMONTH(Cad_Data_Emissao, B15 -1) + DAY(Cad_Data_Emissao)
     )
 )</f>
        <v>44208</v>
      </c>
      <c r="D15" s="2">
        <f t="shared" si="0"/>
        <v>3825.82</v>
      </c>
      <c r="E15" s="2">
        <f>-G14 * (1 + i_ad)^(C14 - Tabela_PRICE[[#This Row],[Data_Venc]])
 +G14</f>
        <v>1472.3362325060152</v>
      </c>
      <c r="F15" s="2">
        <f>Tabela_PRICE[[#This Row],[PMT]] - Tabela_PRICE[[#This Row],[Juros]]</f>
        <v>2353.4837674939849</v>
      </c>
      <c r="G15" s="2">
        <f>G14 - Tabela_PRICE[[#This Row],[Amort]]</f>
        <v>86927.962138189454</v>
      </c>
    </row>
    <row r="16" spans="1:7" x14ac:dyDescent="0.3">
      <c r="A16" s="4">
        <f>Cad_Contrato</f>
        <v>3</v>
      </c>
      <c r="B16" s="4">
        <v>12</v>
      </c>
      <c r="C16" s="22">
        <f>IF(
     WEEKDAY( EOMONTH(Cad_Data_Emissao, B16 -1) + DAY(Cad_Data_Emissao)) = 7,
     EOMONTH(Cad_Data_Emissao, B16 -1) + DAY(Cad_Data_Emissao) +2,
     IF(
         WEEKDAY( EOMONTH(Cad_Data_Emissao, B16 -1) + DAY(Cad_Data_Emissao)) = 1,
         EOMONTH(Cad_Data_Emissao, B16 -1) + DAY(Cad_Data_Emissao) +1,
         EOMONTH(Cad_Data_Emissao, B16 -1) + DAY(Cad_Data_Emissao)
     )
 )</f>
        <v>44239</v>
      </c>
      <c r="D16" s="2">
        <f t="shared" si="0"/>
        <v>3825.82</v>
      </c>
      <c r="E16" s="2">
        <f>-G15 * (1 + i_ad)^(C15 - Tabela_PRICE[[#This Row],[Data_Venc]])
 +G15</f>
        <v>1531.5129414107214</v>
      </c>
      <c r="F16" s="2">
        <f>Tabela_PRICE[[#This Row],[PMT]] - Tabela_PRICE[[#This Row],[Juros]]</f>
        <v>2294.3070585892788</v>
      </c>
      <c r="G16" s="2">
        <f>G15 - Tabela_PRICE[[#This Row],[Amort]]</f>
        <v>84633.655079600168</v>
      </c>
    </row>
    <row r="17" spans="1:7" x14ac:dyDescent="0.3">
      <c r="A17" s="4">
        <f>Cad_Contrato</f>
        <v>3</v>
      </c>
      <c r="B17" s="4">
        <v>13</v>
      </c>
      <c r="C17" s="22">
        <f>IF(
     WEEKDAY( EOMONTH(Cad_Data_Emissao, B17 -1) + DAY(Cad_Data_Emissao)) = 7,
     EOMONTH(Cad_Data_Emissao, B17 -1) + DAY(Cad_Data_Emissao) +2,
     IF(
         WEEKDAY( EOMONTH(Cad_Data_Emissao, B17 -1) + DAY(Cad_Data_Emissao)) = 1,
         EOMONTH(Cad_Data_Emissao, B17 -1) + DAY(Cad_Data_Emissao) +1,
         EOMONTH(Cad_Data_Emissao, B17 -1) + DAY(Cad_Data_Emissao)
     )
 )</f>
        <v>44267</v>
      </c>
      <c r="D17" s="2">
        <f t="shared" si="0"/>
        <v>3825.82</v>
      </c>
      <c r="E17" s="2">
        <f>-G16 * (1 + i_ad)^(C16 - Tabela_PRICE[[#This Row],[Data_Venc]])
 +G16</f>
        <v>1347.9478404156544</v>
      </c>
      <c r="F17" s="2">
        <f>Tabela_PRICE[[#This Row],[PMT]] - Tabela_PRICE[[#This Row],[Juros]]</f>
        <v>2477.8721595843458</v>
      </c>
      <c r="G17" s="2">
        <f>G16 - Tabela_PRICE[[#This Row],[Amort]]</f>
        <v>82155.782920015816</v>
      </c>
    </row>
    <row r="18" spans="1:7" x14ac:dyDescent="0.3">
      <c r="A18" s="4">
        <f>Cad_Contrato</f>
        <v>3</v>
      </c>
      <c r="B18" s="4">
        <v>14</v>
      </c>
      <c r="C18" s="22">
        <f>IF(
     WEEKDAY( EOMONTH(Cad_Data_Emissao, B18 -1) + DAY(Cad_Data_Emissao)) = 7,
     EOMONTH(Cad_Data_Emissao, B18 -1) + DAY(Cad_Data_Emissao) +2,
     IF(
         WEEKDAY( EOMONTH(Cad_Data_Emissao, B18 -1) + DAY(Cad_Data_Emissao)) = 1,
         EOMONTH(Cad_Data_Emissao, B18 -1) + DAY(Cad_Data_Emissao) +1,
         EOMONTH(Cad_Data_Emissao, B18 -1) + DAY(Cad_Data_Emissao)
     )
 )</f>
        <v>44298</v>
      </c>
      <c r="D18" s="2">
        <f t="shared" si="0"/>
        <v>3825.82</v>
      </c>
      <c r="E18" s="2">
        <f>-G17 * (1 + i_ad)^(C17 - Tabela_PRICE[[#This Row],[Data_Venc]])
 +G17</f>
        <v>1447.43580384081</v>
      </c>
      <c r="F18" s="2">
        <f>Tabela_PRICE[[#This Row],[PMT]] - Tabela_PRICE[[#This Row],[Juros]]</f>
        <v>2378.3841961591902</v>
      </c>
      <c r="G18" s="2">
        <f>G17 - Tabela_PRICE[[#This Row],[Amort]]</f>
        <v>79777.398723856619</v>
      </c>
    </row>
    <row r="19" spans="1:7" x14ac:dyDescent="0.3">
      <c r="A19" s="4">
        <f>Cad_Contrato</f>
        <v>3</v>
      </c>
      <c r="B19" s="4">
        <v>15</v>
      </c>
      <c r="C19" s="22">
        <f>IF(
     WEEKDAY( EOMONTH(Cad_Data_Emissao, B19 -1) + DAY(Cad_Data_Emissao)) = 7,
     EOMONTH(Cad_Data_Emissao, B19 -1) + DAY(Cad_Data_Emissao) +2,
     IF(
         WEEKDAY( EOMONTH(Cad_Data_Emissao, B19 -1) + DAY(Cad_Data_Emissao)) = 1,
         EOMONTH(Cad_Data_Emissao, B19 -1) + DAY(Cad_Data_Emissao) +1,
         EOMONTH(Cad_Data_Emissao, B19 -1) + DAY(Cad_Data_Emissao)
     )
 )</f>
        <v>44328</v>
      </c>
      <c r="D19" s="2">
        <f t="shared" si="0"/>
        <v>3825.82</v>
      </c>
      <c r="E19" s="2">
        <f>-G18 * (1 + i_ad)^(C18 - Tabela_PRICE[[#This Row],[Data_Venc]])
 +G18</f>
        <v>1360.5820992277295</v>
      </c>
      <c r="F19" s="2">
        <f>Tabela_PRICE[[#This Row],[PMT]] - Tabela_PRICE[[#This Row],[Juros]]</f>
        <v>2465.2379007722707</v>
      </c>
      <c r="G19" s="2">
        <f>G18 - Tabela_PRICE[[#This Row],[Amort]]</f>
        <v>77312.160823084341</v>
      </c>
    </row>
    <row r="20" spans="1:7" x14ac:dyDescent="0.3">
      <c r="A20" s="4">
        <f>Cad_Contrato</f>
        <v>3</v>
      </c>
      <c r="B20" s="4">
        <v>16</v>
      </c>
      <c r="C20" s="22">
        <f>IF(
     WEEKDAY( EOMONTH(Cad_Data_Emissao, B20 -1) + DAY(Cad_Data_Emissao)) = 7,
     EOMONTH(Cad_Data_Emissao, B20 -1) + DAY(Cad_Data_Emissao) +2,
     IF(
         WEEKDAY( EOMONTH(Cad_Data_Emissao, B20 -1) + DAY(Cad_Data_Emissao)) = 1,
         EOMONTH(Cad_Data_Emissao, B20 -1) + DAY(Cad_Data_Emissao) +1,
         EOMONTH(Cad_Data_Emissao, B20 -1) + DAY(Cad_Data_Emissao)
     )
 )</f>
        <v>44361</v>
      </c>
      <c r="D20" s="2">
        <f t="shared" si="0"/>
        <v>3825.82</v>
      </c>
      <c r="E20" s="2">
        <f>-G19 * (1 + i_ad)^(C19 - Tabela_PRICE[[#This Row],[Data_Venc]])
 +G19</f>
        <v>1449.1487601396657</v>
      </c>
      <c r="F20" s="2">
        <f>Tabela_PRICE[[#This Row],[PMT]] - Tabela_PRICE[[#This Row],[Juros]]</f>
        <v>2376.6712398603345</v>
      </c>
      <c r="G20" s="2">
        <f>G19 - Tabela_PRICE[[#This Row],[Amort]]</f>
        <v>74935.489583224</v>
      </c>
    </row>
    <row r="21" spans="1:7" x14ac:dyDescent="0.3">
      <c r="A21" s="4">
        <f>Cad_Contrato</f>
        <v>3</v>
      </c>
      <c r="B21" s="4">
        <v>17</v>
      </c>
      <c r="C21" s="22">
        <f>IF(
     WEEKDAY( EOMONTH(Cad_Data_Emissao, B21 -1) + DAY(Cad_Data_Emissao)) = 7,
     EOMONTH(Cad_Data_Emissao, B21 -1) + DAY(Cad_Data_Emissao) +2,
     IF(
         WEEKDAY( EOMONTH(Cad_Data_Emissao, B21 -1) + DAY(Cad_Data_Emissao)) = 1,
         EOMONTH(Cad_Data_Emissao, B21 -1) + DAY(Cad_Data_Emissao) +1,
         EOMONTH(Cad_Data_Emissao, B21 -1) + DAY(Cad_Data_Emissao)
     )
 )</f>
        <v>44389</v>
      </c>
      <c r="D21" s="2">
        <f t="shared" si="0"/>
        <v>3825.82</v>
      </c>
      <c r="E21" s="2">
        <f>-G20 * (1 + i_ad)^(C20 - Tabela_PRICE[[#This Row],[Data_Venc]])
 +G20</f>
        <v>1193.4865776409424</v>
      </c>
      <c r="F21" s="2">
        <f>Tabela_PRICE[[#This Row],[PMT]] - Tabela_PRICE[[#This Row],[Juros]]</f>
        <v>2632.3334223590577</v>
      </c>
      <c r="G21" s="2">
        <f>G20 - Tabela_PRICE[[#This Row],[Amort]]</f>
        <v>72303.156160864935</v>
      </c>
    </row>
    <row r="22" spans="1:7" x14ac:dyDescent="0.3">
      <c r="A22" s="4">
        <f>Cad_Contrato</f>
        <v>3</v>
      </c>
      <c r="B22" s="4">
        <v>18</v>
      </c>
      <c r="C22" s="22">
        <f>IF(
     WEEKDAY( EOMONTH(Cad_Data_Emissao, B22 -1) + DAY(Cad_Data_Emissao)) = 7,
     EOMONTH(Cad_Data_Emissao, B22 -1) + DAY(Cad_Data_Emissao) +2,
     IF(
         WEEKDAY( EOMONTH(Cad_Data_Emissao, B22 -1) + DAY(Cad_Data_Emissao)) = 1,
         EOMONTH(Cad_Data_Emissao, B22 -1) + DAY(Cad_Data_Emissao) +1,
         EOMONTH(Cad_Data_Emissao, B22 -1) + DAY(Cad_Data_Emissao)
     )
 )</f>
        <v>44420</v>
      </c>
      <c r="D22" s="2">
        <f t="shared" si="0"/>
        <v>3825.82</v>
      </c>
      <c r="E22" s="2">
        <f>-G21 * (1 + i_ad)^(C21 - Tabela_PRICE[[#This Row],[Data_Venc]])
 +G21</f>
        <v>1273.8504002793925</v>
      </c>
      <c r="F22" s="2">
        <f>Tabela_PRICE[[#This Row],[PMT]] - Tabela_PRICE[[#This Row],[Juros]]</f>
        <v>2551.9695997206077</v>
      </c>
      <c r="G22" s="2">
        <f>G21 - Tabela_PRICE[[#This Row],[Amort]]</f>
        <v>69751.186561144321</v>
      </c>
    </row>
    <row r="23" spans="1:7" x14ac:dyDescent="0.3">
      <c r="A23" s="4">
        <f>Cad_Contrato</f>
        <v>3</v>
      </c>
      <c r="B23" s="4">
        <v>19</v>
      </c>
      <c r="C23" s="22">
        <f>IF(
     WEEKDAY( EOMONTH(Cad_Data_Emissao, B23 -1) + DAY(Cad_Data_Emissao)) = 7,
     EOMONTH(Cad_Data_Emissao, B23 -1) + DAY(Cad_Data_Emissao) +2,
     IF(
         WEEKDAY( EOMONTH(Cad_Data_Emissao, B23 -1) + DAY(Cad_Data_Emissao)) = 1,
         EOMONTH(Cad_Data_Emissao, B23 -1) + DAY(Cad_Data_Emissao) +1,
         EOMONTH(Cad_Data_Emissao, B23 -1) + DAY(Cad_Data_Emissao)
     )
 )</f>
        <v>44452</v>
      </c>
      <c r="D23" s="2">
        <f t="shared" si="0"/>
        <v>3825.82</v>
      </c>
      <c r="E23" s="2">
        <f>-G22 * (1 + i_ad)^(C22 - Tabela_PRICE[[#This Row],[Data_Venc]])
 +G22</f>
        <v>1268.1683805072826</v>
      </c>
      <c r="F23" s="2">
        <f>Tabela_PRICE[[#This Row],[PMT]] - Tabela_PRICE[[#This Row],[Juros]]</f>
        <v>2557.6516194927176</v>
      </c>
      <c r="G23" s="2">
        <f>G22 - Tabela_PRICE[[#This Row],[Amort]]</f>
        <v>67193.534941651596</v>
      </c>
    </row>
    <row r="24" spans="1:7" x14ac:dyDescent="0.3">
      <c r="A24" s="4">
        <f>Cad_Contrato</f>
        <v>3</v>
      </c>
      <c r="B24" s="4">
        <v>20</v>
      </c>
      <c r="C24" s="22">
        <f>IF(
     WEEKDAY( EOMONTH(Cad_Data_Emissao, B24 -1) + DAY(Cad_Data_Emissao)) = 7,
     EOMONTH(Cad_Data_Emissao, B24 -1) + DAY(Cad_Data_Emissao) +2,
     IF(
         WEEKDAY( EOMONTH(Cad_Data_Emissao, B24 -1) + DAY(Cad_Data_Emissao)) = 1,
         EOMONTH(Cad_Data_Emissao, B24 -1) + DAY(Cad_Data_Emissao) +1,
         EOMONTH(Cad_Data_Emissao, B24 -1) + DAY(Cad_Data_Emissao)
     )
 )</f>
        <v>44481</v>
      </c>
      <c r="D24" s="2">
        <f t="shared" si="0"/>
        <v>3825.82</v>
      </c>
      <c r="E24" s="2">
        <f>-G23 * (1 + i_ad)^(C23 - Tabela_PRICE[[#This Row],[Data_Venc]])
 +G23</f>
        <v>1108.0855051257095</v>
      </c>
      <c r="F24" s="2">
        <f>Tabela_PRICE[[#This Row],[PMT]] - Tabela_PRICE[[#This Row],[Juros]]</f>
        <v>2717.7344948742907</v>
      </c>
      <c r="G24" s="2">
        <f>G23 - Tabela_PRICE[[#This Row],[Amort]]</f>
        <v>64475.800446777306</v>
      </c>
    </row>
    <row r="25" spans="1:7" x14ac:dyDescent="0.3">
      <c r="A25" s="4">
        <f>Cad_Contrato</f>
        <v>3</v>
      </c>
      <c r="B25" s="4">
        <v>21</v>
      </c>
      <c r="C25" s="22">
        <f>IF(
     WEEKDAY( EOMONTH(Cad_Data_Emissao, B25 -1) + DAY(Cad_Data_Emissao)) = 7,
     EOMONTH(Cad_Data_Emissao, B25 -1) + DAY(Cad_Data_Emissao) +2,
     IF(
         WEEKDAY( EOMONTH(Cad_Data_Emissao, B25 -1) + DAY(Cad_Data_Emissao)) = 1,
         EOMONTH(Cad_Data_Emissao, B25 -1) + DAY(Cad_Data_Emissao) +1,
         EOMONTH(Cad_Data_Emissao, B25 -1) + DAY(Cad_Data_Emissao)
     )
 )</f>
        <v>44512</v>
      </c>
      <c r="D25" s="2">
        <f t="shared" si="0"/>
        <v>3825.82</v>
      </c>
      <c r="E25" s="2">
        <f>-G24 * (1 + i_ad)^(C24 - Tabela_PRICE[[#This Row],[Data_Venc]])
 +G24</f>
        <v>1135.9465971959507</v>
      </c>
      <c r="F25" s="2">
        <f>Tabela_PRICE[[#This Row],[PMT]] - Tabela_PRICE[[#This Row],[Juros]]</f>
        <v>2689.8734028040494</v>
      </c>
      <c r="G25" s="2">
        <f>G24 - Tabela_PRICE[[#This Row],[Amort]]</f>
        <v>61785.927043973257</v>
      </c>
    </row>
    <row r="26" spans="1:7" x14ac:dyDescent="0.3">
      <c r="A26" s="4">
        <f>Cad_Contrato</f>
        <v>3</v>
      </c>
      <c r="B26" s="4">
        <v>22</v>
      </c>
      <c r="C26" s="22">
        <f>IF(
     WEEKDAY( EOMONTH(Cad_Data_Emissao, B26 -1) + DAY(Cad_Data_Emissao)) = 7,
     EOMONTH(Cad_Data_Emissao, B26 -1) + DAY(Cad_Data_Emissao) +2,
     IF(
         WEEKDAY( EOMONTH(Cad_Data_Emissao, B26 -1) + DAY(Cad_Data_Emissao)) = 1,
         EOMONTH(Cad_Data_Emissao, B26 -1) + DAY(Cad_Data_Emissao) +1,
         EOMONTH(Cad_Data_Emissao, B26 -1) + DAY(Cad_Data_Emissao)
     )
 )</f>
        <v>44543</v>
      </c>
      <c r="D26" s="2">
        <f t="shared" si="0"/>
        <v>3825.82</v>
      </c>
      <c r="E26" s="2">
        <f>-G25 * (1 + i_ad)^(C25 - Tabela_PRICE[[#This Row],[Data_Venc]])
 +G25</f>
        <v>1088.5559092536496</v>
      </c>
      <c r="F26" s="2">
        <f>Tabela_PRICE[[#This Row],[PMT]] - Tabela_PRICE[[#This Row],[Juros]]</f>
        <v>2737.2640907463506</v>
      </c>
      <c r="G26" s="2">
        <f>G25 - Tabela_PRICE[[#This Row],[Amort]]</f>
        <v>59048.662953226907</v>
      </c>
    </row>
    <row r="27" spans="1:7" x14ac:dyDescent="0.3">
      <c r="A27" s="4">
        <f>Cad_Contrato</f>
        <v>3</v>
      </c>
      <c r="B27" s="4">
        <v>23</v>
      </c>
      <c r="C27" s="22">
        <f>IF(
     WEEKDAY( EOMONTH(Cad_Data_Emissao, B27 -1) + DAY(Cad_Data_Emissao)) = 7,
     EOMONTH(Cad_Data_Emissao, B27 -1) + DAY(Cad_Data_Emissao) +2,
     IF(
         WEEKDAY( EOMONTH(Cad_Data_Emissao, B27 -1) + DAY(Cad_Data_Emissao)) = 1,
         EOMONTH(Cad_Data_Emissao, B27 -1) + DAY(Cad_Data_Emissao) +1,
         EOMONTH(Cad_Data_Emissao, B27 -1) + DAY(Cad_Data_Emissao)
     )
 )</f>
        <v>44573</v>
      </c>
      <c r="D27" s="2">
        <f t="shared" si="0"/>
        <v>3825.82</v>
      </c>
      <c r="E27" s="2">
        <f>-G26 * (1 + i_ad)^(C26 - Tabela_PRICE[[#This Row],[Data_Venc]])
 +G26</f>
        <v>1007.0590804243329</v>
      </c>
      <c r="F27" s="2">
        <f>Tabela_PRICE[[#This Row],[PMT]] - Tabela_PRICE[[#This Row],[Juros]]</f>
        <v>2818.7609195756672</v>
      </c>
      <c r="G27" s="2">
        <f>G26 - Tabela_PRICE[[#This Row],[Amort]]</f>
        <v>56229.90203365124</v>
      </c>
    </row>
    <row r="28" spans="1:7" x14ac:dyDescent="0.3">
      <c r="A28" s="4">
        <f>Cad_Contrato</f>
        <v>3</v>
      </c>
      <c r="B28" s="4">
        <v>24</v>
      </c>
      <c r="C28" s="22">
        <f>IF(
     WEEKDAY( EOMONTH(Cad_Data_Emissao, B28 -1) + DAY(Cad_Data_Emissao)) = 7,
     EOMONTH(Cad_Data_Emissao, B28 -1) + DAY(Cad_Data_Emissao) +2,
     IF(
         WEEKDAY( EOMONTH(Cad_Data_Emissao, B28 -1) + DAY(Cad_Data_Emissao)) = 1,
         EOMONTH(Cad_Data_Emissao, B28 -1) + DAY(Cad_Data_Emissao) +1,
         EOMONTH(Cad_Data_Emissao, B28 -1) + DAY(Cad_Data_Emissao)
     )
 )</f>
        <v>44606</v>
      </c>
      <c r="D28" s="2">
        <f t="shared" si="0"/>
        <v>3825.82</v>
      </c>
      <c r="E28" s="2">
        <f>-G27 * (1 + i_ad)^(C27 - Tabela_PRICE[[#This Row],[Data_Venc]])
 +G27</f>
        <v>1053.9802787469089</v>
      </c>
      <c r="F28" s="2">
        <f>Tabela_PRICE[[#This Row],[PMT]] - Tabela_PRICE[[#This Row],[Juros]]</f>
        <v>2771.8397212530913</v>
      </c>
      <c r="G28" s="2">
        <f>G27 - Tabela_PRICE[[#This Row],[Amort]]</f>
        <v>53458.06231239815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0FEB3-E8A2-4A71-8180-180A527328D8}">
  <dimension ref="A1:G10"/>
  <sheetViews>
    <sheetView showGridLines="0" zoomScale="140" zoomScaleNormal="140" workbookViewId="0">
      <selection activeCell="E5" sqref="E5"/>
    </sheetView>
  </sheetViews>
  <sheetFormatPr defaultRowHeight="19.5" x14ac:dyDescent="0.3"/>
  <cols>
    <col min="1" max="1" width="9.453125" customWidth="1"/>
    <col min="2" max="2" width="14.54296875" customWidth="1"/>
    <col min="3" max="3" width="12.453125" customWidth="1"/>
    <col min="4" max="4" width="11.6328125" customWidth="1"/>
    <col min="5" max="5" width="10.81640625" customWidth="1"/>
    <col min="6" max="7" width="12.90625" bestFit="1" customWidth="1"/>
    <col min="8" max="8" width="10" customWidth="1"/>
  </cols>
  <sheetData>
    <row r="1" spans="1:7" x14ac:dyDescent="0.3">
      <c r="A1" s="23" t="s">
        <v>3</v>
      </c>
      <c r="B1" s="23" t="s">
        <v>0</v>
      </c>
      <c r="C1" s="23" t="s">
        <v>6</v>
      </c>
      <c r="D1" s="23" t="s">
        <v>1</v>
      </c>
      <c r="E1" s="23" t="s">
        <v>2</v>
      </c>
      <c r="F1" s="23" t="s">
        <v>7</v>
      </c>
      <c r="G1" s="24" t="s">
        <v>11</v>
      </c>
    </row>
    <row r="2" spans="1:7" x14ac:dyDescent="0.3">
      <c r="A2" s="25">
        <v>5</v>
      </c>
      <c r="B2" s="26">
        <v>1410000</v>
      </c>
      <c r="C2" s="27">
        <v>1.6482412060301509E-2</v>
      </c>
      <c r="D2" s="25">
        <v>6</v>
      </c>
      <c r="E2" s="25" t="s">
        <v>5</v>
      </c>
      <c r="F2" s="28">
        <v>43874</v>
      </c>
      <c r="G2" s="29">
        <f>RATE(365.25/12, , -1, 1 + C2)</f>
        <v>5.3724657286664433E-4</v>
      </c>
    </row>
    <row r="3" spans="1:7" x14ac:dyDescent="0.3">
      <c r="A3" s="1"/>
      <c r="B3" s="1"/>
      <c r="C3" s="1"/>
      <c r="D3" s="1"/>
      <c r="E3" s="1"/>
      <c r="F3" s="1"/>
    </row>
    <row r="4" spans="1:7" x14ac:dyDescent="0.3">
      <c r="A4" s="3" t="s">
        <v>8</v>
      </c>
      <c r="B4" s="31" t="s">
        <v>16</v>
      </c>
      <c r="C4" s="3" t="s">
        <v>10</v>
      </c>
      <c r="D4" s="3" t="s">
        <v>12</v>
      </c>
      <c r="E4" s="3" t="s">
        <v>9</v>
      </c>
      <c r="F4" s="3" t="s">
        <v>13</v>
      </c>
      <c r="G4" s="3" t="s">
        <v>14</v>
      </c>
    </row>
    <row r="5" spans="1:7" x14ac:dyDescent="0.3">
      <c r="A5" s="4">
        <v>1</v>
      </c>
      <c r="B5" s="30">
        <f>IF(
     WEEKDAY( EOMONTH($F$2, A5 -2) + DAY($F$2)) = 7,
     EOMONTH($F$2, A5 -2) + DAY($F$2) +2,
     IF(
         WEEKDAY( EOMONTH($F$2, A5 -2) + DAY($F$2)) = 1,
         EOMONTH($F$2, A5 -2) + DAY($F$2) +1,
         EOMONTH($F$2, A5 -2) + DAY($F$2)
     )
 )</f>
        <v>43874</v>
      </c>
      <c r="C5" s="22">
        <f t="shared" ref="C5:C10" si="0">IF(
     WEEKDAY( EOMONTH($F$2, A5 -1) + DAY($F$2)) = 7,
     EOMONTH($F$2, A5 -1) + DAY($F$2) +2,
     IF(
         WEEKDAY( EOMONTH($F$2, A5 -1) + DAY($F$2)) = 1,
         EOMONTH($F$2, A5 -1) + DAY($F$2) +1,
         EOMONTH($F$2, A5 -1) + DAY($F$2)
     )
 )</f>
        <v>43903</v>
      </c>
      <c r="D5" s="2">
        <f>F5+E5</f>
        <v>257134.04544274276</v>
      </c>
      <c r="E5" s="2">
        <f t="shared" ref="E5:E10" si="1">FV(
     RATE(365.25/12, , -1, 1 + Taxa_am),
     C5-B5,
     ,
     -Principal + Principal / Parcelas * (A5 -1)
 ) -Principal + Principal / Parcelas * (A5 -1)</f>
        <v>22134.045442742761</v>
      </c>
      <c r="F5" s="2">
        <f t="shared" ref="F5:F10" si="2">Principal / Parcelas</f>
        <v>235000</v>
      </c>
      <c r="G5" s="2">
        <f t="shared" ref="G5:G10" si="3">Principal - (F5 * A5)</f>
        <v>1175000</v>
      </c>
    </row>
    <row r="6" spans="1:7" x14ac:dyDescent="0.3">
      <c r="A6" s="4">
        <v>2</v>
      </c>
      <c r="B6" s="30">
        <f t="shared" ref="B6:B10" si="4">IF(
     WEEKDAY( EOMONTH($F$2, A6 -2) + DAY($F$2)) = 7,
     EOMONTH($F$2, A6 -2) + DAY($F$2) +2,
     IF(
         WEEKDAY( EOMONTH($F$2, A6 -2) + DAY($F$2)) = 1,
         EOMONTH($F$2, A6 -2) + DAY($F$2) +1,
         EOMONTH($F$2, A6 -2) + DAY($F$2)
     )
 )</f>
        <v>43903</v>
      </c>
      <c r="C6" s="22">
        <f t="shared" si="0"/>
        <v>43934</v>
      </c>
      <c r="D6" s="2">
        <f t="shared" ref="D6:D10" si="5">F6+E6</f>
        <v>254727.73085062392</v>
      </c>
      <c r="E6" s="2">
        <f t="shared" si="1"/>
        <v>19727.730850623921</v>
      </c>
      <c r="F6" s="2">
        <f t="shared" si="2"/>
        <v>235000</v>
      </c>
      <c r="G6" s="2">
        <f t="shared" si="3"/>
        <v>940000</v>
      </c>
    </row>
    <row r="7" spans="1:7" x14ac:dyDescent="0.3">
      <c r="A7" s="4">
        <v>3</v>
      </c>
      <c r="B7" s="30">
        <f t="shared" si="4"/>
        <v>43934</v>
      </c>
      <c r="C7" s="22">
        <f t="shared" si="0"/>
        <v>43964</v>
      </c>
      <c r="D7" s="2">
        <f t="shared" si="5"/>
        <v>250268.96970036183</v>
      </c>
      <c r="E7" s="2">
        <f t="shared" si="1"/>
        <v>15268.969700361835</v>
      </c>
      <c r="F7" s="2">
        <f t="shared" si="2"/>
        <v>235000</v>
      </c>
      <c r="G7" s="2">
        <f t="shared" si="3"/>
        <v>705000</v>
      </c>
    </row>
    <row r="8" spans="1:7" x14ac:dyDescent="0.3">
      <c r="A8" s="4">
        <v>4</v>
      </c>
      <c r="B8" s="30">
        <f t="shared" si="4"/>
        <v>43964</v>
      </c>
      <c r="C8" s="22">
        <f t="shared" si="0"/>
        <v>43997</v>
      </c>
      <c r="D8" s="2">
        <f t="shared" si="5"/>
        <v>247607.08146840462</v>
      </c>
      <c r="E8" s="2">
        <f t="shared" si="1"/>
        <v>12607.08146840462</v>
      </c>
      <c r="F8" s="2">
        <f t="shared" si="2"/>
        <v>235000</v>
      </c>
      <c r="G8" s="2">
        <f t="shared" si="3"/>
        <v>470000</v>
      </c>
    </row>
    <row r="9" spans="1:7" x14ac:dyDescent="0.3">
      <c r="A9" s="4">
        <v>5</v>
      </c>
      <c r="B9" s="30">
        <f t="shared" si="4"/>
        <v>43997</v>
      </c>
      <c r="C9" s="22">
        <f t="shared" si="0"/>
        <v>44025</v>
      </c>
      <c r="D9" s="2">
        <f t="shared" si="5"/>
        <v>242121.6831584638</v>
      </c>
      <c r="E9" s="2">
        <f t="shared" si="1"/>
        <v>7121.6831584637985</v>
      </c>
      <c r="F9" s="2">
        <f t="shared" si="2"/>
        <v>235000</v>
      </c>
      <c r="G9" s="2">
        <f t="shared" si="3"/>
        <v>235000</v>
      </c>
    </row>
    <row r="10" spans="1:7" x14ac:dyDescent="0.3">
      <c r="A10" s="4">
        <v>6</v>
      </c>
      <c r="B10" s="30">
        <f t="shared" si="4"/>
        <v>44025</v>
      </c>
      <c r="C10" s="22">
        <f t="shared" si="0"/>
        <v>44056</v>
      </c>
      <c r="D10" s="2">
        <f t="shared" si="5"/>
        <v>238945.54617012478</v>
      </c>
      <c r="E10" s="2">
        <f t="shared" si="1"/>
        <v>3945.5461701247841</v>
      </c>
      <c r="F10" s="2">
        <f t="shared" si="2"/>
        <v>235000</v>
      </c>
      <c r="G10" s="2">
        <f t="shared" si="3"/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4ED3-F5D1-4BF8-954C-216527FDCC82}">
  <dimension ref="A1:B2"/>
  <sheetViews>
    <sheetView workbookViewId="0">
      <selection activeCell="E10" sqref="E10"/>
    </sheetView>
  </sheetViews>
  <sheetFormatPr defaultRowHeight="19.5" x14ac:dyDescent="0.3"/>
  <cols>
    <col min="1" max="1" width="12.6328125" customWidth="1"/>
  </cols>
  <sheetData>
    <row r="1" spans="1:2" x14ac:dyDescent="0.3">
      <c r="A1" t="s">
        <v>4</v>
      </c>
      <c r="B1">
        <f ca="1">COUNTIFS(Cadastro!E:E,Racunho1!A1)</f>
        <v>134</v>
      </c>
    </row>
    <row r="2" spans="1:2" x14ac:dyDescent="0.3">
      <c r="A2" t="s">
        <v>5</v>
      </c>
      <c r="B2">
        <f ca="1">COUNTIFS(Cadastro!E:E,Racunho1!A2)</f>
        <v>66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84051-8D3F-4D01-B5C2-E8005DF50404}">
  <dimension ref="A1:I28"/>
  <sheetViews>
    <sheetView zoomScale="140" zoomScaleNormal="140" workbookViewId="0">
      <selection activeCell="D15" sqref="D15"/>
    </sheetView>
  </sheetViews>
  <sheetFormatPr defaultRowHeight="19.5" x14ac:dyDescent="0.3"/>
  <cols>
    <col min="1" max="1" width="9.36328125" customWidth="1"/>
    <col min="2" max="2" width="10.1796875" customWidth="1"/>
    <col min="3" max="3" width="13.90625" bestFit="1" customWidth="1"/>
    <col min="4" max="4" width="11.1796875" customWidth="1"/>
    <col min="5" max="5" width="10.90625" customWidth="1"/>
    <col min="6" max="6" width="12.90625" bestFit="1" customWidth="1"/>
    <col min="7" max="7" width="10" customWidth="1"/>
    <col min="8" max="8" width="9.54296875" customWidth="1"/>
    <col min="9" max="9" width="10.81640625" bestFit="1" customWidth="1"/>
  </cols>
  <sheetData>
    <row r="1" spans="1:9" x14ac:dyDescent="0.3">
      <c r="A1" s="3" t="s">
        <v>3</v>
      </c>
      <c r="B1" s="3" t="s">
        <v>0</v>
      </c>
      <c r="C1" s="3" t="s">
        <v>6</v>
      </c>
      <c r="D1" s="3" t="s">
        <v>1</v>
      </c>
      <c r="E1" s="3" t="s">
        <v>2</v>
      </c>
      <c r="F1" s="3" t="s">
        <v>7</v>
      </c>
      <c r="G1" s="5" t="s">
        <v>11</v>
      </c>
    </row>
    <row r="2" spans="1:9" x14ac:dyDescent="0.3">
      <c r="A2" s="4">
        <f>Cadastro!A4</f>
        <v>3</v>
      </c>
      <c r="B2" s="18">
        <f>Cadastro!B4</f>
        <v>110000</v>
      </c>
      <c r="C2" s="6">
        <f>Cadastro!C4</f>
        <v>1.7605886575735821E-2</v>
      </c>
      <c r="D2" s="4">
        <f>Cadastro!D4</f>
        <v>24</v>
      </c>
      <c r="E2" s="4" t="str">
        <f>Cadastro!E4</f>
        <v>PRICE</v>
      </c>
      <c r="F2" s="7">
        <f>Cadastro!F4</f>
        <v>43873</v>
      </c>
      <c r="G2" s="8">
        <f>RATE(365/12, , -1, 1 + C2)</f>
        <v>5.7395199049373505E-4</v>
      </c>
    </row>
    <row r="3" spans="1:9" x14ac:dyDescent="0.3">
      <c r="A3" s="1"/>
      <c r="B3" s="1"/>
      <c r="C3" s="1"/>
      <c r="D3" s="1"/>
      <c r="E3" s="1"/>
      <c r="F3" s="1"/>
    </row>
    <row r="4" spans="1:9" x14ac:dyDescent="0.3">
      <c r="A4" s="3" t="s">
        <v>3</v>
      </c>
      <c r="B4" s="3" t="s">
        <v>8</v>
      </c>
      <c r="C4" s="20" t="s">
        <v>16</v>
      </c>
      <c r="D4" s="3" t="s">
        <v>10</v>
      </c>
      <c r="E4" s="20" t="s">
        <v>15</v>
      </c>
      <c r="F4" s="3" t="s">
        <v>12</v>
      </c>
      <c r="G4" s="3" t="s">
        <v>9</v>
      </c>
      <c r="H4" s="3" t="s">
        <v>13</v>
      </c>
      <c r="I4" s="3" t="s">
        <v>14</v>
      </c>
    </row>
    <row r="5" spans="1:9" x14ac:dyDescent="0.3">
      <c r="A5" s="4">
        <f>A2</f>
        <v>3</v>
      </c>
      <c r="B5" s="4">
        <v>1</v>
      </c>
      <c r="C5" s="19">
        <f>IF(
     WEEKDAY( EOMONTH($F$2, B5 -2) + DAY($F$2)) = 7,
     EOMONTH($F$2, B5 -2) + DAY($F$2) +2,
     IF(
         WEEKDAY( EOMONTH($F$2, B5 -2) + DAY($F$2)) = 1,
         EOMONTH($F$2, B5 -2) + DAY($F$2) +1,
         EOMONTH($F$2, B5 -2) + DAY($F$2)
     )
 )</f>
        <v>43873</v>
      </c>
      <c r="D5" s="7">
        <f t="shared" ref="D5:D28" si="0">IF(
     WEEKDAY( EOMONTH($F$2, B5 -1) + DAY($F$2)) = 7,
     EOMONTH($F$2, B5 -1) + DAY($F$2) +2,
     IF(
         WEEKDAY( EOMONTH($F$2, B5 -1) + DAY($F$2)) = 1,
         EOMONTH($F$2, B5 -1) + DAY($F$2) +1,
         EOMONTH($F$2, B5 -1) + DAY($F$2)
     )
 )</f>
        <v>43902</v>
      </c>
      <c r="E5" s="10">
        <f>B2</f>
        <v>110000</v>
      </c>
      <c r="F5" s="2">
        <f>ROUND(PMT($C$2, $D$2, -$B$2), 2)</f>
        <v>5659.29</v>
      </c>
      <c r="G5" s="2">
        <f>FV(
     RATE(365.25/12, , -1, 1 + $C$2),
     D5 - C5,
     ,
     -E5
 ) -E5</f>
        <v>1844.4212244005466</v>
      </c>
      <c r="H5" s="10">
        <f>F5-G5</f>
        <v>3814.8687755994533</v>
      </c>
      <c r="I5" s="10">
        <f>B2 - H5</f>
        <v>106185.13122440055</v>
      </c>
    </row>
    <row r="6" spans="1:9" x14ac:dyDescent="0.3">
      <c r="A6" s="4">
        <f>A5</f>
        <v>3</v>
      </c>
      <c r="B6" s="4">
        <v>2</v>
      </c>
      <c r="C6" s="19">
        <f t="shared" ref="C6:C28" si="1">IF(
     WEEKDAY( EOMONTH($F$2, B6 -2) + DAY($F$2)) = 7,
     EOMONTH($F$2, B6 -2) + DAY($F$2) +2,
     IF(
         WEEKDAY( EOMONTH($F$2, B6 -2) + DAY($F$2)) = 1,
         EOMONTH($F$2, B6 -2) + DAY($F$2) +1,
         EOMONTH($F$2, B6 -2) + DAY($F$2)
     )
 )</f>
        <v>43902</v>
      </c>
      <c r="D6" s="7">
        <f t="shared" si="0"/>
        <v>43934</v>
      </c>
      <c r="E6" s="10">
        <f>E5</f>
        <v>110000</v>
      </c>
      <c r="F6" s="2">
        <f>F5</f>
        <v>5659.29</v>
      </c>
      <c r="G6" s="2">
        <f>FV(
     RATE(365.25/12, , -1, 1 + $C$2),
     D6 - C6,
     ,
     -E6
 ) -E6</f>
        <v>2036.9797588204092</v>
      </c>
      <c r="H6" s="2">
        <f t="shared" ref="H6:H28" si="2">F6-G6</f>
        <v>3622.3102411795908</v>
      </c>
      <c r="I6" s="2">
        <f t="shared" ref="I6:I28" si="3">I5-H6</f>
        <v>102562.82098322097</v>
      </c>
    </row>
    <row r="7" spans="1:9" x14ac:dyDescent="0.3">
      <c r="A7" s="4">
        <f t="shared" ref="A7:A28" si="4">A6</f>
        <v>3</v>
      </c>
      <c r="B7" s="4">
        <v>3</v>
      </c>
      <c r="C7" s="19">
        <f t="shared" si="1"/>
        <v>43934</v>
      </c>
      <c r="D7" s="7">
        <f t="shared" si="0"/>
        <v>43963</v>
      </c>
      <c r="E7" s="10">
        <f t="shared" ref="E7:E28" si="5">E6</f>
        <v>110000</v>
      </c>
      <c r="F7" s="2">
        <f t="shared" ref="F7:F28" si="6">F6</f>
        <v>5659.29</v>
      </c>
      <c r="G7" s="2">
        <f t="shared" ref="G7:G28" si="7">FV(
     RATE(365.25/12, , -1, 1 + $C$2),
     D7 - D6,
     ,
     -I6
 ) -I6</f>
        <v>1719.7185805076879</v>
      </c>
      <c r="H7" s="2">
        <f t="shared" si="2"/>
        <v>3939.5714194923121</v>
      </c>
      <c r="I7" s="2">
        <f t="shared" si="3"/>
        <v>98623.249563728663</v>
      </c>
    </row>
    <row r="8" spans="1:9" x14ac:dyDescent="0.3">
      <c r="A8" s="4">
        <f t="shared" si="4"/>
        <v>3</v>
      </c>
      <c r="B8" s="4">
        <v>4</v>
      </c>
      <c r="C8" s="19">
        <f t="shared" si="1"/>
        <v>43963</v>
      </c>
      <c r="D8" s="7">
        <f t="shared" si="0"/>
        <v>43994</v>
      </c>
      <c r="E8" s="10">
        <f t="shared" si="5"/>
        <v>110000</v>
      </c>
      <c r="F8" s="2">
        <f t="shared" si="6"/>
        <v>5659.29</v>
      </c>
      <c r="G8" s="2">
        <f t="shared" si="7"/>
        <v>1768.7243960689229</v>
      </c>
      <c r="H8" s="2">
        <f t="shared" si="2"/>
        <v>3890.565603931077</v>
      </c>
      <c r="I8" s="2">
        <f t="shared" si="3"/>
        <v>94732.683959797592</v>
      </c>
    </row>
    <row r="9" spans="1:9" x14ac:dyDescent="0.3">
      <c r="A9" s="4">
        <f t="shared" si="4"/>
        <v>3</v>
      </c>
      <c r="B9" s="4">
        <v>5</v>
      </c>
      <c r="C9" s="19">
        <f t="shared" si="1"/>
        <v>43994</v>
      </c>
      <c r="D9" s="7">
        <f t="shared" si="0"/>
        <v>44025</v>
      </c>
      <c r="E9" s="10">
        <f t="shared" si="5"/>
        <v>110000</v>
      </c>
      <c r="F9" s="2">
        <f t="shared" si="6"/>
        <v>5659.29</v>
      </c>
      <c r="G9" s="2">
        <f t="shared" si="7"/>
        <v>1698.9503992819664</v>
      </c>
      <c r="H9" s="2">
        <f t="shared" si="2"/>
        <v>3960.3396007180336</v>
      </c>
      <c r="I9" s="2">
        <f t="shared" si="3"/>
        <v>90772.344359079565</v>
      </c>
    </row>
    <row r="10" spans="1:9" x14ac:dyDescent="0.3">
      <c r="A10" s="4">
        <f t="shared" si="4"/>
        <v>3</v>
      </c>
      <c r="B10" s="4">
        <v>6</v>
      </c>
      <c r="C10" s="19">
        <f t="shared" si="1"/>
        <v>44025</v>
      </c>
      <c r="D10" s="7">
        <f t="shared" si="0"/>
        <v>44055</v>
      </c>
      <c r="E10" s="10">
        <f t="shared" si="5"/>
        <v>110000</v>
      </c>
      <c r="F10" s="2">
        <f t="shared" si="6"/>
        <v>5659.29</v>
      </c>
      <c r="G10" s="2">
        <f t="shared" si="7"/>
        <v>1574.9584356637934</v>
      </c>
      <c r="H10" s="2">
        <f t="shared" si="2"/>
        <v>4084.3315643362066</v>
      </c>
      <c r="I10" s="2">
        <f t="shared" si="3"/>
        <v>86688.012794743365</v>
      </c>
    </row>
    <row r="11" spans="1:9" x14ac:dyDescent="0.3">
      <c r="A11" s="4">
        <f t="shared" si="4"/>
        <v>3</v>
      </c>
      <c r="B11" s="4">
        <v>7</v>
      </c>
      <c r="C11" s="19">
        <f t="shared" si="1"/>
        <v>44055</v>
      </c>
      <c r="D11" s="7">
        <f t="shared" si="0"/>
        <v>44088</v>
      </c>
      <c r="E11" s="10">
        <f t="shared" si="5"/>
        <v>110000</v>
      </c>
      <c r="F11" s="2">
        <f t="shared" si="6"/>
        <v>5659.29</v>
      </c>
      <c r="G11" s="2">
        <f t="shared" si="7"/>
        <v>1655.9298509953951</v>
      </c>
      <c r="H11" s="2">
        <f t="shared" si="2"/>
        <v>4003.3601490046049</v>
      </c>
      <c r="I11" s="2">
        <f t="shared" si="3"/>
        <v>82684.652645738766</v>
      </c>
    </row>
    <row r="12" spans="1:9" x14ac:dyDescent="0.3">
      <c r="A12" s="4">
        <f t="shared" si="4"/>
        <v>3</v>
      </c>
      <c r="B12" s="4">
        <v>8</v>
      </c>
      <c r="C12" s="19">
        <f t="shared" si="1"/>
        <v>44088</v>
      </c>
      <c r="D12" s="7">
        <f t="shared" si="0"/>
        <v>44116</v>
      </c>
      <c r="E12" s="10">
        <f t="shared" si="5"/>
        <v>110000</v>
      </c>
      <c r="F12" s="2">
        <f t="shared" si="6"/>
        <v>5659.29</v>
      </c>
      <c r="G12" s="2">
        <f t="shared" si="7"/>
        <v>1338.2199979418656</v>
      </c>
      <c r="H12" s="2">
        <f t="shared" si="2"/>
        <v>4321.0700020581344</v>
      </c>
      <c r="I12" s="2">
        <f t="shared" si="3"/>
        <v>78363.582643680638</v>
      </c>
    </row>
    <row r="13" spans="1:9" x14ac:dyDescent="0.3">
      <c r="A13" s="4">
        <f t="shared" si="4"/>
        <v>3</v>
      </c>
      <c r="B13" s="4">
        <v>9</v>
      </c>
      <c r="C13" s="19">
        <f t="shared" si="1"/>
        <v>44116</v>
      </c>
      <c r="D13" s="7">
        <f t="shared" si="0"/>
        <v>44147</v>
      </c>
      <c r="E13" s="10">
        <f t="shared" si="5"/>
        <v>110000</v>
      </c>
      <c r="F13" s="2">
        <f t="shared" si="6"/>
        <v>5659.29</v>
      </c>
      <c r="G13" s="2">
        <f t="shared" si="7"/>
        <v>1405.3844402650575</v>
      </c>
      <c r="H13" s="2">
        <f t="shared" si="2"/>
        <v>4253.9055597349425</v>
      </c>
      <c r="I13" s="2">
        <f t="shared" si="3"/>
        <v>74109.677083945702</v>
      </c>
    </row>
    <row r="14" spans="1:9" x14ac:dyDescent="0.3">
      <c r="A14" s="4">
        <f t="shared" si="4"/>
        <v>3</v>
      </c>
      <c r="B14" s="4">
        <v>10</v>
      </c>
      <c r="C14" s="19">
        <f t="shared" si="1"/>
        <v>44147</v>
      </c>
      <c r="D14" s="7">
        <f t="shared" si="0"/>
        <v>44179</v>
      </c>
      <c r="E14" s="10">
        <f t="shared" si="5"/>
        <v>110000</v>
      </c>
      <c r="F14" s="2">
        <f t="shared" si="6"/>
        <v>5659.29</v>
      </c>
      <c r="G14" s="2">
        <f t="shared" si="7"/>
        <v>1372.362837751949</v>
      </c>
      <c r="H14" s="2">
        <f t="shared" si="2"/>
        <v>4286.927162248051</v>
      </c>
      <c r="I14" s="2">
        <f t="shared" si="3"/>
        <v>69822.749921697658</v>
      </c>
    </row>
    <row r="15" spans="1:9" x14ac:dyDescent="0.3">
      <c r="A15" s="4">
        <f t="shared" si="4"/>
        <v>3</v>
      </c>
      <c r="B15" s="4">
        <v>11</v>
      </c>
      <c r="C15" s="19">
        <f t="shared" si="1"/>
        <v>44179</v>
      </c>
      <c r="D15" s="7">
        <f t="shared" si="0"/>
        <v>44208</v>
      </c>
      <c r="E15" s="10">
        <f t="shared" si="5"/>
        <v>110000</v>
      </c>
      <c r="F15" s="2">
        <f t="shared" si="6"/>
        <v>5659.29</v>
      </c>
      <c r="G15" s="2">
        <f t="shared" si="7"/>
        <v>1170.7505627417268</v>
      </c>
      <c r="H15" s="2">
        <f t="shared" si="2"/>
        <v>4488.5394372582732</v>
      </c>
      <c r="I15" s="2">
        <f t="shared" si="3"/>
        <v>65334.210484439383</v>
      </c>
    </row>
    <row r="16" spans="1:9" x14ac:dyDescent="0.3">
      <c r="A16" s="4">
        <f t="shared" si="4"/>
        <v>3</v>
      </c>
      <c r="B16" s="4">
        <v>12</v>
      </c>
      <c r="C16" s="19">
        <f t="shared" si="1"/>
        <v>44208</v>
      </c>
      <c r="D16" s="7">
        <f t="shared" si="0"/>
        <v>44239</v>
      </c>
      <c r="E16" s="10">
        <f t="shared" si="5"/>
        <v>110000</v>
      </c>
      <c r="F16" s="2">
        <f t="shared" si="6"/>
        <v>5659.29</v>
      </c>
      <c r="G16" s="2">
        <f t="shared" si="7"/>
        <v>1171.7136932002832</v>
      </c>
      <c r="H16" s="2">
        <f t="shared" si="2"/>
        <v>4487.5763067997168</v>
      </c>
      <c r="I16" s="2">
        <f t="shared" si="3"/>
        <v>60846.634177639666</v>
      </c>
    </row>
    <row r="17" spans="1:9" x14ac:dyDescent="0.3">
      <c r="A17" s="4">
        <f t="shared" si="4"/>
        <v>3</v>
      </c>
      <c r="B17" s="4">
        <v>13</v>
      </c>
      <c r="C17" s="19">
        <f t="shared" si="1"/>
        <v>44239</v>
      </c>
      <c r="D17" s="7">
        <f t="shared" si="0"/>
        <v>44267</v>
      </c>
      <c r="E17" s="10">
        <f t="shared" si="5"/>
        <v>110000</v>
      </c>
      <c r="F17" s="2">
        <f t="shared" si="6"/>
        <v>5659.29</v>
      </c>
      <c r="G17" s="2">
        <f t="shared" si="7"/>
        <v>984.77988427719538</v>
      </c>
      <c r="H17" s="2">
        <f t="shared" si="2"/>
        <v>4674.5101157228046</v>
      </c>
      <c r="I17" s="2">
        <f t="shared" si="3"/>
        <v>56172.12406191686</v>
      </c>
    </row>
    <row r="18" spans="1:9" x14ac:dyDescent="0.3">
      <c r="A18" s="4">
        <f t="shared" si="4"/>
        <v>3</v>
      </c>
      <c r="B18" s="4">
        <v>14</v>
      </c>
      <c r="C18" s="19">
        <f t="shared" si="1"/>
        <v>44267</v>
      </c>
      <c r="D18" s="7">
        <f t="shared" si="0"/>
        <v>44298</v>
      </c>
      <c r="E18" s="10">
        <f t="shared" si="5"/>
        <v>110000</v>
      </c>
      <c r="F18" s="2">
        <f t="shared" si="6"/>
        <v>5659.29</v>
      </c>
      <c r="G18" s="2">
        <f t="shared" si="7"/>
        <v>1007.3994382341116</v>
      </c>
      <c r="H18" s="2">
        <f t="shared" si="2"/>
        <v>4651.8905617658884</v>
      </c>
      <c r="I18" s="2">
        <f t="shared" si="3"/>
        <v>51520.233500150971</v>
      </c>
    </row>
    <row r="19" spans="1:9" x14ac:dyDescent="0.3">
      <c r="A19" s="4">
        <f t="shared" si="4"/>
        <v>3</v>
      </c>
      <c r="B19" s="4">
        <v>15</v>
      </c>
      <c r="C19" s="19">
        <f t="shared" si="1"/>
        <v>44298</v>
      </c>
      <c r="D19" s="7">
        <f t="shared" si="0"/>
        <v>44328</v>
      </c>
      <c r="E19" s="10">
        <f t="shared" si="5"/>
        <v>110000</v>
      </c>
      <c r="F19" s="2">
        <f t="shared" si="6"/>
        <v>5659.29</v>
      </c>
      <c r="G19" s="2">
        <f t="shared" si="7"/>
        <v>893.90911881097418</v>
      </c>
      <c r="H19" s="2">
        <f t="shared" si="2"/>
        <v>4765.3808811890258</v>
      </c>
      <c r="I19" s="2">
        <f t="shared" si="3"/>
        <v>46754.852618961944</v>
      </c>
    </row>
    <row r="20" spans="1:9" x14ac:dyDescent="0.3">
      <c r="A20" s="4">
        <f t="shared" si="4"/>
        <v>3</v>
      </c>
      <c r="B20" s="4">
        <v>16</v>
      </c>
      <c r="C20" s="19">
        <f t="shared" si="1"/>
        <v>44328</v>
      </c>
      <c r="D20" s="7">
        <f t="shared" si="0"/>
        <v>44361</v>
      </c>
      <c r="E20" s="10">
        <f t="shared" si="5"/>
        <v>110000</v>
      </c>
      <c r="F20" s="2">
        <f t="shared" si="6"/>
        <v>5659.29</v>
      </c>
      <c r="G20" s="2">
        <f t="shared" si="7"/>
        <v>893.11951715801843</v>
      </c>
      <c r="H20" s="2">
        <f t="shared" si="2"/>
        <v>4766.1704828419815</v>
      </c>
      <c r="I20" s="2">
        <f t="shared" si="3"/>
        <v>41988.682136119962</v>
      </c>
    </row>
    <row r="21" spans="1:9" x14ac:dyDescent="0.3">
      <c r="A21" s="4">
        <f t="shared" si="4"/>
        <v>3</v>
      </c>
      <c r="B21" s="4">
        <v>17</v>
      </c>
      <c r="C21" s="19">
        <f t="shared" si="1"/>
        <v>44361</v>
      </c>
      <c r="D21" s="7">
        <f t="shared" si="0"/>
        <v>44389</v>
      </c>
      <c r="E21" s="10">
        <f t="shared" si="5"/>
        <v>110000</v>
      </c>
      <c r="F21" s="2">
        <f t="shared" si="6"/>
        <v>5659.29</v>
      </c>
      <c r="G21" s="2">
        <f t="shared" si="7"/>
        <v>679.57102465588105</v>
      </c>
      <c r="H21" s="2">
        <f t="shared" si="2"/>
        <v>4979.7189753441189</v>
      </c>
      <c r="I21" s="2">
        <f t="shared" si="3"/>
        <v>37008.963160775842</v>
      </c>
    </row>
    <row r="22" spans="1:9" x14ac:dyDescent="0.3">
      <c r="A22" s="4">
        <f t="shared" si="4"/>
        <v>3</v>
      </c>
      <c r="B22" s="4">
        <v>18</v>
      </c>
      <c r="C22" s="19">
        <f t="shared" si="1"/>
        <v>44389</v>
      </c>
      <c r="D22" s="7">
        <f t="shared" si="0"/>
        <v>44420</v>
      </c>
      <c r="E22" s="10">
        <f t="shared" si="5"/>
        <v>110000</v>
      </c>
      <c r="F22" s="2">
        <f t="shared" si="6"/>
        <v>5659.29</v>
      </c>
      <c r="G22" s="2">
        <f t="shared" si="7"/>
        <v>663.72438857211091</v>
      </c>
      <c r="H22" s="2">
        <f t="shared" si="2"/>
        <v>4995.5656114278891</v>
      </c>
      <c r="I22" s="2">
        <f t="shared" si="3"/>
        <v>32013.397549347952</v>
      </c>
    </row>
    <row r="23" spans="1:9" x14ac:dyDescent="0.3">
      <c r="A23" s="4">
        <f t="shared" si="4"/>
        <v>3</v>
      </c>
      <c r="B23" s="4">
        <v>19</v>
      </c>
      <c r="C23" s="19">
        <f t="shared" si="1"/>
        <v>44420</v>
      </c>
      <c r="D23" s="7">
        <f t="shared" si="0"/>
        <v>44452</v>
      </c>
      <c r="E23" s="10">
        <f t="shared" si="5"/>
        <v>110000</v>
      </c>
      <c r="F23" s="2">
        <f t="shared" si="6"/>
        <v>5659.29</v>
      </c>
      <c r="G23" s="2">
        <f t="shared" si="7"/>
        <v>592.82402562811694</v>
      </c>
      <c r="H23" s="2">
        <f t="shared" si="2"/>
        <v>5066.465974371883</v>
      </c>
      <c r="I23" s="2">
        <f t="shared" si="3"/>
        <v>26946.931574976068</v>
      </c>
    </row>
    <row r="24" spans="1:9" x14ac:dyDescent="0.3">
      <c r="A24" s="4">
        <f t="shared" si="4"/>
        <v>3</v>
      </c>
      <c r="B24" s="4">
        <v>20</v>
      </c>
      <c r="C24" s="19">
        <f t="shared" si="1"/>
        <v>44452</v>
      </c>
      <c r="D24" s="7">
        <f t="shared" si="0"/>
        <v>44481</v>
      </c>
      <c r="E24" s="10">
        <f t="shared" si="5"/>
        <v>110000</v>
      </c>
      <c r="F24" s="2">
        <f t="shared" si="6"/>
        <v>5659.29</v>
      </c>
      <c r="G24" s="2">
        <f t="shared" si="7"/>
        <v>451.83175026686149</v>
      </c>
      <c r="H24" s="2">
        <f t="shared" si="2"/>
        <v>5207.4582497331385</v>
      </c>
      <c r="I24" s="2">
        <f t="shared" si="3"/>
        <v>21739.473325242929</v>
      </c>
    </row>
    <row r="25" spans="1:9" x14ac:dyDescent="0.3">
      <c r="A25" s="4">
        <f t="shared" si="4"/>
        <v>3</v>
      </c>
      <c r="B25" s="4">
        <v>21</v>
      </c>
      <c r="C25" s="19">
        <f t="shared" si="1"/>
        <v>44481</v>
      </c>
      <c r="D25" s="7">
        <f t="shared" si="0"/>
        <v>44512</v>
      </c>
      <c r="E25" s="10">
        <f t="shared" si="5"/>
        <v>110000</v>
      </c>
      <c r="F25" s="2">
        <f t="shared" si="6"/>
        <v>5659.29</v>
      </c>
      <c r="G25" s="2">
        <f t="shared" si="7"/>
        <v>389.87902952032164</v>
      </c>
      <c r="H25" s="2">
        <f t="shared" si="2"/>
        <v>5269.4109704796783</v>
      </c>
      <c r="I25" s="2">
        <f t="shared" si="3"/>
        <v>16470.062354763249</v>
      </c>
    </row>
    <row r="26" spans="1:9" x14ac:dyDescent="0.3">
      <c r="A26" s="4">
        <f t="shared" si="4"/>
        <v>3</v>
      </c>
      <c r="B26" s="4">
        <v>22</v>
      </c>
      <c r="C26" s="19">
        <f t="shared" si="1"/>
        <v>44512</v>
      </c>
      <c r="D26" s="7">
        <f t="shared" si="0"/>
        <v>44543</v>
      </c>
      <c r="E26" s="10">
        <f t="shared" si="5"/>
        <v>110000</v>
      </c>
      <c r="F26" s="2">
        <f t="shared" si="6"/>
        <v>5659.29</v>
      </c>
      <c r="G26" s="2">
        <f t="shared" si="7"/>
        <v>295.3766096788604</v>
      </c>
      <c r="H26" s="2">
        <f t="shared" si="2"/>
        <v>5363.9133903211396</v>
      </c>
      <c r="I26" s="2">
        <f t="shared" si="3"/>
        <v>11106.148964442109</v>
      </c>
    </row>
    <row r="27" spans="1:9" x14ac:dyDescent="0.3">
      <c r="A27" s="4">
        <f t="shared" si="4"/>
        <v>3</v>
      </c>
      <c r="B27" s="4">
        <v>23</v>
      </c>
      <c r="C27" s="19">
        <f t="shared" si="1"/>
        <v>44543</v>
      </c>
      <c r="D27" s="7">
        <f t="shared" si="0"/>
        <v>44573</v>
      </c>
      <c r="E27" s="10">
        <f t="shared" si="5"/>
        <v>110000</v>
      </c>
      <c r="F27" s="2">
        <f t="shared" si="6"/>
        <v>5659.29</v>
      </c>
      <c r="G27" s="2">
        <f t="shared" si="7"/>
        <v>192.69881286851705</v>
      </c>
      <c r="H27" s="2">
        <f t="shared" si="2"/>
        <v>5466.5911871314829</v>
      </c>
      <c r="I27" s="2">
        <f t="shared" si="3"/>
        <v>5639.5577773106261</v>
      </c>
    </row>
    <row r="28" spans="1:9" x14ac:dyDescent="0.3">
      <c r="A28" s="4">
        <f t="shared" si="4"/>
        <v>3</v>
      </c>
      <c r="B28" s="4">
        <v>24</v>
      </c>
      <c r="C28" s="19">
        <f t="shared" si="1"/>
        <v>44573</v>
      </c>
      <c r="D28" s="7">
        <f t="shared" si="0"/>
        <v>44606</v>
      </c>
      <c r="E28" s="10">
        <f t="shared" si="5"/>
        <v>110000</v>
      </c>
      <c r="F28" s="2">
        <f t="shared" si="6"/>
        <v>5659.29</v>
      </c>
      <c r="G28" s="2">
        <f t="shared" si="7"/>
        <v>107.72783651153441</v>
      </c>
      <c r="H28" s="2">
        <f t="shared" si="2"/>
        <v>5551.5621634884656</v>
      </c>
      <c r="I28" s="2">
        <f t="shared" si="3"/>
        <v>87.995613822160522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15</vt:i4>
      </vt:variant>
    </vt:vector>
  </HeadingPairs>
  <TitlesOfParts>
    <vt:vector size="20" baseType="lpstr">
      <vt:lpstr>Cadastro</vt:lpstr>
      <vt:lpstr>Tabela_PRICE</vt:lpstr>
      <vt:lpstr>Tabela_SAC</vt:lpstr>
      <vt:lpstr>Racunho1</vt:lpstr>
      <vt:lpstr>Rascunho2</vt:lpstr>
      <vt:lpstr>Cad_Contrato</vt:lpstr>
      <vt:lpstr>Cad_Data_Emissao</vt:lpstr>
      <vt:lpstr>Cad_i_am</vt:lpstr>
      <vt:lpstr>Cad_Modelo</vt:lpstr>
      <vt:lpstr>Cad_Parcelas</vt:lpstr>
      <vt:lpstr>Cad_Principal</vt:lpstr>
      <vt:lpstr>Contrato</vt:lpstr>
      <vt:lpstr>Data_Emissao</vt:lpstr>
      <vt:lpstr>i_ad</vt:lpstr>
      <vt:lpstr>i_am</vt:lpstr>
      <vt:lpstr>Parcelas</vt:lpstr>
      <vt:lpstr>Principal</vt:lpstr>
      <vt:lpstr>SAC</vt:lpstr>
      <vt:lpstr>Taxa_ad</vt:lpstr>
      <vt:lpstr>Taxa_am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</dc:creator>
  <cp:lastModifiedBy>ANGELA Carajiliascov</cp:lastModifiedBy>
  <dcterms:created xsi:type="dcterms:W3CDTF">2022-12-29T22:54:18Z</dcterms:created>
  <dcterms:modified xsi:type="dcterms:W3CDTF">2023-01-02T23:22:53Z</dcterms:modified>
</cp:coreProperties>
</file>